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checkCompatibility="1" defaultThemeVersion="124226"/>
  <bookViews>
    <workbookView xWindow="0" yWindow="480" windowWidth="15555" windowHeight="7365" tabRatio="665"/>
  </bookViews>
  <sheets>
    <sheet name="Part 1" sheetId="1" r:id="rId1"/>
    <sheet name="Part 2" sheetId="36" r:id="rId2"/>
    <sheet name="Part 3" sheetId="37" r:id="rId3"/>
    <sheet name="Part 4" sheetId="38" r:id="rId4"/>
    <sheet name="Data" sheetId="9" state="hidden" r:id="rId5"/>
    <sheet name="Part 5" sheetId="39" r:id="rId6"/>
    <sheet name="Datasheet1" sheetId="29" r:id="rId7"/>
    <sheet name="Datasheet2" sheetId="25" r:id="rId8"/>
    <sheet name="Datasheet3" sheetId="26" r:id="rId9"/>
    <sheet name="Datasheet4" sheetId="34" r:id="rId10"/>
    <sheet name="Datasheet5" sheetId="28" r:id="rId11"/>
    <sheet name="Sheet1" sheetId="35" state="hidden" r:id="rId12"/>
  </sheets>
  <externalReferences>
    <externalReference r:id="rId13"/>
    <externalReference r:id="rId14"/>
    <externalReference r:id="rId15"/>
    <externalReference r:id="rId16"/>
  </externalReferences>
  <definedNames>
    <definedName name="Adur" localSheetId="6">[1]DATA!#REF!</definedName>
    <definedName name="Adur" localSheetId="9">[1]DATA!#REF!</definedName>
    <definedName name="Adur" localSheetId="10">[1]DATA!#REF!</definedName>
    <definedName name="Adur" localSheetId="1">[1]DATA!#REF!</definedName>
    <definedName name="Adur" localSheetId="2">[1]DATA!#REF!</definedName>
    <definedName name="Adur" localSheetId="3">[1]DATA!#REF!</definedName>
    <definedName name="Adur" localSheetId="5">[1]DATA!#REF!</definedName>
    <definedName name="Adur">[1]DATA!#REF!</definedName>
    <definedName name="BRprint1" localSheetId="6">#REF!</definedName>
    <definedName name="BRprint1" localSheetId="9">#REF!</definedName>
    <definedName name="BRprint1" localSheetId="10">#REF!</definedName>
    <definedName name="BRprint1" localSheetId="1">#REF!</definedName>
    <definedName name="BRprint1" localSheetId="2">#REF!</definedName>
    <definedName name="BRprint1" localSheetId="3">#REF!</definedName>
    <definedName name="BRprint1" localSheetId="5">#REF!</definedName>
    <definedName name="BRprint1">#REF!</definedName>
    <definedName name="BRprint2" localSheetId="6">#REF!</definedName>
    <definedName name="BRprint2" localSheetId="9">#REF!</definedName>
    <definedName name="BRprint2" localSheetId="10">#REF!</definedName>
    <definedName name="BRprint2" localSheetId="1">#REF!</definedName>
    <definedName name="BRprint2" localSheetId="2">#REF!</definedName>
    <definedName name="BRprint2" localSheetId="3">#REF!</definedName>
    <definedName name="BRprint2" localSheetId="5">#REF!</definedName>
    <definedName name="BRprint2">#REF!</definedName>
    <definedName name="CERDATA" localSheetId="6">'[2]Section A'!#REF!</definedName>
    <definedName name="CERDATA" localSheetId="9">'[2]Section A'!#REF!</definedName>
    <definedName name="CERDATA" localSheetId="10">'[2]Section A'!#REF!</definedName>
    <definedName name="CERDATA" localSheetId="1">'[2]Section A'!#REF!</definedName>
    <definedName name="CERDATA" localSheetId="2">'[2]Section A'!#REF!</definedName>
    <definedName name="CERDATA" localSheetId="3">'[2]Section A'!#REF!</definedName>
    <definedName name="CERDATA" localSheetId="5">'[2]Section A'!#REF!</definedName>
    <definedName name="CERDATA">'[2]Section A'!#REF!</definedName>
    <definedName name="CONTACT" localSheetId="9">#REF!</definedName>
    <definedName name="CONTACT">#REF!</definedName>
    <definedName name="datar" localSheetId="1">[3]Data!$A$8:$BS$334</definedName>
    <definedName name="datar" localSheetId="2">[3]Data!$A$8:$BS$334</definedName>
    <definedName name="datar" localSheetId="3">[3]Data!$A$8:$BS$334</definedName>
    <definedName name="datar" localSheetId="5">[3]Data!$A$8:$BS$334</definedName>
    <definedName name="datar">Data!$A$8:$C$334</definedName>
    <definedName name="detruse" localSheetId="6">#REF!</definedName>
    <definedName name="detruse" localSheetId="9">#REF!</definedName>
    <definedName name="detruse" localSheetId="10">#REF!</definedName>
    <definedName name="detruse" localSheetId="1">#REF!</definedName>
    <definedName name="detruse" localSheetId="2">#REF!</definedName>
    <definedName name="detruse" localSheetId="3">#REF!</definedName>
    <definedName name="detruse" localSheetId="5">#REF!</definedName>
    <definedName name="detruse">#REF!</definedName>
    <definedName name="dtlruse" localSheetId="6">#REF!</definedName>
    <definedName name="dtlruse" localSheetId="9">#REF!</definedName>
    <definedName name="dtlruse" localSheetId="10">#REF!</definedName>
    <definedName name="dtlruse" localSheetId="1">#REF!</definedName>
    <definedName name="dtlruse" localSheetId="2">#REF!</definedName>
    <definedName name="dtlruse" localSheetId="3">#REF!</definedName>
    <definedName name="dtlruse" localSheetId="5">#REF!</definedName>
    <definedName name="dtlruse">#REF!</definedName>
    <definedName name="LAcodes" localSheetId="6">#REF!</definedName>
    <definedName name="LAcodes" localSheetId="9">#REF!</definedName>
    <definedName name="LAcodes" localSheetId="10">#REF!</definedName>
    <definedName name="LAcodes" localSheetId="1">#REF!</definedName>
    <definedName name="LAcodes" localSheetId="2">#REF!</definedName>
    <definedName name="LAcodes" localSheetId="3">#REF!</definedName>
    <definedName name="LAcodes" localSheetId="5">#REF!</definedName>
    <definedName name="LAcodes">#REF!</definedName>
    <definedName name="LAlist" localSheetId="6">#REF!</definedName>
    <definedName name="LAlist" localSheetId="9">#REF!</definedName>
    <definedName name="LAlist" localSheetId="10">#REF!</definedName>
    <definedName name="LAlist" localSheetId="1">[4]Data!$B$12:$B$338</definedName>
    <definedName name="LAlist" localSheetId="2">[4]Data!$B$12:$B$338</definedName>
    <definedName name="LAlist" localSheetId="3">[4]Data!$B$12:$B$338</definedName>
    <definedName name="LAlist" localSheetId="5">[4]Data!$B$12:$B$338</definedName>
    <definedName name="LAlist">#REF!</definedName>
    <definedName name="NNDR1" localSheetId="9">#REF!</definedName>
    <definedName name="NNDR1">#REF!</definedName>
    <definedName name="NNDR1S" localSheetId="9">#REF!</definedName>
    <definedName name="NNDR1S">#REF!</definedName>
    <definedName name="numberhered" localSheetId="6">#REF!</definedName>
    <definedName name="numberhered" localSheetId="9">#REF!</definedName>
    <definedName name="numberhered" localSheetId="10">#REF!</definedName>
    <definedName name="numberhered" localSheetId="1">#REF!</definedName>
    <definedName name="numberhered" localSheetId="2">#REF!</definedName>
    <definedName name="numberhered" localSheetId="3">#REF!</definedName>
    <definedName name="numberhered" localSheetId="5">#REF!</definedName>
    <definedName name="numberhered">#REF!</definedName>
    <definedName name="Part1">Datasheet1!$A$8:$T$339</definedName>
    <definedName name="Part2">Datasheet2!$A$8:$AW$339</definedName>
    <definedName name="Part3">Datasheet3!$A$7:$FT$339</definedName>
    <definedName name="Part4">Datasheet4!$A$8:$DI$339</definedName>
    <definedName name="Part5">Datasheet5!$A$8:$CA$339</definedName>
    <definedName name="_xlnm.Print_Area" localSheetId="6">'[2]Section A'!#REF!</definedName>
    <definedName name="_xlnm.Print_Area" localSheetId="9">'[2]Section A'!#REF!</definedName>
    <definedName name="_xlnm.Print_Area" localSheetId="10">'[2]Section A'!#REF!</definedName>
    <definedName name="_xlnm.Print_Area" localSheetId="0">'Part 1'!$A$1:$V$48</definedName>
    <definedName name="_xlnm.Print_Area" localSheetId="1">'Part 2'!$A$1:$V$74</definedName>
    <definedName name="_xlnm.Print_Area" localSheetId="2">'Part 3'!$A$1:$U$192</definedName>
    <definedName name="_xlnm.Print_Area" localSheetId="3">'Part 4'!$A$1:$V$113</definedName>
    <definedName name="_xlnm.Print_Area" localSheetId="5">'Part 5'!$A$1:$AD$63</definedName>
    <definedName name="_xlnm.Print_Area">'[2]Section A'!#REF!</definedName>
    <definedName name="_xlnm.Print_Titles" localSheetId="4">Data!$1:$7</definedName>
    <definedName name="_xlnm.Print_Titles" localSheetId="0">'Part 1'!$1:$6</definedName>
    <definedName name="_xlnm.Print_Titles" localSheetId="2">'Part 3'!$1:$14</definedName>
    <definedName name="_xlnm.Print_Titles" localSheetId="3">'Part 4'!$24:$29</definedName>
    <definedName name="_xlnm.Print_Titles" localSheetId="5">'Part 5'!$1:$7</definedName>
    <definedName name="Table" localSheetId="6">#REF!</definedName>
    <definedName name="Table" localSheetId="9">#REF!</definedName>
    <definedName name="Table" localSheetId="10">#REF!</definedName>
    <definedName name="Table" localSheetId="1">[4]Data!$A$12:$C$338</definedName>
    <definedName name="Table" localSheetId="2">[4]Data!$A$12:$C$338</definedName>
    <definedName name="Table" localSheetId="3">[4]Data!$A$12:$C$338</definedName>
    <definedName name="Table" localSheetId="5">[4]Data!$A$12:$C$338</definedName>
    <definedName name="Table">#REF!</definedName>
    <definedName name="table1" localSheetId="6">#REF!</definedName>
    <definedName name="table1" localSheetId="9">#REF!</definedName>
    <definedName name="table1" localSheetId="10">#REF!</definedName>
    <definedName name="table1" localSheetId="1">#REF!</definedName>
    <definedName name="table1" localSheetId="2">#REF!</definedName>
    <definedName name="table1" localSheetId="3">#REF!</definedName>
    <definedName name="table1" localSheetId="5">#REF!</definedName>
    <definedName name="table1">#REF!</definedName>
    <definedName name="tiersplit" localSheetId="9">#REF!</definedName>
    <definedName name="tiersplit">#REF!</definedName>
    <definedName name="Validation" localSheetId="6">#REF!</definedName>
    <definedName name="Validation" localSheetId="9">#REF!</definedName>
    <definedName name="Validation" localSheetId="10">#REF!</definedName>
    <definedName name="Validation" localSheetId="1">#REF!</definedName>
    <definedName name="Validation" localSheetId="2">#REF!</definedName>
    <definedName name="Validation" localSheetId="3">#REF!</definedName>
    <definedName name="Validation" localSheetId="5">#REF!</definedName>
    <definedName name="Validation">#REF!</definedName>
    <definedName name="zzz" localSheetId="6">#REF!</definedName>
    <definedName name="zzz" localSheetId="9">#REF!</definedName>
    <definedName name="zzz" localSheetId="10">#REF!</definedName>
    <definedName name="zzz" localSheetId="1">#REF!</definedName>
    <definedName name="zzz" localSheetId="2">#REF!</definedName>
    <definedName name="zzz" localSheetId="3">#REF!</definedName>
    <definedName name="zzz" localSheetId="5">#REF!</definedName>
    <definedName name="zzz">#REF!</definedName>
  </definedNames>
  <calcPr calcId="145621"/>
</workbook>
</file>

<file path=xl/calcChain.xml><?xml version="1.0" encoding="utf-8"?>
<calcChain xmlns="http://schemas.openxmlformats.org/spreadsheetml/2006/main">
  <c r="DH3" i="34" l="1"/>
  <c r="DI3" i="34" s="1"/>
  <c r="DD334" i="34" l="1"/>
  <c r="DC334" i="34"/>
  <c r="DB334" i="34"/>
  <c r="DA334" i="34"/>
  <c r="CZ334" i="34"/>
  <c r="CY334" i="34"/>
  <c r="CX334" i="34"/>
  <c r="CW334" i="34"/>
  <c r="CV334" i="34"/>
  <c r="CU334" i="34"/>
  <c r="CT334" i="34"/>
  <c r="CS334" i="34"/>
  <c r="CR334" i="34"/>
  <c r="CQ334" i="34"/>
  <c r="CP334" i="34"/>
  <c r="CO334" i="34"/>
  <c r="CN334" i="34"/>
  <c r="CM334" i="34"/>
  <c r="CL334" i="34"/>
  <c r="CK334" i="34"/>
  <c r="CJ334" i="34"/>
  <c r="CI334" i="34"/>
  <c r="CH334" i="34"/>
  <c r="CG334" i="34"/>
  <c r="CF334" i="34"/>
  <c r="CE334" i="34"/>
  <c r="CD334" i="34"/>
  <c r="CC334" i="34"/>
  <c r="CB334" i="34"/>
  <c r="CA334" i="34"/>
  <c r="BZ334" i="34"/>
  <c r="BY334" i="34"/>
  <c r="BX334" i="34"/>
  <c r="BW334" i="34"/>
  <c r="BV334" i="34"/>
  <c r="BU334" i="34"/>
  <c r="BT334" i="34"/>
  <c r="BS334" i="34"/>
  <c r="BR334" i="34"/>
  <c r="BQ334" i="34"/>
  <c r="BP334" i="34"/>
  <c r="BO334" i="34"/>
  <c r="BN334" i="34"/>
  <c r="BM334" i="34"/>
  <c r="BL334" i="34"/>
  <c r="BK334" i="34"/>
  <c r="BJ334" i="34"/>
  <c r="DE3" i="34"/>
  <c r="DF3" i="34" s="1"/>
  <c r="DG3" i="34" s="1"/>
  <c r="FT333" i="26" l="1"/>
  <c r="FS333" i="26"/>
  <c r="FR333" i="26"/>
  <c r="FQ333" i="26"/>
  <c r="FP333" i="26"/>
  <c r="FO333" i="26"/>
  <c r="FN333" i="26"/>
  <c r="FM333" i="26"/>
  <c r="FL333" i="26"/>
  <c r="FK333" i="26"/>
  <c r="FJ333" i="26"/>
  <c r="FI333" i="26"/>
  <c r="FH333" i="26"/>
  <c r="FG333" i="26"/>
  <c r="FF333" i="26"/>
  <c r="FE333" i="26"/>
  <c r="FD333" i="26"/>
  <c r="FC333" i="26"/>
  <c r="FB333" i="26"/>
  <c r="FA333" i="26"/>
  <c r="EZ333" i="26"/>
  <c r="EY333" i="26"/>
  <c r="EX333" i="26"/>
  <c r="EW333" i="26"/>
  <c r="EV333" i="26"/>
  <c r="EU333" i="26"/>
  <c r="ET333" i="26"/>
  <c r="ES333" i="26"/>
  <c r="ER333" i="26"/>
  <c r="EQ333" i="26"/>
  <c r="EP333" i="26"/>
  <c r="EO333" i="26"/>
  <c r="EN333" i="26"/>
  <c r="AW334" i="25"/>
  <c r="AV334" i="25"/>
  <c r="AU334" i="25"/>
  <c r="AT334" i="25"/>
  <c r="AS334" i="25"/>
  <c r="AR334" i="25"/>
  <c r="AQ334" i="25"/>
  <c r="F333" i="26" l="1"/>
  <c r="G333" i="26"/>
  <c r="H333" i="26"/>
  <c r="I333" i="26"/>
  <c r="J333" i="26"/>
  <c r="K333" i="26"/>
  <c r="L333" i="26"/>
  <c r="M333" i="26"/>
  <c r="N333" i="26"/>
  <c r="O333" i="26"/>
  <c r="P333" i="26"/>
  <c r="Q333" i="26"/>
  <c r="R333" i="26"/>
  <c r="S333" i="26"/>
  <c r="T333" i="26"/>
  <c r="U333" i="26"/>
  <c r="V333" i="26"/>
  <c r="W333" i="26"/>
  <c r="X333" i="26"/>
  <c r="Y333" i="26"/>
  <c r="Z333" i="26"/>
  <c r="AA333" i="26"/>
  <c r="AB333" i="26"/>
  <c r="AC333" i="26"/>
  <c r="AD333" i="26"/>
  <c r="AE333" i="26"/>
  <c r="AF333" i="26"/>
  <c r="AG333" i="26"/>
  <c r="AH333" i="26"/>
  <c r="AI333" i="26"/>
  <c r="AJ333" i="26"/>
  <c r="AK333" i="26"/>
  <c r="AL333" i="26"/>
  <c r="AM333" i="26"/>
  <c r="AN333" i="26"/>
  <c r="AO333" i="26"/>
  <c r="AP333" i="26"/>
  <c r="AQ333" i="26"/>
  <c r="AR333" i="26"/>
  <c r="AS333" i="26"/>
  <c r="AT333" i="26"/>
  <c r="AU333" i="26"/>
  <c r="AV333" i="26"/>
  <c r="AW333" i="26"/>
  <c r="AX333" i="26"/>
  <c r="AY333" i="26"/>
  <c r="AZ333" i="26"/>
  <c r="BA333" i="26"/>
  <c r="BB333" i="26"/>
  <c r="BC333" i="26"/>
  <c r="BD333" i="26"/>
  <c r="BE333" i="26"/>
  <c r="BF333" i="26"/>
  <c r="BG333" i="26"/>
  <c r="BH333" i="26"/>
  <c r="BI333" i="26"/>
  <c r="BJ333" i="26"/>
  <c r="BK333" i="26"/>
  <c r="BL333" i="26"/>
  <c r="BM333" i="26"/>
  <c r="BN333" i="26"/>
  <c r="BO333" i="26"/>
  <c r="BP333" i="26"/>
  <c r="BQ333" i="26"/>
  <c r="BR333" i="26"/>
  <c r="BS333" i="26"/>
  <c r="BT333" i="26"/>
  <c r="BU333" i="26"/>
  <c r="BV333" i="26"/>
  <c r="BW333" i="26"/>
  <c r="BX333" i="26"/>
  <c r="BY333" i="26"/>
  <c r="BZ333" i="26"/>
  <c r="CA333" i="26"/>
  <c r="CB333" i="26"/>
  <c r="CC333" i="26"/>
  <c r="CD333" i="26"/>
  <c r="CE333" i="26"/>
  <c r="CF333" i="26"/>
  <c r="CG333" i="26"/>
  <c r="CH333" i="26"/>
  <c r="CI333" i="26"/>
  <c r="CJ333" i="26"/>
  <c r="CK333" i="26"/>
  <c r="CL333" i="26"/>
  <c r="CM333" i="26"/>
  <c r="CN333" i="26"/>
  <c r="CO333" i="26"/>
  <c r="CP333" i="26"/>
  <c r="CQ333" i="26"/>
  <c r="CR333" i="26"/>
  <c r="CS333" i="26"/>
  <c r="CT333" i="26"/>
  <c r="CU333" i="26"/>
  <c r="CV333" i="26"/>
  <c r="CW333" i="26"/>
  <c r="CX333" i="26"/>
  <c r="CY333" i="26"/>
  <c r="CZ333" i="26"/>
  <c r="DA333" i="26"/>
  <c r="DB333" i="26"/>
  <c r="DC333" i="26"/>
  <c r="DD333" i="26"/>
  <c r="DE333" i="26"/>
  <c r="DF333" i="26"/>
  <c r="DG333" i="26"/>
  <c r="DH333" i="26"/>
  <c r="DI333" i="26"/>
  <c r="DJ333" i="26"/>
  <c r="DK333" i="26"/>
  <c r="DL333" i="26"/>
  <c r="DM333" i="26"/>
  <c r="DN333" i="26"/>
  <c r="DO333" i="26"/>
  <c r="DP333" i="26"/>
  <c r="DQ333" i="26"/>
  <c r="DR333" i="26"/>
  <c r="DS333" i="26"/>
  <c r="DT333" i="26"/>
  <c r="DU333" i="26"/>
  <c r="DV333" i="26"/>
  <c r="DW333" i="26"/>
  <c r="DX333" i="26"/>
  <c r="DY333" i="26"/>
  <c r="DZ333" i="26"/>
  <c r="EA333" i="26"/>
  <c r="EB333" i="26"/>
  <c r="EC333" i="26"/>
  <c r="ED333" i="26"/>
  <c r="EE333" i="26"/>
  <c r="EF333" i="26"/>
  <c r="EG333" i="26"/>
  <c r="EH333" i="26"/>
  <c r="EI333" i="26"/>
  <c r="EJ333" i="26"/>
  <c r="EK333" i="26"/>
  <c r="EL333" i="26"/>
  <c r="EM333" i="26"/>
  <c r="F1" i="36" l="1"/>
  <c r="F1" i="39"/>
  <c r="F1" i="38"/>
  <c r="G31" i="38" s="1"/>
  <c r="F1" i="37"/>
  <c r="N196" i="37"/>
  <c r="J196" i="37"/>
  <c r="K49" i="36" l="1"/>
  <c r="O49" i="36"/>
  <c r="T116" i="38"/>
  <c r="S26" i="38" s="1"/>
  <c r="W16" i="39" s="1"/>
  <c r="Q116" i="38"/>
  <c r="N26" i="38" s="1"/>
  <c r="S16" i="39" s="1"/>
  <c r="N116" i="38"/>
  <c r="J26" i="38" s="1"/>
  <c r="O16" i="39" s="1"/>
  <c r="C10" i="37"/>
  <c r="R186" i="37"/>
  <c r="N184" i="37"/>
  <c r="J182" i="37"/>
  <c r="R178" i="37"/>
  <c r="N176" i="37"/>
  <c r="J174" i="37"/>
  <c r="R170" i="37"/>
  <c r="N164" i="37"/>
  <c r="J160" i="37"/>
  <c r="R154" i="37"/>
  <c r="N150" i="37"/>
  <c r="J148" i="37"/>
  <c r="R142" i="37"/>
  <c r="N138" i="37"/>
  <c r="J136" i="37"/>
  <c r="J128" i="37"/>
  <c r="J123" i="37"/>
  <c r="R117" i="37"/>
  <c r="N115" i="37"/>
  <c r="J111" i="37"/>
  <c r="R105" i="37"/>
  <c r="N103" i="37"/>
  <c r="J99" i="37"/>
  <c r="R93" i="37"/>
  <c r="J115" i="37"/>
  <c r="N105" i="37"/>
  <c r="R97" i="37"/>
  <c r="N93" i="37"/>
  <c r="N109" i="37"/>
  <c r="R99" i="37"/>
  <c r="J93" i="37"/>
  <c r="J180" i="37"/>
  <c r="R176" i="37"/>
  <c r="R164" i="37"/>
  <c r="R150" i="37"/>
  <c r="J145" i="37"/>
  <c r="J131" i="37"/>
  <c r="J121" i="37"/>
  <c r="N111" i="37"/>
  <c r="N99" i="37"/>
  <c r="N186" i="37"/>
  <c r="J184" i="37"/>
  <c r="R180" i="37"/>
  <c r="N178" i="37"/>
  <c r="J176" i="37"/>
  <c r="R172" i="37"/>
  <c r="N170" i="37"/>
  <c r="J164" i="37"/>
  <c r="R158" i="37"/>
  <c r="N154" i="37"/>
  <c r="J150" i="37"/>
  <c r="R145" i="37"/>
  <c r="N142" i="37"/>
  <c r="J138" i="37"/>
  <c r="R131" i="37"/>
  <c r="N126" i="37"/>
  <c r="R121" i="37"/>
  <c r="N117" i="37"/>
  <c r="R109" i="37"/>
  <c r="J103" i="37"/>
  <c r="J117" i="37"/>
  <c r="J105" i="37"/>
  <c r="N182" i="37"/>
  <c r="N174" i="37"/>
  <c r="N160" i="37"/>
  <c r="N148" i="37"/>
  <c r="N136" i="37"/>
  <c r="R115" i="37"/>
  <c r="R103" i="37"/>
  <c r="J186" i="37"/>
  <c r="R182" i="37"/>
  <c r="N180" i="37"/>
  <c r="J178" i="37"/>
  <c r="R174" i="37"/>
  <c r="N172" i="37"/>
  <c r="J170" i="37"/>
  <c r="R160" i="37"/>
  <c r="N158" i="37"/>
  <c r="J154" i="37"/>
  <c r="R148" i="37"/>
  <c r="N145" i="37"/>
  <c r="J142" i="37"/>
  <c r="R136" i="37"/>
  <c r="N131" i="37"/>
  <c r="R123" i="37"/>
  <c r="N121" i="37"/>
  <c r="R111" i="37"/>
  <c r="N97" i="37"/>
  <c r="R184" i="37"/>
  <c r="J172" i="37"/>
  <c r="J158" i="37"/>
  <c r="R138" i="37"/>
  <c r="N123" i="37"/>
  <c r="J109" i="37"/>
  <c r="J97" i="37"/>
  <c r="R91" i="37"/>
  <c r="N86" i="37"/>
  <c r="J82" i="37"/>
  <c r="R76" i="37"/>
  <c r="N74" i="37"/>
  <c r="J68" i="37"/>
  <c r="R62" i="37"/>
  <c r="N58" i="37"/>
  <c r="J56" i="37"/>
  <c r="R50" i="37"/>
  <c r="N46" i="37"/>
  <c r="J43" i="37"/>
  <c r="R38" i="37"/>
  <c r="N35" i="37"/>
  <c r="J33" i="37"/>
  <c r="R24" i="37"/>
  <c r="N21" i="37"/>
  <c r="J19" i="37"/>
  <c r="R17" i="37"/>
  <c r="J80" i="37"/>
  <c r="J64" i="37"/>
  <c r="J52" i="37"/>
  <c r="R35" i="37"/>
  <c r="J28" i="37"/>
  <c r="N91" i="37"/>
  <c r="J86" i="37"/>
  <c r="R80" i="37"/>
  <c r="N76" i="37"/>
  <c r="J74" i="37"/>
  <c r="R64" i="37"/>
  <c r="N62" i="37"/>
  <c r="J58" i="37"/>
  <c r="R52" i="37"/>
  <c r="N50" i="37"/>
  <c r="J46" i="37"/>
  <c r="R41" i="37"/>
  <c r="N38" i="37"/>
  <c r="J35" i="37"/>
  <c r="R28" i="37"/>
  <c r="N24" i="37"/>
  <c r="J21" i="37"/>
  <c r="N82" i="37"/>
  <c r="R58" i="37"/>
  <c r="N43" i="37"/>
  <c r="R21" i="37"/>
  <c r="J91" i="37"/>
  <c r="R82" i="37"/>
  <c r="N80" i="37"/>
  <c r="J76" i="37"/>
  <c r="R68" i="37"/>
  <c r="N64" i="37"/>
  <c r="J62" i="37"/>
  <c r="R56" i="37"/>
  <c r="N52" i="37"/>
  <c r="J50" i="37"/>
  <c r="R43" i="37"/>
  <c r="N41" i="37"/>
  <c r="J38" i="37"/>
  <c r="R33" i="37"/>
  <c r="N28" i="37"/>
  <c r="J24" i="37"/>
  <c r="R19" i="37"/>
  <c r="N17" i="37"/>
  <c r="R86" i="37"/>
  <c r="R74" i="37"/>
  <c r="N68" i="37"/>
  <c r="N56" i="37"/>
  <c r="R46" i="37"/>
  <c r="J41" i="37"/>
  <c r="N33" i="37"/>
  <c r="N19" i="37"/>
  <c r="J17" i="37"/>
  <c r="C10" i="38"/>
  <c r="K112" i="38"/>
  <c r="S108" i="38"/>
  <c r="O105" i="38"/>
  <c r="K103" i="38"/>
  <c r="S99" i="38"/>
  <c r="O96" i="38"/>
  <c r="K94" i="38"/>
  <c r="S89" i="38"/>
  <c r="O87" i="38"/>
  <c r="K85" i="38"/>
  <c r="S80" i="38"/>
  <c r="O78" i="38"/>
  <c r="K75" i="38"/>
  <c r="S71" i="38"/>
  <c r="O68" i="38"/>
  <c r="K66" i="38"/>
  <c r="S60" i="38"/>
  <c r="S58" i="38"/>
  <c r="S55" i="38"/>
  <c r="O52" i="38"/>
  <c r="O48" i="38"/>
  <c r="K41" i="38"/>
  <c r="S31" i="38"/>
  <c r="S21" i="38"/>
  <c r="O18" i="38"/>
  <c r="S110" i="38"/>
  <c r="O108" i="38"/>
  <c r="K105" i="38"/>
  <c r="S101" i="38"/>
  <c r="O99" i="38"/>
  <c r="K96" i="38"/>
  <c r="S92" i="38"/>
  <c r="O89" i="38"/>
  <c r="K87" i="38"/>
  <c r="S82" i="38"/>
  <c r="O80" i="38"/>
  <c r="K78" i="38"/>
  <c r="S73" i="38"/>
  <c r="O71" i="38"/>
  <c r="K68" i="38"/>
  <c r="S64" i="38"/>
  <c r="O60" i="38"/>
  <c r="O58" i="38"/>
  <c r="O55" i="38"/>
  <c r="K52" i="38"/>
  <c r="K48" i="38"/>
  <c r="K38" i="38"/>
  <c r="O31" i="38"/>
  <c r="O21" i="38"/>
  <c r="K18" i="38"/>
  <c r="S112" i="38"/>
  <c r="O110" i="38"/>
  <c r="K108" i="38"/>
  <c r="S103" i="38"/>
  <c r="O101" i="38"/>
  <c r="K99" i="38"/>
  <c r="S94" i="38"/>
  <c r="O92" i="38"/>
  <c r="K89" i="38"/>
  <c r="S85" i="38"/>
  <c r="O82" i="38"/>
  <c r="K80" i="38"/>
  <c r="S75" i="38"/>
  <c r="O73" i="38"/>
  <c r="K71" i="38"/>
  <c r="S66" i="38"/>
  <c r="O64" i="38"/>
  <c r="K60" i="38"/>
  <c r="K58" i="38"/>
  <c r="K55" i="38"/>
  <c r="O50" i="38"/>
  <c r="K45" i="38"/>
  <c r="K36" i="38"/>
  <c r="K31" i="38"/>
  <c r="K21" i="38"/>
  <c r="O112" i="38"/>
  <c r="K110" i="38"/>
  <c r="S105" i="38"/>
  <c r="O103" i="38"/>
  <c r="K101" i="38"/>
  <c r="S96" i="38"/>
  <c r="O94" i="38"/>
  <c r="K92" i="38"/>
  <c r="S87" i="38"/>
  <c r="O85" i="38"/>
  <c r="K82" i="38"/>
  <c r="S78" i="38"/>
  <c r="O75" i="38"/>
  <c r="K64" i="38"/>
  <c r="K50" i="38"/>
  <c r="S18" i="38"/>
  <c r="K73" i="38"/>
  <c r="G60" i="38"/>
  <c r="K43" i="38"/>
  <c r="S68" i="38"/>
  <c r="G58" i="38"/>
  <c r="K34" i="38"/>
  <c r="O66" i="38"/>
  <c r="G55" i="38"/>
  <c r="S16" i="38"/>
  <c r="O16" i="38"/>
  <c r="K16" i="38"/>
  <c r="C10" i="39"/>
  <c r="S62" i="39"/>
  <c r="W60" i="39"/>
  <c r="AA58" i="39"/>
  <c r="K58" i="39"/>
  <c r="O56" i="39"/>
  <c r="S52" i="39"/>
  <c r="W50" i="39"/>
  <c r="AA48" i="39"/>
  <c r="K48" i="39"/>
  <c r="O46" i="39"/>
  <c r="S43" i="39"/>
  <c r="W41" i="39"/>
  <c r="AA37" i="39"/>
  <c r="AA35" i="39"/>
  <c r="O33" i="39"/>
  <c r="AA26" i="39"/>
  <c r="S24" i="39"/>
  <c r="W20" i="39"/>
  <c r="O62" i="39"/>
  <c r="S60" i="39"/>
  <c r="W58" i="39"/>
  <c r="AA56" i="39"/>
  <c r="K56" i="39"/>
  <c r="O52" i="39"/>
  <c r="S50" i="39"/>
  <c r="W48" i="39"/>
  <c r="AA46" i="39"/>
  <c r="K46" i="39"/>
  <c r="O43" i="39"/>
  <c r="S41" i="39"/>
  <c r="W37" i="39"/>
  <c r="S35" i="39"/>
  <c r="AA31" i="39"/>
  <c r="K26" i="39"/>
  <c r="O24" i="39"/>
  <c r="S20" i="39"/>
  <c r="AA62" i="39"/>
  <c r="K62" i="39"/>
  <c r="O60" i="39"/>
  <c r="S58" i="39"/>
  <c r="W56" i="39"/>
  <c r="AA52" i="39"/>
  <c r="K52" i="39"/>
  <c r="O50" i="39"/>
  <c r="S48" i="39"/>
  <c r="W46" i="39"/>
  <c r="AA43" i="39"/>
  <c r="K43" i="39"/>
  <c r="O41" i="39"/>
  <c r="S37" i="39"/>
  <c r="O35" i="39"/>
  <c r="O31" i="39"/>
  <c r="AA24" i="39"/>
  <c r="K24" i="39"/>
  <c r="O20" i="39"/>
  <c r="W62" i="39"/>
  <c r="AA60" i="39"/>
  <c r="K60" i="39"/>
  <c r="O58" i="39"/>
  <c r="S56" i="39"/>
  <c r="W52" i="39"/>
  <c r="AA50" i="39"/>
  <c r="K50" i="39"/>
  <c r="O48" i="39"/>
  <c r="S46" i="39"/>
  <c r="W43" i="39"/>
  <c r="AA41" i="39"/>
  <c r="K41" i="39"/>
  <c r="O37" i="39"/>
  <c r="AA33" i="39"/>
  <c r="K28" i="39"/>
  <c r="W24" i="39"/>
  <c r="AA20" i="39"/>
  <c r="K20" i="39"/>
  <c r="C10" i="36"/>
  <c r="S72" i="36"/>
  <c r="K65" i="36"/>
  <c r="O58" i="36"/>
  <c r="K56" i="36"/>
  <c r="K51" i="36"/>
  <c r="S39" i="36"/>
  <c r="O37" i="36"/>
  <c r="K34" i="36"/>
  <c r="S30" i="36"/>
  <c r="O25" i="36"/>
  <c r="K22" i="36"/>
  <c r="S18" i="36"/>
  <c r="O51" i="36"/>
  <c r="K32" i="36"/>
  <c r="O22" i="36"/>
  <c r="S70" i="36"/>
  <c r="O60" i="36"/>
  <c r="K58" i="36"/>
  <c r="G56" i="36"/>
  <c r="S43" i="36"/>
  <c r="O39" i="36"/>
  <c r="K37" i="36"/>
  <c r="S32" i="36"/>
  <c r="O30" i="36"/>
  <c r="K25" i="36"/>
  <c r="S58" i="36"/>
  <c r="S37" i="36"/>
  <c r="S65" i="36"/>
  <c r="K60" i="36"/>
  <c r="S56" i="36"/>
  <c r="S51" i="36"/>
  <c r="O43" i="36"/>
  <c r="K39" i="36"/>
  <c r="S34" i="36"/>
  <c r="O32" i="36"/>
  <c r="K30" i="36"/>
  <c r="S22" i="36"/>
  <c r="O18" i="36"/>
  <c r="O65" i="36"/>
  <c r="O56" i="36"/>
  <c r="K43" i="36"/>
  <c r="O34" i="36"/>
  <c r="S25" i="36"/>
  <c r="K18" i="36"/>
  <c r="G1" i="38" l="1"/>
  <c r="W58" i="36"/>
  <c r="W56" i="36"/>
  <c r="W51" i="36"/>
  <c r="W39" i="36"/>
  <c r="W37" i="36"/>
  <c r="W34" i="36"/>
  <c r="W32" i="36"/>
  <c r="U30" i="36"/>
  <c r="W30" i="36"/>
  <c r="W25" i="36"/>
  <c r="W22" i="36"/>
  <c r="W18" i="36" l="1"/>
  <c r="W43" i="36"/>
  <c r="W65" i="36" l="1"/>
  <c r="S196" i="37"/>
  <c r="R196" i="37" l="1"/>
  <c r="C33" i="1" l="1"/>
  <c r="K47" i="1" l="1"/>
  <c r="K16" i="1"/>
  <c r="BF334" i="28"/>
  <c r="Y334" i="34"/>
  <c r="X334" i="34"/>
  <c r="F334" i="34"/>
  <c r="H334" i="25" l="1"/>
  <c r="G334" i="25"/>
  <c r="F334" i="25"/>
  <c r="G334" i="29"/>
  <c r="F334" i="29"/>
  <c r="K21" i="1" l="1"/>
  <c r="K23" i="1"/>
  <c r="K26" i="1"/>
  <c r="K28" i="1"/>
  <c r="K30" i="1"/>
  <c r="K33" i="1"/>
  <c r="K36" i="1"/>
  <c r="K38" i="1"/>
  <c r="K44" i="1" l="1"/>
  <c r="K42" i="1"/>
  <c r="BI334" i="34" l="1"/>
  <c r="BH334" i="34"/>
  <c r="BG334" i="34"/>
  <c r="BF334" i="34"/>
  <c r="BE334" i="34"/>
  <c r="BD334" i="34"/>
  <c r="BC334" i="34"/>
  <c r="BB334" i="34"/>
  <c r="BA334" i="34"/>
  <c r="AZ334" i="34"/>
  <c r="AY334" i="34"/>
  <c r="AX334" i="34"/>
  <c r="AW334" i="34"/>
  <c r="AV334" i="34"/>
  <c r="AU334" i="34"/>
  <c r="AT334" i="34"/>
  <c r="AS334" i="34"/>
  <c r="AR334" i="34"/>
  <c r="AQ334" i="34"/>
  <c r="AP334" i="34"/>
  <c r="AO334" i="34"/>
  <c r="AN334" i="34"/>
  <c r="AM334" i="34"/>
  <c r="AL334" i="34"/>
  <c r="AK334" i="34"/>
  <c r="AJ334" i="34"/>
  <c r="AI334" i="34"/>
  <c r="AH334" i="34"/>
  <c r="AG334" i="34"/>
  <c r="AF334" i="34"/>
  <c r="AE334" i="34"/>
  <c r="AD334" i="34"/>
  <c r="AC334" i="34"/>
  <c r="AB334" i="34"/>
  <c r="AA334" i="34"/>
  <c r="Z334" i="34"/>
  <c r="W334" i="34"/>
  <c r="CA334" i="28"/>
  <c r="BZ334" i="28"/>
  <c r="BY334" i="28"/>
  <c r="BX334" i="28"/>
  <c r="BW334" i="28"/>
  <c r="BV334" i="28"/>
  <c r="BU334" i="28"/>
  <c r="BT334" i="28"/>
  <c r="BS334" i="28"/>
  <c r="BR334" i="28"/>
  <c r="BQ334" i="28"/>
  <c r="BP334" i="28"/>
  <c r="BO334" i="28"/>
  <c r="BN334" i="28"/>
  <c r="BM334" i="28"/>
  <c r="BL334" i="28"/>
  <c r="BK334" i="28"/>
  <c r="BJ334" i="28"/>
  <c r="BI334" i="28"/>
  <c r="BH334" i="28"/>
  <c r="BG334" i="28"/>
  <c r="BE334" i="28"/>
  <c r="BD334" i="28"/>
  <c r="BC334" i="28"/>
  <c r="BB334" i="28"/>
  <c r="BA334" i="28"/>
  <c r="AZ334" i="28"/>
  <c r="AY334" i="28"/>
  <c r="AX334" i="28"/>
  <c r="AW334" i="28"/>
  <c r="AV334" i="28"/>
  <c r="AU334" i="28"/>
  <c r="AT334" i="28"/>
  <c r="AS334" i="28"/>
  <c r="AR334" i="28"/>
  <c r="AQ334" i="28"/>
  <c r="AP334" i="28"/>
  <c r="AO334" i="28"/>
  <c r="AN334" i="28"/>
  <c r="AM334" i="28"/>
  <c r="AL334" i="28"/>
  <c r="AK334" i="28"/>
  <c r="AJ334" i="28"/>
  <c r="AI334" i="28"/>
  <c r="AH334" i="28"/>
  <c r="AG334" i="28"/>
  <c r="AF334" i="28"/>
  <c r="AE334" i="28"/>
  <c r="AD334" i="28"/>
  <c r="AC334" i="28"/>
  <c r="AB334" i="28"/>
  <c r="AA334" i="28"/>
  <c r="Z334" i="28"/>
  <c r="Y334" i="28"/>
  <c r="X334" i="28"/>
  <c r="W334" i="28"/>
  <c r="V334" i="34" l="1"/>
  <c r="U334" i="34"/>
  <c r="T334" i="34"/>
  <c r="S334" i="34"/>
  <c r="N334" i="34"/>
  <c r="M334" i="34"/>
  <c r="L334" i="34"/>
  <c r="K334" i="34"/>
  <c r="J334" i="34"/>
  <c r="I334" i="34"/>
  <c r="H334" i="34"/>
  <c r="G334" i="34"/>
  <c r="H334" i="29" l="1"/>
  <c r="I334" i="29"/>
  <c r="J334" i="29"/>
  <c r="K334" i="29"/>
  <c r="L334" i="29"/>
  <c r="M334" i="29"/>
  <c r="N334" i="29"/>
  <c r="O334" i="29"/>
  <c r="P334" i="29"/>
  <c r="Q334" i="29"/>
  <c r="I334" i="25"/>
  <c r="J334" i="25"/>
  <c r="K334" i="25"/>
  <c r="L334" i="25"/>
  <c r="M334" i="25"/>
  <c r="N334" i="25"/>
  <c r="O334" i="25"/>
  <c r="P334" i="25"/>
  <c r="Q334" i="25"/>
  <c r="R334" i="25"/>
  <c r="S334" i="25"/>
  <c r="T334" i="25"/>
  <c r="U334" i="25"/>
  <c r="V334" i="25"/>
  <c r="W334" i="25"/>
  <c r="X334" i="25"/>
  <c r="Y334" i="25"/>
  <c r="Z334" i="25"/>
  <c r="AA334" i="25"/>
  <c r="AB334" i="25"/>
  <c r="AC334" i="25"/>
  <c r="AD334" i="25"/>
  <c r="AE334" i="25"/>
  <c r="AF334" i="25"/>
  <c r="AG334" i="25"/>
  <c r="AH334" i="25"/>
  <c r="AI334" i="25"/>
  <c r="AJ334" i="25"/>
  <c r="AK334" i="25"/>
  <c r="AL334" i="25"/>
  <c r="AM334" i="25"/>
  <c r="AN334" i="25"/>
  <c r="AO334" i="25"/>
  <c r="AP334" i="25"/>
  <c r="K334" i="28"/>
  <c r="L334" i="28"/>
  <c r="M334" i="28"/>
  <c r="N334" i="28"/>
  <c r="O334" i="28"/>
  <c r="P334" i="28"/>
  <c r="Q334" i="28"/>
  <c r="R334" i="28"/>
  <c r="S334" i="28"/>
  <c r="T334" i="28"/>
  <c r="U334" i="28"/>
  <c r="V334" i="28"/>
</calcChain>
</file>

<file path=xl/sharedStrings.xml><?xml version="1.0" encoding="utf-8"?>
<sst xmlns="http://schemas.openxmlformats.org/spreadsheetml/2006/main" count="10016" uniqueCount="1214">
  <si>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</si>
  <si>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</si>
  <si>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</si>
  <si>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</si>
  <si>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</si>
  <si>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</si>
  <si>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</si>
  <si>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</si>
  <si>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</si>
  <si>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</si>
  <si>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</si>
  <si>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</si>
  <si>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</si>
  <si>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</si>
  <si>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</si>
  <si>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</si>
  <si>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</si>
  <si>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</si>
  <si>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</si>
  <si>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</si>
  <si>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</si>
  <si>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</si>
  <si>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</si>
  <si>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</si>
  <si>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</si>
  <si>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</si>
  <si>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</si>
  <si>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</si>
  <si>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</si>
  <si>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</si>
  <si>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</si>
  <si>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</si>
  <si>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</si>
  <si>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Central
Government</t>
  </si>
  <si>
    <t xml:space="preserve">of which: </t>
  </si>
  <si>
    <t>Dover</t>
  </si>
  <si>
    <t>E2234</t>
  </si>
  <si>
    <t>Dudley</t>
  </si>
  <si>
    <t>E4603</t>
  </si>
  <si>
    <t>Durham UA</t>
  </si>
  <si>
    <t>E1302</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</si>
  <si>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</si>
  <si>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</si>
  <si>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</si>
  <si>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</si>
  <si>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</si>
  <si>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</si>
  <si>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</si>
  <si>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</si>
  <si>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</si>
  <si>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</si>
  <si>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</si>
  <si>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</si>
  <si>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</si>
  <si>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</si>
  <si>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</si>
  <si>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</si>
  <si>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</si>
  <si>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</si>
  <si>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</si>
  <si>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</si>
  <si>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</si>
  <si>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</si>
  <si>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</si>
  <si>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</si>
  <si>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</si>
  <si>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</si>
  <si>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</si>
  <si>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</si>
  <si>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</si>
  <si>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</si>
  <si>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</si>
  <si>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</si>
  <si>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Epsom &amp; Ewell</t>
  </si>
  <si>
    <t>E3632</t>
  </si>
  <si>
    <t>Erewash</t>
  </si>
  <si>
    <t>E1036</t>
  </si>
  <si>
    <t>Exeter</t>
  </si>
  <si>
    <t>E1132</t>
  </si>
  <si>
    <t>Fareham</t>
  </si>
  <si>
    <t>E1734</t>
  </si>
  <si>
    <t>Fenland</t>
  </si>
  <si>
    <t>E0533</t>
  </si>
  <si>
    <t>Forest Heath</t>
  </si>
  <si>
    <t>E3532</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</si>
  <si>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</si>
  <si>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</si>
  <si>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</si>
  <si>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</si>
  <si>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</si>
  <si>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</si>
  <si>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</si>
  <si>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</si>
  <si>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</si>
  <si>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</si>
  <si>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</si>
  <si>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</si>
  <si>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</si>
  <si>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</si>
  <si>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</si>
  <si>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</si>
  <si>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</si>
  <si>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</si>
  <si>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</si>
  <si>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</si>
  <si>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</si>
  <si>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</si>
  <si>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</si>
  <si>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</si>
  <si>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</si>
  <si>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</si>
  <si>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</si>
  <si>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</si>
  <si>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</si>
  <si>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</si>
  <si>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</si>
  <si>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</si>
  <si>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</si>
  <si>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</si>
  <si>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</si>
  <si>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</si>
  <si>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</si>
  <si>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</si>
  <si>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</si>
  <si>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</si>
  <si>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</si>
  <si>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</si>
  <si>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</si>
  <si>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</si>
  <si>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</si>
  <si>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</si>
  <si>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</si>
  <si>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</si>
  <si>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</si>
  <si>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</si>
  <si>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</si>
  <si>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</si>
  <si>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</si>
  <si>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</si>
  <si>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</si>
  <si>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</si>
  <si>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</si>
  <si>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</si>
  <si>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</si>
  <si>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</si>
  <si>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</si>
  <si>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</si>
  <si>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</si>
  <si>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</si>
  <si>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</si>
  <si>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</si>
  <si>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</si>
  <si>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</si>
  <si>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Isle of Wight Council</t>
  </si>
  <si>
    <t>E2101</t>
  </si>
  <si>
    <t>Isles of Scilly</t>
  </si>
  <si>
    <t>E4001</t>
  </si>
  <si>
    <t>Islington</t>
  </si>
  <si>
    <t>E5015</t>
  </si>
  <si>
    <t>Kensington and Chelsea</t>
  </si>
  <si>
    <t>E5016</t>
  </si>
  <si>
    <t>Kettering</t>
  </si>
  <si>
    <t>E2834</t>
  </si>
  <si>
    <t>Kings Lynn and West Norfolk</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</si>
  <si>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</si>
  <si>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</si>
  <si>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</si>
  <si>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</si>
  <si>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</si>
  <si>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</si>
  <si>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</si>
  <si>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</si>
  <si>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</si>
  <si>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</si>
  <si>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</si>
  <si>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</si>
  <si>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</si>
  <si>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</si>
  <si>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</si>
  <si>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</si>
  <si>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</si>
  <si>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</si>
  <si>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</si>
  <si>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</si>
  <si>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</si>
  <si>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</si>
  <si>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</si>
  <si>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</si>
  <si>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</si>
  <si>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</si>
  <si>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</si>
  <si>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</si>
  <si>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</si>
  <si>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</si>
  <si>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</si>
  <si>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</si>
  <si>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</si>
  <si>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</si>
  <si>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</si>
  <si>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</si>
  <si>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</si>
  <si>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</si>
  <si>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</si>
  <si>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</si>
  <si>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</si>
  <si>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</si>
  <si>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</si>
  <si>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</si>
  <si>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</si>
  <si>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</si>
  <si>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</si>
  <si>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</si>
  <si>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</si>
  <si>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</si>
  <si>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</si>
  <si>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</si>
  <si>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</si>
  <si>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</si>
  <si>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</si>
  <si>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</si>
  <si>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</si>
  <si>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</si>
  <si>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</si>
  <si>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</si>
  <si>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</si>
  <si>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</si>
  <si>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</si>
  <si>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Newcastle-upon-Tyne</t>
  </si>
  <si>
    <t>E4502</t>
  </si>
  <si>
    <t>Newcastle-under-Lyme</t>
  </si>
  <si>
    <t>E3434</t>
  </si>
  <si>
    <t>Newham</t>
  </si>
  <si>
    <t>E5045</t>
  </si>
  <si>
    <t>North Devon</t>
  </si>
  <si>
    <t>E1134</t>
  </si>
  <si>
    <t>North Dorset</t>
  </si>
  <si>
    <t>E1234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</si>
  <si>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</si>
  <si>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</si>
  <si>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</si>
  <si>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</si>
  <si>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</si>
  <si>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</si>
  <si>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</si>
  <si>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</si>
  <si>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</si>
  <si>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</si>
  <si>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</si>
  <si>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</si>
  <si>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</si>
  <si>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</si>
  <si>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</si>
  <si>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</si>
  <si>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</si>
  <si>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</si>
  <si>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</si>
  <si>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</si>
  <si>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</si>
  <si>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</si>
  <si>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</si>
  <si>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</si>
  <si>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</si>
  <si>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</si>
  <si>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</si>
  <si>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</si>
  <si>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</si>
  <si>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</si>
  <si>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</si>
  <si>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</si>
  <si>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</si>
  <si>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</si>
  <si>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</si>
  <si>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</si>
  <si>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</si>
  <si>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</si>
  <si>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</si>
  <si>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</si>
  <si>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</si>
  <si>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</si>
  <si>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Poole</t>
  </si>
  <si>
    <t>E1201</t>
  </si>
  <si>
    <t>Portsmouth</t>
  </si>
  <si>
    <t>E1701</t>
  </si>
  <si>
    <t>Preston</t>
  </si>
  <si>
    <t>E2339</t>
  </si>
  <si>
    <t>Purbeck</t>
  </si>
  <si>
    <t>E1236</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</si>
  <si>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</si>
  <si>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</si>
  <si>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</si>
  <si>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</si>
  <si>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</si>
  <si>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</si>
  <si>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</si>
  <si>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</si>
  <si>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</si>
  <si>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</si>
  <si>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</si>
  <si>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</si>
  <si>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</si>
  <si>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</si>
  <si>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</si>
  <si>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</si>
  <si>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</si>
  <si>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</si>
  <si>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</si>
  <si>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</si>
  <si>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</si>
  <si>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</si>
  <si>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</si>
  <si>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</si>
  <si>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</si>
  <si>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</si>
  <si>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</si>
  <si>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</si>
  <si>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</si>
  <si>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</si>
  <si>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</si>
  <si>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</si>
  <si>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</si>
  <si>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</si>
  <si>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</si>
  <si>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</si>
  <si>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</si>
  <si>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</si>
  <si>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</si>
  <si>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</si>
  <si>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</si>
  <si>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</si>
  <si>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</si>
  <si>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</si>
  <si>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</si>
  <si>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</si>
  <si>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</si>
  <si>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</si>
  <si>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</si>
  <si>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</si>
  <si>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</si>
  <si>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</si>
  <si>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</si>
  <si>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</si>
  <si>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</si>
  <si>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</si>
  <si>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Shropshire UA</t>
  </si>
  <si>
    <t>E3202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</si>
  <si>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</si>
  <si>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</si>
  <si>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</si>
  <si>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</si>
  <si>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</si>
  <si>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</si>
  <si>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</si>
  <si>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</si>
  <si>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</si>
  <si>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</si>
  <si>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</si>
  <si>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</si>
  <si>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</si>
  <si>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</si>
  <si>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</si>
  <si>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</si>
  <si>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</si>
  <si>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</si>
  <si>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</si>
  <si>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</si>
  <si>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</si>
  <si>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</si>
  <si>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</si>
  <si>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</si>
  <si>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</si>
  <si>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</si>
  <si>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</si>
  <si>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</si>
  <si>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</si>
  <si>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</si>
  <si>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</si>
  <si>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</si>
  <si>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</si>
  <si>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</si>
  <si>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</si>
  <si>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</si>
  <si>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</si>
  <si>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</si>
  <si>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</si>
  <si>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</si>
  <si>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</si>
  <si>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</si>
  <si>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</si>
  <si>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</si>
  <si>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</si>
  <si>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</si>
  <si>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</si>
  <si>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</si>
  <si>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</si>
  <si>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</si>
  <si>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</si>
  <si>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</si>
  <si>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</si>
  <si>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</si>
  <si>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</si>
  <si>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</si>
  <si>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</si>
  <si>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</si>
  <si>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</si>
  <si>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</si>
  <si>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</si>
  <si>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</si>
  <si>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</si>
  <si>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</si>
  <si>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Suffolk Coastal</t>
  </si>
  <si>
    <t>E3536</t>
  </si>
  <si>
    <t>Sunderland</t>
  </si>
  <si>
    <t>E4505</t>
  </si>
  <si>
    <t>Surrey Heath</t>
  </si>
  <si>
    <t>E3638</t>
  </si>
  <si>
    <t>Sutton</t>
  </si>
  <si>
    <t>E5048</t>
  </si>
  <si>
    <t>Swale</t>
  </si>
  <si>
    <t>E2241</t>
  </si>
  <si>
    <t>Swindon</t>
  </si>
  <si>
    <t>E3901</t>
  </si>
  <si>
    <t>Tameside</t>
  </si>
  <si>
    <t>E4208</t>
  </si>
  <si>
    <t>Tamworth</t>
  </si>
  <si>
    <t>E3439</t>
  </si>
  <si>
    <t>Tandridge</t>
  </si>
  <si>
    <t>E3639</t>
  </si>
  <si>
    <t>Taunton Deane</t>
  </si>
  <si>
    <t>E3333</t>
  </si>
  <si>
    <t>Teignbridge</t>
  </si>
  <si>
    <t>E1137</t>
  </si>
  <si>
    <t>Telford and the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</si>
  <si>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</si>
  <si>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</si>
  <si>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</si>
  <si>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</si>
  <si>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</si>
  <si>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</si>
  <si>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</si>
  <si>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</si>
  <si>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</si>
  <si>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</si>
  <si>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</si>
  <si>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</si>
  <si>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</si>
  <si>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</si>
  <si>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</si>
  <si>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</si>
  <si>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</si>
  <si>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</si>
  <si>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</si>
  <si>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</si>
  <si>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</si>
  <si>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</si>
  <si>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</si>
  <si>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</si>
  <si>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</si>
  <si>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</si>
  <si>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</si>
  <si>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</si>
  <si>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</si>
  <si>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</si>
  <si>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</si>
  <si>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</si>
  <si>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</si>
  <si>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</si>
  <si>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</si>
  <si>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</si>
  <si>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</si>
  <si>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</si>
  <si>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</si>
  <si>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</si>
  <si>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</si>
  <si>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</si>
  <si>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</si>
  <si>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Waveney</t>
  </si>
  <si>
    <t>E3537</t>
  </si>
  <si>
    <t>Waverley</t>
  </si>
  <si>
    <t>E3640</t>
  </si>
  <si>
    <t>Wealden</t>
  </si>
  <si>
    <t>E1437</t>
  </si>
  <si>
    <t>Wellingborough</t>
  </si>
  <si>
    <t>E2837</t>
  </si>
  <si>
    <t>Welwyn Hatfield</t>
  </si>
  <si>
    <t>E1940</t>
  </si>
  <si>
    <t>West Berkshire</t>
  </si>
  <si>
    <t>E0302</t>
  </si>
  <si>
    <t>West Devon</t>
  </si>
  <si>
    <t>E1140</t>
  </si>
  <si>
    <t>West Dorset</t>
  </si>
  <si>
    <t>E1237</t>
  </si>
  <si>
    <t>West Lancashire</t>
  </si>
  <si>
    <t>E2343</t>
  </si>
  <si>
    <t>West Lindsey</t>
  </si>
  <si>
    <t>E2537</t>
  </si>
  <si>
    <t>West Oxfordshire</t>
  </si>
  <si>
    <t>E3135</t>
  </si>
  <si>
    <t>West Somerset</t>
  </si>
  <si>
    <t>E3335</t>
  </si>
  <si>
    <t>Westminster</t>
  </si>
  <si>
    <t>E5022</t>
  </si>
  <si>
    <t>Weymouth and Portland</t>
  </si>
  <si>
    <t>E1238</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</si>
  <si>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</si>
  <si>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</si>
  <si>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</si>
  <si>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</si>
  <si>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</si>
  <si>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</si>
  <si>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</si>
  <si>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</si>
  <si>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</si>
  <si>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</si>
  <si>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</si>
  <si>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</si>
  <si>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</si>
  <si>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</si>
  <si>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</si>
  <si>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</si>
  <si>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</si>
  <si>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</si>
  <si>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</si>
  <si>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</si>
  <si>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</si>
  <si>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</si>
  <si>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</si>
  <si>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</si>
  <si>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</si>
  <si>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</si>
  <si>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</si>
  <si>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</si>
  <si>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</si>
  <si>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</si>
  <si>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EZZZZ</t>
  </si>
  <si>
    <t xml:space="preserve">Select your local authority's name from this list: </t>
  </si>
  <si>
    <t>Partially occupied hereditaments</t>
  </si>
  <si>
    <t>Empty premises</t>
  </si>
  <si>
    <t>"New Empty" properties</t>
  </si>
  <si>
    <t>£</t>
  </si>
  <si>
    <t>Column 1</t>
  </si>
  <si>
    <t>Column 2</t>
  </si>
  <si>
    <t>Column 3</t>
  </si>
  <si>
    <t>Column 4</t>
  </si>
  <si>
    <t>Small Business Rate Relief</t>
  </si>
  <si>
    <t>Community Amateur Sports Clubs (CASCs)</t>
  </si>
  <si>
    <t>Non-profit making bodies</t>
  </si>
  <si>
    <t>Small rural businesses</t>
  </si>
  <si>
    <t>Total</t>
  </si>
  <si>
    <t xml:space="preserve"> </t>
  </si>
  <si>
    <t>4. Cost of collection formula</t>
  </si>
  <si>
    <t>SPECIAL AUTHORITY DEDUCTIONS</t>
  </si>
  <si>
    <t>Column 5</t>
  </si>
  <si>
    <t>Charitable occupation</t>
  </si>
  <si>
    <t>Rural shops etc</t>
  </si>
  <si>
    <t>Rural rate relief</t>
  </si>
  <si>
    <t>Other ratepayers</t>
  </si>
  <si>
    <t>of which:</t>
  </si>
  <si>
    <t xml:space="preserve">NON-DOMESTIC RATING INCOME </t>
  </si>
  <si>
    <t xml:space="preserve">DISREGARDED AMOUNTS </t>
  </si>
  <si>
    <t>No.</t>
  </si>
  <si>
    <t>Local Authority</t>
  </si>
  <si>
    <t>Ecodes</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</si>
  <si>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</si>
  <si>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</si>
  <si>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</si>
  <si>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</si>
  <si>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</si>
  <si>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</si>
  <si>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</si>
  <si>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</si>
  <si>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</si>
  <si>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</si>
  <si>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</si>
  <si>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</si>
  <si>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</si>
  <si>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</si>
  <si>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</si>
  <si>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</si>
  <si>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</si>
  <si>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</si>
  <si>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</si>
  <si>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</si>
  <si>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</si>
  <si>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</si>
  <si>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</si>
  <si>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</si>
  <si>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</si>
  <si>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</si>
  <si>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Basingstoke &amp; Deane</t>
  </si>
  <si>
    <t>E1731</t>
  </si>
  <si>
    <t>Bassetlaw</t>
  </si>
  <si>
    <t>E3032</t>
  </si>
  <si>
    <t>Bath &amp; North East Somerset</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</si>
  <si>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</si>
  <si>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</si>
  <si>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</si>
  <si>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</si>
  <si>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</si>
  <si>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</si>
  <si>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</si>
  <si>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</si>
  <si>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</si>
  <si>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</si>
  <si>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</si>
  <si>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</si>
  <si>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</si>
  <si>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</si>
  <si>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</si>
  <si>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</si>
  <si>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</si>
  <si>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</si>
  <si>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</si>
  <si>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Bournemouth</t>
  </si>
  <si>
    <t>E1202</t>
  </si>
  <si>
    <t>Bracknell Forest</t>
  </si>
  <si>
    <t>E0301</t>
  </si>
  <si>
    <t>Bradford</t>
  </si>
  <si>
    <t>E4701</t>
  </si>
  <si>
    <t>Braintree</t>
  </si>
  <si>
    <t>E1532</t>
  </si>
  <si>
    <t>Breckland</t>
  </si>
  <si>
    <t>E2631</t>
  </si>
  <si>
    <t>Brent</t>
  </si>
  <si>
    <t>E5033</t>
  </si>
  <si>
    <t>Brentwood</t>
  </si>
  <si>
    <t>E1533</t>
  </si>
  <si>
    <t>Brighton &amp; Hove</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</si>
  <si>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</si>
  <si>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</si>
  <si>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</si>
  <si>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</si>
  <si>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</si>
  <si>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</si>
  <si>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</si>
  <si>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</si>
  <si>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</si>
  <si>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</si>
  <si>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</si>
  <si>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</si>
  <si>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</si>
  <si>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</si>
  <si>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</si>
  <si>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</si>
  <si>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</si>
  <si>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</si>
  <si>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</si>
  <si>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</si>
  <si>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</si>
  <si>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</si>
  <si>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</si>
  <si>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</si>
  <si>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</si>
  <si>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</si>
  <si>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</si>
  <si>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</si>
  <si>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</si>
  <si>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</si>
  <si>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</si>
  <si>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Central Bedfordshire UA</t>
  </si>
  <si>
    <t>E0203</t>
  </si>
  <si>
    <t>Charnwood</t>
  </si>
  <si>
    <t>E2432</t>
  </si>
  <si>
    <t>Chelmsford</t>
  </si>
  <si>
    <t>E1535</t>
  </si>
  <si>
    <t>Cheltenham</t>
  </si>
  <si>
    <t>E1631</t>
  </si>
  <si>
    <t>Cherwell</t>
  </si>
  <si>
    <t>E3131</t>
  </si>
  <si>
    <t>Cheshire East UA</t>
  </si>
  <si>
    <t>E0603</t>
  </si>
  <si>
    <t>Cheshire West &amp; Chester UA</t>
  </si>
  <si>
    <t>E0604</t>
  </si>
  <si>
    <t>Chesterfield</t>
  </si>
  <si>
    <t>E1033</t>
  </si>
  <si>
    <t>Chichester</t>
  </si>
  <si>
    <t>E3833</t>
  </si>
  <si>
    <t>Chiltern</t>
  </si>
  <si>
    <t>E0432</t>
  </si>
  <si>
    <t>Chorley</t>
  </si>
  <si>
    <t>E2334</t>
  </si>
  <si>
    <t>Christchurch</t>
  </si>
  <si>
    <t>E1232</t>
  </si>
  <si>
    <t>City of London</t>
  </si>
  <si>
    <t>TRANSITIONAL PROTECTION PAYMENTS</t>
  </si>
  <si>
    <t>Relief given to Case A hereditaments</t>
  </si>
  <si>
    <t>Net Rates Payable</t>
  </si>
  <si>
    <t>England</t>
  </si>
  <si>
    <t>Total Disregarded Amounts</t>
  </si>
  <si>
    <t>Barking &amp; Dagenham</t>
  </si>
  <si>
    <t>Blackburn with Darwen UA</t>
  </si>
  <si>
    <t>Blackpool UA</t>
  </si>
  <si>
    <t>Bournemouth UA</t>
  </si>
  <si>
    <t>Bracknell Forest UA</t>
  </si>
  <si>
    <t>Cheshire West and Chester UA</t>
  </si>
  <si>
    <t>Darlington UA</t>
  </si>
  <si>
    <t>Derby UA</t>
  </si>
  <si>
    <t>East Riding of Yorkshire UA</t>
  </si>
  <si>
    <t>Halton UA</t>
  </si>
  <si>
    <t>Hammersmith &amp; Fulham</t>
  </si>
  <si>
    <t>Hartlepool UA</t>
  </si>
  <si>
    <t>Herefordshire UA</t>
  </si>
  <si>
    <t>Hinckley &amp; Bosworth</t>
  </si>
  <si>
    <t>Kensington &amp; Chelsea</t>
  </si>
  <si>
    <t>Leicester UA</t>
  </si>
  <si>
    <t>Luton UA</t>
  </si>
  <si>
    <t>Medway UA</t>
  </si>
  <si>
    <t>Middlesbrough UA</t>
  </si>
  <si>
    <t>Milton Keynes UA</t>
  </si>
  <si>
    <t>Newark &amp; Sherwood</t>
  </si>
  <si>
    <t>North East Lincolnshire UA</t>
  </si>
  <si>
    <t>North Lincolnshire UA</t>
  </si>
  <si>
    <t>North Somerset UA</t>
  </si>
  <si>
    <t>Nottingham UA</t>
  </si>
  <si>
    <t>Nuneaton &amp; Bedworth</t>
  </si>
  <si>
    <t>Oadby &amp; Wigston</t>
  </si>
  <si>
    <t>Peterborough UA</t>
  </si>
  <si>
    <t>Plymouth UA</t>
  </si>
  <si>
    <t>Poole UA</t>
  </si>
  <si>
    <t>Portsmouth UA</t>
  </si>
  <si>
    <t>Reading UA</t>
  </si>
  <si>
    <t>Redcar &amp; Cleveland UA</t>
  </si>
  <si>
    <t>Reigate &amp; Banstead</t>
  </si>
  <si>
    <t>Rutland UA</t>
  </si>
  <si>
    <t>Slough UA</t>
  </si>
  <si>
    <t>South Gloucestershire UA</t>
  </si>
  <si>
    <t>Southampton UA</t>
  </si>
  <si>
    <t>Southend-on-Sea UA</t>
  </si>
  <si>
    <t>Stockton-on-Tees UA</t>
  </si>
  <si>
    <t>Stoke-on-Trent UA</t>
  </si>
  <si>
    <t>Swindon UA</t>
  </si>
  <si>
    <t>Telford &amp; Wrekin UA</t>
  </si>
  <si>
    <t>Thurrock UA</t>
  </si>
  <si>
    <t>Tonbridge &amp; Malling</t>
  </si>
  <si>
    <t>Torbay UA</t>
  </si>
  <si>
    <t>Warrington UA</t>
  </si>
  <si>
    <t>West Berkshire UA</t>
  </si>
  <si>
    <t>Weymouth &amp; Portland</t>
  </si>
  <si>
    <t>Windsor &amp; Maidenhead UA</t>
  </si>
  <si>
    <t>Wokingham UA</t>
  </si>
  <si>
    <t>York UA</t>
  </si>
  <si>
    <t xml:space="preserve">Net amount receivable from rate payers </t>
  </si>
  <si>
    <t>Sums due to the authority</t>
  </si>
  <si>
    <t xml:space="preserve">Sums due from the authority </t>
  </si>
  <si>
    <t>Cost of collection formula</t>
  </si>
  <si>
    <t>Legal costs</t>
  </si>
  <si>
    <t>Allowance for cost of collection</t>
  </si>
  <si>
    <t>City of London Offset</t>
  </si>
  <si>
    <t xml:space="preserve">sums retained by billing authority </t>
  </si>
  <si>
    <t xml:space="preserve">sums retained by major precepting authority </t>
  </si>
  <si>
    <t>West Sussex</t>
  </si>
  <si>
    <t>NA</t>
  </si>
  <si>
    <t>County</t>
  </si>
  <si>
    <t>Cumbria</t>
  </si>
  <si>
    <t>Derbyshire</t>
  </si>
  <si>
    <t>Derbyshire Fire Authority</t>
  </si>
  <si>
    <t>Nottinghamshire</t>
  </si>
  <si>
    <t>Nottinghamshire Fire Authority</t>
  </si>
  <si>
    <t>Kent</t>
  </si>
  <si>
    <t>Kent Fire Authority</t>
  </si>
  <si>
    <t>Buckinghamshire</t>
  </si>
  <si>
    <t>Buckinghamshire Fire Authority</t>
  </si>
  <si>
    <t>Suffolk</t>
  </si>
  <si>
    <t>Greater London Authority</t>
  </si>
  <si>
    <t>MD</t>
  </si>
  <si>
    <t>South Yorkshire Fire</t>
  </si>
  <si>
    <t>Essex</t>
  </si>
  <si>
    <t>Essex Fire Authority</t>
  </si>
  <si>
    <t>Hampshire</t>
  </si>
  <si>
    <t>Hampshire Fire Authority</t>
  </si>
  <si>
    <t>Bath &amp; North East Somerset UA</t>
  </si>
  <si>
    <t>UA</t>
  </si>
  <si>
    <t>Avon Fire Authority</t>
  </si>
  <si>
    <t>Bedfordshire Fire Authority</t>
  </si>
  <si>
    <t>West Midlands Fire</t>
  </si>
  <si>
    <t>Leicestershire</t>
  </si>
  <si>
    <t>Leicestershire Fire Authority</t>
  </si>
  <si>
    <t>Lancashire Fire Authority</t>
  </si>
  <si>
    <t>Greater Manchester Fire</t>
  </si>
  <si>
    <t>Lincolnshire</t>
  </si>
  <si>
    <t>Dorset Fire Authority</t>
  </si>
  <si>
    <t>Berkshire Fire Authority</t>
  </si>
  <si>
    <t>West Yorkshire Fire</t>
  </si>
  <si>
    <t>Norfolk</t>
  </si>
  <si>
    <t>Brighton &amp; Hove UA</t>
  </si>
  <si>
    <t>East Sussex Fire Authority</t>
  </si>
  <si>
    <t>Bristol UA</t>
  </si>
  <si>
    <t>Worcestershire</t>
  </si>
  <si>
    <t>Hereford and Worcester Fire Authority</t>
  </si>
  <si>
    <t>Hertfordshire</t>
  </si>
  <si>
    <t>Lancashire</t>
  </si>
  <si>
    <t>Cambridgeshire</t>
  </si>
  <si>
    <t>Cambridgeshire Fire Authority</t>
  </si>
  <si>
    <t>Staffordshire</t>
  </si>
  <si>
    <t>Staffordshire Fire Authority</t>
  </si>
  <si>
    <t>Gloucestershire</t>
  </si>
  <si>
    <t>Oxfordshire</t>
  </si>
  <si>
    <t>Cheshire Fire Authority</t>
  </si>
  <si>
    <t>Dorset</t>
  </si>
  <si>
    <t>GLA - functions exc police</t>
  </si>
  <si>
    <t>Northamptonshire</t>
  </si>
  <si>
    <t>North Yorkshire</t>
  </si>
  <si>
    <t>North Yorkshire Fire Authority</t>
  </si>
  <si>
    <t>Durham Fire Authority</t>
  </si>
  <si>
    <t>Devon</t>
  </si>
  <si>
    <t>Devon and Somerset Fire Authority</t>
  </si>
  <si>
    <t>Humberside Fire Authority</t>
  </si>
  <si>
    <t>East Sussex</t>
  </si>
  <si>
    <t>Surrey</t>
  </si>
  <si>
    <t>Tyne and Wear Fire</t>
  </si>
  <si>
    <t>Cleveland Fire Authority</t>
  </si>
  <si>
    <t>Isle of Wight Council UA</t>
  </si>
  <si>
    <t>King's Lynn &amp; West Norfolk</t>
  </si>
  <si>
    <t>Kingston-upon-Hull UA</t>
  </si>
  <si>
    <t>Kingston-upon-Thames</t>
  </si>
  <si>
    <t>Merseyside Fire</t>
  </si>
  <si>
    <t>Somerset</t>
  </si>
  <si>
    <t>Warwickshire</t>
  </si>
  <si>
    <t>Richmond-upon-Thames</t>
  </si>
  <si>
    <t>Shropshire Fire Authority</t>
  </si>
  <si>
    <t>Wiltshire Fire Authority</t>
  </si>
  <si>
    <t>Local Authority name</t>
  </si>
  <si>
    <t>County Council</t>
  </si>
  <si>
    <t>Fire Authority</t>
  </si>
  <si>
    <t>Billing Authority</t>
  </si>
  <si>
    <t xml:space="preserve">PART 1: NON-DOMESTIC RATING INCOME </t>
  </si>
  <si>
    <t>COLLECTIBLE RATES</t>
  </si>
  <si>
    <t>NATIONAL NON-DOMESTIC RATES RETURN - NNDR3</t>
  </si>
  <si>
    <t>PART 2: COLLECTIBLE RATES AND DISREGARDED AMOUNTS</t>
  </si>
  <si>
    <t>PART 3: RELIEFS</t>
  </si>
  <si>
    <t>20. Adjustments to amount of relief provided in respect of previous years</t>
  </si>
  <si>
    <t>22. Adjustments to amount of relief provided in respect of previous years</t>
  </si>
  <si>
    <t>Flooding relief</t>
  </si>
  <si>
    <t>HARDSHIP RELIEF</t>
  </si>
  <si>
    <t>Cost of collection</t>
  </si>
  <si>
    <t>Renewable Energy Schemes</t>
  </si>
  <si>
    <t>SECTION 31 GRANTS</t>
  </si>
  <si>
    <t>Small Business Rates Relief scheme</t>
  </si>
  <si>
    <t>PART 5: ACCOUNTING SUMMARY</t>
  </si>
  <si>
    <t xml:space="preserve">This section shows the sums due to the billing authority, central government and major precepting authorities, along with the various accounting entries each authority will need to complete its financial statements. </t>
  </si>
  <si>
    <t xml:space="preserve">1. Non-domestic rating income from rates retention scheme </t>
  </si>
  <si>
    <t>2. (less) qualifying relief in Enterprise Zones</t>
  </si>
  <si>
    <t>4. add: cost of collection allowance</t>
  </si>
  <si>
    <t>Balance Sheet</t>
  </si>
  <si>
    <t>Sums receivable / payable (ratepayers)</t>
  </si>
  <si>
    <t>Appeal adjustment</t>
  </si>
  <si>
    <t>Provision for appeals</t>
  </si>
  <si>
    <t xml:space="preserve">Disrergarded Amounts -  Baseline </t>
  </si>
  <si>
    <t>Mandatory Reliefs - Charitable occupation - Adjustments to amount of relief provided in respect of previous years</t>
  </si>
  <si>
    <t>Mandatory Reliefs - Community Amateur Sports Clubs -  Adjustments to amount of relief provided in respect of previous years</t>
  </si>
  <si>
    <t>Mandatory Reliefs - Rural rate relief - Adjustments to amount of relief provided in respect of previous years</t>
  </si>
  <si>
    <t>Mandatory Reliefs - Partially occupied hereditaments - Adjustments to amount of relief provided in respect of previous years</t>
  </si>
  <si>
    <t>Mandatory Reliefs - Empty premises - Adjustments to amount of relief provided in respect of previous years</t>
  </si>
  <si>
    <t>Discretionary Reliefs - Charitable occupation -  Adjustments to amount of relief provided in respect of previous years</t>
  </si>
  <si>
    <t>Discretionary Reliefs - Non-profit making bodies - Adjustments to amount of relief provided in respect of previous years</t>
  </si>
  <si>
    <t>Discretionary Reliefs - Community Amateur Sports Clubs - Adjustments to amount of relief provided in respect of previous years</t>
  </si>
  <si>
    <t>Discretionary Reliefs - Rural shops - Adjustments to amount of relief provided in respect of previous years</t>
  </si>
  <si>
    <t>Small rural businesses -  Adjustments to amount of relief provided in respect of previous years</t>
  </si>
  <si>
    <t>Other ratepayers - Adjustments to amount of relief provided in respect of previous years</t>
  </si>
  <si>
    <t>Hardship Relief -   Adjustments to amount of relief provided in respect of previous years</t>
  </si>
  <si>
    <t xml:space="preserve">Transitional protection payments - Sum due </t>
  </si>
  <si>
    <t>Other Income for 2014-15 - add: cost of collection allowance</t>
  </si>
  <si>
    <t>Other Income for 2014-15 - add: qualifying relief in Enterprise Zones</t>
  </si>
  <si>
    <t>Balance Sheet - Sums outstanding from ratepayers</t>
  </si>
  <si>
    <t>Balance Sheet -  Sums oustanding owed to ratepayers</t>
  </si>
  <si>
    <t>Class</t>
  </si>
  <si>
    <t>Region</t>
  </si>
  <si>
    <t>SD</t>
  </si>
  <si>
    <t>SE</t>
  </si>
  <si>
    <t>NW</t>
  </si>
  <si>
    <t>EM</t>
  </si>
  <si>
    <t>E</t>
  </si>
  <si>
    <t>OLB</t>
  </si>
  <si>
    <t>L</t>
  </si>
  <si>
    <t>Met</t>
  </si>
  <si>
    <t>YH</t>
  </si>
  <si>
    <t>SW</t>
  </si>
  <si>
    <t>WM</t>
  </si>
  <si>
    <t>ILB</t>
  </si>
  <si>
    <t>NE</t>
  </si>
  <si>
    <t>Brighton and Hove</t>
  </si>
  <si>
    <t>Epsom and Ewell</t>
  </si>
  <si>
    <t>Huntingdonshire (new)</t>
  </si>
  <si>
    <t>Isle of Wight UA</t>
  </si>
  <si>
    <t>Kings Lynn &amp; West Norfolk</t>
  </si>
  <si>
    <t>Kingston upon Hull UA</t>
  </si>
  <si>
    <t>Malvern Hills (new)</t>
  </si>
  <si>
    <t>Newcastle upon Tyne</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</si>
  <si>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</si>
  <si>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</si>
  <si>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</si>
  <si>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</si>
  <si>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</si>
  <si>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</si>
  <si>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10. sums retained by billing authority</t>
  </si>
  <si>
    <t>11. sums retained by major precepting authority</t>
  </si>
  <si>
    <t>12. Line 1 plus line 2, minus lines 3 and 6 - 9</t>
  </si>
  <si>
    <t>BA Area (exc. Designated Areas)</t>
  </si>
  <si>
    <t>Designated Areas</t>
  </si>
  <si>
    <t>Total
(All BA Area)</t>
  </si>
  <si>
    <t>NET RATES PAYABLE BY RATEPAYERS</t>
  </si>
  <si>
    <t>1. Sum payable by rate payers after taking account of transitional adjustments, empty property rate, mandatory and discretionary reliefs</t>
  </si>
  <si>
    <t>INTEREST</t>
  </si>
  <si>
    <t>2. (Less) Interest paid on refunds to ratepayers</t>
  </si>
  <si>
    <t>DEFERRALS</t>
  </si>
  <si>
    <t xml:space="preserve">3. Add: Amounts collected in respect of previous </t>
  </si>
  <si>
    <t>years' rates bills deferred in line with national scheme</t>
  </si>
  <si>
    <t>ACCOUNTING ADJUSTMENTS</t>
  </si>
  <si>
    <t>Losses On Collection</t>
  </si>
  <si>
    <t>4. Write-offs charged to the allowance for non-collection</t>
  </si>
  <si>
    <t>5. (Less): any sums written off during year in excess of the allowance for non-collection</t>
  </si>
  <si>
    <t>6. Add/(Less): change in allowance for non collection</t>
  </si>
  <si>
    <t>Losses on Appeal</t>
  </si>
  <si>
    <t>7. Add: RV list amendments charged against the provision for appeals</t>
  </si>
  <si>
    <t>8. Add/(Less): changes in provision for appeals</t>
  </si>
  <si>
    <t xml:space="preserve">COLLECTIBLE RATES </t>
  </si>
  <si>
    <t>9. Net Rates payable less accounting adjustments</t>
  </si>
  <si>
    <t>PART 2A DESIGNATED AREAS</t>
  </si>
  <si>
    <t>Column 0</t>
  </si>
  <si>
    <t>9a. Net Rates Payable less accounting adjustments</t>
  </si>
  <si>
    <t>BA Area (Exc. Designated Areas)</t>
  </si>
  <si>
    <t>10. Renewable Energy</t>
  </si>
  <si>
    <t xml:space="preserve">11. Transitional Protection Payment </t>
  </si>
  <si>
    <t xml:space="preserve">12. Baseline </t>
  </si>
  <si>
    <t>Total Designated Area</t>
  </si>
  <si>
    <t>13. Total Disregarded Amounts</t>
  </si>
  <si>
    <t>14. Sums outstanding from ratepayers (debtors)</t>
  </si>
  <si>
    <t>15. Sums owed to ratepayers</t>
  </si>
  <si>
    <t xml:space="preserve"> 2014-15</t>
  </si>
  <si>
    <t>1. Revenue foregone in respect of 2014-15 liability</t>
  </si>
  <si>
    <t>2. Revenue foregone in respect of previous years' liability</t>
  </si>
  <si>
    <t>3. Additional income received in respect of 2014-15 liability</t>
  </si>
  <si>
    <t>4. Additional income received in respect of previous years' liability</t>
  </si>
  <si>
    <t>5. Net cost of transitional arrangments</t>
  </si>
  <si>
    <t>6. Amount of relief provided in 2014-15</t>
  </si>
  <si>
    <t xml:space="preserve">7. of which: relief on existing properties where a </t>
  </si>
  <si>
    <t>2nd property is occupied</t>
  </si>
  <si>
    <t xml:space="preserve">8. Adjustments to relief provided in respect of previous </t>
  </si>
  <si>
    <t>years</t>
  </si>
  <si>
    <t>9. of which: adjustments in respect of 2013-14</t>
  </si>
  <si>
    <t>10. Additional yield from the small business supplement in 2014-15</t>
  </si>
  <si>
    <t>11. Adjustments to the yield from the small business supplement in respect of previous years</t>
  </si>
  <si>
    <t>12. Amount of relief provided in 2014-15</t>
  </si>
  <si>
    <t>13. Adjustments to amount of relief provided in respect of previous years</t>
  </si>
  <si>
    <t>14. Amount of relief provided in 2014-15</t>
  </si>
  <si>
    <t>15. Adjustments to amount of relief provided in respect of previous years</t>
  </si>
  <si>
    <t>16. Amount of relief provided in 2014-15</t>
  </si>
  <si>
    <t>17. Adjustments to amount of relief provided in respect of previous years</t>
  </si>
  <si>
    <t>18. TOTAL MANDATORY RELIEFS</t>
  </si>
  <si>
    <t>19. Amount of relief provided in 2014-15</t>
  </si>
  <si>
    <t>21. Amount of relief provided in 2014-15</t>
  </si>
  <si>
    <t>23. TOTAL UNOCCUPIED PROPERTY "RELIEF"</t>
  </si>
  <si>
    <t>24. Amount of relief provided in 2014-15</t>
  </si>
  <si>
    <t>25. Adjustments to amount of relief provided in respect of previous years</t>
  </si>
  <si>
    <t>26. Amount of relief provided in 2014-15</t>
  </si>
  <si>
    <t>27. Adjustments to amount of relief provided in respect of previous years</t>
  </si>
  <si>
    <t>28. Amount of relief provided in 2014-15</t>
  </si>
  <si>
    <t>29. Adjustments to amount of relief provided in respect of previous years</t>
  </si>
  <si>
    <t>30. Amount of relief provided in 2014-15</t>
  </si>
  <si>
    <t>31. Adjustments to amount of relief provided in respect of previous years</t>
  </si>
  <si>
    <t>32. Amount of relief provided in 2014-15</t>
  </si>
  <si>
    <t>33. Adjustments to amount of relief provided in respect of previous years</t>
  </si>
  <si>
    <t>34. Amount of relief provided in 2014-15</t>
  </si>
  <si>
    <t>35. Adjustments to amount of relief provided in respect of previous years</t>
  </si>
  <si>
    <t>36. Relief given to Case A hereditaments</t>
  </si>
  <si>
    <t>37. Relief given to Case B hereditaments</t>
  </si>
  <si>
    <t>38. TOTAL DISCRETIONARY RELIEFS (UNFUNDED)</t>
  </si>
  <si>
    <t>39. Amount of relief provided in 2014-15</t>
  </si>
  <si>
    <t>40. Adjustments to amount of relief provided in</t>
  </si>
  <si>
    <t>respect of previous years</t>
  </si>
  <si>
    <t>"Long-term empty" properties</t>
  </si>
  <si>
    <t>41. Amount of relief provided in 2014-15</t>
  </si>
  <si>
    <t>Retail Relief</t>
  </si>
  <si>
    <t>42. Amount of relief provided in 2014-15</t>
  </si>
  <si>
    <t>43. Amount of "Flooding relief" provided in 2014-15</t>
  </si>
  <si>
    <t>44. Adjustments to amount of relief provided in</t>
  </si>
  <si>
    <t>45. TOTAL DISCRETIONARY RELIEF (FUNDED S.31)</t>
  </si>
  <si>
    <t>46. Amount of relief provided in 2014-15</t>
  </si>
  <si>
    <t>47. Adjustments to amount of relief provided in respect of previous years</t>
  </si>
  <si>
    <t>48. TOTAL HARDSHIP RELIEF</t>
  </si>
  <si>
    <t>RECONCILIATION</t>
  </si>
  <si>
    <t>Gross Rates Payable by Ratepayers</t>
  </si>
  <si>
    <t>(Less):</t>
  </si>
  <si>
    <t>Transitional Relief</t>
  </si>
  <si>
    <t>Mandatory Reliefs</t>
  </si>
  <si>
    <t>Unoccupied Property Relief</t>
  </si>
  <si>
    <t>Discretionary Reliefs (unfunded)</t>
  </si>
  <si>
    <t>Discretionary Reliefs (funded through S.31 grant)</t>
  </si>
  <si>
    <t>Hardship Relief</t>
  </si>
  <si>
    <t>Total Cost of Reliefs</t>
  </si>
  <si>
    <t>Net Rates Payable by Ratepayers</t>
  </si>
  <si>
    <t>BA Area (exc. Designated Areas)
(exc. NDD &amp; EZ)</t>
  </si>
  <si>
    <t>Check : to be hidden</t>
  </si>
  <si>
    <t xml:space="preserve"> 2014 -15</t>
  </si>
  <si>
    <t>PART 4A: TRANSITIONAL PROTECTION PAYMENTS</t>
  </si>
  <si>
    <t>1. Transitional protection payment due to (+) / from (-) the authority for 2014-15</t>
  </si>
  <si>
    <t>2. Payment on account received by authority (+), or paid by the authority (-) (based on NNDR1 2014-15)</t>
  </si>
  <si>
    <t xml:space="preserve">3. Sum due to (+) / from (-) authority (line 1 minus line 2) </t>
  </si>
  <si>
    <t>% of non-domestic rating income to be allocated to each authority</t>
  </si>
  <si>
    <t>4. Amount to be retained by billing authority in 2014-15</t>
  </si>
  <si>
    <t>5. Amount previously retained (based on NNDR1)</t>
  </si>
  <si>
    <t>6. Sum due to (+) / from (-) billing authority (line 4 minus line 5)</t>
  </si>
  <si>
    <t>7. Amount to be retained by billing authority in 2014-15</t>
  </si>
  <si>
    <t>8. Amount previously retained (based on NNDR1)</t>
  </si>
  <si>
    <t>9. Sum due to (+) / from (-) billing authority (line 7 minus line 8)</t>
  </si>
  <si>
    <t>10. Amount to be retained by authority in 2014-15</t>
  </si>
  <si>
    <t>11. Amount previously retained (based on NNDR1)</t>
  </si>
  <si>
    <t>12. Sum due to (+) / from (-) authority (line 10 minus line 11)</t>
  </si>
  <si>
    <t>13. Amount deducted from central share and retained by authorities</t>
  </si>
  <si>
    <t>14. Amount deducted/retained (based on NNDR1)</t>
  </si>
  <si>
    <t>15. Sum due to (+) / from (-) authority (line 13 minus line 14)</t>
  </si>
  <si>
    <t>16. Amount due to authority in 2014-15 as a result of doubling SBRR</t>
  </si>
  <si>
    <t>17. Amount provisionally paid (based on NNDR1 2014-15 [Part 1C])</t>
  </si>
  <si>
    <t>18. Sum due to (+) / from (-) authority (line 16 minus line 17)</t>
  </si>
  <si>
    <t>Small Business Rates Relief on existing property where 2nd property is occupied</t>
  </si>
  <si>
    <t>19. Amount due to authority in 2014-15 in respect of discretionary relief given to ratepayers</t>
  </si>
  <si>
    <t>20. Amount provisionally paid (based on NNDR1 2014-15 [Part 1C])</t>
  </si>
  <si>
    <t>21. Sum due to (+) / from (-) authority (line 19 minus line 20)</t>
  </si>
  <si>
    <t>22. Amount due to authority in 2014-15 in respect of discretionary relief given to ratepayers</t>
  </si>
  <si>
    <t>23. Amount provisionally paid (based on NNDR1 2014-15 [Part 1C])</t>
  </si>
  <si>
    <t>24. Sum due to (+) / from (-) authority (line 22 minus line 23)</t>
  </si>
  <si>
    <t>"Long term empty" properties</t>
  </si>
  <si>
    <t>25. Amount due to authority in 2014-15 in respect of discretionary relief given to ratepayers</t>
  </si>
  <si>
    <t>26. Amount provisionally paid (based on NNDR1 2014-15 [Part 1C])</t>
  </si>
  <si>
    <t>27. Sum due to (+) / from (-) authority (line 25 minus line 26)</t>
  </si>
  <si>
    <t>28. Amount due to authority in 2014-15 in respect of discretionary relief given to ratepayers</t>
  </si>
  <si>
    <t>29. Amount provisionally paid (based on NNDR1 2014-15 [Part 1C])</t>
  </si>
  <si>
    <t>30. Sum due to (+) / from (-) authority (line 28 minus line 29)</t>
  </si>
  <si>
    <t>Flooding Relief</t>
  </si>
  <si>
    <t xml:space="preserve">31. Amount due to authority in 2013-14 in respect of discretionary relief given to ratepayers </t>
  </si>
  <si>
    <t>32. Amount due to billing authority in 2014-15 in respect of discretionary relief given to ratepayers</t>
  </si>
  <si>
    <t>33. Amount provisionally paid (based on grant determination)</t>
  </si>
  <si>
    <t>34. Sum due to (+) / from (-) authority (line 31 plus 32 minus line 33)</t>
  </si>
  <si>
    <t>2014-15 Multiplier Cap</t>
  </si>
  <si>
    <t>35. Amount due to authority in 2014-15 in respect of multiplier cap</t>
  </si>
  <si>
    <t>36. Amount provisionally paid (based on NNDR1 2014-15 [Part 1C])</t>
  </si>
  <si>
    <t>37. Sum due to (+) / from (-) billing authority (line 35 minus line 36)</t>
  </si>
  <si>
    <t>Non-Domestic Rating Income for 2014-15</t>
  </si>
  <si>
    <t xml:space="preserve">TOTAL: </t>
  </si>
  <si>
    <t>Other Income for 2014-15</t>
  </si>
  <si>
    <t xml:space="preserve">5. add: amounts retained in respect of Designated Areas </t>
  </si>
  <si>
    <t xml:space="preserve">6. add: amounts retained in respect of renewable energy schemes </t>
  </si>
  <si>
    <t>7. add: qualifying relief in Enterprise Zones</t>
  </si>
  <si>
    <t>8. Sums outstanding from ratepayers</t>
  </si>
  <si>
    <t>9. Sums oustanding owed to ratepayers</t>
  </si>
  <si>
    <t>Allowance for non-collection</t>
  </si>
  <si>
    <t>10. Opening balance as at 1 April 2014</t>
  </si>
  <si>
    <t>11. Amounts charged to allowances</t>
  </si>
  <si>
    <t>12. Change in allowance (charged to Collection Fund)</t>
  </si>
  <si>
    <t>13. Closing balance on 31 March 2015</t>
  </si>
  <si>
    <t>14. Opening balance as at 1 April 2014</t>
  </si>
  <si>
    <t>15. Amounts charged to provision</t>
  </si>
  <si>
    <t>16. Change in provision (charged to Collection Fund)</t>
  </si>
  <si>
    <t>17. Closing balance on 31 March 2015</t>
  </si>
  <si>
    <t>Amounts retained in respect of DAs</t>
  </si>
  <si>
    <t>Amounts retained in respect of RES</t>
  </si>
  <si>
    <t>Interest</t>
  </si>
  <si>
    <t>Deferrals</t>
  </si>
  <si>
    <t xml:space="preserve">Losses On Collection-Write-offs </t>
  </si>
  <si>
    <t>Losses On Collection-(Less): any sums</t>
  </si>
  <si>
    <t>Losses On Collection-Add/(Less): allowance</t>
  </si>
  <si>
    <t>Losses on Appeal- Add: RV list appeals</t>
  </si>
  <si>
    <t>Losses on Appeal-Add/(Less): appeals</t>
  </si>
  <si>
    <t>Collectable Rates- Net Rates payable</t>
  </si>
  <si>
    <t>Collectable Rates- Net Rates payable DA</t>
  </si>
  <si>
    <t>Disrergarded Amounts -  RE</t>
  </si>
  <si>
    <t>Disrergarded Amount -Transitional Payment</t>
  </si>
  <si>
    <t>Debtors and Pre-Payments - outstanding</t>
  </si>
  <si>
    <t>Transitional Arrangements - Revenue</t>
  </si>
  <si>
    <t>Revenue foregone of previous years</t>
  </si>
  <si>
    <t xml:space="preserve">Additional income received in 2014-15 </t>
  </si>
  <si>
    <t>Additional income received in previous years</t>
  </si>
  <si>
    <t>Net cost of transitional arrangments</t>
  </si>
  <si>
    <t>MR - SBRR-Amount of relief provided</t>
  </si>
  <si>
    <t xml:space="preserve">of which: relief on second property is occupied               </t>
  </si>
  <si>
    <t>MR - SBRR - Adjustments in previous years</t>
  </si>
  <si>
    <t xml:space="preserve"> of which: adjustments in respect of 2013-14</t>
  </si>
  <si>
    <t>MR-SBRR- Small business supplement in 2014-15</t>
  </si>
  <si>
    <t>Mandatory Reliefs - Small Business Rate Relief - Adjustments yield from the small business supplement in respect of previous years</t>
  </si>
  <si>
    <t>Mandatory Reliefs - Charitable occupation - Amount of relief provided in 2014-15</t>
  </si>
  <si>
    <t>Mandatory Reliefs - Community Amateur Sports Clubs - Amount of relief provided in 2014-15</t>
  </si>
  <si>
    <t>Mandatory Reliefs - Rural rate relief -  Amount of relief provided in 2014-15</t>
  </si>
  <si>
    <t>TOTAL MANDATORY RELIEFS</t>
  </si>
  <si>
    <t xml:space="preserve">Mandatory Reliefs - Partially occupied hereditaments -  Amount of relief provided in 2014-15                  </t>
  </si>
  <si>
    <t>Mandatory Reliefs - Empty premises -  Amount of relief provided in 2015-16</t>
  </si>
  <si>
    <t>TOTAL UNOCCUPIED PROPERTY RELIEF</t>
  </si>
  <si>
    <t>Discretionary Reliefs - Charitable occupation -  Amount of relief provided in 2014-15</t>
  </si>
  <si>
    <t>Discretionary Reliefs - Non-profit making bodies - Amount of relief provided in 2014-15</t>
  </si>
  <si>
    <t>Discretionary Reliefs - Community Amateur Sports Clubs - Amount of relief provided in 2014-15</t>
  </si>
  <si>
    <t>Discretionary Reliefs - Rural shops - Amount of relief provided in 2014-15</t>
  </si>
  <si>
    <t>Small rural businesses - Amount of relief provided in 2014-15</t>
  </si>
  <si>
    <t>Other ratepayers - Amount of relief provided in 2014-15</t>
  </si>
  <si>
    <t xml:space="preserve">Relief given to Case B hereditaments </t>
  </si>
  <si>
    <t>TOTAL DISCRETIONARY RELIEFS (UNFUNDED)</t>
  </si>
  <si>
    <t>New Empty properties -  Amount of relief provided in 2014-15</t>
  </si>
  <si>
    <t>Adjustments to amount of relief provided in respect of previous years</t>
  </si>
  <si>
    <t xml:space="preserve">Long-term empty properties Amount of relief provided in 2014-15                      </t>
  </si>
  <si>
    <t>Retail Relief Amount of relief provided in 2014-15</t>
  </si>
  <si>
    <t>Flooding relief -  Amount of Flooding relief provided in 2014-15</t>
  </si>
  <si>
    <t xml:space="preserve"> Adjustments to amount of relief provided in respect of previous years</t>
  </si>
  <si>
    <t xml:space="preserve">TOTAL DISCRETIONARY RELIEF (FUNDED S.31) </t>
  </si>
  <si>
    <t xml:space="preserve">Hardship Relief - Amount of relief provided in 2014-15                 </t>
  </si>
  <si>
    <t>TOTAL HARDSHIP RELIEF</t>
  </si>
  <si>
    <t xml:space="preserve">Gross Rates Payable by Ratepayers </t>
  </si>
  <si>
    <t>(Less):Transitional Relief</t>
  </si>
  <si>
    <t>(Less):Mandatory Reliefs</t>
  </si>
  <si>
    <t>(Less):Unoccupied Property Relief</t>
  </si>
  <si>
    <t>(Less):Discretionary Reliefs (unfunded)</t>
  </si>
  <si>
    <t>(Less):Discretionary Reliefs (funded through S.31 grant)</t>
  </si>
  <si>
    <t>(Less):Hardship Relief</t>
  </si>
  <si>
    <t xml:space="preserve">Net Rates Payable by Ratepayers </t>
  </si>
  <si>
    <t>Transitional protection payment due to (+) / from (-) the authority for 2014-15</t>
  </si>
  <si>
    <t>Payment on account received by authority based on NNDR1 2014-15</t>
  </si>
  <si>
    <t>RECONCILIATIONS-% of non-domestic rating income to be allocated to each authority</t>
  </si>
  <si>
    <t>Cost of collection- Amount to be retained by billing authority in 2014-15</t>
  </si>
  <si>
    <t>Cost of collection - Amount previously retained (based on NNDR1)</t>
  </si>
  <si>
    <t>Cost of collection -  Sum due to (+) / from (-) billing authority</t>
  </si>
  <si>
    <t>Designated Areas- Amount to be retained by billing authority in 2014-15</t>
  </si>
  <si>
    <t>Designated Areas- Amount previously retained (based on NNDR1)</t>
  </si>
  <si>
    <t>Designated Areas- Sum due to (+) / from (-) billing authority</t>
  </si>
  <si>
    <t>Renewable Energy Schemes- Amount to be retained by authority in 2014-15</t>
  </si>
  <si>
    <t>Renewable Energy Schemes- Amount previously retained (based on NNDR1)</t>
  </si>
  <si>
    <t>Renewable Energy Schemes- Sum due to (+) / from (-) authority</t>
  </si>
  <si>
    <t>Qualifying relief in Enterprise Zones- Amount deducted from central share &amp; retained by auth</t>
  </si>
  <si>
    <t>Qualifying relief in Enterprise Zones- Amount deducted/retained (based on NNDR1)</t>
  </si>
  <si>
    <t>Qualifying relief in Enterprise Zones- Sum due to (+) / from (-) authority</t>
  </si>
  <si>
    <t>SECTION 31 GRANTS- Amount due to authority in 2014-15 as a result of doubling SBRR</t>
  </si>
  <si>
    <t>SECTION 31 GRANTS-  SBRR- Amount provisionally paid (based on NNDR1 2014-15</t>
  </si>
  <si>
    <t>SECTION 31 GRANTS-  SBRR- Sum due to (+) / from (-) authority</t>
  </si>
  <si>
    <t xml:space="preserve">SBRR on existing property where 2nd property is occupied- due to authority in 2014-15 </t>
  </si>
  <si>
    <t>SBRR on existing property where 2nd property is occupied- Amount provisionally paid (based on NNDR1 2014-15)</t>
  </si>
  <si>
    <t>SBRR on existing property where 2nd property is occupied- Sum due to (+) / from (-) auth</t>
  </si>
  <si>
    <t>New Empty properties- Amount due to authority in 2014-15</t>
  </si>
  <si>
    <t>New Empty properties-  Amount provisionally paid (based on NNDR1 2014-15)</t>
  </si>
  <si>
    <t>New Empty properties- Sum due to (+) / from (-) authority</t>
  </si>
  <si>
    <t>Long term empty properties- Amount due to authority in 2014-15</t>
  </si>
  <si>
    <t>Long term empty properties- Amount provisionally paid (based on NNDR1 2014-15)</t>
  </si>
  <si>
    <t xml:space="preserve">Long term empty properties- Sum due to (+) / from (-) authority </t>
  </si>
  <si>
    <t>Retail Relief- Amount due to authority in 2014-15</t>
  </si>
  <si>
    <t>Retail Relief- Amount provisionally paid (based on NNDR1 2014-15)</t>
  </si>
  <si>
    <t>Retail Relief- Sum due to (+) / from (-) authority</t>
  </si>
  <si>
    <t xml:space="preserve">Flooding Relief- Amount due to authority in 2013-14 </t>
  </si>
  <si>
    <t>Flooding Relief- Amount due to billing authority in 2014-15</t>
  </si>
  <si>
    <t>Flooding Relief- Amount provisionally paid (based on grant determination)</t>
  </si>
  <si>
    <t>Flooding Relief-  Sum due to (+) / from (-) authority</t>
  </si>
  <si>
    <t>2014-15 Multiplier Cap-  Amount due to authority in 2014-15</t>
  </si>
  <si>
    <t>2014-15 Multiplier Cap-  Amount provisionally paid (based on NNDR1 2014-15)</t>
  </si>
  <si>
    <t>2014-15 Multiplier Cap-  Sum due to (+) / from (-) billing authority</t>
  </si>
  <si>
    <t xml:space="preserve">Non-Domestic Rating Income for 2014-15 - % of non-domestic rating income to be allocated to each authority                 </t>
  </si>
  <si>
    <t xml:space="preserve">Non-Domestic Rating Income for 2014-15 -  from rates retention scheme                                  </t>
  </si>
  <si>
    <t xml:space="preserve">Non-Domestic Rating Income for 2014-15 - less qualifying relief in Enterprise Zones                                    </t>
  </si>
  <si>
    <t xml:space="preserve">Non-Domestic Rating Income for 2014-15 - Total                                 </t>
  </si>
  <si>
    <t xml:space="preserve">Other Income for 2014-15 - add: amounts retained in respect of Designated Areas </t>
  </si>
  <si>
    <t xml:space="preserve">Other Income for 2014-15 - add: amounts retained in respect of renewable energy schemes </t>
  </si>
  <si>
    <t>Allowance for non collection - Opening balance as at 1 April 2014</t>
  </si>
  <si>
    <t>Allowance for non collection - Change in allowance</t>
  </si>
  <si>
    <t>Allowance for non collection - Change in allowance (charged to Collection Fund)</t>
  </si>
  <si>
    <t>Allowance for non collection - Closing balance on 31 March 2015</t>
  </si>
  <si>
    <t>Appeal adjustment - Opening balance as at 1 April 2014</t>
  </si>
  <si>
    <t>Appeal adjustment - Amounts charged to provision</t>
  </si>
  <si>
    <t>Appeal adjustment -Change in provision (charged to Collection Fund)</t>
  </si>
  <si>
    <t>Appeal adjustment - Closing balance on 31 March 2015</t>
  </si>
  <si>
    <t>Authority Name</t>
  </si>
  <si>
    <t>County (if applicable)</t>
  </si>
  <si>
    <t>Fire Authority (if applicable)</t>
  </si>
  <si>
    <t xml:space="preserve">   </t>
  </si>
  <si>
    <t>-</t>
  </si>
  <si>
    <t xml:space="preserve">COST OF COLLECTION </t>
  </si>
  <si>
    <t xml:space="preserve">9. Amounts retained in respect of Renewable Energy Schemes
</t>
  </si>
  <si>
    <r>
      <t>DISRERGARDED AMOUNTS</t>
    </r>
    <r>
      <rPr>
        <sz val="12"/>
        <rFont val="Arial"/>
        <family val="2"/>
      </rPr>
      <t xml:space="preserve"> </t>
    </r>
  </si>
  <si>
    <r>
      <t>DEBTORS AND PRE-PAYMENTS</t>
    </r>
    <r>
      <rPr>
        <sz val="12"/>
        <rFont val="Arial"/>
        <family val="2"/>
      </rPr>
      <t xml:space="preserve"> </t>
    </r>
  </si>
  <si>
    <t xml:space="preserve">TRANSITIONAL ARRANGEMENTS </t>
  </si>
  <si>
    <r>
      <t>MANDATORY RELIEFS</t>
    </r>
    <r>
      <rPr>
        <sz val="12"/>
        <rFont val="Arial"/>
        <family val="2"/>
      </rPr>
      <t xml:space="preserve"> </t>
    </r>
  </si>
  <si>
    <t xml:space="preserve">DISCRETIONARY RELIEFS (UNFUNDED) </t>
  </si>
  <si>
    <t xml:space="preserve">DISCRETIONARY RELIEFS FUNDED THROUGH SECTION 31 GRANT </t>
  </si>
  <si>
    <r>
      <t>UNOCCUPIED PROPERTY</t>
    </r>
    <r>
      <rPr>
        <sz val="12"/>
        <rFont val="Arial"/>
        <family val="2"/>
      </rPr>
      <t xml:space="preserve"> </t>
    </r>
  </si>
  <si>
    <t>Qualifying relief in Enterprise Zones</t>
  </si>
  <si>
    <r>
      <t>PART 4B: RECONCILIATIONS</t>
    </r>
    <r>
      <rPr>
        <sz val="12"/>
        <rFont val="Arial"/>
        <family val="2"/>
      </rPr>
      <t xml:space="preserve"> </t>
    </r>
  </si>
  <si>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</si>
  <si>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</si>
  <si>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</si>
  <si>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</si>
  <si>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</si>
  <si>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</si>
  <si>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</si>
  <si>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</si>
  <si>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</si>
  <si>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</si>
  <si>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</si>
  <si>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</si>
  <si>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</si>
  <si>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</si>
  <si>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</si>
  <si>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</si>
  <si>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</si>
  <si>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</si>
  <si>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</si>
  <si>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</si>
  <si>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</si>
  <si>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</si>
  <si>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Manchester Airport City</t>
  </si>
  <si>
    <t>NE Newcastle</t>
  </si>
  <si>
    <t>Royal Docks</t>
  </si>
  <si>
    <t>North East</t>
  </si>
  <si>
    <t>Waterside</t>
  </si>
  <si>
    <t xml:space="preserve">North East </t>
  </si>
  <si>
    <t>Nottingham City</t>
  </si>
  <si>
    <t>Development  Area</t>
  </si>
  <si>
    <t>Black Country</t>
  </si>
  <si>
    <t>Manchester City Airport</t>
  </si>
  <si>
    <t>Science Vale UK</t>
  </si>
  <si>
    <t>Designated Area 1 (if applicable)</t>
  </si>
  <si>
    <t>Designated Area 2 (if applicable)</t>
  </si>
  <si>
    <t xml:space="preserve">    </t>
  </si>
  <si>
    <t>Total Designated Areas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</si>
</sst>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00"/>
    <numFmt numFmtId="165" formatCode="_-* #,##0_-;\-* #,##0_-;_-* &quot;-&quot;??_-;_-@_-"/>
    <numFmt numFmtId="166" formatCode="#,##0.000000000000000"/>
    <numFmt numFmtId="167" formatCode="dd/mm/yy;@"/>
    <numFmt numFmtId="168" formatCode="0_)"/>
    <numFmt numFmtId="169" formatCode="#,##0.0"/>
    <numFmt numFmtId="170" formatCode="_-* #,##0.0_-;\-* #,##0.0_-;_-* &quot;-&quot;??_-;_-@_-"/>
    <numFmt numFmtId="171" formatCode="_(* #,##0.00_);_(* \(#,##0.00\);_(* &quot;-&quot;??_);_(@_)"/>
  </numFmts>
  <fonts count="68" x14ac:knownFonts="1">
    <font>
      <sz val="10"/>
      <name val="Arial"/>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sz val="12"/>
      <name val="Arial"/>
      <family val="2"/>
    </font>
    <font>
      <sz val="12"/>
      <color indexed="17"/>
      <name val="Arial"/>
      <family val="2"/>
    </font>
    <font>
      <sz val="12"/>
      <name val="Arial"/>
      <family val="2"/>
    </font>
    <font>
      <sz val="12"/>
      <color indexed="6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sz val="12"/>
      <color indexed="44"/>
      <name val="Arial"/>
      <family val="2"/>
    </font>
    <font>
      <sz val="12"/>
      <color indexed="10"/>
      <name val="Arial"/>
      <family val="2"/>
    </font>
    <font>
      <b/>
      <sz val="12"/>
      <color indexed="10"/>
      <name val="Arial"/>
      <family val="2"/>
    </font>
    <font>
      <b/>
      <sz val="10"/>
      <name val="Arial"/>
      <family val="2"/>
    </font>
    <font>
      <b/>
      <u/>
      <sz val="10"/>
      <name val="Arial"/>
      <family val="2"/>
    </font>
    <font>
      <sz val="10"/>
      <name val="Arial"/>
      <family val="2"/>
    </font>
    <font>
      <sz val="12"/>
      <color indexed="9"/>
      <name val="Arial"/>
      <family val="2"/>
    </font>
    <font>
      <sz val="8"/>
      <name val="Arial"/>
      <family val="2"/>
    </font>
    <font>
      <b/>
      <sz val="16"/>
      <name val="Arial"/>
      <family val="2"/>
    </font>
    <font>
      <b/>
      <sz val="12"/>
      <color rgb="FFFF0000"/>
      <name val="Arial"/>
      <family val="2"/>
    </font>
    <font>
      <sz val="10"/>
      <name val="Courier"/>
      <family val="3"/>
    </font>
    <font>
      <sz val="10"/>
      <color indexed="8"/>
      <name val="Arial"/>
      <family val="2"/>
    </font>
    <font>
      <b/>
      <sz val="11"/>
      <color rgb="FFFF0000"/>
      <name val="Arial"/>
      <family val="2"/>
    </font>
    <font>
      <i/>
      <sz val="12"/>
      <name val="Arial"/>
      <family val="2"/>
    </font>
    <font>
      <b/>
      <sz val="14"/>
      <color rgb="FFFF0000"/>
      <name val="Arial"/>
      <family val="2"/>
    </font>
    <font>
      <sz val="12"/>
      <color rgb="FFFF0000"/>
      <name val="Arial"/>
      <family val="2"/>
    </font>
    <font>
      <i/>
      <sz val="12"/>
      <color rgb="FFFF0000"/>
      <name val="Arial"/>
      <family val="2"/>
    </font>
    <font>
      <u/>
      <sz val="10"/>
      <color theme="10"/>
      <name val="Arial"/>
      <family val="2"/>
    </font>
    <font>
      <u/>
      <sz val="10"/>
      <color indexed="12"/>
      <name val="Arial"/>
      <family val="2"/>
    </font>
    <font>
      <sz val="11"/>
      <color theme="1"/>
      <name val="Calibri"/>
      <family val="2"/>
      <scheme val="minor"/>
    </font>
    <font>
      <sz val="10"/>
      <color theme="1"/>
      <name val="Arial"/>
      <family val="2"/>
    </font>
    <font>
      <b/>
      <sz val="12"/>
      <color theme="1"/>
      <name val="Arial"/>
      <family val="2"/>
    </font>
    <font>
      <sz val="11"/>
      <color theme="1"/>
      <name val="Arial"/>
      <family val="2"/>
    </font>
    <font>
      <b/>
      <sz val="11"/>
      <color theme="1"/>
      <name val="Arial"/>
      <family val="2"/>
    </font>
    <font>
      <b/>
      <sz val="10"/>
      <color rgb="FFFF0000"/>
      <name val="Arial"/>
      <family val="2"/>
    </font>
    <font>
      <sz val="11"/>
      <color theme="0" tint="-0.34998626667073579"/>
      <name val="Calibri"/>
      <family val="2"/>
    </font>
    <font>
      <sz val="10"/>
      <color theme="0" tint="-0.34998626667073579"/>
      <name val="Arial"/>
      <family val="2"/>
    </font>
    <font>
      <sz val="10"/>
      <color rgb="FFFF0000"/>
      <name val="Arial"/>
      <family val="2"/>
    </font>
    <font>
      <sz val="9"/>
      <name val="Arial"/>
      <family val="2"/>
    </font>
    <font>
      <b/>
      <sz val="9"/>
      <name val="Arial"/>
      <family val="2"/>
    </font>
    <font>
      <b/>
      <u/>
      <sz val="16"/>
      <name val="Arial"/>
      <family val="2"/>
    </font>
    <font>
      <sz val="16"/>
      <name val="Arial"/>
      <family val="2"/>
    </font>
    <font>
      <sz val="12"/>
      <color theme="0"/>
      <name val="Arial"/>
      <family val="2"/>
    </font>
    <font>
      <sz val="10"/>
      <color theme="0"/>
      <name val="Arial"/>
      <family val="2"/>
    </font>
    <font>
      <sz val="11"/>
      <color theme="0"/>
      <name val="Calibri"/>
      <family val="2"/>
    </font>
    <font>
      <sz val="11"/>
      <color theme="1"/>
      <name val="Calibri"/>
      <family val="2"/>
    </font>
    <font>
      <i/>
      <sz val="11"/>
      <color rgb="FFFF0000"/>
      <name val="Calibri"/>
      <family val="2"/>
    </font>
    <font>
      <sz val="10"/>
      <name val="Arial"/>
      <family val="2"/>
    </font>
    <font>
      <b/>
      <sz val="11"/>
      <color theme="0"/>
      <name val="Calibri"/>
      <family val="2"/>
    </font>
  </fonts>
  <fills count="32">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43"/>
        <bgColor indexed="64"/>
      </patternFill>
    </fill>
    <fill>
      <patternFill patternType="solid">
        <fgColor rgb="FFFFFFCC"/>
        <bgColor indexed="64"/>
      </patternFill>
    </fill>
    <fill>
      <patternFill patternType="solid">
        <fgColor theme="0"/>
        <bgColor indexed="64"/>
      </patternFill>
    </fill>
    <fill>
      <patternFill patternType="solid">
        <fgColor theme="6" tint="0.39994506668294322"/>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rgb="FFFFFF00"/>
        <bgColor indexed="64"/>
      </patternFill>
    </fill>
    <fill>
      <patternFill patternType="solid">
        <fgColor rgb="FF99CCFF"/>
        <bgColor indexed="64"/>
      </patternFill>
    </fill>
    <fill>
      <patternFill patternType="solid">
        <fgColor rgb="FFC4D79B"/>
        <bgColor indexed="64"/>
      </patternFill>
    </fill>
    <fill>
      <patternFill patternType="solid">
        <fgColor rgb="FFB7DEE8"/>
        <bgColor indexed="64"/>
      </patternFill>
    </fill>
  </fills>
  <borders count="93">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medium">
        <color theme="9" tint="-0.24994659260841701"/>
      </top>
      <bottom/>
      <diagonal/>
    </border>
    <border>
      <left/>
      <right/>
      <top/>
      <bottom style="medium">
        <color theme="9"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medium">
        <color indexed="64"/>
      </bottom>
      <diagonal/>
    </border>
    <border>
      <left style="medium">
        <color indexed="53"/>
      </left>
      <right/>
      <top/>
      <bottom/>
      <diagonal/>
    </border>
    <border>
      <left/>
      <right style="medium">
        <color indexed="53"/>
      </right>
      <top/>
      <bottom/>
      <diagonal/>
    </border>
    <border>
      <left style="medium">
        <color theme="9" tint="-0.24994659260841701"/>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style="medium">
        <color theme="9" tint="-0.24994659260841701"/>
      </right>
      <top/>
      <bottom style="medium">
        <color theme="9" tint="-0.24994659260841701"/>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right/>
      <top style="medium">
        <color theme="4"/>
      </top>
      <bottom/>
      <diagonal/>
    </border>
    <border>
      <left/>
      <right/>
      <top/>
      <bottom style="medium">
        <color theme="4"/>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indexed="17"/>
      </left>
      <right/>
      <top/>
      <bottom/>
      <diagonal/>
    </border>
    <border>
      <left/>
      <right style="medium">
        <color indexed="17"/>
      </right>
      <top/>
      <bottom/>
      <diagonal/>
    </border>
    <border>
      <left/>
      <right/>
      <top style="medium">
        <color indexed="17"/>
      </top>
      <bottom style="medium">
        <color indexed="1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auto="1"/>
      </left>
      <right style="thick">
        <color auto="1"/>
      </right>
      <top style="thick">
        <color auto="1"/>
      </top>
      <bottom/>
      <diagonal/>
    </border>
    <border>
      <left style="medium">
        <color indexed="64"/>
      </left>
      <right style="medium">
        <color indexed="64"/>
      </right>
      <top style="medium">
        <color indexed="64"/>
      </top>
      <bottom/>
      <diagonal/>
    </border>
    <border>
      <left style="medium">
        <color indexed="53"/>
      </left>
      <right/>
      <top style="medium">
        <color indexed="53"/>
      </top>
      <bottom/>
      <diagonal/>
    </border>
    <border>
      <left/>
      <right/>
      <top style="medium">
        <color indexed="53"/>
      </top>
      <bottom/>
      <diagonal/>
    </border>
    <border>
      <left/>
      <right style="medium">
        <color indexed="53"/>
      </right>
      <top style="medium">
        <color indexed="53"/>
      </top>
      <bottom/>
      <diagonal/>
    </border>
    <border>
      <left style="medium">
        <color indexed="53"/>
      </left>
      <right/>
      <top style="medium">
        <color indexed="53"/>
      </top>
      <bottom/>
      <diagonal/>
    </border>
    <border>
      <left/>
      <right/>
      <top style="medium">
        <color indexed="53"/>
      </top>
      <bottom/>
      <diagonal/>
    </border>
    <border>
      <left/>
      <right style="medium">
        <color indexed="53"/>
      </right>
      <top style="medium">
        <color indexed="53"/>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auto="1"/>
      </left>
      <right style="thick">
        <color auto="1"/>
      </right>
      <top/>
      <bottom/>
      <diagonal/>
    </border>
    <border>
      <left style="thick">
        <color auto="1"/>
      </left>
      <right style="thick">
        <color auto="1"/>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style="medium">
        <color indexed="64"/>
      </right>
      <top/>
      <bottom/>
      <diagonal/>
    </border>
  </borders>
  <cellStyleXfs count="5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3"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6" borderId="0" applyNumberFormat="0" applyBorder="0" applyAlignment="0" applyProtection="0"/>
    <xf numFmtId="0" fontId="11" fillId="4" borderId="0" applyNumberFormat="0" applyBorder="0" applyAlignment="0" applyProtection="0"/>
    <xf numFmtId="0" fontId="12" fillId="6"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6" borderId="0" applyNumberFormat="0" applyBorder="0" applyAlignment="0" applyProtection="0"/>
    <xf numFmtId="0" fontId="12" fillId="3" borderId="0" applyNumberFormat="0" applyBorder="0" applyAlignment="0" applyProtection="0"/>
    <xf numFmtId="0" fontId="12" fillId="11"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4" fillId="16" borderId="1" applyNumberFormat="0" applyAlignment="0" applyProtection="0"/>
    <xf numFmtId="3" fontId="4" fillId="17" borderId="2">
      <alignment horizontal="right"/>
    </xf>
    <xf numFmtId="3" fontId="3" fillId="17" borderId="3">
      <alignment horizontal="right"/>
    </xf>
    <xf numFmtId="3" fontId="4" fillId="17" borderId="3">
      <alignment horizontal="right"/>
    </xf>
    <xf numFmtId="0" fontId="15" fillId="18" borderId="4" applyNumberFormat="0" applyAlignment="0" applyProtection="0"/>
    <xf numFmtId="43" fontId="2" fillId="0" borderId="0" applyFont="0" applyFill="0" applyBorder="0" applyAlignment="0" applyProtection="0"/>
    <xf numFmtId="0" fontId="16" fillId="0" borderId="0" applyNumberFormat="0" applyFill="0" applyBorder="0" applyAlignment="0" applyProtection="0"/>
    <xf numFmtId="0" fontId="17" fillId="6"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1" fillId="7" borderId="1" applyNumberFormat="0" applyAlignment="0" applyProtection="0"/>
    <xf numFmtId="0" fontId="22" fillId="0" borderId="8" applyNumberFormat="0" applyFill="0" applyAlignment="0" applyProtection="0"/>
    <xf numFmtId="0" fontId="23" fillId="7" borderId="0" applyNumberFormat="0" applyBorder="0" applyAlignment="0" applyProtection="0"/>
    <xf numFmtId="0" fontId="2" fillId="4" borderId="9" applyNumberFormat="0" applyFont="0" applyAlignment="0" applyProtection="0"/>
    <xf numFmtId="0" fontId="24" fillId="16" borderId="10" applyNumberFormat="0" applyAlignment="0" applyProtection="0"/>
    <xf numFmtId="0" fontId="25" fillId="0" borderId="0" applyNumberFormat="0" applyFill="0" applyBorder="0" applyAlignment="0" applyProtection="0"/>
    <xf numFmtId="0" fontId="26" fillId="0" borderId="11" applyNumberFormat="0" applyFill="0" applyAlignment="0" applyProtection="0"/>
    <xf numFmtId="0" fontId="22" fillId="0" borderId="0" applyNumberFormat="0" applyFill="0" applyBorder="0" applyAlignment="0" applyProtection="0"/>
    <xf numFmtId="168" fontId="39" fillId="0" borderId="0"/>
    <xf numFmtId="0" fontId="2" fillId="0" borderId="0"/>
    <xf numFmtId="3" fontId="2" fillId="17" borderId="2">
      <alignment horizontal="right"/>
    </xf>
    <xf numFmtId="3" fontId="2" fillId="17" borderId="3">
      <alignment horizontal="right"/>
    </xf>
    <xf numFmtId="171" fontId="2" fillId="0" borderId="0" applyFont="0" applyFill="0" applyBorder="0" applyAlignment="0" applyProtection="0"/>
    <xf numFmtId="171" fontId="2" fillId="0" borderId="0" applyFon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alignment vertical="top"/>
      <protection locked="0"/>
    </xf>
    <xf numFmtId="0" fontId="2" fillId="0" borderId="0"/>
    <xf numFmtId="0" fontId="48" fillId="0" borderId="0"/>
    <xf numFmtId="9" fontId="2" fillId="0" borderId="0" applyFont="0" applyFill="0" applyBorder="0" applyAlignment="0" applyProtection="0"/>
    <xf numFmtId="9" fontId="66" fillId="0" borderId="0" applyFont="0" applyFill="0" applyBorder="0" applyAlignment="0" applyProtection="0"/>
  </cellStyleXfs>
  <cellXfs count="755">
    <xf numFmtId="0" fontId="0" fillId="0" borderId="0" xfId="0"/>
    <xf numFmtId="0" fontId="0" fillId="19" borderId="0" xfId="0" applyFill="1" applyBorder="1" applyAlignment="1">
      <alignment horizontal="center"/>
    </xf>
    <xf numFmtId="0" fontId="0" fillId="19" borderId="0" xfId="0" applyFill="1" applyBorder="1"/>
    <xf numFmtId="0" fontId="3" fillId="19" borderId="0" xfId="0" applyFont="1" applyFill="1" applyBorder="1" applyAlignment="1">
      <alignment horizontal="center"/>
    </xf>
    <xf numFmtId="0" fontId="6" fillId="17" borderId="0" xfId="0" applyFont="1" applyFill="1" applyBorder="1"/>
    <xf numFmtId="0" fontId="6" fillId="0" borderId="0" xfId="0" applyFont="1"/>
    <xf numFmtId="0" fontId="6" fillId="19" borderId="0" xfId="0" applyFont="1" applyFill="1" applyBorder="1"/>
    <xf numFmtId="0" fontId="6" fillId="19" borderId="12" xfId="0" applyFont="1" applyFill="1" applyBorder="1"/>
    <xf numFmtId="0" fontId="6" fillId="19" borderId="13" xfId="0" applyFont="1" applyFill="1" applyBorder="1"/>
    <xf numFmtId="0" fontId="7" fillId="19" borderId="0" xfId="0" applyFont="1" applyFill="1" applyBorder="1"/>
    <xf numFmtId="0" fontId="6" fillId="19" borderId="0" xfId="0" applyFont="1" applyFill="1" applyBorder="1" applyAlignment="1">
      <alignment horizontal="left"/>
    </xf>
    <xf numFmtId="0" fontId="7" fillId="19" borderId="0" xfId="0" applyFont="1" applyFill="1" applyBorder="1" applyAlignment="1"/>
    <xf numFmtId="0" fontId="6" fillId="20" borderId="14" xfId="0" applyFont="1" applyFill="1" applyBorder="1"/>
    <xf numFmtId="0" fontId="6" fillId="20" borderId="15" xfId="0" applyFont="1" applyFill="1" applyBorder="1"/>
    <xf numFmtId="0" fontId="6" fillId="20" borderId="16" xfId="0" applyFont="1" applyFill="1" applyBorder="1"/>
    <xf numFmtId="0" fontId="0" fillId="19" borderId="12" xfId="0" applyFill="1" applyBorder="1"/>
    <xf numFmtId="0" fontId="0" fillId="19" borderId="17" xfId="0" applyFill="1" applyBorder="1"/>
    <xf numFmtId="0" fontId="9" fillId="0" borderId="0" xfId="0" applyFont="1"/>
    <xf numFmtId="1" fontId="2" fillId="20" borderId="14" xfId="0" applyNumberFormat="1" applyFont="1" applyFill="1" applyBorder="1"/>
    <xf numFmtId="0" fontId="2" fillId="20" borderId="15" xfId="0" applyFont="1" applyFill="1" applyBorder="1"/>
    <xf numFmtId="0" fontId="2" fillId="20" borderId="0" xfId="0" applyFont="1" applyFill="1" applyBorder="1" applyAlignment="1"/>
    <xf numFmtId="1" fontId="2" fillId="20" borderId="12" xfId="0" applyNumberFormat="1" applyFont="1" applyFill="1" applyBorder="1" applyAlignment="1">
      <alignment horizontal="center"/>
    </xf>
    <xf numFmtId="1" fontId="2" fillId="20" borderId="0" xfId="0" applyNumberFormat="1" applyFont="1" applyFill="1" applyBorder="1" applyAlignment="1">
      <alignment horizontal="center"/>
    </xf>
    <xf numFmtId="1" fontId="2" fillId="20" borderId="12" xfId="0" applyNumberFormat="1" applyFont="1" applyFill="1" applyBorder="1"/>
    <xf numFmtId="0" fontId="2" fillId="20" borderId="0" xfId="0" applyFont="1" applyFill="1" applyBorder="1"/>
    <xf numFmtId="0" fontId="0" fillId="20" borderId="0" xfId="0" applyNumberFormat="1" applyFill="1" applyBorder="1" applyAlignment="1" applyProtection="1">
      <alignment horizontal="center"/>
      <protection locked="0"/>
    </xf>
    <xf numFmtId="0" fontId="0" fillId="20" borderId="0" xfId="0" applyFill="1" applyBorder="1" applyAlignment="1" applyProtection="1">
      <alignment horizontal="center"/>
      <protection locked="0"/>
    </xf>
    <xf numFmtId="0" fontId="0" fillId="20" borderId="0" xfId="0" applyFill="1" applyBorder="1" applyProtection="1">
      <protection locked="0"/>
    </xf>
    <xf numFmtId="0" fontId="0" fillId="20" borderId="0" xfId="0" applyNumberFormat="1" applyFill="1" applyBorder="1" applyProtection="1">
      <protection locked="0"/>
    </xf>
    <xf numFmtId="0" fontId="6" fillId="20" borderId="0" xfId="0" applyFont="1" applyFill="1" applyBorder="1"/>
    <xf numFmtId="0" fontId="6" fillId="20" borderId="13" xfId="0" applyFont="1" applyFill="1" applyBorder="1"/>
    <xf numFmtId="0" fontId="6" fillId="20" borderId="12" xfId="0" applyFont="1" applyFill="1" applyBorder="1"/>
    <xf numFmtId="0" fontId="6" fillId="20" borderId="17" xfId="0" applyFont="1" applyFill="1" applyBorder="1"/>
    <xf numFmtId="0" fontId="6" fillId="20" borderId="18" xfId="0" applyFont="1" applyFill="1" applyBorder="1"/>
    <xf numFmtId="0" fontId="6" fillId="20" borderId="19" xfId="0" applyFont="1" applyFill="1" applyBorder="1"/>
    <xf numFmtId="0" fontId="0" fillId="19" borderId="13" xfId="0" applyFill="1" applyBorder="1"/>
    <xf numFmtId="0" fontId="0" fillId="19" borderId="19" xfId="0" applyFill="1" applyBorder="1"/>
    <xf numFmtId="0" fontId="6" fillId="20" borderId="17" xfId="0" applyFont="1" applyFill="1" applyBorder="1" applyAlignment="1"/>
    <xf numFmtId="0" fontId="6" fillId="20" borderId="19" xfId="0" applyFont="1" applyFill="1" applyBorder="1" applyAlignment="1"/>
    <xf numFmtId="0" fontId="28" fillId="19" borderId="0" xfId="0" applyFont="1" applyFill="1" applyBorder="1" applyAlignment="1">
      <alignment horizontal="left"/>
    </xf>
    <xf numFmtId="3" fontId="6" fillId="19" borderId="0" xfId="0" applyNumberFormat="1" applyFont="1" applyFill="1" applyBorder="1" applyAlignment="1">
      <alignment horizontal="right" vertical="center" indent="1"/>
    </xf>
    <xf numFmtId="3" fontId="8" fillId="19" borderId="0" xfId="0" applyNumberFormat="1" applyFont="1" applyFill="1" applyBorder="1" applyAlignment="1">
      <alignment horizontal="right" vertical="center" indent="1"/>
    </xf>
    <xf numFmtId="3" fontId="8" fillId="19" borderId="0" xfId="0" applyNumberFormat="1" applyFont="1" applyFill="1" applyBorder="1" applyAlignment="1">
      <alignment horizontal="left" vertical="center" indent="1"/>
    </xf>
    <xf numFmtId="3" fontId="6" fillId="19" borderId="0" xfId="0" applyNumberFormat="1" applyFont="1" applyFill="1" applyBorder="1" applyAlignment="1">
      <alignment horizontal="left" vertical="center" indent="1"/>
    </xf>
    <xf numFmtId="0" fontId="3" fillId="20" borderId="18" xfId="0" applyFont="1" applyFill="1" applyBorder="1"/>
    <xf numFmtId="0" fontId="6" fillId="0" borderId="0" xfId="0" applyFont="1" applyBorder="1"/>
    <xf numFmtId="0" fontId="29" fillId="20" borderId="15" xfId="0" applyFont="1" applyFill="1" applyBorder="1"/>
    <xf numFmtId="0" fontId="6" fillId="19" borderId="0" xfId="0" applyFont="1" applyFill="1" applyBorder="1" applyAlignment="1">
      <alignment vertical="top"/>
    </xf>
    <xf numFmtId="3" fontId="30" fillId="19" borderId="0" xfId="0" applyNumberFormat="1" applyFont="1" applyFill="1" applyBorder="1" applyAlignment="1">
      <alignment horizontal="left" vertical="center" indent="1"/>
    </xf>
    <xf numFmtId="0" fontId="2" fillId="0" borderId="0" xfId="0" applyFont="1"/>
    <xf numFmtId="1" fontId="2" fillId="20" borderId="12" xfId="0" applyNumberFormat="1" applyFont="1" applyFill="1" applyBorder="1" applyAlignment="1"/>
    <xf numFmtId="1" fontId="34" fillId="21" borderId="20" xfId="0" applyNumberFormat="1" applyFont="1" applyFill="1" applyBorder="1"/>
    <xf numFmtId="0" fontId="34" fillId="21" borderId="21" xfId="0" applyFont="1" applyFill="1" applyBorder="1"/>
    <xf numFmtId="0" fontId="34" fillId="0" borderId="0" xfId="0" applyFont="1" applyBorder="1"/>
    <xf numFmtId="0" fontId="32" fillId="21" borderId="22" xfId="0" applyFont="1" applyFill="1" applyBorder="1" applyAlignment="1">
      <alignment horizontal="center"/>
    </xf>
    <xf numFmtId="4" fontId="34" fillId="21" borderId="14" xfId="0" applyNumberFormat="1" applyFont="1" applyFill="1" applyBorder="1" applyAlignment="1">
      <alignment horizontal="center"/>
    </xf>
    <xf numFmtId="4" fontId="34" fillId="21" borderId="12" xfId="0" applyNumberFormat="1" applyFont="1" applyFill="1" applyBorder="1" applyAlignment="1">
      <alignment horizontal="center"/>
    </xf>
    <xf numFmtId="0" fontId="34" fillId="21" borderId="12" xfId="0" applyFont="1" applyFill="1" applyBorder="1" applyAlignment="1">
      <alignment horizontal="center"/>
    </xf>
    <xf numFmtId="4" fontId="34" fillId="21" borderId="17" xfId="0" applyNumberFormat="1" applyFont="1" applyFill="1" applyBorder="1" applyAlignment="1">
      <alignment horizontal="center"/>
    </xf>
    <xf numFmtId="0" fontId="34" fillId="21" borderId="23" xfId="0" applyFont="1" applyFill="1" applyBorder="1" applyAlignment="1">
      <alignment horizontal="center"/>
    </xf>
    <xf numFmtId="1" fontId="2" fillId="20" borderId="13" xfId="0" applyNumberFormat="1" applyFont="1" applyFill="1" applyBorder="1" applyAlignment="1">
      <alignment horizontal="center"/>
    </xf>
    <xf numFmtId="0" fontId="2" fillId="20" borderId="16" xfId="0" applyFont="1" applyFill="1" applyBorder="1" applyAlignment="1">
      <alignment horizontal="center"/>
    </xf>
    <xf numFmtId="0" fontId="2" fillId="20" borderId="13" xfId="0" applyFont="1" applyFill="1" applyBorder="1" applyAlignment="1">
      <alignment horizontal="center"/>
    </xf>
    <xf numFmtId="1" fontId="34" fillId="20" borderId="17" xfId="0" applyNumberFormat="1" applyFont="1" applyFill="1" applyBorder="1"/>
    <xf numFmtId="0" fontId="34" fillId="20" borderId="18" xfId="0" applyFont="1" applyFill="1" applyBorder="1"/>
    <xf numFmtId="0" fontId="34" fillId="20" borderId="19" xfId="0" applyFont="1" applyFill="1" applyBorder="1" applyAlignment="1">
      <alignment horizontal="center"/>
    </xf>
    <xf numFmtId="1" fontId="34" fillId="21" borderId="12" xfId="0" applyNumberFormat="1" applyFont="1" applyFill="1" applyBorder="1" applyAlignment="1">
      <alignment horizontal="center"/>
    </xf>
    <xf numFmtId="1" fontId="34" fillId="21" borderId="24" xfId="0" applyNumberFormat="1" applyFont="1" applyFill="1" applyBorder="1" applyAlignment="1">
      <alignment horizontal="center"/>
    </xf>
    <xf numFmtId="4" fontId="34" fillId="21" borderId="25" xfId="0" applyNumberFormat="1" applyFont="1" applyFill="1" applyBorder="1"/>
    <xf numFmtId="4" fontId="34" fillId="21" borderId="26" xfId="0" applyNumberFormat="1" applyFont="1" applyFill="1" applyBorder="1"/>
    <xf numFmtId="0" fontId="34" fillId="21" borderId="26" xfId="0" applyFont="1" applyFill="1" applyBorder="1"/>
    <xf numFmtId="4" fontId="34" fillId="21" borderId="27" xfId="0" applyNumberFormat="1" applyFont="1" applyFill="1" applyBorder="1"/>
    <xf numFmtId="1" fontId="32" fillId="21" borderId="20" xfId="0" applyNumberFormat="1" applyFont="1" applyFill="1" applyBorder="1" applyAlignment="1">
      <alignment horizontal="center"/>
    </xf>
    <xf numFmtId="1" fontId="33" fillId="20" borderId="12" xfId="0" applyNumberFormat="1" applyFont="1" applyFill="1" applyBorder="1" applyAlignment="1">
      <alignment horizontal="center" vertical="top"/>
    </xf>
    <xf numFmtId="0" fontId="33" fillId="20" borderId="0" xfId="0" applyFont="1" applyFill="1" applyBorder="1" applyAlignment="1">
      <alignment vertical="top"/>
    </xf>
    <xf numFmtId="0" fontId="33" fillId="20" borderId="13" xfId="0" applyFont="1" applyFill="1" applyBorder="1" applyAlignment="1">
      <alignment horizontal="center" vertical="top"/>
    </xf>
    <xf numFmtId="3" fontId="32" fillId="21" borderId="22" xfId="0" applyNumberFormat="1" applyFont="1" applyFill="1" applyBorder="1" applyAlignment="1">
      <alignment horizontal="right"/>
    </xf>
    <xf numFmtId="0" fontId="6" fillId="0" borderId="0" xfId="0" applyFont="1" applyFill="1" applyBorder="1"/>
    <xf numFmtId="0" fontId="4" fillId="20" borderId="18" xfId="0" applyFont="1" applyFill="1" applyBorder="1" applyAlignment="1">
      <alignment horizontal="right"/>
    </xf>
    <xf numFmtId="0" fontId="29" fillId="20" borderId="0" xfId="0" applyFont="1" applyFill="1" applyBorder="1"/>
    <xf numFmtId="167" fontId="9" fillId="0" borderId="0" xfId="0" applyNumberFormat="1" applyFont="1"/>
    <xf numFmtId="0" fontId="33" fillId="20" borderId="0" xfId="0" applyFont="1" applyFill="1" applyBorder="1" applyAlignment="1">
      <alignment horizontal="center" vertical="top"/>
    </xf>
    <xf numFmtId="0" fontId="34" fillId="20" borderId="18" xfId="0" applyFont="1" applyFill="1" applyBorder="1" applyAlignment="1">
      <alignment horizontal="center"/>
    </xf>
    <xf numFmtId="167" fontId="32" fillId="20" borderId="26" xfId="0" applyNumberFormat="1" applyFont="1" applyFill="1" applyBorder="1" applyAlignment="1" applyProtection="1"/>
    <xf numFmtId="0" fontId="32" fillId="20" borderId="26" xfId="0" applyFont="1" applyFill="1" applyBorder="1" applyAlignment="1" applyProtection="1"/>
    <xf numFmtId="0" fontId="0" fillId="20" borderId="26" xfId="0" applyFill="1" applyBorder="1"/>
    <xf numFmtId="0" fontId="0" fillId="20" borderId="26" xfId="0" applyFill="1" applyBorder="1" applyAlignment="1">
      <alignment vertical="top" wrapText="1"/>
    </xf>
    <xf numFmtId="167" fontId="34" fillId="21" borderId="27" xfId="0" applyNumberFormat="1" applyFont="1" applyFill="1" applyBorder="1" applyAlignment="1"/>
    <xf numFmtId="0" fontId="34" fillId="21" borderId="27" xfId="0" applyFont="1" applyFill="1" applyBorder="1" applyAlignment="1">
      <alignment horizontal="right"/>
    </xf>
    <xf numFmtId="3" fontId="0" fillId="21" borderId="27" xfId="0" applyNumberFormat="1" applyFill="1" applyBorder="1"/>
    <xf numFmtId="3" fontId="0" fillId="21" borderId="19" xfId="0" applyNumberFormat="1" applyFill="1" applyBorder="1"/>
    <xf numFmtId="0" fontId="0" fillId="21" borderId="27" xfId="0" applyFill="1" applyBorder="1"/>
    <xf numFmtId="0" fontId="2" fillId="20" borderId="0" xfId="0" applyFont="1" applyFill="1" applyBorder="1" applyAlignment="1">
      <alignment horizontal="center"/>
    </xf>
    <xf numFmtId="0" fontId="0" fillId="0" borderId="0" xfId="0" applyAlignment="1">
      <alignment horizontal="center"/>
    </xf>
    <xf numFmtId="0" fontId="3" fillId="21" borderId="22" xfId="0" applyFont="1" applyFill="1" applyBorder="1"/>
    <xf numFmtId="0" fontId="3" fillId="0" borderId="30" xfId="0" applyFont="1" applyBorder="1" applyAlignment="1">
      <alignment horizontal="center"/>
    </xf>
    <xf numFmtId="0" fontId="3" fillId="0" borderId="28" xfId="0" applyFont="1" applyBorder="1" applyAlignment="1">
      <alignment horizontal="center"/>
    </xf>
    <xf numFmtId="0" fontId="3" fillId="0" borderId="31" xfId="0" applyFont="1" applyBorder="1" applyAlignment="1">
      <alignment horizontal="center"/>
    </xf>
    <xf numFmtId="0" fontId="3" fillId="0" borderId="29" xfId="0" applyFont="1" applyBorder="1" applyAlignment="1">
      <alignment horizontal="center"/>
    </xf>
    <xf numFmtId="0" fontId="0" fillId="0" borderId="0" xfId="0" applyAlignment="1"/>
    <xf numFmtId="1" fontId="2" fillId="20" borderId="0" xfId="0" applyNumberFormat="1" applyFont="1" applyFill="1" applyBorder="1" applyAlignment="1"/>
    <xf numFmtId="0" fontId="0" fillId="0" borderId="0" xfId="0" applyBorder="1" applyAlignment="1"/>
    <xf numFmtId="0" fontId="2" fillId="17" borderId="0" xfId="0" applyFont="1" applyFill="1" applyBorder="1" applyAlignment="1" applyProtection="1">
      <alignment horizontal="left"/>
    </xf>
    <xf numFmtId="0" fontId="2" fillId="17" borderId="0" xfId="0" applyFont="1" applyFill="1" applyBorder="1"/>
    <xf numFmtId="0" fontId="2" fillId="17" borderId="0" xfId="0" applyFont="1" applyFill="1" applyBorder="1" applyAlignment="1">
      <alignment horizontal="left"/>
    </xf>
    <xf numFmtId="0" fontId="2" fillId="17" borderId="0" xfId="0" quotePrefix="1" applyFont="1" applyFill="1" applyBorder="1" applyAlignment="1" applyProtection="1">
      <alignment horizontal="left"/>
    </xf>
    <xf numFmtId="0" fontId="2" fillId="17" borderId="0" xfId="0" quotePrefix="1" applyFont="1" applyFill="1" applyBorder="1" applyAlignment="1">
      <alignment horizontal="left"/>
    </xf>
    <xf numFmtId="0" fontId="2" fillId="0" borderId="32" xfId="0" applyFont="1" applyBorder="1" applyAlignment="1"/>
    <xf numFmtId="0" fontId="2" fillId="0" borderId="33" xfId="0" applyFont="1" applyBorder="1" applyAlignment="1"/>
    <xf numFmtId="3" fontId="32" fillId="21" borderId="22" xfId="0" applyNumberFormat="1" applyFont="1" applyFill="1" applyBorder="1" applyAlignment="1">
      <alignment horizontal="center"/>
    </xf>
    <xf numFmtId="0" fontId="0" fillId="0" borderId="0" xfId="0" applyFill="1" applyBorder="1"/>
    <xf numFmtId="0" fontId="6" fillId="22" borderId="0" xfId="0" applyFont="1" applyFill="1" applyBorder="1"/>
    <xf numFmtId="0" fontId="7" fillId="19" borderId="12" xfId="0" applyFont="1" applyFill="1" applyBorder="1" applyAlignment="1">
      <alignment horizontal="left"/>
    </xf>
    <xf numFmtId="0" fontId="6" fillId="19" borderId="0" xfId="0" applyFont="1" applyFill="1" applyBorder="1" applyAlignment="1"/>
    <xf numFmtId="0" fontId="6" fillId="19" borderId="12" xfId="0" applyFont="1" applyFill="1" applyBorder="1" applyAlignment="1"/>
    <xf numFmtId="0" fontId="7" fillId="17" borderId="0" xfId="0" applyFont="1" applyFill="1" applyBorder="1" applyAlignment="1">
      <alignment vertical="top"/>
    </xf>
    <xf numFmtId="0" fontId="6" fillId="17" borderId="0" xfId="0" applyFont="1" applyFill="1" applyBorder="1" applyAlignment="1">
      <alignment vertical="top"/>
    </xf>
    <xf numFmtId="0" fontId="6" fillId="19" borderId="0" xfId="0" applyFont="1" applyFill="1" applyBorder="1" applyAlignment="1">
      <alignment horizontal="right" vertical="center" indent="1"/>
    </xf>
    <xf numFmtId="0" fontId="0" fillId="19" borderId="12" xfId="0" applyFill="1" applyBorder="1" applyAlignment="1">
      <alignment vertical="top"/>
    </xf>
    <xf numFmtId="0" fontId="0" fillId="19" borderId="0" xfId="0" applyFill="1" applyBorder="1" applyAlignment="1">
      <alignment vertical="top"/>
    </xf>
    <xf numFmtId="3" fontId="6" fillId="19" borderId="12" xfId="0" applyNumberFormat="1" applyFont="1" applyFill="1" applyBorder="1" applyAlignment="1">
      <alignment horizontal="right" vertical="top"/>
    </xf>
    <xf numFmtId="3" fontId="6" fillId="19" borderId="0" xfId="0" applyNumberFormat="1" applyFont="1" applyFill="1" applyBorder="1" applyAlignment="1">
      <alignment horizontal="right" vertical="top"/>
    </xf>
    <xf numFmtId="0" fontId="0" fillId="19" borderId="17" xfId="0" applyFill="1" applyBorder="1" applyAlignment="1">
      <alignment vertical="top"/>
    </xf>
    <xf numFmtId="0" fontId="0" fillId="22" borderId="0" xfId="0" applyFill="1" applyBorder="1" applyAlignment="1">
      <alignment vertical="top" wrapText="1"/>
    </xf>
    <xf numFmtId="3" fontId="6" fillId="22" borderId="0" xfId="0" applyNumberFormat="1" applyFont="1" applyFill="1" applyBorder="1" applyAlignment="1">
      <alignment horizontal="right" vertical="center" indent="1"/>
    </xf>
    <xf numFmtId="0" fontId="6" fillId="22" borderId="0" xfId="0" applyFont="1" applyFill="1" applyBorder="1" applyAlignment="1">
      <alignment vertical="top"/>
    </xf>
    <xf numFmtId="0" fontId="6" fillId="19" borderId="0" xfId="0" applyFont="1" applyFill="1" applyBorder="1" applyAlignment="1">
      <alignment horizontal="left" vertical="top"/>
    </xf>
    <xf numFmtId="0" fontId="0" fillId="0" borderId="0" xfId="0" applyBorder="1"/>
    <xf numFmtId="0" fontId="0" fillId="19" borderId="0" xfId="0" applyFill="1" applyBorder="1" applyAlignment="1"/>
    <xf numFmtId="0" fontId="0" fillId="0" borderId="0" xfId="0" applyFill="1" applyBorder="1" applyAlignment="1"/>
    <xf numFmtId="0" fontId="0" fillId="0" borderId="0" xfId="0" applyFill="1" applyBorder="1" applyAlignment="1">
      <alignment horizontal="center"/>
    </xf>
    <xf numFmtId="3" fontId="32" fillId="21" borderId="20" xfId="0" applyNumberFormat="1" applyFont="1" applyFill="1" applyBorder="1" applyAlignment="1">
      <alignment horizontal="right"/>
    </xf>
    <xf numFmtId="0" fontId="0" fillId="0" borderId="0" xfId="0" applyFill="1" applyBorder="1" applyAlignment="1">
      <alignment horizontal="center" wrapText="1"/>
    </xf>
    <xf numFmtId="0" fontId="0" fillId="0" borderId="0" xfId="0" applyFill="1" applyBorder="1" applyAlignment="1">
      <alignment wrapText="1"/>
    </xf>
    <xf numFmtId="1" fontId="2" fillId="0" borderId="0" xfId="0" applyNumberFormat="1" applyFont="1" applyFill="1" applyBorder="1" applyAlignment="1">
      <alignment horizontal="center"/>
    </xf>
    <xf numFmtId="0" fontId="3" fillId="0" borderId="0" xfId="0" applyFont="1" applyFill="1" applyBorder="1"/>
    <xf numFmtId="165" fontId="0" fillId="0" borderId="0" xfId="31" applyNumberFormat="1" applyFont="1" applyFill="1" applyBorder="1"/>
    <xf numFmtId="3" fontId="0" fillId="0" borderId="0" xfId="31" applyNumberFormat="1" applyFont="1" applyFill="1" applyBorder="1"/>
    <xf numFmtId="3" fontId="0" fillId="0" borderId="0" xfId="0" applyNumberFormat="1" applyFill="1" applyBorder="1"/>
    <xf numFmtId="3" fontId="32" fillId="0" borderId="0" xfId="0" applyNumberFormat="1" applyFont="1" applyFill="1" applyBorder="1" applyAlignment="1">
      <alignment horizontal="right"/>
    </xf>
    <xf numFmtId="169" fontId="2" fillId="17" borderId="18" xfId="46" applyNumberFormat="1" applyFont="1" applyFill="1" applyBorder="1" applyAlignment="1">
      <alignment horizontal="left"/>
    </xf>
    <xf numFmtId="169" fontId="2" fillId="17" borderId="0" xfId="47" applyNumberFormat="1" applyFont="1" applyFill="1" applyBorder="1"/>
    <xf numFmtId="169" fontId="40" fillId="17" borderId="0" xfId="46" applyNumberFormat="1" applyFont="1" applyFill="1" applyBorder="1" applyAlignment="1">
      <alignment horizontal="left"/>
    </xf>
    <xf numFmtId="169" fontId="2" fillId="0" borderId="0" xfId="47" applyNumberFormat="1" applyFont="1" applyFill="1" applyBorder="1"/>
    <xf numFmtId="169" fontId="40" fillId="0" borderId="0" xfId="46" applyNumberFormat="1" applyFont="1" applyFill="1" applyBorder="1" applyAlignment="1">
      <alignment horizontal="left"/>
    </xf>
    <xf numFmtId="169" fontId="2" fillId="17" borderId="0" xfId="46" applyNumberFormat="1" applyFont="1" applyFill="1" applyBorder="1"/>
    <xf numFmtId="169" fontId="39" fillId="0" borderId="0" xfId="46" applyNumberFormat="1" applyBorder="1"/>
    <xf numFmtId="169" fontId="3" fillId="0" borderId="0" xfId="31" applyNumberFormat="1" applyFont="1" applyBorder="1" applyAlignment="1" applyProtection="1">
      <alignment horizontal="left"/>
    </xf>
    <xf numFmtId="169" fontId="3" fillId="17" borderId="0" xfId="31" applyNumberFormat="1" applyFont="1" applyFill="1" applyBorder="1" applyAlignment="1">
      <alignment horizontal="right"/>
    </xf>
    <xf numFmtId="169" fontId="2" fillId="0" borderId="0" xfId="46" applyNumberFormat="1" applyFont="1" applyAlignment="1" applyProtection="1">
      <alignment horizontal="left"/>
    </xf>
    <xf numFmtId="169" fontId="2" fillId="0" borderId="0" xfId="46" applyNumberFormat="1" applyFont="1" applyFill="1" applyBorder="1"/>
    <xf numFmtId="169" fontId="2" fillId="0" borderId="0" xfId="46" applyNumberFormat="1" applyFont="1" applyFill="1" applyAlignment="1" applyProtection="1">
      <alignment horizontal="left"/>
    </xf>
    <xf numFmtId="0" fontId="34" fillId="21" borderId="19" xfId="0" applyFont="1" applyFill="1" applyBorder="1" applyAlignment="1">
      <alignment horizontal="center"/>
    </xf>
    <xf numFmtId="168" fontId="2" fillId="0" borderId="0" xfId="46" applyFont="1" applyAlignment="1" applyProtection="1">
      <alignment horizontal="left"/>
    </xf>
    <xf numFmtId="3" fontId="3" fillId="17" borderId="0" xfId="46" applyNumberFormat="1" applyFont="1" applyFill="1" applyBorder="1" applyAlignment="1">
      <alignment horizontal="left"/>
    </xf>
    <xf numFmtId="1" fontId="2" fillId="20" borderId="37" xfId="0" applyNumberFormat="1" applyFont="1" applyFill="1" applyBorder="1"/>
    <xf numFmtId="1" fontId="2" fillId="20" borderId="0" xfId="0" applyNumberFormat="1" applyFont="1" applyFill="1" applyBorder="1"/>
    <xf numFmtId="1" fontId="34" fillId="20" borderId="18" xfId="0" applyNumberFormat="1" applyFont="1" applyFill="1" applyBorder="1" applyAlignment="1">
      <alignment horizontal="center"/>
    </xf>
    <xf numFmtId="1" fontId="2" fillId="20" borderId="26" xfId="0" applyNumberFormat="1" applyFont="1" applyFill="1" applyBorder="1"/>
    <xf numFmtId="1" fontId="2" fillId="20" borderId="27" xfId="0" applyNumberFormat="1" applyFont="1" applyFill="1" applyBorder="1"/>
    <xf numFmtId="0" fontId="2" fillId="20" borderId="38" xfId="0" applyFont="1" applyFill="1" applyBorder="1" applyAlignment="1">
      <alignment horizontal="center"/>
    </xf>
    <xf numFmtId="169" fontId="2" fillId="17" borderId="19" xfId="46" applyNumberFormat="1" applyFont="1" applyFill="1" applyBorder="1" applyAlignment="1">
      <alignment horizontal="left"/>
    </xf>
    <xf numFmtId="169" fontId="0" fillId="0" borderId="0" xfId="0" applyNumberFormat="1"/>
    <xf numFmtId="1" fontId="9" fillId="0" borderId="0" xfId="0" applyNumberFormat="1" applyFont="1"/>
    <xf numFmtId="3" fontId="9" fillId="0" borderId="0" xfId="0" applyNumberFormat="1" applyFont="1"/>
    <xf numFmtId="0" fontId="6" fillId="19" borderId="0" xfId="0" applyFont="1" applyFill="1" applyBorder="1" applyAlignment="1">
      <alignment vertical="top" wrapText="1"/>
    </xf>
    <xf numFmtId="0" fontId="7" fillId="19" borderId="0" xfId="0" applyFont="1" applyFill="1" applyBorder="1" applyAlignment="1">
      <alignment horizontal="left" vertical="top"/>
    </xf>
    <xf numFmtId="0" fontId="6" fillId="20" borderId="0" xfId="0" applyFont="1" applyFill="1" applyBorder="1" applyAlignment="1">
      <alignment horizontal="center"/>
    </xf>
    <xf numFmtId="0" fontId="6" fillId="20" borderId="13" xfId="0" applyFont="1" applyFill="1" applyBorder="1" applyAlignment="1">
      <alignment horizontal="center"/>
    </xf>
    <xf numFmtId="0" fontId="7" fillId="19" borderId="0" xfId="0" applyFont="1" applyFill="1" applyBorder="1" applyAlignment="1">
      <alignment vertical="top"/>
    </xf>
    <xf numFmtId="3" fontId="6" fillId="17" borderId="0" xfId="0" applyNumberFormat="1" applyFont="1" applyFill="1" applyBorder="1" applyAlignment="1">
      <alignment horizontal="right" vertical="center" indent="1"/>
    </xf>
    <xf numFmtId="3" fontId="6" fillId="17" borderId="0" xfId="0" applyNumberFormat="1" applyFont="1" applyFill="1" applyBorder="1" applyAlignment="1" applyProtection="1">
      <alignment horizontal="right" vertical="center" indent="1"/>
      <protection locked="0"/>
    </xf>
    <xf numFmtId="3" fontId="7" fillId="19" borderId="0" xfId="0" applyNumberFormat="1" applyFont="1" applyFill="1" applyBorder="1" applyAlignment="1">
      <alignment horizontal="center" vertical="center"/>
    </xf>
    <xf numFmtId="3" fontId="7" fillId="19" borderId="0" xfId="0" applyNumberFormat="1" applyFont="1" applyFill="1" applyBorder="1" applyAlignment="1">
      <alignment horizontal="center" vertical="center" wrapText="1"/>
    </xf>
    <xf numFmtId="3" fontId="6" fillId="19" borderId="0" xfId="0" applyNumberFormat="1" applyFont="1" applyFill="1" applyBorder="1" applyAlignment="1">
      <alignment horizontal="center" vertical="center"/>
    </xf>
    <xf numFmtId="0" fontId="31" fillId="22" borderId="0" xfId="0" applyFont="1" applyFill="1" applyAlignment="1">
      <alignment horizontal="left" vertical="center"/>
    </xf>
    <xf numFmtId="0" fontId="6" fillId="22" borderId="13" xfId="0" applyFont="1" applyFill="1" applyBorder="1"/>
    <xf numFmtId="0" fontId="6" fillId="23" borderId="0" xfId="0" applyFont="1" applyFill="1"/>
    <xf numFmtId="0" fontId="6" fillId="24" borderId="0" xfId="0" applyFont="1" applyFill="1" applyBorder="1"/>
    <xf numFmtId="3" fontId="6" fillId="24" borderId="0" xfId="0" applyNumberFormat="1" applyFont="1" applyFill="1" applyBorder="1" applyAlignment="1">
      <alignment horizontal="right" vertical="center" indent="1"/>
    </xf>
    <xf numFmtId="0" fontId="6" fillId="22" borderId="0" xfId="0" applyFont="1" applyFill="1" applyBorder="1" applyAlignment="1"/>
    <xf numFmtId="0" fontId="6" fillId="25" borderId="0" xfId="0" applyFont="1" applyFill="1" applyBorder="1" applyAlignment="1"/>
    <xf numFmtId="0" fontId="6" fillId="25" borderId="0" xfId="0" applyFont="1" applyFill="1" applyBorder="1" applyAlignment="1">
      <alignment vertical="top"/>
    </xf>
    <xf numFmtId="3" fontId="6" fillId="25" borderId="0" xfId="0" applyNumberFormat="1" applyFont="1" applyFill="1" applyBorder="1" applyAlignment="1">
      <alignment horizontal="right" vertical="center" indent="1"/>
    </xf>
    <xf numFmtId="3" fontId="6" fillId="25" borderId="0" xfId="0" applyNumberFormat="1" applyFont="1" applyFill="1" applyBorder="1" applyAlignment="1" applyProtection="1">
      <alignment horizontal="right" vertical="center" indent="1"/>
      <protection locked="0"/>
    </xf>
    <xf numFmtId="3" fontId="6" fillId="22" borderId="0" xfId="0" applyNumberFormat="1" applyFont="1" applyFill="1" applyBorder="1" applyAlignment="1" applyProtection="1">
      <alignment horizontal="right" vertical="center" indent="1"/>
      <protection locked="0"/>
    </xf>
    <xf numFmtId="3" fontId="7" fillId="24" borderId="0" xfId="0" applyNumberFormat="1" applyFont="1" applyFill="1" applyBorder="1" applyAlignment="1">
      <alignment horizontal="right" vertical="center" indent="1"/>
    </xf>
    <xf numFmtId="3" fontId="7" fillId="19" borderId="0" xfId="0" applyNumberFormat="1" applyFont="1" applyFill="1" applyBorder="1" applyAlignment="1" applyProtection="1">
      <alignment horizontal="right" vertical="center" indent="1"/>
      <protection locked="0"/>
    </xf>
    <xf numFmtId="0" fontId="6" fillId="19" borderId="44" xfId="0" applyFont="1" applyFill="1" applyBorder="1" applyAlignment="1"/>
    <xf numFmtId="0" fontId="7" fillId="19" borderId="44" xfId="0" applyFont="1" applyFill="1" applyBorder="1" applyAlignment="1"/>
    <xf numFmtId="3" fontId="6" fillId="24" borderId="0" xfId="0" applyNumberFormat="1" applyFont="1" applyFill="1" applyBorder="1" applyAlignment="1" applyProtection="1">
      <alignment horizontal="right" vertical="center" indent="1"/>
    </xf>
    <xf numFmtId="0" fontId="38" fillId="19" borderId="0" xfId="0" applyFont="1" applyFill="1" applyBorder="1" applyAlignment="1">
      <alignment vertical="top"/>
    </xf>
    <xf numFmtId="49" fontId="38" fillId="19" borderId="0" xfId="0" applyNumberFormat="1" applyFont="1" applyFill="1" applyBorder="1" applyAlignment="1">
      <alignment vertical="center"/>
    </xf>
    <xf numFmtId="0" fontId="6" fillId="17" borderId="44" xfId="0" applyFont="1" applyFill="1" applyBorder="1"/>
    <xf numFmtId="0" fontId="6" fillId="25" borderId="46" xfId="0" applyFont="1" applyFill="1" applyBorder="1"/>
    <xf numFmtId="0" fontId="6" fillId="25" borderId="34" xfId="0" applyFont="1" applyFill="1" applyBorder="1" applyAlignment="1">
      <alignment vertical="top"/>
    </xf>
    <xf numFmtId="0" fontId="6" fillId="25" borderId="34" xfId="0" applyFont="1" applyFill="1" applyBorder="1"/>
    <xf numFmtId="0" fontId="6" fillId="25" borderId="34" xfId="0" applyFont="1" applyFill="1" applyBorder="1" applyAlignment="1">
      <alignment horizontal="right" vertical="center" indent="1"/>
    </xf>
    <xf numFmtId="0" fontId="6" fillId="25" borderId="48" xfId="0" applyFont="1" applyFill="1" applyBorder="1"/>
    <xf numFmtId="0" fontId="7" fillId="25" borderId="0" xfId="0" applyFont="1" applyFill="1" applyBorder="1" applyAlignment="1">
      <alignment vertical="top"/>
    </xf>
    <xf numFmtId="0" fontId="6" fillId="25" borderId="0" xfId="0" applyFont="1" applyFill="1" applyBorder="1" applyAlignment="1">
      <alignment horizontal="right" vertical="center" indent="1"/>
    </xf>
    <xf numFmtId="0" fontId="6" fillId="25" borderId="50" xfId="0" applyFont="1" applyFill="1" applyBorder="1"/>
    <xf numFmtId="0" fontId="6" fillId="25" borderId="35" xfId="0" applyFont="1" applyFill="1" applyBorder="1"/>
    <xf numFmtId="0" fontId="6" fillId="25" borderId="51" xfId="0" applyFont="1" applyFill="1" applyBorder="1"/>
    <xf numFmtId="0" fontId="6" fillId="19" borderId="52" xfId="0" applyFont="1" applyFill="1" applyBorder="1" applyAlignment="1"/>
    <xf numFmtId="0" fontId="6" fillId="19" borderId="53" xfId="0" applyFont="1" applyFill="1" applyBorder="1" applyAlignment="1">
      <alignment vertical="top"/>
    </xf>
    <xf numFmtId="0" fontId="6" fillId="19" borderId="53" xfId="0" applyFont="1" applyFill="1" applyBorder="1" applyAlignment="1"/>
    <xf numFmtId="3" fontId="6" fillId="22" borderId="53" xfId="0" applyNumberFormat="1" applyFont="1" applyFill="1" applyBorder="1" applyAlignment="1">
      <alignment horizontal="right" vertical="center" indent="1"/>
    </xf>
    <xf numFmtId="3" fontId="6" fillId="19" borderId="53" xfId="0" applyNumberFormat="1" applyFont="1" applyFill="1" applyBorder="1" applyAlignment="1">
      <alignment horizontal="right" vertical="center" indent="1"/>
    </xf>
    <xf numFmtId="3" fontId="6" fillId="19" borderId="53" xfId="0" applyNumberFormat="1" applyFont="1" applyFill="1" applyBorder="1" applyAlignment="1" applyProtection="1">
      <alignment horizontal="right" vertical="center" indent="1"/>
      <protection locked="0"/>
    </xf>
    <xf numFmtId="3" fontId="6" fillId="24" borderId="53" xfId="0" applyNumberFormat="1" applyFont="1" applyFill="1" applyBorder="1" applyAlignment="1">
      <alignment horizontal="right" vertical="center" indent="1"/>
    </xf>
    <xf numFmtId="0" fontId="6" fillId="17" borderId="52" xfId="0" applyFont="1" applyFill="1" applyBorder="1"/>
    <xf numFmtId="0" fontId="6" fillId="17" borderId="53" xfId="0" applyFont="1" applyFill="1" applyBorder="1" applyAlignment="1">
      <alignment vertical="top"/>
    </xf>
    <xf numFmtId="0" fontId="6" fillId="17" borderId="53" xfId="0" applyFont="1" applyFill="1" applyBorder="1"/>
    <xf numFmtId="0" fontId="6" fillId="17" borderId="53" xfId="0" applyFont="1" applyFill="1" applyBorder="1" applyAlignment="1">
      <alignment horizontal="right" vertical="center" indent="1"/>
    </xf>
    <xf numFmtId="0" fontId="6" fillId="23" borderId="0" xfId="0" applyFont="1" applyFill="1" applyAlignment="1">
      <alignment horizontal="center"/>
    </xf>
    <xf numFmtId="0" fontId="6" fillId="0" borderId="0" xfId="0" applyFont="1" applyAlignment="1">
      <alignment horizontal="center"/>
    </xf>
    <xf numFmtId="0" fontId="6" fillId="20" borderId="12" xfId="0" applyFont="1" applyFill="1" applyBorder="1" applyAlignment="1">
      <alignment horizontal="center"/>
    </xf>
    <xf numFmtId="0" fontId="6" fillId="20" borderId="43" xfId="0" applyFont="1" applyFill="1" applyBorder="1" applyAlignment="1"/>
    <xf numFmtId="0" fontId="6" fillId="20" borderId="43" xfId="0" applyFont="1" applyFill="1" applyBorder="1" applyAlignment="1">
      <alignment horizontal="center"/>
    </xf>
    <xf numFmtId="0" fontId="38" fillId="23" borderId="12" xfId="0" applyFont="1" applyFill="1" applyBorder="1" applyAlignment="1">
      <alignment vertical="top" wrapText="1"/>
    </xf>
    <xf numFmtId="0" fontId="38" fillId="23" borderId="0" xfId="0" applyFont="1" applyFill="1" applyAlignment="1">
      <alignment horizontal="center"/>
    </xf>
    <xf numFmtId="0" fontId="43" fillId="23" borderId="0" xfId="0" applyFont="1" applyFill="1" applyAlignment="1">
      <alignment horizontal="center"/>
    </xf>
    <xf numFmtId="0" fontId="45" fillId="23" borderId="0" xfId="0" applyFont="1" applyFill="1"/>
    <xf numFmtId="0" fontId="38" fillId="23" borderId="0" xfId="0" applyFont="1" applyFill="1"/>
    <xf numFmtId="0" fontId="38" fillId="0" borderId="0" xfId="0" applyFont="1"/>
    <xf numFmtId="0" fontId="6" fillId="0" borderId="0" xfId="0" applyNumberFormat="1" applyFont="1"/>
    <xf numFmtId="0" fontId="38" fillId="23" borderId="0" xfId="0" applyFont="1" applyFill="1" applyBorder="1"/>
    <xf numFmtId="0" fontId="38" fillId="23" borderId="0" xfId="0" applyFont="1" applyFill="1" applyBorder="1" applyAlignment="1">
      <alignment horizontal="center"/>
    </xf>
    <xf numFmtId="0" fontId="0" fillId="19" borderId="43" xfId="0" applyFill="1" applyBorder="1"/>
    <xf numFmtId="3" fontId="6" fillId="0" borderId="0" xfId="0" applyNumberFormat="1" applyFont="1"/>
    <xf numFmtId="3" fontId="6" fillId="0" borderId="0" xfId="0" applyNumberFormat="1" applyFont="1" applyAlignment="1">
      <alignment horizontal="center"/>
    </xf>
    <xf numFmtId="0" fontId="6" fillId="19" borderId="55" xfId="0" applyFont="1" applyFill="1" applyBorder="1" applyAlignment="1">
      <alignment vertical="top" wrapText="1"/>
    </xf>
    <xf numFmtId="0" fontId="6" fillId="19" borderId="55" xfId="0" applyFont="1" applyFill="1" applyBorder="1"/>
    <xf numFmtId="0" fontId="6" fillId="19" borderId="56" xfId="0" applyFont="1" applyFill="1" applyBorder="1" applyAlignment="1">
      <alignment horizontal="left" vertical="top" wrapText="1"/>
    </xf>
    <xf numFmtId="0" fontId="6" fillId="19" borderId="56" xfId="0" applyFont="1" applyFill="1" applyBorder="1"/>
    <xf numFmtId="0" fontId="42" fillId="25" borderId="0" xfId="0" applyFont="1" applyFill="1" applyBorder="1" applyAlignment="1">
      <alignment vertical="top"/>
    </xf>
    <xf numFmtId="0" fontId="6" fillId="25" borderId="0" xfId="0" applyFont="1" applyFill="1" applyBorder="1"/>
    <xf numFmtId="0" fontId="0" fillId="22" borderId="55" xfId="0" applyFill="1" applyBorder="1" applyAlignment="1">
      <alignment vertical="top" wrapText="1"/>
    </xf>
    <xf numFmtId="0" fontId="6" fillId="22" borderId="55" xfId="0" applyFont="1" applyFill="1" applyBorder="1"/>
    <xf numFmtId="0" fontId="0" fillId="22" borderId="56" xfId="0" applyFill="1" applyBorder="1" applyAlignment="1">
      <alignment vertical="top" wrapText="1"/>
    </xf>
    <xf numFmtId="0" fontId="6" fillId="22" borderId="56" xfId="0" applyFont="1" applyFill="1" applyBorder="1"/>
    <xf numFmtId="0" fontId="6" fillId="22" borderId="43" xfId="0" applyFont="1" applyFill="1" applyBorder="1" applyAlignment="1">
      <alignment vertical="top"/>
    </xf>
    <xf numFmtId="0" fontId="6" fillId="22" borderId="43" xfId="0" applyFont="1" applyFill="1" applyBorder="1"/>
    <xf numFmtId="0" fontId="0" fillId="22" borderId="43" xfId="0" applyFill="1" applyBorder="1" applyAlignment="1">
      <alignment vertical="top" wrapText="1"/>
    </xf>
    <xf numFmtId="0" fontId="6" fillId="19" borderId="55" xfId="0" applyFont="1" applyFill="1" applyBorder="1" applyAlignment="1">
      <alignment vertical="top"/>
    </xf>
    <xf numFmtId="0" fontId="6" fillId="19" borderId="56" xfId="0" applyFont="1" applyFill="1" applyBorder="1" applyAlignment="1">
      <alignment vertical="top"/>
    </xf>
    <xf numFmtId="0" fontId="6" fillId="19" borderId="43" xfId="0" applyFont="1" applyFill="1" applyBorder="1" applyAlignment="1">
      <alignment vertical="top"/>
    </xf>
    <xf numFmtId="0" fontId="6" fillId="19" borderId="43" xfId="0" applyFont="1" applyFill="1" applyBorder="1"/>
    <xf numFmtId="0" fontId="0" fillId="19" borderId="56" xfId="0" applyFill="1" applyBorder="1"/>
    <xf numFmtId="0" fontId="50" fillId="27" borderId="0" xfId="0" applyFont="1" applyFill="1" applyBorder="1"/>
    <xf numFmtId="0" fontId="49" fillId="27" borderId="0" xfId="0" applyFont="1" applyFill="1" applyBorder="1"/>
    <xf numFmtId="0" fontId="1" fillId="27" borderId="0" xfId="0" applyFont="1" applyFill="1" applyBorder="1"/>
    <xf numFmtId="0" fontId="51" fillId="27" borderId="0" xfId="0" applyFont="1" applyFill="1" applyBorder="1"/>
    <xf numFmtId="0" fontId="52" fillId="27" borderId="0" xfId="0" applyFont="1" applyFill="1" applyBorder="1"/>
    <xf numFmtId="0" fontId="6" fillId="23" borderId="0" xfId="0" applyFont="1" applyFill="1" applyBorder="1" applyAlignment="1"/>
    <xf numFmtId="0" fontId="6" fillId="23" borderId="0" xfId="0" applyFont="1" applyFill="1" applyBorder="1" applyAlignment="1">
      <alignment horizontal="right"/>
    </xf>
    <xf numFmtId="0" fontId="0" fillId="23" borderId="0" xfId="0" applyFill="1" applyBorder="1" applyAlignment="1">
      <alignment horizontal="center"/>
    </xf>
    <xf numFmtId="0" fontId="0" fillId="23" borderId="0" xfId="0" applyFill="1" applyBorder="1" applyAlignment="1">
      <alignment horizontal="right"/>
    </xf>
    <xf numFmtId="0" fontId="6" fillId="23" borderId="0" xfId="0" applyFont="1" applyFill="1" applyBorder="1" applyAlignment="1">
      <alignment horizontal="center"/>
    </xf>
    <xf numFmtId="0" fontId="3" fillId="23" borderId="0" xfId="0" applyFont="1" applyFill="1" applyBorder="1" applyAlignment="1">
      <alignment horizontal="center"/>
    </xf>
    <xf numFmtId="0" fontId="2" fillId="20" borderId="43" xfId="0" applyFont="1" applyFill="1" applyBorder="1" applyAlignment="1">
      <alignment horizontal="right"/>
    </xf>
    <xf numFmtId="0" fontId="0" fillId="23" borderId="0" xfId="0" applyFill="1" applyBorder="1"/>
    <xf numFmtId="0" fontId="6" fillId="23" borderId="0" xfId="0" applyFont="1" applyFill="1" applyBorder="1"/>
    <xf numFmtId="0" fontId="38" fillId="23" borderId="0" xfId="0" applyFont="1" applyFill="1" applyAlignment="1">
      <alignment vertical="center"/>
    </xf>
    <xf numFmtId="0" fontId="0" fillId="23" borderId="0" xfId="0" applyFill="1"/>
    <xf numFmtId="0" fontId="0" fillId="24" borderId="0" xfId="0" applyFill="1" applyBorder="1"/>
    <xf numFmtId="0" fontId="6" fillId="23" borderId="0" xfId="0" applyFont="1" applyFill="1" applyBorder="1" applyAlignment="1">
      <alignment horizontal="center" vertical="center"/>
    </xf>
    <xf numFmtId="0" fontId="2" fillId="23" borderId="0" xfId="0" applyFont="1" applyFill="1" applyBorder="1" applyAlignment="1">
      <alignment horizontal="center"/>
    </xf>
    <xf numFmtId="0" fontId="2" fillId="23" borderId="0" xfId="0" applyFont="1" applyFill="1"/>
    <xf numFmtId="0" fontId="0" fillId="19" borderId="57" xfId="0" applyFill="1" applyBorder="1" applyAlignment="1">
      <alignment vertical="top"/>
    </xf>
    <xf numFmtId="3" fontId="6" fillId="19" borderId="55" xfId="0" applyNumberFormat="1" applyFont="1" applyFill="1" applyBorder="1" applyAlignment="1">
      <alignment horizontal="right" vertical="center" indent="1"/>
    </xf>
    <xf numFmtId="3" fontId="6" fillId="24" borderId="55" xfId="0" applyNumberFormat="1" applyFont="1" applyFill="1" applyBorder="1" applyAlignment="1">
      <alignment horizontal="right" vertical="center" indent="1"/>
    </xf>
    <xf numFmtId="0" fontId="0" fillId="24" borderId="58" xfId="0" applyFill="1" applyBorder="1"/>
    <xf numFmtId="0" fontId="0" fillId="19" borderId="59" xfId="0" applyFill="1" applyBorder="1" applyAlignment="1">
      <alignment vertical="top"/>
    </xf>
    <xf numFmtId="0" fontId="0" fillId="24" borderId="60" xfId="0" applyFill="1" applyBorder="1"/>
    <xf numFmtId="0" fontId="0" fillId="19" borderId="61" xfId="0" applyFill="1" applyBorder="1" applyAlignment="1">
      <alignment vertical="top"/>
    </xf>
    <xf numFmtId="0" fontId="0" fillId="24" borderId="62" xfId="0" applyFill="1" applyBorder="1"/>
    <xf numFmtId="0" fontId="0" fillId="25" borderId="0" xfId="0" applyFill="1" applyBorder="1" applyAlignment="1">
      <alignment vertical="top"/>
    </xf>
    <xf numFmtId="3" fontId="7" fillId="25" borderId="0" xfId="0" applyNumberFormat="1" applyFont="1" applyFill="1" applyBorder="1" applyAlignment="1" applyProtection="1">
      <alignment horizontal="right" vertical="center" indent="1"/>
      <protection locked="0"/>
    </xf>
    <xf numFmtId="3" fontId="7" fillId="22" borderId="0" xfId="0" applyNumberFormat="1" applyFont="1" applyFill="1" applyBorder="1" applyAlignment="1" applyProtection="1">
      <alignment horizontal="right" vertical="center" indent="1"/>
      <protection locked="0"/>
    </xf>
    <xf numFmtId="0" fontId="0" fillId="22" borderId="0" xfId="0" applyFill="1" applyBorder="1" applyAlignment="1">
      <alignment vertical="top"/>
    </xf>
    <xf numFmtId="0" fontId="0" fillId="22" borderId="57" xfId="0" applyFill="1" applyBorder="1" applyAlignment="1">
      <alignment vertical="top"/>
    </xf>
    <xf numFmtId="3" fontId="7" fillId="19" borderId="55" xfId="0" applyNumberFormat="1" applyFont="1" applyFill="1" applyBorder="1" applyAlignment="1">
      <alignment horizontal="right" vertical="center" indent="1"/>
    </xf>
    <xf numFmtId="3" fontId="7" fillId="24" borderId="55" xfId="0" applyNumberFormat="1" applyFont="1" applyFill="1" applyBorder="1" applyAlignment="1">
      <alignment horizontal="right" vertical="center" indent="1"/>
    </xf>
    <xf numFmtId="0" fontId="0" fillId="22" borderId="59" xfId="0" applyFill="1" applyBorder="1" applyAlignment="1">
      <alignment vertical="top"/>
    </xf>
    <xf numFmtId="0" fontId="0" fillId="28" borderId="0" xfId="0" applyFill="1"/>
    <xf numFmtId="0" fontId="0" fillId="22" borderId="61" xfId="0" applyFill="1" applyBorder="1" applyAlignment="1">
      <alignment vertical="top"/>
    </xf>
    <xf numFmtId="3" fontId="7" fillId="19" borderId="56" xfId="0" applyNumberFormat="1" applyFont="1" applyFill="1" applyBorder="1" applyAlignment="1">
      <alignment horizontal="right" vertical="center" indent="1"/>
    </xf>
    <xf numFmtId="3" fontId="6" fillId="19" borderId="56" xfId="0" applyNumberFormat="1" applyFont="1" applyFill="1" applyBorder="1" applyAlignment="1">
      <alignment horizontal="right" vertical="center" indent="1"/>
    </xf>
    <xf numFmtId="3" fontId="6" fillId="24" borderId="56" xfId="0" applyNumberFormat="1" applyFont="1" applyFill="1" applyBorder="1" applyAlignment="1">
      <alignment horizontal="right" vertical="center" indent="1"/>
    </xf>
    <xf numFmtId="3" fontId="7" fillId="24" borderId="56" xfId="0" applyNumberFormat="1" applyFont="1" applyFill="1" applyBorder="1" applyAlignment="1">
      <alignment horizontal="right" vertical="center" indent="1"/>
    </xf>
    <xf numFmtId="0" fontId="0" fillId="22" borderId="43" xfId="0" applyFill="1" applyBorder="1" applyAlignment="1">
      <alignment vertical="top"/>
    </xf>
    <xf numFmtId="3" fontId="7" fillId="19" borderId="43" xfId="0" applyNumberFormat="1" applyFont="1" applyFill="1" applyBorder="1" applyAlignment="1">
      <alignment horizontal="right" vertical="center" indent="1"/>
    </xf>
    <xf numFmtId="3" fontId="6" fillId="19" borderId="43" xfId="0" applyNumberFormat="1" applyFont="1" applyFill="1" applyBorder="1" applyAlignment="1">
      <alignment horizontal="right" vertical="center" indent="1"/>
    </xf>
    <xf numFmtId="3" fontId="6" fillId="24" borderId="43" xfId="0" applyNumberFormat="1" applyFont="1" applyFill="1" applyBorder="1" applyAlignment="1">
      <alignment horizontal="right" vertical="center" indent="1"/>
    </xf>
    <xf numFmtId="3" fontId="7" fillId="24" borderId="43" xfId="0" applyNumberFormat="1" applyFont="1" applyFill="1" applyBorder="1" applyAlignment="1">
      <alignment horizontal="right" vertical="center" indent="1"/>
    </xf>
    <xf numFmtId="0" fontId="0" fillId="24" borderId="43" xfId="0" applyFill="1" applyBorder="1"/>
    <xf numFmtId="0" fontId="0" fillId="19" borderId="43" xfId="0" applyFill="1" applyBorder="1" applyAlignment="1">
      <alignment vertical="top"/>
    </xf>
    <xf numFmtId="3" fontId="7" fillId="22" borderId="43" xfId="0" applyNumberFormat="1" applyFont="1" applyFill="1" applyBorder="1" applyAlignment="1" applyProtection="1">
      <alignment horizontal="right" vertical="center" indent="1"/>
      <protection locked="0"/>
    </xf>
    <xf numFmtId="3" fontId="6" fillId="22" borderId="43" xfId="0" applyNumberFormat="1" applyFont="1" applyFill="1" applyBorder="1" applyAlignment="1" applyProtection="1">
      <alignment horizontal="right" vertical="center" indent="1"/>
      <protection locked="0"/>
    </xf>
    <xf numFmtId="3" fontId="6" fillId="22" borderId="43" xfId="0" applyNumberFormat="1" applyFont="1" applyFill="1" applyBorder="1" applyAlignment="1">
      <alignment horizontal="right" vertical="center" indent="1"/>
    </xf>
    <xf numFmtId="3" fontId="6" fillId="24" borderId="0" xfId="0" applyNumberFormat="1" applyFont="1" applyFill="1" applyBorder="1" applyAlignment="1" applyProtection="1">
      <alignment horizontal="right" vertical="center" indent="1"/>
      <protection locked="0"/>
    </xf>
    <xf numFmtId="3" fontId="0" fillId="23" borderId="0" xfId="0" applyNumberFormat="1" applyFill="1"/>
    <xf numFmtId="3" fontId="7" fillId="19" borderId="55" xfId="0" applyNumberFormat="1" applyFont="1" applyFill="1" applyBorder="1" applyAlignment="1" applyProtection="1">
      <alignment horizontal="right" vertical="center" indent="1"/>
      <protection locked="0"/>
    </xf>
    <xf numFmtId="3" fontId="6" fillId="19" borderId="55" xfId="0" applyNumberFormat="1" applyFont="1" applyFill="1" applyBorder="1" applyAlignment="1" applyProtection="1">
      <alignment horizontal="right" vertical="center" indent="1"/>
      <protection locked="0"/>
    </xf>
    <xf numFmtId="0" fontId="0" fillId="19" borderId="61" xfId="0" applyFill="1" applyBorder="1"/>
    <xf numFmtId="0" fontId="0" fillId="27" borderId="63" xfId="0" applyFill="1" applyBorder="1"/>
    <xf numFmtId="0" fontId="49" fillId="27" borderId="64" xfId="0" applyFont="1" applyFill="1" applyBorder="1"/>
    <xf numFmtId="0" fontId="0" fillId="24" borderId="65" xfId="0" applyFill="1" applyBorder="1"/>
    <xf numFmtId="0" fontId="0" fillId="27" borderId="12" xfId="0" applyFill="1" applyBorder="1"/>
    <xf numFmtId="0" fontId="0" fillId="24" borderId="13" xfId="0" applyFill="1" applyBorder="1"/>
    <xf numFmtId="0" fontId="53" fillId="23" borderId="0" xfId="0" applyFont="1" applyFill="1" applyBorder="1" applyAlignment="1">
      <alignment horizontal="center"/>
    </xf>
    <xf numFmtId="0" fontId="53" fillId="23" borderId="0" xfId="0" applyFont="1" applyFill="1"/>
    <xf numFmtId="3" fontId="49" fillId="27" borderId="0" xfId="0" applyNumberFormat="1" applyFont="1" applyFill="1" applyBorder="1" applyAlignment="1">
      <alignment horizontal="right" indent="1"/>
    </xf>
    <xf numFmtId="0" fontId="43" fillId="23" borderId="0" xfId="0" applyFont="1" applyFill="1"/>
    <xf numFmtId="0" fontId="0" fillId="27" borderId="17" xfId="0" applyFill="1" applyBorder="1"/>
    <xf numFmtId="0" fontId="49" fillId="27" borderId="43" xfId="0" applyFont="1" applyFill="1" applyBorder="1"/>
    <xf numFmtId="0" fontId="0" fillId="24" borderId="19" xfId="0" applyFill="1" applyBorder="1"/>
    <xf numFmtId="0" fontId="0" fillId="23" borderId="0" xfId="0" applyFill="1" applyAlignment="1">
      <alignment horizontal="right"/>
    </xf>
    <xf numFmtId="0" fontId="55" fillId="23" borderId="0" xfId="0" applyFont="1" applyFill="1" applyBorder="1" applyAlignment="1">
      <alignment horizontal="right"/>
    </xf>
    <xf numFmtId="4" fontId="56" fillId="0" borderId="0" xfId="0" applyNumberFormat="1" applyFont="1"/>
    <xf numFmtId="4" fontId="0" fillId="0" borderId="0" xfId="0" applyNumberFormat="1"/>
    <xf numFmtId="0" fontId="56" fillId="0" borderId="0" xfId="0" applyFont="1"/>
    <xf numFmtId="0" fontId="29" fillId="20" borderId="37" xfId="0" applyFont="1" applyFill="1" applyBorder="1" applyAlignment="1"/>
    <xf numFmtId="0" fontId="41" fillId="24" borderId="0" xfId="0" applyFont="1" applyFill="1" applyBorder="1" applyAlignment="1">
      <alignment vertical="center" wrapText="1"/>
    </xf>
    <xf numFmtId="3" fontId="6" fillId="19" borderId="66" xfId="0" applyNumberFormat="1" applyFont="1" applyFill="1" applyBorder="1" applyAlignment="1">
      <alignment horizontal="right" vertical="center" indent="1"/>
    </xf>
    <xf numFmtId="3" fontId="6" fillId="19" borderId="67" xfId="0" applyNumberFormat="1" applyFont="1" applyFill="1" applyBorder="1" applyAlignment="1">
      <alignment horizontal="right" vertical="center" indent="1"/>
    </xf>
    <xf numFmtId="3" fontId="6" fillId="24" borderId="67" xfId="0" applyNumberFormat="1" applyFont="1" applyFill="1" applyBorder="1" applyAlignment="1">
      <alignment horizontal="right" vertical="center" indent="1"/>
    </xf>
    <xf numFmtId="3" fontId="7" fillId="22" borderId="43" xfId="0" applyNumberFormat="1" applyFont="1" applyFill="1" applyBorder="1" applyAlignment="1">
      <alignment horizontal="right" vertical="center" indent="1"/>
    </xf>
    <xf numFmtId="0" fontId="7" fillId="19" borderId="12" xfId="0" applyFont="1" applyFill="1" applyBorder="1" applyAlignment="1"/>
    <xf numFmtId="164" fontId="0" fillId="0" borderId="0" xfId="0" applyNumberFormat="1"/>
    <xf numFmtId="3" fontId="6" fillId="19" borderId="0" xfId="0" applyNumberFormat="1" applyFont="1" applyFill="1" applyBorder="1" applyAlignment="1">
      <alignment horizontal="right" indent="1"/>
    </xf>
    <xf numFmtId="0" fontId="0" fillId="19" borderId="43" xfId="0" applyFill="1" applyBorder="1" applyAlignment="1"/>
    <xf numFmtId="0" fontId="6" fillId="19" borderId="43" xfId="0" applyFont="1" applyFill="1" applyBorder="1" applyAlignment="1"/>
    <xf numFmtId="0" fontId="53" fillId="0" borderId="0" xfId="0" applyFont="1"/>
    <xf numFmtId="3" fontId="7" fillId="22" borderId="68" xfId="0" applyNumberFormat="1" applyFont="1" applyFill="1" applyBorder="1" applyAlignment="1">
      <alignment horizontal="right" vertical="center" indent="1"/>
    </xf>
    <xf numFmtId="3" fontId="6" fillId="22" borderId="68" xfId="0" applyNumberFormat="1" applyFont="1" applyFill="1" applyBorder="1" applyAlignment="1">
      <alignment horizontal="right" vertical="center" indent="1"/>
    </xf>
    <xf numFmtId="0" fontId="6" fillId="20" borderId="36" xfId="0" applyFont="1" applyFill="1" applyBorder="1"/>
    <xf numFmtId="0" fontId="6" fillId="20" borderId="37" xfId="0" applyFont="1" applyFill="1" applyBorder="1"/>
    <xf numFmtId="0" fontId="6" fillId="20" borderId="38" xfId="0" applyFont="1" applyFill="1" applyBorder="1"/>
    <xf numFmtId="0" fontId="6" fillId="20" borderId="43" xfId="0" applyFont="1" applyFill="1" applyBorder="1"/>
    <xf numFmtId="0" fontId="3" fillId="20" borderId="43" xfId="0" applyFont="1" applyFill="1" applyBorder="1"/>
    <xf numFmtId="0" fontId="38" fillId="17" borderId="0" xfId="0" applyFont="1" applyFill="1" applyBorder="1"/>
    <xf numFmtId="3" fontId="6" fillId="19" borderId="0" xfId="0" applyNumberFormat="1" applyFont="1" applyFill="1" applyBorder="1" applyAlignment="1">
      <alignment horizontal="center"/>
    </xf>
    <xf numFmtId="0" fontId="6" fillId="19" borderId="12" xfId="0" applyFont="1" applyFill="1" applyBorder="1" applyAlignment="1">
      <alignment vertical="center"/>
    </xf>
    <xf numFmtId="0" fontId="6" fillId="19" borderId="0" xfId="0" applyFont="1" applyFill="1" applyBorder="1" applyAlignment="1">
      <alignment vertical="center"/>
    </xf>
    <xf numFmtId="0" fontId="6" fillId="19" borderId="13" xfId="0" applyFont="1" applyFill="1" applyBorder="1" applyAlignment="1">
      <alignment vertical="center"/>
    </xf>
    <xf numFmtId="0" fontId="6" fillId="23" borderId="0" xfId="0" applyFont="1" applyFill="1" applyBorder="1" applyAlignment="1">
      <alignment vertical="center"/>
    </xf>
    <xf numFmtId="164" fontId="6" fillId="23" borderId="0" xfId="0" applyNumberFormat="1" applyFont="1" applyFill="1" applyAlignment="1">
      <alignment vertical="center"/>
    </xf>
    <xf numFmtId="164" fontId="6" fillId="0" borderId="0" xfId="0" applyNumberFormat="1" applyFont="1" applyAlignment="1">
      <alignment vertical="center"/>
    </xf>
    <xf numFmtId="0" fontId="6" fillId="0" borderId="0" xfId="0" applyFont="1" applyAlignment="1">
      <alignment vertical="center"/>
    </xf>
    <xf numFmtId="0" fontId="6" fillId="19" borderId="0" xfId="0" applyFont="1" applyFill="1" applyBorder="1" applyAlignment="1">
      <alignment horizontal="left" vertical="center"/>
    </xf>
    <xf numFmtId="0" fontId="7" fillId="19" borderId="0" xfId="0" applyFont="1" applyFill="1" applyBorder="1" applyAlignment="1">
      <alignment horizontal="right" vertical="center"/>
    </xf>
    <xf numFmtId="0" fontId="7" fillId="19" borderId="0" xfId="0" applyFont="1" applyFill="1" applyBorder="1" applyAlignment="1">
      <alignment vertical="center"/>
    </xf>
    <xf numFmtId="0" fontId="7" fillId="23" borderId="0" xfId="0" applyFont="1" applyFill="1" applyBorder="1" applyAlignment="1">
      <alignment vertical="center"/>
    </xf>
    <xf numFmtId="3" fontId="7" fillId="19" borderId="0" xfId="0" applyNumberFormat="1" applyFont="1" applyFill="1" applyBorder="1" applyAlignment="1">
      <alignment horizontal="right" vertical="center" wrapText="1" indent="1"/>
    </xf>
    <xf numFmtId="0" fontId="0" fillId="19" borderId="12" xfId="0" applyFill="1" applyBorder="1" applyAlignment="1">
      <alignment vertical="center"/>
    </xf>
    <xf numFmtId="0" fontId="0" fillId="19" borderId="0" xfId="0" applyFill="1" applyBorder="1" applyAlignment="1">
      <alignment vertical="center"/>
    </xf>
    <xf numFmtId="3" fontId="0" fillId="19" borderId="0" xfId="0" applyNumberFormat="1" applyFill="1" applyBorder="1" applyAlignment="1">
      <alignment horizontal="right" vertical="center" indent="1"/>
    </xf>
    <xf numFmtId="3" fontId="57" fillId="23" borderId="0" xfId="0" applyNumberFormat="1" applyFont="1" applyFill="1" applyBorder="1" applyAlignment="1">
      <alignment vertical="center"/>
    </xf>
    <xf numFmtId="0" fontId="6" fillId="23" borderId="0" xfId="0" applyFont="1" applyFill="1" applyAlignment="1">
      <alignment vertical="center"/>
    </xf>
    <xf numFmtId="3" fontId="41" fillId="23" borderId="0" xfId="0" applyNumberFormat="1" applyFont="1" applyFill="1" applyBorder="1" applyAlignment="1">
      <alignment vertical="center"/>
    </xf>
    <xf numFmtId="0" fontId="0" fillId="22" borderId="0" xfId="0" applyFill="1" applyBorder="1" applyAlignment="1">
      <alignment vertical="center"/>
    </xf>
    <xf numFmtId="0" fontId="6" fillId="22" borderId="13" xfId="0" applyFont="1" applyFill="1" applyBorder="1" applyAlignment="1">
      <alignment vertical="center"/>
    </xf>
    <xf numFmtId="3" fontId="58" fillId="23" borderId="0" xfId="0" applyNumberFormat="1" applyFont="1" applyFill="1" applyBorder="1" applyAlignment="1">
      <alignment vertical="center"/>
    </xf>
    <xf numFmtId="3" fontId="6" fillId="23" borderId="0" xfId="0" applyNumberFormat="1" applyFont="1" applyFill="1" applyAlignment="1">
      <alignment vertical="center"/>
    </xf>
    <xf numFmtId="3" fontId="6" fillId="23" borderId="0" xfId="0" applyNumberFormat="1" applyFont="1" applyFill="1" applyBorder="1" applyAlignment="1">
      <alignment vertical="center"/>
    </xf>
    <xf numFmtId="0" fontId="35" fillId="17" borderId="17" xfId="0" applyFont="1" applyFill="1" applyBorder="1"/>
    <xf numFmtId="0" fontId="6" fillId="17" borderId="19" xfId="0" applyFont="1" applyFill="1" applyBorder="1"/>
    <xf numFmtId="3" fontId="2" fillId="20" borderId="43" xfId="0" applyNumberFormat="1" applyFont="1" applyFill="1" applyBorder="1" applyAlignment="1">
      <alignment horizontal="center"/>
    </xf>
    <xf numFmtId="3" fontId="2" fillId="20" borderId="43" xfId="0" applyNumberFormat="1" applyFont="1" applyFill="1" applyBorder="1" applyAlignment="1">
      <alignment horizontal="right"/>
    </xf>
    <xf numFmtId="0" fontId="6" fillId="20" borderId="64" xfId="0" applyFont="1" applyFill="1" applyBorder="1" applyAlignment="1"/>
    <xf numFmtId="0" fontId="0" fillId="19" borderId="64" xfId="0" applyFill="1" applyBorder="1"/>
    <xf numFmtId="0" fontId="38" fillId="23" borderId="0" xfId="0" applyFont="1" applyFill="1" applyBorder="1" applyAlignment="1">
      <alignment horizontal="center" vertical="center" wrapText="1"/>
    </xf>
    <xf numFmtId="0" fontId="38" fillId="23" borderId="0" xfId="0" applyFont="1" applyFill="1" applyBorder="1" applyAlignment="1">
      <alignment horizontal="center" vertical="center"/>
    </xf>
    <xf numFmtId="0" fontId="43" fillId="23" borderId="0" xfId="0" applyFont="1" applyFill="1" applyBorder="1" applyAlignment="1">
      <alignment horizontal="right"/>
    </xf>
    <xf numFmtId="0" fontId="44" fillId="23" borderId="0" xfId="0" applyFont="1" applyFill="1" applyBorder="1" applyAlignment="1">
      <alignment horizontal="center" vertical="center"/>
    </xf>
    <xf numFmtId="0" fontId="60" fillId="20" borderId="12" xfId="0" applyFont="1" applyFill="1" applyBorder="1" applyAlignment="1">
      <alignment horizontal="center"/>
    </xf>
    <xf numFmtId="0" fontId="60" fillId="20" borderId="0" xfId="0" applyFont="1" applyFill="1" applyBorder="1" applyAlignment="1">
      <alignment horizontal="center"/>
    </xf>
    <xf numFmtId="0" fontId="60" fillId="20" borderId="13" xfId="0" applyFont="1" applyFill="1" applyBorder="1" applyAlignment="1">
      <alignment horizontal="center"/>
    </xf>
    <xf numFmtId="0" fontId="38" fillId="0" borderId="0" xfId="0" applyFont="1" applyBorder="1" applyAlignment="1">
      <alignment horizontal="center" wrapText="1"/>
    </xf>
    <xf numFmtId="0" fontId="6" fillId="0" borderId="0" xfId="0" applyFont="1" applyBorder="1" applyAlignment="1">
      <alignment horizontal="center"/>
    </xf>
    <xf numFmtId="0" fontId="44" fillId="23" borderId="0" xfId="0" applyFont="1" applyFill="1" applyBorder="1" applyAlignment="1">
      <alignment horizontal="center"/>
    </xf>
    <xf numFmtId="3" fontId="44" fillId="23" borderId="0" xfId="0" applyNumberFormat="1" applyFont="1" applyFill="1" applyBorder="1" applyAlignment="1">
      <alignment horizontal="center"/>
    </xf>
    <xf numFmtId="0" fontId="3" fillId="0" borderId="0" xfId="0" applyFont="1" applyFill="1" applyBorder="1" applyAlignment="1"/>
    <xf numFmtId="167" fontId="2" fillId="29" borderId="0" xfId="0" applyNumberFormat="1" applyFont="1" applyFill="1" applyAlignment="1"/>
    <xf numFmtId="0" fontId="2" fillId="29" borderId="0" xfId="0" applyFont="1" applyFill="1" applyAlignment="1"/>
    <xf numFmtId="0" fontId="0" fillId="29" borderId="0" xfId="0" applyFill="1" applyAlignment="1"/>
    <xf numFmtId="3" fontId="27" fillId="29" borderId="15" xfId="0" applyNumberFormat="1" applyFont="1" applyFill="1" applyBorder="1" applyAlignment="1" applyProtection="1">
      <alignment vertical="top"/>
    </xf>
    <xf numFmtId="0" fontId="0" fillId="29" borderId="0" xfId="0" applyFill="1" applyBorder="1" applyAlignment="1"/>
    <xf numFmtId="3" fontId="6" fillId="0" borderId="0" xfId="0" applyNumberFormat="1" applyFont="1" applyFill="1" applyBorder="1" applyAlignment="1">
      <alignment horizontal="right" vertical="center" indent="1"/>
    </xf>
    <xf numFmtId="3" fontId="6" fillId="0" borderId="0" xfId="0" applyNumberFormat="1" applyFont="1" applyFill="1" applyBorder="1" applyAlignment="1" applyProtection="1">
      <alignment horizontal="right" vertical="center" indent="1"/>
      <protection locked="0"/>
    </xf>
    <xf numFmtId="3" fontId="6" fillId="30" borderId="0" xfId="0" applyNumberFormat="1" applyFont="1" applyFill="1" applyBorder="1" applyAlignment="1">
      <alignment horizontal="right" vertical="center" indent="1"/>
    </xf>
    <xf numFmtId="3" fontId="6" fillId="30" borderId="0" xfId="0" applyNumberFormat="1" applyFont="1" applyFill="1" applyBorder="1" applyAlignment="1" applyProtection="1">
      <alignment horizontal="right" vertical="center" indent="1"/>
      <protection locked="0"/>
    </xf>
    <xf numFmtId="0" fontId="6" fillId="30" borderId="0" xfId="0" applyFont="1" applyFill="1" applyBorder="1"/>
    <xf numFmtId="3" fontId="49" fillId="30" borderId="0" xfId="0" applyNumberFormat="1" applyFont="1" applyFill="1" applyBorder="1" applyAlignment="1">
      <alignment horizontal="right" indent="1"/>
    </xf>
    <xf numFmtId="9" fontId="6" fillId="19" borderId="66" xfId="0" applyNumberFormat="1" applyFont="1" applyFill="1" applyBorder="1" applyAlignment="1">
      <alignment horizontal="right" vertical="center" indent="1"/>
    </xf>
    <xf numFmtId="9" fontId="6" fillId="19" borderId="67" xfId="0" applyNumberFormat="1" applyFont="1" applyFill="1" applyBorder="1" applyAlignment="1">
      <alignment horizontal="right" vertical="center" indent="1"/>
    </xf>
    <xf numFmtId="9" fontId="6" fillId="19" borderId="0" xfId="0" applyNumberFormat="1" applyFont="1" applyFill="1" applyBorder="1" applyAlignment="1">
      <alignment horizontal="right" vertical="center" indent="1"/>
    </xf>
    <xf numFmtId="0" fontId="0" fillId="22" borderId="0" xfId="0" applyFill="1" applyBorder="1"/>
    <xf numFmtId="9" fontId="6" fillId="22" borderId="67" xfId="0" applyNumberFormat="1" applyFont="1" applyFill="1" applyBorder="1" applyAlignment="1">
      <alignment horizontal="right" vertical="center" indent="1"/>
    </xf>
    <xf numFmtId="9" fontId="6" fillId="19" borderId="0" xfId="56" applyNumberFormat="1" applyFont="1" applyFill="1" applyBorder="1" applyAlignment="1">
      <alignment horizontal="right" vertical="center" indent="1"/>
    </xf>
    <xf numFmtId="1" fontId="2" fillId="20" borderId="41" xfId="0" applyNumberFormat="1" applyFont="1" applyFill="1" applyBorder="1" applyAlignment="1">
      <alignment horizontal="center"/>
    </xf>
    <xf numFmtId="1" fontId="2" fillId="20" borderId="70" xfId="0" applyNumberFormat="1" applyFont="1" applyFill="1" applyBorder="1" applyAlignment="1">
      <alignment horizontal="center"/>
    </xf>
    <xf numFmtId="0" fontId="2" fillId="29" borderId="25" xfId="0" applyFont="1" applyFill="1" applyBorder="1"/>
    <xf numFmtId="0" fontId="0" fillId="29" borderId="25" xfId="0" applyFill="1" applyBorder="1"/>
    <xf numFmtId="0" fontId="2" fillId="20" borderId="27" xfId="0" applyFont="1" applyFill="1" applyBorder="1" applyAlignment="1">
      <alignment horizontal="center"/>
    </xf>
    <xf numFmtId="1" fontId="2" fillId="20" borderId="25" xfId="0" applyNumberFormat="1" applyFont="1" applyFill="1" applyBorder="1" applyAlignment="1">
      <alignment horizontal="center"/>
    </xf>
    <xf numFmtId="0" fontId="2" fillId="20" borderId="27" xfId="0" applyFont="1" applyFill="1" applyBorder="1"/>
    <xf numFmtId="0" fontId="3" fillId="0" borderId="0" xfId="0" applyFont="1"/>
    <xf numFmtId="1" fontId="2" fillId="20" borderId="26" xfId="0" applyNumberFormat="1" applyFont="1" applyFill="1" applyBorder="1" applyAlignment="1">
      <alignment horizontal="center"/>
    </xf>
    <xf numFmtId="0" fontId="5" fillId="29" borderId="79" xfId="0" applyFont="1" applyFill="1" applyBorder="1" applyAlignment="1"/>
    <xf numFmtId="0" fontId="0" fillId="29" borderId="79" xfId="0" applyFill="1" applyBorder="1" applyAlignment="1"/>
    <xf numFmtId="0" fontId="0" fillId="29" borderId="79" xfId="0" applyFill="1" applyBorder="1"/>
    <xf numFmtId="1" fontId="2" fillId="29" borderId="26" xfId="0" applyNumberFormat="1" applyFont="1" applyFill="1" applyBorder="1" applyAlignment="1">
      <alignment horizontal="center"/>
    </xf>
    <xf numFmtId="0" fontId="3" fillId="29" borderId="78" xfId="0" applyFont="1" applyFill="1" applyBorder="1" applyAlignment="1">
      <alignment horizontal="center" vertical="top" wrapText="1"/>
    </xf>
    <xf numFmtId="170" fontId="3" fillId="0" borderId="0" xfId="31" applyNumberFormat="1" applyFont="1" applyBorder="1" applyAlignment="1" applyProtection="1">
      <alignment horizontal="left"/>
    </xf>
    <xf numFmtId="3" fontId="6" fillId="19" borderId="0" xfId="0" applyNumberFormat="1" applyFont="1" applyFill="1" applyBorder="1" applyAlignment="1"/>
    <xf numFmtId="3" fontId="0" fillId="19" borderId="0" xfId="0" applyNumberFormat="1" applyFill="1" applyBorder="1" applyAlignment="1">
      <alignment horizontal="right" indent="1"/>
    </xf>
    <xf numFmtId="3" fontId="6" fillId="19" borderId="0" xfId="0" applyNumberFormat="1" applyFont="1" applyFill="1" applyBorder="1" applyAlignment="1">
      <alignment horizontal="right" vertical="top" indent="1"/>
    </xf>
    <xf numFmtId="3" fontId="6" fillId="19" borderId="43" xfId="0" applyNumberFormat="1" applyFont="1" applyFill="1" applyBorder="1" applyAlignment="1"/>
    <xf numFmtId="3" fontId="6" fillId="19" borderId="43" xfId="0" applyNumberFormat="1" applyFont="1" applyFill="1" applyBorder="1" applyAlignment="1">
      <alignment horizontal="right" indent="1"/>
    </xf>
    <xf numFmtId="3" fontId="6" fillId="19" borderId="0" xfId="56" applyNumberFormat="1" applyFont="1" applyFill="1" applyBorder="1" applyAlignment="1">
      <alignment horizontal="right" vertical="center" indent="1"/>
    </xf>
    <xf numFmtId="0" fontId="49" fillId="30" borderId="0" xfId="0" applyFont="1" applyFill="1" applyBorder="1"/>
    <xf numFmtId="0" fontId="6" fillId="30" borderId="12" xfId="0" applyFont="1" applyFill="1" applyBorder="1"/>
    <xf numFmtId="0" fontId="7" fillId="30" borderId="0" xfId="0" applyFont="1" applyFill="1" applyBorder="1"/>
    <xf numFmtId="3" fontId="7" fillId="22" borderId="0" xfId="0" applyNumberFormat="1" applyFont="1" applyFill="1" applyBorder="1" applyAlignment="1">
      <alignment horizontal="right" vertical="center" indent="1"/>
    </xf>
    <xf numFmtId="3" fontId="6" fillId="22" borderId="0" xfId="0" applyNumberFormat="1" applyFont="1" applyFill="1" applyBorder="1" applyAlignment="1">
      <alignment horizontal="right" vertical="center" indent="1"/>
    </xf>
    <xf numFmtId="0" fontId="41" fillId="22" borderId="0" xfId="0" applyFont="1" applyFill="1" applyBorder="1" applyAlignment="1">
      <alignment horizontal="center" vertical="center" wrapText="1"/>
    </xf>
    <xf numFmtId="3" fontId="7" fillId="19" borderId="0" xfId="0" applyNumberFormat="1" applyFont="1" applyFill="1" applyBorder="1" applyAlignment="1">
      <alignment horizontal="right" vertical="center" indent="1"/>
    </xf>
    <xf numFmtId="0" fontId="6" fillId="22" borderId="0" xfId="0" applyFont="1" applyFill="1" applyAlignment="1">
      <alignment horizontal="right" indent="1"/>
    </xf>
    <xf numFmtId="0" fontId="6" fillId="19" borderId="0" xfId="0" applyFont="1" applyFill="1" applyBorder="1" applyAlignment="1">
      <alignment horizontal="right" indent="1"/>
    </xf>
    <xf numFmtId="0" fontId="6" fillId="24" borderId="0" xfId="0" applyFont="1" applyFill="1" applyBorder="1" applyAlignment="1">
      <alignment horizontal="right" indent="1"/>
    </xf>
    <xf numFmtId="3" fontId="6" fillId="24" borderId="0" xfId="0" applyNumberFormat="1" applyFont="1" applyFill="1" applyBorder="1" applyAlignment="1">
      <alignment horizontal="right" indent="1"/>
    </xf>
    <xf numFmtId="0" fontId="6" fillId="24" borderId="45" xfId="0" applyFont="1" applyFill="1" applyBorder="1" applyAlignment="1">
      <alignment horizontal="right" indent="1"/>
    </xf>
    <xf numFmtId="0" fontId="6" fillId="24" borderId="54" xfId="0" applyFont="1" applyFill="1" applyBorder="1" applyAlignment="1">
      <alignment horizontal="right" indent="1"/>
    </xf>
    <xf numFmtId="0" fontId="6" fillId="24" borderId="0" xfId="0" applyFont="1" applyFill="1" applyBorder="1" applyAlignment="1" applyProtection="1">
      <alignment horizontal="right" indent="1"/>
    </xf>
    <xf numFmtId="49" fontId="38" fillId="19" borderId="0" xfId="0" applyNumberFormat="1" applyFont="1" applyFill="1" applyBorder="1" applyAlignment="1" applyProtection="1">
      <alignment horizontal="right" vertical="center" indent="1"/>
      <protection locked="0"/>
    </xf>
    <xf numFmtId="0" fontId="10" fillId="24" borderId="0" xfId="0" applyFont="1" applyFill="1" applyBorder="1" applyAlignment="1" applyProtection="1">
      <alignment horizontal="right" indent="1"/>
    </xf>
    <xf numFmtId="3" fontId="7" fillId="17" borderId="0" xfId="0" applyNumberFormat="1" applyFont="1" applyFill="1" applyBorder="1" applyAlignment="1">
      <alignment horizontal="right" vertical="center" indent="1"/>
    </xf>
    <xf numFmtId="3" fontId="6" fillId="17" borderId="0" xfId="0" applyNumberFormat="1" applyFont="1" applyFill="1" applyBorder="1" applyAlignment="1" applyProtection="1">
      <alignment horizontal="right" vertical="center" indent="1"/>
    </xf>
    <xf numFmtId="0" fontId="6" fillId="17" borderId="45" xfId="0" applyFont="1" applyFill="1" applyBorder="1" applyAlignment="1" applyProtection="1">
      <alignment horizontal="right" indent="1"/>
    </xf>
    <xf numFmtId="0" fontId="6" fillId="0" borderId="0" xfId="0" applyFont="1" applyFill="1" applyBorder="1" applyAlignment="1">
      <alignment horizontal="right" indent="1"/>
    </xf>
    <xf numFmtId="0" fontId="6" fillId="17" borderId="54" xfId="0" applyFont="1" applyFill="1" applyBorder="1" applyAlignment="1">
      <alignment horizontal="right" indent="1"/>
    </xf>
    <xf numFmtId="0" fontId="6" fillId="25" borderId="47" xfId="0" applyFont="1" applyFill="1" applyBorder="1" applyAlignment="1">
      <alignment horizontal="right" indent="1"/>
    </xf>
    <xf numFmtId="0" fontId="6" fillId="25" borderId="0" xfId="0" applyFont="1" applyFill="1" applyBorder="1" applyAlignment="1">
      <alignment horizontal="right" indent="1"/>
    </xf>
    <xf numFmtId="0" fontId="6" fillId="25" borderId="49" xfId="0" applyFont="1" applyFill="1" applyBorder="1" applyAlignment="1">
      <alignment horizontal="right" indent="1"/>
    </xf>
    <xf numFmtId="0" fontId="6" fillId="22" borderId="0" xfId="0" applyFont="1" applyFill="1" applyBorder="1" applyAlignment="1">
      <alignment horizontal="right" indent="1"/>
    </xf>
    <xf numFmtId="0" fontId="6" fillId="19" borderId="0" xfId="0" applyFont="1" applyFill="1" applyBorder="1" applyAlignment="1" applyProtection="1">
      <alignment horizontal="right" indent="1"/>
      <protection locked="0"/>
    </xf>
    <xf numFmtId="0" fontId="6" fillId="19" borderId="56" xfId="0" applyFont="1" applyFill="1" applyBorder="1" applyAlignment="1">
      <alignment horizontal="right" indent="1"/>
    </xf>
    <xf numFmtId="0" fontId="6" fillId="24" borderId="56" xfId="0" applyFont="1" applyFill="1" applyBorder="1" applyAlignment="1">
      <alignment horizontal="right" indent="1"/>
    </xf>
    <xf numFmtId="0" fontId="6" fillId="19" borderId="0" xfId="0" applyFont="1" applyFill="1" applyBorder="1" applyAlignment="1" applyProtection="1">
      <alignment horizontal="right" vertical="top" indent="1"/>
      <protection locked="0"/>
    </xf>
    <xf numFmtId="0" fontId="38" fillId="19" borderId="0" xfId="0" applyFont="1" applyFill="1" applyBorder="1" applyAlignment="1">
      <alignment horizontal="right" vertical="top" indent="1"/>
    </xf>
    <xf numFmtId="0" fontId="6" fillId="19" borderId="55" xfId="0" applyFont="1" applyFill="1" applyBorder="1" applyAlignment="1">
      <alignment horizontal="right" indent="1"/>
    </xf>
    <xf numFmtId="0" fontId="6" fillId="24" borderId="55" xfId="0" applyFont="1" applyFill="1" applyBorder="1" applyAlignment="1">
      <alignment horizontal="right" indent="1"/>
    </xf>
    <xf numFmtId="0" fontId="0" fillId="19" borderId="56" xfId="0" applyFill="1" applyBorder="1" applyAlignment="1" applyProtection="1">
      <alignment horizontal="right" indent="1"/>
      <protection locked="0"/>
    </xf>
    <xf numFmtId="0" fontId="0" fillId="19" borderId="56" xfId="0" applyFill="1" applyBorder="1" applyAlignment="1">
      <alignment horizontal="right" indent="1"/>
    </xf>
    <xf numFmtId="0" fontId="0" fillId="24" borderId="56" xfId="0" applyFill="1" applyBorder="1" applyAlignment="1">
      <alignment horizontal="right" indent="1"/>
    </xf>
    <xf numFmtId="0" fontId="0" fillId="19" borderId="0" xfId="0" applyFill="1" applyBorder="1" applyAlignment="1" applyProtection="1">
      <alignment horizontal="right" indent="1"/>
      <protection locked="0"/>
    </xf>
    <xf numFmtId="0" fontId="0" fillId="19" borderId="0" xfId="0" applyFill="1" applyBorder="1" applyAlignment="1">
      <alignment horizontal="right" indent="1"/>
    </xf>
    <xf numFmtId="0" fontId="49" fillId="27" borderId="64" xfId="0" applyFont="1" applyFill="1" applyBorder="1" applyAlignment="1" applyProtection="1">
      <alignment horizontal="right" indent="1"/>
      <protection locked="0"/>
    </xf>
    <xf numFmtId="0" fontId="49" fillId="27" borderId="64" xfId="0" applyFont="1" applyFill="1" applyBorder="1" applyAlignment="1">
      <alignment horizontal="right" indent="1"/>
    </xf>
    <xf numFmtId="0" fontId="49" fillId="27" borderId="0" xfId="0" applyFont="1" applyFill="1" applyBorder="1" applyAlignment="1" applyProtection="1">
      <alignment horizontal="right" indent="1"/>
      <protection locked="0"/>
    </xf>
    <xf numFmtId="0" fontId="49" fillId="27" borderId="0" xfId="0" applyFont="1" applyFill="1" applyBorder="1" applyAlignment="1">
      <alignment horizontal="right" indent="1"/>
    </xf>
    <xf numFmtId="0" fontId="6" fillId="30" borderId="0" xfId="0" applyFont="1" applyFill="1" applyBorder="1" applyAlignment="1">
      <alignment horizontal="right" indent="1"/>
    </xf>
    <xf numFmtId="3" fontId="0" fillId="0" borderId="0" xfId="0" applyNumberFormat="1" applyFont="1" applyFill="1" applyBorder="1" applyAlignment="1">
      <alignment vertical="top" wrapText="1"/>
    </xf>
    <xf numFmtId="1" fontId="2" fillId="20" borderId="22" xfId="0" applyNumberFormat="1" applyFont="1" applyFill="1" applyBorder="1" applyAlignment="1">
      <alignment horizontal="center"/>
    </xf>
    <xf numFmtId="0" fontId="2" fillId="0" borderId="0" xfId="54"/>
    <xf numFmtId="0" fontId="2" fillId="0" borderId="0" xfId="54" applyBorder="1"/>
    <xf numFmtId="3" fontId="3" fillId="21" borderId="22" xfId="0" applyNumberFormat="1" applyFont="1" applyFill="1" applyBorder="1" applyAlignment="1">
      <alignment horizontal="right"/>
    </xf>
    <xf numFmtId="3" fontId="0" fillId="19" borderId="0" xfId="0" applyNumberFormat="1" applyFill="1" applyBorder="1" applyAlignment="1">
      <alignment horizontal="right" vertical="top" indent="1"/>
    </xf>
    <xf numFmtId="0" fontId="6" fillId="19" borderId="17" xfId="0" applyFont="1" applyFill="1" applyBorder="1"/>
    <xf numFmtId="3" fontId="6" fillId="19" borderId="43" xfId="0" applyNumberFormat="1" applyFont="1" applyFill="1" applyBorder="1" applyAlignment="1">
      <alignment horizontal="left" vertical="center" indent="1"/>
    </xf>
    <xf numFmtId="0" fontId="6" fillId="19" borderId="19" xfId="0" applyFont="1" applyFill="1" applyBorder="1"/>
    <xf numFmtId="3" fontId="7" fillId="31" borderId="0" xfId="0" applyNumberFormat="1" applyFont="1" applyFill="1" applyBorder="1" applyAlignment="1">
      <alignment horizontal="right" vertical="center" indent="1"/>
    </xf>
    <xf numFmtId="3" fontId="6" fillId="31" borderId="0" xfId="0" applyNumberFormat="1" applyFont="1" applyFill="1" applyBorder="1" applyAlignment="1" applyProtection="1">
      <alignment horizontal="right" vertical="center" indent="1"/>
      <protection locked="0"/>
    </xf>
    <xf numFmtId="0" fontId="6" fillId="31" borderId="0" xfId="0" applyFont="1" applyFill="1" applyBorder="1" applyAlignment="1">
      <alignment horizontal="right" indent="1"/>
    </xf>
    <xf numFmtId="0" fontId="6" fillId="20" borderId="63" xfId="0" applyFont="1" applyFill="1" applyBorder="1" applyAlignment="1"/>
    <xf numFmtId="0" fontId="29" fillId="20" borderId="64" xfId="0" applyFont="1" applyFill="1" applyBorder="1" applyAlignment="1"/>
    <xf numFmtId="0" fontId="6" fillId="20" borderId="65" xfId="0" applyFont="1" applyFill="1" applyBorder="1" applyAlignment="1"/>
    <xf numFmtId="0" fontId="0" fillId="19" borderId="63" xfId="0" applyFill="1" applyBorder="1"/>
    <xf numFmtId="0" fontId="0" fillId="19" borderId="65" xfId="0" applyFill="1" applyBorder="1"/>
    <xf numFmtId="0" fontId="0" fillId="19" borderId="63" xfId="0" applyFill="1" applyBorder="1" applyAlignment="1">
      <alignment vertical="top"/>
    </xf>
    <xf numFmtId="0" fontId="0" fillId="19" borderId="64" xfId="0" applyFill="1" applyBorder="1" applyAlignment="1">
      <alignment vertical="top"/>
    </xf>
    <xf numFmtId="0" fontId="7" fillId="19" borderId="64" xfId="0" applyFont="1" applyFill="1" applyBorder="1" applyAlignment="1">
      <alignment vertical="top"/>
    </xf>
    <xf numFmtId="0" fontId="6" fillId="19" borderId="64" xfId="0" applyFont="1" applyFill="1" applyBorder="1" applyAlignment="1">
      <alignment vertical="top"/>
    </xf>
    <xf numFmtId="0" fontId="6" fillId="19" borderId="64" xfId="0" applyFont="1" applyFill="1" applyBorder="1"/>
    <xf numFmtId="3" fontId="6" fillId="19" borderId="64" xfId="0" applyNumberFormat="1" applyFont="1" applyFill="1" applyBorder="1" applyAlignment="1">
      <alignment horizontal="right" vertical="center" indent="1"/>
    </xf>
    <xf numFmtId="3" fontId="6" fillId="24" borderId="64" xfId="0" applyNumberFormat="1" applyFont="1" applyFill="1" applyBorder="1" applyAlignment="1">
      <alignment horizontal="right" vertical="center" indent="1"/>
    </xf>
    <xf numFmtId="0" fontId="0" fillId="24" borderId="64" xfId="0" applyFill="1" applyBorder="1"/>
    <xf numFmtId="0" fontId="0" fillId="22" borderId="19" xfId="0" applyFill="1" applyBorder="1"/>
    <xf numFmtId="0" fontId="31" fillId="23" borderId="0" xfId="0" applyFont="1" applyFill="1" applyBorder="1" applyAlignment="1">
      <alignment horizontal="left"/>
    </xf>
    <xf numFmtId="0" fontId="31" fillId="23" borderId="0" xfId="0" applyFont="1" applyFill="1" applyBorder="1" applyAlignment="1">
      <alignment horizontal="center"/>
    </xf>
    <xf numFmtId="0" fontId="13" fillId="23" borderId="0" xfId="25" applyFill="1"/>
    <xf numFmtId="0" fontId="13" fillId="23" borderId="0" xfId="25" applyFill="1" applyBorder="1"/>
    <xf numFmtId="0" fontId="54" fillId="23" borderId="0" xfId="25" applyFont="1" applyFill="1" applyBorder="1"/>
    <xf numFmtId="4" fontId="13" fillId="23" borderId="0" xfId="25" applyNumberFormat="1" applyFill="1"/>
    <xf numFmtId="4" fontId="56" fillId="23" borderId="0" xfId="0" applyNumberFormat="1" applyFont="1" applyFill="1"/>
    <xf numFmtId="4" fontId="0" fillId="23" borderId="0" xfId="0" applyNumberFormat="1" applyFill="1"/>
    <xf numFmtId="0" fontId="62" fillId="23" borderId="0" xfId="0" applyFont="1" applyFill="1"/>
    <xf numFmtId="0" fontId="63" fillId="23" borderId="0" xfId="25" applyFont="1" applyFill="1"/>
    <xf numFmtId="0" fontId="63" fillId="23" borderId="0" xfId="25" applyFont="1" applyFill="1" applyBorder="1"/>
    <xf numFmtId="0" fontId="63" fillId="23" borderId="0" xfId="25" applyFont="1" applyFill="1" applyBorder="1" applyAlignment="1">
      <alignment horizontal="right"/>
    </xf>
    <xf numFmtId="4" fontId="63" fillId="23" borderId="0" xfId="25" applyNumberFormat="1" applyFont="1" applyFill="1" applyBorder="1"/>
    <xf numFmtId="0" fontId="62" fillId="23" borderId="0" xfId="0" applyFont="1" applyFill="1" applyBorder="1" applyAlignment="1">
      <alignment horizontal="right"/>
    </xf>
    <xf numFmtId="0" fontId="61" fillId="23" borderId="0" xfId="0" applyFont="1" applyFill="1" applyBorder="1"/>
    <xf numFmtId="0" fontId="62" fillId="23" borderId="0" xfId="0" applyFont="1" applyFill="1" applyBorder="1" applyAlignment="1">
      <alignment horizontal="center"/>
    </xf>
    <xf numFmtId="3" fontId="7" fillId="22" borderId="0" xfId="0" applyNumberFormat="1" applyFont="1" applyFill="1" applyBorder="1" applyAlignment="1">
      <alignment horizontal="center" wrapText="1"/>
    </xf>
    <xf numFmtId="3" fontId="0" fillId="22" borderId="0" xfId="0" applyNumberFormat="1" applyFill="1" applyBorder="1"/>
    <xf numFmtId="0" fontId="7" fillId="19" borderId="0" xfId="0" applyFont="1" applyFill="1" applyBorder="1" applyAlignment="1">
      <alignment horizontal="center"/>
    </xf>
    <xf numFmtId="0" fontId="6" fillId="19" borderId="0" xfId="0" applyFont="1" applyFill="1" applyBorder="1" applyAlignment="1">
      <alignment vertical="top" wrapText="1"/>
    </xf>
    <xf numFmtId="0" fontId="7" fillId="19" borderId="0" xfId="0" applyFont="1" applyFill="1" applyBorder="1" applyAlignment="1">
      <alignment vertical="top"/>
    </xf>
    <xf numFmtId="0" fontId="6" fillId="19" borderId="0" xfId="0" applyFont="1" applyFill="1" applyBorder="1" applyAlignment="1">
      <alignment horizontal="center"/>
    </xf>
    <xf numFmtId="0" fontId="7" fillId="19" borderId="0" xfId="0" applyFont="1" applyFill="1" applyBorder="1" applyAlignment="1">
      <alignment horizontal="left"/>
    </xf>
    <xf numFmtId="3" fontId="6" fillId="22" borderId="0" xfId="0" applyNumberFormat="1" applyFont="1" applyFill="1" applyBorder="1" applyAlignment="1">
      <alignment horizontal="right" vertical="center" indent="1"/>
    </xf>
    <xf numFmtId="3" fontId="6" fillId="19" borderId="0" xfId="0" applyNumberFormat="1" applyFont="1" applyFill="1" applyBorder="1" applyAlignment="1" applyProtection="1">
      <alignment horizontal="right" vertical="center" indent="1"/>
      <protection locked="0"/>
    </xf>
    <xf numFmtId="3" fontId="6" fillId="19" borderId="0" xfId="0" applyNumberFormat="1" applyFont="1" applyFill="1" applyBorder="1" applyAlignment="1">
      <alignment horizontal="right" vertical="center" indent="1"/>
    </xf>
    <xf numFmtId="3" fontId="7" fillId="19" borderId="0" xfId="0" applyNumberFormat="1" applyFont="1" applyFill="1" applyBorder="1" applyAlignment="1">
      <alignment horizontal="right" vertical="center" indent="1"/>
    </xf>
    <xf numFmtId="0" fontId="6" fillId="19" borderId="0" xfId="0" applyFont="1" applyFill="1" applyBorder="1" applyAlignment="1">
      <alignment vertical="top" wrapText="1"/>
    </xf>
    <xf numFmtId="3" fontId="7" fillId="22" borderId="0" xfId="0" applyNumberFormat="1" applyFont="1" applyFill="1" applyBorder="1" applyAlignment="1">
      <alignment vertical="center"/>
    </xf>
    <xf numFmtId="0" fontId="7" fillId="19" borderId="0" xfId="0" applyFont="1" applyFill="1" applyBorder="1" applyAlignment="1">
      <alignment horizontal="center"/>
    </xf>
    <xf numFmtId="0" fontId="7" fillId="19" borderId="0" xfId="0" applyFont="1" applyFill="1" applyBorder="1" applyAlignment="1">
      <alignment horizontal="left" vertical="top"/>
    </xf>
    <xf numFmtId="0" fontId="6" fillId="20" borderId="0" xfId="0" applyFont="1" applyFill="1" applyBorder="1" applyAlignment="1">
      <alignment horizontal="center"/>
    </xf>
    <xf numFmtId="0" fontId="6" fillId="20" borderId="13" xfId="0" applyFont="1" applyFill="1" applyBorder="1" applyAlignment="1">
      <alignment horizontal="center"/>
    </xf>
    <xf numFmtId="0" fontId="7" fillId="19" borderId="0" xfId="0" applyFont="1" applyFill="1" applyBorder="1" applyAlignment="1">
      <alignment vertical="top"/>
    </xf>
    <xf numFmtId="3" fontId="7" fillId="19" borderId="0" xfId="0" applyNumberFormat="1" applyFont="1" applyFill="1" applyBorder="1" applyAlignment="1">
      <alignment horizontal="center" vertical="center" wrapText="1"/>
    </xf>
    <xf numFmtId="3" fontId="6" fillId="19" borderId="0" xfId="0" applyNumberFormat="1" applyFont="1" applyFill="1" applyBorder="1" applyAlignment="1" applyProtection="1">
      <alignment horizontal="right" vertical="center" indent="1"/>
      <protection locked="0"/>
    </xf>
    <xf numFmtId="3" fontId="6" fillId="19" borderId="0" xfId="0" applyNumberFormat="1" applyFont="1" applyFill="1" applyBorder="1" applyAlignment="1">
      <alignment horizontal="right" vertical="center" indent="1"/>
    </xf>
    <xf numFmtId="3" fontId="7" fillId="22" borderId="0" xfId="0" applyNumberFormat="1" applyFont="1" applyFill="1" applyBorder="1" applyAlignment="1">
      <alignment horizontal="right" vertical="center" indent="1"/>
    </xf>
    <xf numFmtId="3" fontId="6" fillId="22" borderId="0" xfId="0" applyNumberFormat="1" applyFont="1" applyFill="1" applyBorder="1" applyAlignment="1">
      <alignment horizontal="right" vertical="center" indent="1"/>
    </xf>
    <xf numFmtId="0" fontId="7" fillId="19" borderId="0" xfId="0" applyFont="1" applyFill="1" applyBorder="1" applyAlignment="1">
      <alignment horizontal="left"/>
    </xf>
    <xf numFmtId="0" fontId="7" fillId="19" borderId="0" xfId="0" applyFont="1" applyFill="1" applyBorder="1" applyAlignment="1">
      <alignment horizontal="center" wrapText="1"/>
    </xf>
    <xf numFmtId="0" fontId="41" fillId="19" borderId="0" xfId="0" applyFont="1" applyFill="1" applyBorder="1" applyAlignment="1">
      <alignment horizontal="center" vertical="center" wrapText="1"/>
    </xf>
    <xf numFmtId="0" fontId="59" fillId="20" borderId="12" xfId="0" applyFont="1" applyFill="1" applyBorder="1" applyAlignment="1">
      <alignment horizontal="center"/>
    </xf>
    <xf numFmtId="0" fontId="6" fillId="20" borderId="12" xfId="0" applyFont="1" applyFill="1" applyBorder="1" applyAlignment="1">
      <alignment horizontal="center"/>
    </xf>
    <xf numFmtId="0" fontId="6" fillId="19" borderId="0" xfId="0" applyFont="1" applyFill="1" applyBorder="1" applyAlignment="1">
      <alignment horizontal="center"/>
    </xf>
    <xf numFmtId="3" fontId="7" fillId="19" borderId="0" xfId="0" applyNumberFormat="1" applyFont="1" applyFill="1" applyBorder="1" applyAlignment="1">
      <alignment horizontal="center" vertical="center"/>
    </xf>
    <xf numFmtId="0" fontId="0" fillId="0" borderId="0" xfId="0" applyBorder="1" applyAlignment="1">
      <alignment horizontal="center" vertical="center"/>
    </xf>
    <xf numFmtId="0" fontId="7" fillId="19" borderId="0" xfId="0" applyFont="1" applyFill="1" applyBorder="1" applyAlignment="1">
      <alignment horizontal="center" vertical="center"/>
    </xf>
    <xf numFmtId="3" fontId="7" fillId="19" borderId="0" xfId="0" applyNumberFormat="1" applyFont="1" applyFill="1" applyBorder="1" applyAlignment="1">
      <alignment horizontal="center" wrapText="1"/>
    </xf>
    <xf numFmtId="3" fontId="7" fillId="19" borderId="0" xfId="0" applyNumberFormat="1" applyFont="1" applyFill="1" applyBorder="1" applyAlignment="1">
      <alignment horizontal="right" vertical="center" indent="1"/>
    </xf>
    <xf numFmtId="3" fontId="0" fillId="0" borderId="0" xfId="0" applyNumberFormat="1"/>
    <xf numFmtId="9" fontId="0" fillId="0" borderId="0" xfId="57" applyFont="1"/>
    <xf numFmtId="3" fontId="6" fillId="22" borderId="0" xfId="0" applyNumberFormat="1" applyFont="1" applyFill="1" applyBorder="1" applyAlignment="1">
      <alignment horizontal="center"/>
    </xf>
    <xf numFmtId="3" fontId="0" fillId="22" borderId="0" xfId="0" applyNumberFormat="1" applyFill="1" applyBorder="1" applyAlignment="1">
      <alignment horizontal="center"/>
    </xf>
    <xf numFmtId="3" fontId="2" fillId="0" borderId="0" xfId="0" applyNumberFormat="1" applyFont="1" applyFill="1" applyBorder="1" applyAlignment="1">
      <alignment vertical="top" wrapText="1"/>
    </xf>
    <xf numFmtId="0" fontId="64" fillId="23" borderId="0" xfId="40" applyFont="1" applyFill="1" applyAlignment="1">
      <alignment horizontal="center" vertical="center"/>
    </xf>
    <xf numFmtId="0" fontId="49" fillId="23" borderId="0" xfId="54" applyFont="1" applyFill="1" applyAlignment="1">
      <alignment horizontal="center" vertical="center"/>
    </xf>
    <xf numFmtId="0" fontId="64" fillId="23" borderId="0" xfId="40" applyFont="1" applyFill="1" applyAlignment="1">
      <alignment horizontal="left" vertical="center"/>
    </xf>
    <xf numFmtId="0" fontId="65" fillId="23" borderId="0" xfId="40" applyFont="1" applyFill="1" applyAlignment="1">
      <alignment horizontal="center" vertical="center"/>
    </xf>
    <xf numFmtId="0" fontId="62" fillId="23" borderId="0" xfId="0" applyFont="1" applyFill="1" applyBorder="1"/>
    <xf numFmtId="0" fontId="67" fillId="23" borderId="0" xfId="26" applyFont="1" applyFill="1" applyBorder="1"/>
    <xf numFmtId="3" fontId="7" fillId="22" borderId="64" xfId="0" applyNumberFormat="1" applyFont="1" applyFill="1" applyBorder="1" applyAlignment="1">
      <alignment horizontal="right" vertical="center" indent="1"/>
    </xf>
    <xf numFmtId="3" fontId="6" fillId="22" borderId="64" xfId="0" applyNumberFormat="1" applyFont="1" applyFill="1" applyBorder="1" applyAlignment="1">
      <alignment horizontal="right" vertical="center" indent="1"/>
    </xf>
    <xf numFmtId="0" fontId="0" fillId="22" borderId="0" xfId="0" applyFill="1" applyBorder="1" applyAlignment="1">
      <alignment horizontal="center" wrapText="1"/>
    </xf>
    <xf numFmtId="0" fontId="6" fillId="20" borderId="64" xfId="0" applyFont="1" applyFill="1" applyBorder="1" applyAlignment="1">
      <alignment horizontal="center"/>
    </xf>
    <xf numFmtId="0" fontId="42" fillId="25" borderId="0" xfId="0" applyFont="1" applyFill="1" applyBorder="1"/>
    <xf numFmtId="0" fontId="6" fillId="19" borderId="80" xfId="0" applyFont="1" applyFill="1" applyBorder="1" applyAlignment="1"/>
    <xf numFmtId="0" fontId="6" fillId="19" borderId="81" xfId="0" applyFont="1" applyFill="1" applyBorder="1" applyAlignment="1">
      <alignment vertical="top" wrapText="1"/>
    </xf>
    <xf numFmtId="0" fontId="6" fillId="19" borderId="81" xfId="0" applyFont="1" applyFill="1" applyBorder="1" applyAlignment="1"/>
    <xf numFmtId="3" fontId="7" fillId="22" borderId="81" xfId="0" applyNumberFormat="1" applyFont="1" applyFill="1" applyBorder="1" applyAlignment="1">
      <alignment horizontal="right" vertical="center" indent="1"/>
    </xf>
    <xf numFmtId="3" fontId="7" fillId="19" borderId="81" xfId="0" applyNumberFormat="1" applyFont="1" applyFill="1" applyBorder="1" applyAlignment="1">
      <alignment horizontal="right" vertical="center" indent="1"/>
    </xf>
    <xf numFmtId="3" fontId="6" fillId="19" borderId="81" xfId="0" applyNumberFormat="1" applyFont="1" applyFill="1" applyBorder="1" applyAlignment="1">
      <alignment horizontal="right" vertical="center" indent="1"/>
    </xf>
    <xf numFmtId="3" fontId="6" fillId="19" borderId="81" xfId="0" applyNumberFormat="1" applyFont="1" applyFill="1" applyBorder="1" applyAlignment="1" applyProtection="1">
      <alignment horizontal="right" vertical="center" indent="1"/>
      <protection locked="0"/>
    </xf>
    <xf numFmtId="3" fontId="7" fillId="19" borderId="81" xfId="0" applyNumberFormat="1" applyFont="1" applyFill="1" applyBorder="1" applyAlignment="1" applyProtection="1">
      <alignment horizontal="right" vertical="center" indent="1"/>
      <protection locked="0"/>
    </xf>
    <xf numFmtId="3" fontId="6" fillId="24" borderId="81" xfId="0" applyNumberFormat="1" applyFont="1" applyFill="1" applyBorder="1" applyAlignment="1">
      <alignment horizontal="right" vertical="center" indent="1"/>
    </xf>
    <xf numFmtId="3" fontId="7" fillId="24" borderId="81" xfId="0" applyNumberFormat="1" applyFont="1" applyFill="1" applyBorder="1" applyAlignment="1">
      <alignment horizontal="right" vertical="center" indent="1"/>
    </xf>
    <xf numFmtId="0" fontId="6" fillId="24" borderId="82" xfId="0" applyFont="1" applyFill="1" applyBorder="1" applyAlignment="1">
      <alignment horizontal="right" indent="1"/>
    </xf>
    <xf numFmtId="0" fontId="6" fillId="19" borderId="63" xfId="0" applyFont="1" applyFill="1" applyBorder="1" applyAlignment="1"/>
    <xf numFmtId="0" fontId="6" fillId="19" borderId="64" xfId="0" applyFont="1" applyFill="1" applyBorder="1" applyAlignment="1"/>
    <xf numFmtId="3" fontId="6" fillId="19" borderId="64" xfId="0" applyNumberFormat="1" applyFont="1" applyFill="1" applyBorder="1" applyAlignment="1" applyProtection="1">
      <alignment horizontal="right" vertical="center" indent="1"/>
      <protection locked="0"/>
    </xf>
    <xf numFmtId="0" fontId="6" fillId="19" borderId="64" xfId="0" applyFont="1" applyFill="1" applyBorder="1" applyAlignment="1">
      <alignment horizontal="right" indent="1"/>
    </xf>
    <xf numFmtId="0" fontId="6" fillId="19" borderId="65" xfId="0" applyFont="1" applyFill="1" applyBorder="1"/>
    <xf numFmtId="0" fontId="6" fillId="17" borderId="83" xfId="0" applyFont="1" applyFill="1" applyBorder="1"/>
    <xf numFmtId="0" fontId="6" fillId="17" borderId="84" xfId="0" applyFont="1" applyFill="1" applyBorder="1" applyAlignment="1">
      <alignment vertical="top"/>
    </xf>
    <xf numFmtId="0" fontId="6" fillId="17" borderId="84" xfId="0" applyFont="1" applyFill="1" applyBorder="1"/>
    <xf numFmtId="3" fontId="6" fillId="17" borderId="84" xfId="0" applyNumberFormat="1" applyFont="1" applyFill="1" applyBorder="1" applyAlignment="1">
      <alignment horizontal="right" vertical="center" indent="1"/>
    </xf>
    <xf numFmtId="3" fontId="6" fillId="17" borderId="84" xfId="0" applyNumberFormat="1" applyFont="1" applyFill="1" applyBorder="1" applyAlignment="1" applyProtection="1">
      <alignment horizontal="right" vertical="center" indent="1"/>
      <protection locked="0"/>
    </xf>
    <xf numFmtId="3" fontId="6" fillId="17" borderId="84" xfId="0" applyNumberFormat="1" applyFont="1" applyFill="1" applyBorder="1" applyAlignment="1" applyProtection="1">
      <alignment horizontal="right" vertical="center" indent="1"/>
    </xf>
    <xf numFmtId="0" fontId="6" fillId="17" borderId="85" xfId="0" applyFont="1" applyFill="1" applyBorder="1" applyAlignment="1" applyProtection="1">
      <alignment horizontal="right" indent="1"/>
    </xf>
    <xf numFmtId="167" fontId="2" fillId="29" borderId="65" xfId="0" applyNumberFormat="1" applyFont="1" applyFill="1" applyBorder="1"/>
    <xf numFmtId="1" fontId="2" fillId="20" borderId="43" xfId="0" applyNumberFormat="1" applyFont="1" applyFill="1" applyBorder="1" applyAlignment="1">
      <alignment horizontal="center"/>
    </xf>
    <xf numFmtId="1" fontId="2" fillId="20" borderId="87" xfId="0" applyNumberFormat="1" applyFont="1" applyFill="1" applyBorder="1"/>
    <xf numFmtId="0" fontId="2" fillId="20" borderId="87" xfId="0" applyFont="1" applyFill="1" applyBorder="1"/>
    <xf numFmtId="0" fontId="2" fillId="20" borderId="87" xfId="0" applyFont="1" applyFill="1" applyBorder="1" applyAlignment="1">
      <alignment horizontal="center"/>
    </xf>
    <xf numFmtId="0" fontId="2" fillId="20" borderId="88" xfId="0" applyFont="1" applyFill="1" applyBorder="1" applyAlignment="1">
      <alignment horizontal="center"/>
    </xf>
    <xf numFmtId="1" fontId="2" fillId="20" borderId="43" xfId="0" applyNumberFormat="1" applyFont="1" applyFill="1" applyBorder="1" applyAlignment="1"/>
    <xf numFmtId="0" fontId="2" fillId="20" borderId="43" xfId="0" applyFont="1" applyFill="1" applyBorder="1" applyAlignment="1"/>
    <xf numFmtId="0" fontId="2" fillId="20" borderId="43" xfId="0" applyFont="1" applyFill="1" applyBorder="1" applyAlignment="1">
      <alignment horizontal="center"/>
    </xf>
    <xf numFmtId="0" fontId="2" fillId="20" borderId="19" xfId="0" applyFont="1" applyFill="1" applyBorder="1" applyAlignment="1">
      <alignment horizontal="center"/>
    </xf>
    <xf numFmtId="1" fontId="2" fillId="20" borderId="27" xfId="0" applyNumberFormat="1" applyFont="1" applyFill="1" applyBorder="1" applyAlignment="1">
      <alignment horizontal="center"/>
    </xf>
    <xf numFmtId="1" fontId="2" fillId="20" borderId="19" xfId="0" applyNumberFormat="1" applyFont="1" applyFill="1" applyBorder="1" applyAlignment="1">
      <alignment horizontal="center"/>
    </xf>
    <xf numFmtId="1" fontId="2" fillId="20" borderId="39" xfId="0" applyNumberFormat="1" applyFont="1" applyFill="1" applyBorder="1" applyAlignment="1">
      <alignment horizontal="center"/>
    </xf>
    <xf numFmtId="0" fontId="3" fillId="29" borderId="19" xfId="0" applyFont="1" applyFill="1" applyBorder="1" applyAlignment="1">
      <alignment horizontal="center" wrapText="1"/>
    </xf>
    <xf numFmtId="0" fontId="3" fillId="29" borderId="27" xfId="0" applyFont="1" applyFill="1" applyBorder="1" applyAlignment="1">
      <alignment horizontal="center" wrapText="1"/>
    </xf>
    <xf numFmtId="1" fontId="2" fillId="20" borderId="41" xfId="0" applyNumberFormat="1" applyFont="1" applyFill="1" applyBorder="1" applyAlignment="1"/>
    <xf numFmtId="0" fontId="2" fillId="20" borderId="41" xfId="0" applyFont="1" applyFill="1" applyBorder="1" applyAlignment="1"/>
    <xf numFmtId="0" fontId="2" fillId="20" borderId="41" xfId="0" applyFont="1" applyFill="1" applyBorder="1" applyAlignment="1">
      <alignment horizontal="center"/>
    </xf>
    <xf numFmtId="0" fontId="2" fillId="20" borderId="70" xfId="0" applyFont="1" applyFill="1" applyBorder="1" applyAlignment="1">
      <alignment horizontal="center"/>
    </xf>
    <xf numFmtId="1" fontId="3" fillId="20" borderId="41" xfId="0" applyNumberFormat="1" applyFont="1" applyFill="1" applyBorder="1" applyAlignment="1"/>
    <xf numFmtId="0" fontId="3" fillId="20" borderId="41" xfId="0" applyFont="1" applyFill="1" applyBorder="1" applyAlignment="1">
      <alignment horizontal="center"/>
    </xf>
    <xf numFmtId="0" fontId="3" fillId="29" borderId="70" xfId="0" applyFont="1" applyFill="1" applyBorder="1" applyAlignment="1">
      <alignment horizontal="center"/>
    </xf>
    <xf numFmtId="0" fontId="34" fillId="21" borderId="21" xfId="0" applyFont="1" applyFill="1" applyBorder="1" applyAlignment="1">
      <alignment horizontal="center"/>
    </xf>
    <xf numFmtId="169" fontId="2" fillId="17" borderId="0" xfId="47" applyNumberFormat="1" applyFont="1" applyFill="1" applyBorder="1" applyAlignment="1">
      <alignment horizontal="center"/>
    </xf>
    <xf numFmtId="169" fontId="2" fillId="0" borderId="0" xfId="47" applyNumberFormat="1" applyFont="1" applyFill="1" applyBorder="1" applyAlignment="1">
      <alignment horizontal="center"/>
    </xf>
    <xf numFmtId="0" fontId="9" fillId="0" borderId="0" xfId="0" applyFont="1" applyAlignment="1">
      <alignment horizontal="center"/>
    </xf>
    <xf numFmtId="0" fontId="0" fillId="20" borderId="26" xfId="0" applyFill="1" applyBorder="1" applyAlignment="1"/>
    <xf numFmtId="0" fontId="0" fillId="20" borderId="26" xfId="0" applyFill="1" applyBorder="1" applyAlignment="1">
      <alignment vertical="top"/>
    </xf>
    <xf numFmtId="0" fontId="0" fillId="29" borderId="26" xfId="0" applyFill="1" applyBorder="1" applyAlignment="1">
      <alignment vertical="top"/>
    </xf>
    <xf numFmtId="0" fontId="3" fillId="0" borderId="3" xfId="0" applyFont="1" applyBorder="1" applyAlignment="1"/>
    <xf numFmtId="0" fontId="3" fillId="0" borderId="3" xfId="0" applyFont="1" applyFill="1" applyBorder="1" applyAlignment="1"/>
    <xf numFmtId="0" fontId="3" fillId="0" borderId="3" xfId="0" applyFont="1" applyBorder="1"/>
    <xf numFmtId="1" fontId="3" fillId="20" borderId="69" xfId="0" applyNumberFormat="1" applyFont="1" applyFill="1" applyBorder="1" applyAlignment="1">
      <alignment horizontal="center"/>
    </xf>
    <xf numFmtId="1" fontId="34" fillId="21" borderId="20" xfId="0" applyNumberFormat="1" applyFont="1" applyFill="1" applyBorder="1" applyAlignment="1">
      <alignment horizontal="center"/>
    </xf>
    <xf numFmtId="1" fontId="2" fillId="20" borderId="69" xfId="0" applyNumberFormat="1" applyFont="1" applyFill="1" applyBorder="1" applyAlignment="1">
      <alignment horizontal="center"/>
    </xf>
    <xf numFmtId="1" fontId="2" fillId="20" borderId="86" xfId="0" applyNumberFormat="1" applyFont="1" applyFill="1" applyBorder="1" applyAlignment="1">
      <alignment horizontal="center"/>
    </xf>
    <xf numFmtId="1" fontId="2" fillId="20" borderId="17" xfId="0" applyNumberFormat="1" applyFont="1" applyFill="1" applyBorder="1" applyAlignment="1">
      <alignment horizontal="center"/>
    </xf>
    <xf numFmtId="1" fontId="3" fillId="20" borderId="70" xfId="0" applyNumberFormat="1" applyFont="1" applyFill="1" applyBorder="1" applyAlignment="1"/>
    <xf numFmtId="167" fontId="32" fillId="29" borderId="26" xfId="0" applyNumberFormat="1" applyFont="1" applyFill="1" applyBorder="1" applyAlignment="1" applyProtection="1"/>
    <xf numFmtId="0" fontId="32" fillId="29" borderId="26" xfId="0" applyFont="1" applyFill="1" applyBorder="1" applyAlignment="1" applyProtection="1"/>
    <xf numFmtId="0" fontId="0" fillId="29" borderId="26" xfId="0" applyFill="1" applyBorder="1"/>
    <xf numFmtId="0" fontId="0" fillId="29" borderId="26" xfId="0" applyFill="1" applyBorder="1" applyAlignment="1">
      <alignment vertical="top" wrapText="1"/>
    </xf>
    <xf numFmtId="0" fontId="3" fillId="0" borderId="3" xfId="0" applyFont="1" applyBorder="1" applyAlignment="1">
      <alignment horizontal="center"/>
    </xf>
    <xf numFmtId="0" fontId="3" fillId="0" borderId="3" xfId="0" quotePrefix="1" applyFont="1" applyBorder="1" applyAlignment="1">
      <alignment horizontal="center"/>
    </xf>
    <xf numFmtId="9" fontId="3" fillId="21" borderId="22" xfId="57" applyFont="1" applyFill="1" applyBorder="1" applyAlignment="1">
      <alignment horizontal="right"/>
    </xf>
    <xf numFmtId="0" fontId="5" fillId="29" borderId="78" xfId="0" applyFont="1" applyFill="1" applyBorder="1" applyAlignment="1"/>
    <xf numFmtId="0" fontId="0" fillId="29" borderId="89" xfId="0" applyFill="1" applyBorder="1" applyAlignment="1"/>
    <xf numFmtId="0" fontId="0" fillId="29" borderId="89" xfId="0" applyFill="1" applyBorder="1"/>
    <xf numFmtId="1" fontId="2" fillId="20" borderId="90" xfId="0" applyNumberFormat="1" applyFont="1" applyFill="1" applyBorder="1" applyAlignment="1">
      <alignment horizontal="center"/>
    </xf>
    <xf numFmtId="167" fontId="32" fillId="20" borderId="89" xfId="0" applyNumberFormat="1" applyFont="1" applyFill="1" applyBorder="1" applyAlignment="1" applyProtection="1"/>
    <xf numFmtId="0" fontId="32" fillId="20" borderId="89" xfId="0" applyFont="1" applyFill="1" applyBorder="1" applyAlignment="1" applyProtection="1"/>
    <xf numFmtId="0" fontId="0" fillId="20" borderId="89" xfId="0" applyFill="1" applyBorder="1"/>
    <xf numFmtId="0" fontId="0" fillId="20" borderId="89" xfId="0" applyFill="1" applyBorder="1" applyAlignment="1">
      <alignment vertical="top" wrapText="1"/>
    </xf>
    <xf numFmtId="0" fontId="0" fillId="20" borderId="92" xfId="0" applyFill="1" applyBorder="1" applyAlignment="1">
      <alignment vertical="top" wrapText="1"/>
    </xf>
    <xf numFmtId="1" fontId="2" fillId="20" borderId="91" xfId="0" applyNumberFormat="1" applyFont="1" applyFill="1" applyBorder="1" applyAlignment="1">
      <alignment horizontal="center"/>
    </xf>
    <xf numFmtId="0" fontId="5" fillId="29" borderId="72" xfId="0" applyFont="1" applyFill="1" applyBorder="1" applyAlignment="1"/>
    <xf numFmtId="0" fontId="3" fillId="29" borderId="76" xfId="0" applyFont="1" applyFill="1" applyBorder="1" applyAlignment="1">
      <alignment horizontal="center" wrapText="1"/>
    </xf>
    <xf numFmtId="0" fontId="6" fillId="19" borderId="0" xfId="0" applyFont="1" applyFill="1" applyBorder="1" applyAlignment="1">
      <alignment vertical="top" wrapText="1"/>
    </xf>
    <xf numFmtId="3" fontId="7" fillId="17" borderId="20" xfId="0" applyNumberFormat="1" applyFont="1" applyFill="1" applyBorder="1" applyAlignment="1">
      <alignment horizontal="right" vertical="center" indent="1"/>
    </xf>
    <xf numFmtId="3" fontId="6" fillId="17" borderId="23" xfId="0" applyNumberFormat="1" applyFont="1" applyFill="1" applyBorder="1" applyAlignment="1">
      <alignment horizontal="right" vertical="center" indent="1"/>
    </xf>
    <xf numFmtId="3" fontId="7" fillId="17" borderId="40" xfId="0" applyNumberFormat="1" applyFont="1" applyFill="1" applyBorder="1" applyAlignment="1">
      <alignment horizontal="right" vertical="center" indent="1"/>
    </xf>
    <xf numFmtId="3" fontId="7" fillId="17" borderId="42" xfId="0" applyNumberFormat="1" applyFont="1" applyFill="1" applyBorder="1" applyAlignment="1">
      <alignment horizontal="right" vertical="center" indent="1"/>
    </xf>
    <xf numFmtId="166" fontId="8" fillId="19" borderId="0" xfId="0" applyNumberFormat="1" applyFont="1" applyFill="1" applyBorder="1" applyAlignment="1">
      <alignment horizontal="center" vertical="center"/>
    </xf>
    <xf numFmtId="3" fontId="7" fillId="17" borderId="69" xfId="0" applyNumberFormat="1" applyFont="1" applyFill="1" applyBorder="1" applyAlignment="1">
      <alignment horizontal="right" vertical="center" indent="1"/>
    </xf>
    <xf numFmtId="0" fontId="0" fillId="0" borderId="70" xfId="0" applyBorder="1" applyAlignment="1">
      <alignment horizontal="right" vertical="center" indent="1"/>
    </xf>
    <xf numFmtId="0" fontId="7" fillId="19" borderId="0" xfId="0" applyFont="1" applyFill="1" applyBorder="1" applyAlignment="1">
      <alignment horizontal="center"/>
    </xf>
    <xf numFmtId="0" fontId="37" fillId="20" borderId="12" xfId="0" applyFont="1" applyFill="1" applyBorder="1" applyAlignment="1">
      <alignment horizontal="center"/>
    </xf>
    <xf numFmtId="0" fontId="37" fillId="20" borderId="0" xfId="0" applyFont="1" applyFill="1" applyBorder="1" applyAlignment="1">
      <alignment horizontal="center"/>
    </xf>
    <xf numFmtId="0" fontId="37" fillId="20" borderId="13" xfId="0" applyFont="1" applyFill="1" applyBorder="1" applyAlignment="1">
      <alignment horizontal="center"/>
    </xf>
    <xf numFmtId="0" fontId="7" fillId="19" borderId="0" xfId="0" applyFont="1" applyFill="1" applyBorder="1" applyAlignment="1">
      <alignment horizontal="left" vertical="top"/>
    </xf>
    <xf numFmtId="0" fontId="9" fillId="20" borderId="12" xfId="0" applyFont="1" applyFill="1" applyBorder="1" applyAlignment="1">
      <alignment horizontal="center"/>
    </xf>
    <xf numFmtId="0" fontId="6" fillId="20" borderId="0" xfId="0" applyFont="1" applyFill="1" applyBorder="1" applyAlignment="1">
      <alignment horizontal="center"/>
    </xf>
    <xf numFmtId="0" fontId="6" fillId="20" borderId="13" xfId="0" applyFont="1" applyFill="1" applyBorder="1" applyAlignment="1">
      <alignment horizontal="center"/>
    </xf>
    <xf numFmtId="0" fontId="6" fillId="0" borderId="0" xfId="0" applyFont="1" applyAlignment="1">
      <alignment vertical="top" wrapText="1"/>
    </xf>
    <xf numFmtId="0" fontId="6" fillId="20" borderId="0" xfId="0" applyFont="1" applyFill="1" applyBorder="1" applyAlignment="1" applyProtection="1">
      <alignment horizontal="center" vertical="top"/>
      <protection locked="0"/>
    </xf>
    <xf numFmtId="0" fontId="6" fillId="20" borderId="17" xfId="0" applyFont="1" applyFill="1" applyBorder="1" applyAlignment="1">
      <alignment horizontal="center"/>
    </xf>
    <xf numFmtId="0" fontId="6" fillId="20" borderId="18" xfId="0" applyFont="1" applyFill="1" applyBorder="1" applyAlignment="1">
      <alignment horizontal="center"/>
    </xf>
    <xf numFmtId="0" fontId="6" fillId="20" borderId="19" xfId="0" applyFont="1" applyFill="1" applyBorder="1" applyAlignment="1">
      <alignment horizontal="center"/>
    </xf>
    <xf numFmtId="0" fontId="7" fillId="19" borderId="0" xfId="0" applyFont="1" applyFill="1" applyBorder="1" applyAlignment="1">
      <alignment vertical="top"/>
    </xf>
    <xf numFmtId="3" fontId="7" fillId="17" borderId="70" xfId="0" applyNumberFormat="1" applyFont="1" applyFill="1" applyBorder="1" applyAlignment="1">
      <alignment horizontal="right" vertical="center" indent="1"/>
    </xf>
    <xf numFmtId="3" fontId="7" fillId="17" borderId="0" xfId="0" applyNumberFormat="1" applyFont="1" applyFill="1" applyBorder="1" applyAlignment="1" applyProtection="1">
      <alignment horizontal="right" vertical="center" indent="1"/>
      <protection locked="0"/>
    </xf>
    <xf numFmtId="3" fontId="7" fillId="17" borderId="0" xfId="0" applyNumberFormat="1" applyFont="1" applyFill="1" applyBorder="1" applyAlignment="1" applyProtection="1">
      <alignment horizontal="right" vertical="center" indent="1"/>
    </xf>
    <xf numFmtId="3" fontId="7" fillId="17" borderId="45" xfId="0" applyNumberFormat="1" applyFont="1" applyFill="1" applyBorder="1" applyAlignment="1" applyProtection="1">
      <alignment horizontal="right" vertical="center" indent="1"/>
    </xf>
    <xf numFmtId="3" fontId="7" fillId="19" borderId="0" xfId="0" applyNumberFormat="1" applyFont="1" applyFill="1" applyBorder="1" applyAlignment="1">
      <alignment horizontal="center" vertical="center" wrapText="1"/>
    </xf>
    <xf numFmtId="3" fontId="7" fillId="19" borderId="43" xfId="0" applyNumberFormat="1" applyFont="1" applyFill="1" applyBorder="1" applyAlignment="1">
      <alignment horizontal="center" vertical="center" wrapText="1"/>
    </xf>
    <xf numFmtId="0" fontId="7" fillId="24" borderId="0" xfId="0" applyFont="1" applyFill="1" applyBorder="1" applyAlignment="1" applyProtection="1">
      <alignment horizontal="right" wrapText="1" indent="1"/>
    </xf>
    <xf numFmtId="3" fontId="7" fillId="19" borderId="0" xfId="0" applyNumberFormat="1" applyFont="1" applyFill="1" applyBorder="1" applyAlignment="1" applyProtection="1">
      <alignment horizontal="center" wrapText="1"/>
      <protection locked="0"/>
    </xf>
    <xf numFmtId="3" fontId="7" fillId="19" borderId="43" xfId="0" applyNumberFormat="1" applyFont="1" applyFill="1" applyBorder="1" applyAlignment="1" applyProtection="1">
      <alignment horizontal="center" wrapText="1"/>
      <protection locked="0"/>
    </xf>
    <xf numFmtId="3" fontId="7" fillId="24" borderId="0" xfId="0" applyNumberFormat="1" applyFont="1" applyFill="1" applyBorder="1" applyAlignment="1">
      <alignment horizontal="center" wrapText="1"/>
    </xf>
    <xf numFmtId="3" fontId="7" fillId="24" borderId="43" xfId="0" applyNumberFormat="1" applyFont="1" applyFill="1" applyBorder="1" applyAlignment="1">
      <alignment horizontal="center" wrapText="1"/>
    </xf>
    <xf numFmtId="3" fontId="6" fillId="19" borderId="0" xfId="0" applyNumberFormat="1" applyFont="1" applyFill="1" applyBorder="1" applyAlignment="1">
      <alignment horizontal="center" vertical="center"/>
    </xf>
    <xf numFmtId="3" fontId="6" fillId="19" borderId="0" xfId="0" applyNumberFormat="1" applyFont="1" applyFill="1" applyBorder="1" applyAlignment="1" applyProtection="1">
      <alignment horizontal="right" vertical="center" indent="1"/>
      <protection locked="0"/>
    </xf>
    <xf numFmtId="3" fontId="6" fillId="19" borderId="0" xfId="0" applyNumberFormat="1" applyFont="1" applyFill="1" applyBorder="1" applyAlignment="1">
      <alignment horizontal="right" vertical="center" indent="1"/>
    </xf>
    <xf numFmtId="3" fontId="7" fillId="22" borderId="0" xfId="0" applyNumberFormat="1" applyFont="1" applyFill="1" applyBorder="1" applyAlignment="1">
      <alignment horizontal="right" vertical="center" indent="1"/>
    </xf>
    <xf numFmtId="3" fontId="6" fillId="22" borderId="0" xfId="0" applyNumberFormat="1" applyFont="1" applyFill="1" applyBorder="1" applyAlignment="1">
      <alignment horizontal="right" vertical="center" indent="1"/>
    </xf>
    <xf numFmtId="0" fontId="7" fillId="19" borderId="0" xfId="0" applyFont="1" applyFill="1" applyBorder="1" applyAlignment="1">
      <alignment horizontal="left"/>
    </xf>
    <xf numFmtId="0" fontId="6" fillId="19" borderId="0" xfId="0" applyFont="1" applyFill="1" applyBorder="1" applyAlignment="1">
      <alignment horizontal="left"/>
    </xf>
    <xf numFmtId="0" fontId="6" fillId="22" borderId="0" xfId="0" applyFont="1" applyFill="1" applyBorder="1" applyAlignment="1">
      <alignment horizontal="left" vertical="top" wrapText="1"/>
    </xf>
    <xf numFmtId="0" fontId="0" fillId="22" borderId="0" xfId="0" applyFill="1" applyBorder="1" applyAlignment="1">
      <alignment horizontal="left" vertical="top" wrapText="1"/>
    </xf>
    <xf numFmtId="3" fontId="7" fillId="26" borderId="0" xfId="0" applyNumberFormat="1" applyFont="1" applyFill="1" applyBorder="1" applyAlignment="1">
      <alignment horizontal="right" vertical="center" indent="1"/>
    </xf>
    <xf numFmtId="0" fontId="7" fillId="22" borderId="0" xfId="0" applyFont="1" applyFill="1" applyBorder="1" applyAlignment="1">
      <alignment horizontal="left" vertical="top" wrapText="1"/>
    </xf>
    <xf numFmtId="0" fontId="7" fillId="19" borderId="43" xfId="0" applyFont="1" applyFill="1" applyBorder="1" applyAlignment="1">
      <alignment horizontal="center"/>
    </xf>
    <xf numFmtId="0" fontId="7" fillId="24" borderId="0" xfId="0" applyFont="1" applyFill="1" applyBorder="1" applyAlignment="1">
      <alignment horizontal="center"/>
    </xf>
    <xf numFmtId="0" fontId="6" fillId="19" borderId="0" xfId="0" applyFont="1" applyFill="1" applyBorder="1" applyAlignment="1">
      <alignment horizontal="left" vertical="top" wrapText="1"/>
    </xf>
    <xf numFmtId="0" fontId="7" fillId="19" borderId="0" xfId="0" applyFont="1" applyFill="1" applyBorder="1" applyAlignment="1">
      <alignment horizontal="center" wrapText="1"/>
    </xf>
    <xf numFmtId="0" fontId="6" fillId="0" borderId="0" xfId="0" applyFont="1" applyBorder="1" applyAlignment="1">
      <alignment wrapText="1"/>
    </xf>
    <xf numFmtId="0" fontId="7" fillId="19" borderId="0" xfId="0" applyFont="1" applyFill="1" applyBorder="1" applyAlignment="1">
      <alignment horizontal="center" vertical="center" wrapText="1"/>
    </xf>
    <xf numFmtId="0" fontId="41" fillId="19" borderId="0" xfId="0" applyFont="1" applyFill="1" applyBorder="1" applyAlignment="1">
      <alignment horizontal="center" vertical="center" wrapText="1"/>
    </xf>
    <xf numFmtId="0" fontId="41" fillId="24" borderId="0" xfId="0" applyFont="1" applyFill="1" applyBorder="1" applyAlignment="1">
      <alignment horizontal="center" vertical="center" wrapText="1"/>
    </xf>
    <xf numFmtId="0" fontId="59" fillId="20" borderId="12" xfId="0" applyFont="1" applyFill="1" applyBorder="1" applyAlignment="1">
      <alignment horizontal="center"/>
    </xf>
    <xf numFmtId="0" fontId="60" fillId="0" borderId="0" xfId="0" applyFont="1" applyBorder="1" applyAlignment="1">
      <alignment horizontal="center"/>
    </xf>
    <xf numFmtId="0" fontId="60" fillId="0" borderId="13" xfId="0" applyFont="1" applyBorder="1" applyAlignment="1">
      <alignment horizontal="center"/>
    </xf>
    <xf numFmtId="0" fontId="6" fillId="20" borderId="12" xfId="0" applyFont="1" applyFill="1" applyBorder="1" applyAlignment="1">
      <alignment horizontal="center"/>
    </xf>
    <xf numFmtId="0" fontId="3" fillId="19" borderId="0" xfId="0" applyFont="1" applyFill="1" applyBorder="1" applyAlignment="1">
      <alignment horizontal="left"/>
    </xf>
    <xf numFmtId="0" fontId="38" fillId="23" borderId="0" xfId="0" applyFont="1" applyFill="1" applyBorder="1" applyAlignment="1">
      <alignment horizontal="left" wrapText="1"/>
    </xf>
    <xf numFmtId="0" fontId="38" fillId="19" borderId="0" xfId="0" applyFont="1" applyFill="1" applyBorder="1" applyAlignment="1">
      <alignment horizontal="left" vertical="center" wrapText="1"/>
    </xf>
    <xf numFmtId="0" fontId="6" fillId="19" borderId="0" xfId="0" applyFont="1" applyFill="1" applyBorder="1" applyAlignment="1">
      <alignment horizontal="center"/>
    </xf>
    <xf numFmtId="0" fontId="31" fillId="23" borderId="0" xfId="0" applyFont="1" applyFill="1" applyBorder="1" applyAlignment="1">
      <alignment horizontal="center"/>
    </xf>
    <xf numFmtId="0" fontId="0" fillId="0" borderId="0" xfId="0" applyBorder="1" applyAlignment="1">
      <alignment vertical="top" wrapText="1"/>
    </xf>
    <xf numFmtId="0" fontId="0" fillId="0" borderId="0" xfId="0" applyBorder="1" applyAlignment="1">
      <alignment wrapText="1"/>
    </xf>
    <xf numFmtId="3" fontId="7" fillId="19" borderId="43" xfId="0" applyNumberFormat="1" applyFont="1" applyFill="1" applyBorder="1" applyAlignment="1">
      <alignment horizontal="center" vertical="center"/>
    </xf>
    <xf numFmtId="0" fontId="0" fillId="0" borderId="43" xfId="0" applyBorder="1" applyAlignment="1">
      <alignment horizontal="center" vertical="center"/>
    </xf>
    <xf numFmtId="3" fontId="7" fillId="24" borderId="0" xfId="0" applyNumberFormat="1" applyFont="1" applyFill="1" applyBorder="1" applyAlignment="1">
      <alignment horizontal="center" vertical="center"/>
    </xf>
    <xf numFmtId="0" fontId="0" fillId="24" borderId="0" xfId="0" applyFill="1" applyBorder="1" applyAlignment="1">
      <alignment horizontal="center" vertical="center"/>
    </xf>
    <xf numFmtId="0" fontId="3" fillId="19" borderId="64" xfId="0" applyFont="1" applyFill="1" applyBorder="1" applyAlignment="1">
      <alignment horizontal="left"/>
    </xf>
    <xf numFmtId="3" fontId="7" fillId="19" borderId="0" xfId="0" applyNumberFormat="1" applyFont="1" applyFill="1" applyBorder="1" applyAlignment="1">
      <alignment horizontal="center" vertical="center"/>
    </xf>
    <xf numFmtId="0" fontId="0" fillId="0" borderId="0" xfId="0" applyBorder="1" applyAlignment="1">
      <alignment horizontal="center" vertical="center"/>
    </xf>
    <xf numFmtId="0" fontId="7" fillId="19" borderId="0" xfId="0" applyFont="1" applyFill="1" applyBorder="1" applyAlignment="1">
      <alignment horizontal="center" vertical="center"/>
    </xf>
    <xf numFmtId="3" fontId="7" fillId="22" borderId="0" xfId="0" applyNumberFormat="1" applyFont="1" applyFill="1" applyBorder="1" applyAlignment="1">
      <alignment horizontal="center" vertical="center"/>
    </xf>
    <xf numFmtId="0" fontId="0" fillId="22" borderId="0" xfId="0" applyFill="1" applyBorder="1" applyAlignment="1">
      <alignment horizontal="center" vertical="center"/>
    </xf>
    <xf numFmtId="9" fontId="7" fillId="17" borderId="69" xfId="0" applyNumberFormat="1" applyFont="1" applyFill="1" applyBorder="1" applyAlignment="1">
      <alignment horizontal="right" vertical="center" indent="1"/>
    </xf>
    <xf numFmtId="9" fontId="7" fillId="17" borderId="70" xfId="0" applyNumberFormat="1" applyFont="1" applyFill="1" applyBorder="1" applyAlignment="1">
      <alignment horizontal="right" vertical="center" indent="1"/>
    </xf>
    <xf numFmtId="3" fontId="7" fillId="19" borderId="0" xfId="0" applyNumberFormat="1" applyFont="1" applyFill="1" applyBorder="1" applyAlignment="1">
      <alignment horizontal="center" wrapText="1"/>
    </xf>
    <xf numFmtId="3" fontId="7" fillId="22" borderId="0" xfId="0" applyNumberFormat="1" applyFont="1" applyFill="1" applyBorder="1" applyAlignment="1">
      <alignment horizontal="center" wrapText="1"/>
    </xf>
    <xf numFmtId="3" fontId="7" fillId="17" borderId="69" xfId="0" applyNumberFormat="1" applyFont="1" applyFill="1" applyBorder="1" applyAlignment="1">
      <alignment horizontal="center" vertical="center"/>
    </xf>
    <xf numFmtId="3" fontId="7" fillId="17" borderId="70" xfId="0" applyNumberFormat="1" applyFont="1" applyFill="1" applyBorder="1" applyAlignment="1">
      <alignment horizontal="center" vertical="center"/>
    </xf>
    <xf numFmtId="3" fontId="67" fillId="23" borderId="0" xfId="26" applyNumberFormat="1" applyFont="1" applyFill="1" applyBorder="1" applyAlignment="1">
      <alignment vertical="center"/>
    </xf>
    <xf numFmtId="0" fontId="0" fillId="0" borderId="0" xfId="0" applyBorder="1" applyAlignment="1">
      <alignment horizontal="center" wrapText="1"/>
    </xf>
    <xf numFmtId="3" fontId="6" fillId="0" borderId="0" xfId="0" applyNumberFormat="1" applyFont="1" applyAlignment="1">
      <alignment horizontal="center"/>
    </xf>
    <xf numFmtId="0" fontId="6" fillId="0" borderId="0" xfId="0" applyFont="1" applyAlignment="1">
      <alignment horizontal="center"/>
    </xf>
    <xf numFmtId="3" fontId="7" fillId="19" borderId="0" xfId="0" applyNumberFormat="1" applyFont="1" applyFill="1" applyBorder="1" applyAlignment="1">
      <alignment horizontal="right" vertical="center" indent="1"/>
    </xf>
    <xf numFmtId="0" fontId="6" fillId="19" borderId="0" xfId="0" applyFont="1" applyFill="1" applyBorder="1" applyAlignment="1">
      <alignment wrapText="1"/>
    </xf>
    <xf numFmtId="0" fontId="0" fillId="0" borderId="0" xfId="0" applyAlignment="1">
      <alignment wrapText="1"/>
    </xf>
    <xf numFmtId="0" fontId="6" fillId="0" borderId="0" xfId="0" applyFont="1" applyBorder="1" applyAlignment="1">
      <alignment horizontal="center" wrapText="1"/>
    </xf>
    <xf numFmtId="0" fontId="6" fillId="20" borderId="37" xfId="0" applyFont="1" applyFill="1" applyBorder="1" applyAlignment="1">
      <alignment horizontal="center"/>
    </xf>
    <xf numFmtId="0" fontId="59" fillId="20" borderId="0" xfId="0" applyFont="1" applyFill="1" applyBorder="1" applyAlignment="1">
      <alignment horizontal="center"/>
    </xf>
    <xf numFmtId="0" fontId="59" fillId="20" borderId="13" xfId="0" applyFont="1" applyFill="1" applyBorder="1" applyAlignment="1">
      <alignment horizontal="center"/>
    </xf>
    <xf numFmtId="0" fontId="2" fillId="0" borderId="0" xfId="0" applyFont="1" applyFill="1" applyBorder="1" applyAlignment="1">
      <alignment horizontal="center" wrapText="1"/>
    </xf>
    <xf numFmtId="0" fontId="0" fillId="0" borderId="0" xfId="0" applyFill="1" applyBorder="1" applyAlignment="1">
      <alignment horizontal="center" wrapText="1"/>
    </xf>
    <xf numFmtId="0" fontId="3" fillId="29" borderId="71" xfId="0" applyFont="1" applyFill="1" applyBorder="1" applyAlignment="1">
      <alignment horizontal="center" wrapText="1"/>
    </xf>
    <xf numFmtId="0" fontId="3" fillId="0" borderId="72" xfId="0" applyFont="1" applyBorder="1" applyAlignment="1">
      <alignment horizontal="center" wrapText="1"/>
    </xf>
    <xf numFmtId="0" fontId="3" fillId="29" borderId="74" xfId="0" applyFont="1" applyFill="1" applyBorder="1" applyAlignment="1">
      <alignment horizontal="center" wrapText="1"/>
    </xf>
    <xf numFmtId="0" fontId="3" fillId="0" borderId="74" xfId="0" applyFont="1" applyBorder="1" applyAlignment="1">
      <alignment horizontal="center" wrapText="1"/>
    </xf>
    <xf numFmtId="0" fontId="3" fillId="0" borderId="75" xfId="0" applyFont="1" applyBorder="1" applyAlignment="1">
      <alignment horizontal="center" wrapText="1"/>
    </xf>
    <xf numFmtId="0" fontId="3" fillId="29" borderId="73" xfId="0" applyFont="1" applyFill="1" applyBorder="1" applyAlignment="1">
      <alignment horizontal="center" wrapText="1"/>
    </xf>
    <xf numFmtId="0" fontId="3" fillId="29" borderId="76" xfId="0" applyFont="1" applyFill="1" applyBorder="1" applyAlignment="1">
      <alignment horizontal="center" vertical="top" wrapText="1"/>
    </xf>
    <xf numFmtId="0" fontId="3" fillId="0" borderId="76" xfId="0" applyFont="1" applyBorder="1" applyAlignment="1">
      <alignment horizontal="center" vertical="top" wrapText="1"/>
    </xf>
    <xf numFmtId="0" fontId="3" fillId="29" borderId="76" xfId="0" applyFont="1" applyFill="1" applyBorder="1" applyAlignment="1">
      <alignment vertical="top" wrapText="1"/>
    </xf>
    <xf numFmtId="0" fontId="3" fillId="0" borderId="76" xfId="0" applyFont="1" applyBorder="1" applyAlignment="1">
      <alignment vertical="top" wrapText="1"/>
    </xf>
    <xf numFmtId="0" fontId="3" fillId="29" borderId="32" xfId="0" applyFont="1" applyFill="1" applyBorder="1" applyAlignment="1">
      <alignment horizontal="center" vertical="top" wrapText="1"/>
    </xf>
    <xf numFmtId="0" fontId="3" fillId="0" borderId="32" xfId="0" applyFont="1" applyBorder="1" applyAlignment="1">
      <alignment horizontal="center" vertical="top" wrapText="1"/>
    </xf>
    <xf numFmtId="0" fontId="3" fillId="0" borderId="33" xfId="0" applyFont="1" applyBorder="1" applyAlignment="1">
      <alignment horizontal="center" vertical="top" wrapText="1"/>
    </xf>
    <xf numFmtId="0" fontId="3" fillId="29" borderId="77" xfId="0" applyFont="1" applyFill="1" applyBorder="1" applyAlignment="1">
      <alignment horizontal="center" vertical="top" wrapText="1"/>
    </xf>
    <xf numFmtId="0" fontId="3" fillId="29" borderId="78" xfId="0" applyFont="1" applyFill="1" applyBorder="1" applyAlignment="1">
      <alignment horizontal="center" vertical="top" wrapText="1"/>
    </xf>
    <xf numFmtId="0" fontId="3" fillId="0" borderId="78" xfId="0" applyFont="1" applyBorder="1" applyAlignment="1">
      <alignment horizontal="center" vertical="top" wrapText="1"/>
    </xf>
    <xf numFmtId="0" fontId="3" fillId="29" borderId="72" xfId="0" applyFont="1" applyFill="1" applyBorder="1" applyAlignment="1">
      <alignment horizontal="center" vertical="top" wrapText="1"/>
    </xf>
    <xf numFmtId="1" fontId="2" fillId="20" borderId="86" xfId="0" applyNumberFormat="1" applyFont="1" applyFill="1" applyBorder="1" applyAlignment="1">
      <alignment horizontal="center"/>
    </xf>
    <xf numFmtId="1" fontId="2" fillId="20" borderId="87" xfId="0" applyNumberFormat="1" applyFont="1" applyFill="1" applyBorder="1" applyAlignment="1">
      <alignment horizontal="center"/>
    </xf>
    <xf numFmtId="1" fontId="2" fillId="20" borderId="88" xfId="0" applyNumberFormat="1" applyFont="1" applyFill="1" applyBorder="1" applyAlignment="1">
      <alignment horizontal="center"/>
    </xf>
    <xf numFmtId="1" fontId="2" fillId="20" borderId="17" xfId="0" applyNumberFormat="1" applyFont="1" applyFill="1" applyBorder="1" applyAlignment="1">
      <alignment horizontal="center"/>
    </xf>
    <xf numFmtId="1" fontId="2" fillId="20" borderId="43" xfId="0" applyNumberFormat="1" applyFont="1" applyFill="1" applyBorder="1" applyAlignment="1">
      <alignment horizontal="center"/>
    </xf>
    <xf numFmtId="1" fontId="2" fillId="20" borderId="19" xfId="0" applyNumberFormat="1" applyFont="1" applyFill="1" applyBorder="1" applyAlignment="1">
      <alignment horizontal="center"/>
    </xf>
    <xf numFmtId="0" fontId="3" fillId="29" borderId="76" xfId="0" applyFont="1" applyFill="1" applyBorder="1" applyAlignment="1">
      <alignment horizontal="center" wrapText="1"/>
    </xf>
    <xf numFmtId="0" fontId="3" fillId="29" borderId="33" xfId="0" applyFont="1" applyFill="1" applyBorder="1" applyAlignment="1">
      <alignment horizontal="center" wrapText="1"/>
    </xf>
  </cellXfs>
  <cellStyles count="5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ellBAValue" xfId="27"/>
    <cellStyle name="CellBAValue 2" xfId="48"/>
    <cellStyle name="CellNationValue" xfId="28"/>
    <cellStyle name="CellUAValue" xfId="29"/>
    <cellStyle name="CellUAValue 2" xfId="49"/>
    <cellStyle name="Check Cell" xfId="30" builtinId="23" customBuiltin="1"/>
    <cellStyle name="Comma" xfId="31" builtinId="3"/>
    <cellStyle name="Comma 2" xfId="50"/>
    <cellStyle name="Comma 2 2" xfId="51"/>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2" xfId="52"/>
    <cellStyle name="Hyperlink_NNDR1 Form 2013-14 V14" xfId="53"/>
    <cellStyle name="Input" xfId="38" builtinId="20" customBuiltin="1"/>
    <cellStyle name="Linked Cell" xfId="39" builtinId="24" customBuiltin="1"/>
    <cellStyle name="Neutral" xfId="40" builtinId="28" customBuiltin="1"/>
    <cellStyle name="Normal" xfId="0" builtinId="0"/>
    <cellStyle name="Normal 2" xfId="54"/>
    <cellStyle name="Normal 5" xfId="55"/>
    <cellStyle name="Normal_10-11 Data (2009)" xfId="47"/>
    <cellStyle name="Normal_CTB Data down load" xfId="46"/>
    <cellStyle name="Note" xfId="41" builtinId="10" customBuiltin="1"/>
    <cellStyle name="Output" xfId="42" builtinId="21" customBuiltin="1"/>
    <cellStyle name="Percent" xfId="57" builtinId="5"/>
    <cellStyle name="Percent 2" xfId="56"/>
    <cellStyle name="Title" xfId="43" builtinId="15" customBuiltin="1"/>
    <cellStyle name="Total" xfId="44" builtinId="25" customBuiltin="1"/>
    <cellStyle name="Warning Text" xfId="45" builtinId="11" customBuiltin="1"/>
  </cellStyles>
  <dxfs count="0"/>
  <tableStyles count="0" defaultTableStyle="TableStyleMedium9" defaultPivotStyle="PivotStyleLight16"/>
  <colors>
    <mruColors>
      <color rgb="FFFFFFCC"/>
      <color rgb="FFB7DEE8"/>
      <color rgb="FFC4D79B"/>
      <color rgb="FF99CCFF"/>
      <color rgb="FF66CCFF"/>
      <color rgb="FF1DC4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trlProps/ctrlProp1.xml><?xml version="1.0" encoding="utf-8"?>
<formControlPr xmlns="http://schemas.microsoft.com/office/spreadsheetml/2009/9/main" objectType="List" dx="16" fmlaLink="F1" fmlaRange="Sheet1!$A$1:$A$333" noThreeD="1" sel="35" val="32"/>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102870</xdr:colOff>
      <xdr:row>0</xdr:row>
      <xdr:rowOff>106680</xdr:rowOff>
    </xdr:from>
    <xdr:to>
      <xdr:col>4</xdr:col>
      <xdr:colOff>400050</xdr:colOff>
      <xdr:row>5</xdr:row>
      <xdr:rowOff>0</xdr:rowOff>
    </xdr:to>
    <xdr:pic>
      <xdr:nvPicPr>
        <xdr:cNvPr id="2097" name="Picture 1" descr="DCLG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 y="106680"/>
          <a:ext cx="1906905" cy="1083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95250</xdr:colOff>
          <xdr:row>7</xdr:row>
          <xdr:rowOff>28575</xdr:rowOff>
        </xdr:from>
        <xdr:to>
          <xdr:col>12</xdr:col>
          <xdr:colOff>190500</xdr:colOff>
          <xdr:row>9</xdr:row>
          <xdr:rowOff>180975</xdr:rowOff>
        </xdr:to>
        <xdr:sp macro="" textlink="">
          <xdr:nvSpPr>
            <xdr:cNvPr id="2054" name="datar" hidden="1">
              <a:extLst>
                <a:ext uri="{63B3BB69-23CF-44E3-9099-C40C66FF867C}">
                  <a14:compatExt spid="_x0000_s2054"/>
                </a:ext>
              </a:extLst>
            </xdr:cNvPr>
            <xdr:cNvSpPr/>
          </xdr:nvSpPr>
          <xdr:spPr>
            <a:xfrm>
              <a:off x="0" y="0"/>
              <a:ext cx="0" cy="0"/>
            </a:xfrm>
            <a:prstGeom prst="rect">
              <a:avLst/>
            </a:prstGeom>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16</xdr:col>
      <xdr:colOff>127000</xdr:colOff>
      <xdr:row>42</xdr:row>
      <xdr:rowOff>127000</xdr:rowOff>
    </xdr:from>
    <xdr:to>
      <xdr:col>17</xdr:col>
      <xdr:colOff>31750</xdr:colOff>
      <xdr:row>42</xdr:row>
      <xdr:rowOff>127000</xdr:rowOff>
    </xdr:to>
    <xdr:cxnSp macro="">
      <xdr:nvCxnSpPr>
        <xdr:cNvPr id="2" name="Straight Connector 1"/>
        <xdr:cNvCxnSpPr/>
      </xdr:nvCxnSpPr>
      <xdr:spPr>
        <a:xfrm>
          <a:off x="9918700" y="9166225"/>
          <a:ext cx="266700"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31750</xdr:colOff>
      <xdr:row>42</xdr:row>
      <xdr:rowOff>142875</xdr:rowOff>
    </xdr:from>
    <xdr:to>
      <xdr:col>17</xdr:col>
      <xdr:colOff>79375</xdr:colOff>
      <xdr:row>50</xdr:row>
      <xdr:rowOff>111125</xdr:rowOff>
    </xdr:to>
    <xdr:cxnSp macro="">
      <xdr:nvCxnSpPr>
        <xdr:cNvPr id="3" name="Straight Connector 2"/>
        <xdr:cNvCxnSpPr/>
      </xdr:nvCxnSpPr>
      <xdr:spPr>
        <a:xfrm>
          <a:off x="10185400" y="9182100"/>
          <a:ext cx="47625" cy="201612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79375</xdr:colOff>
      <xdr:row>50</xdr:row>
      <xdr:rowOff>127000</xdr:rowOff>
    </xdr:from>
    <xdr:to>
      <xdr:col>17</xdr:col>
      <xdr:colOff>269875</xdr:colOff>
      <xdr:row>50</xdr:row>
      <xdr:rowOff>127000</xdr:rowOff>
    </xdr:to>
    <xdr:cxnSp macro="">
      <xdr:nvCxnSpPr>
        <xdr:cNvPr id="4" name="Straight Arrow Connector 3"/>
        <xdr:cNvCxnSpPr/>
      </xdr:nvCxnSpPr>
      <xdr:spPr>
        <a:xfrm>
          <a:off x="10233025" y="11214100"/>
          <a:ext cx="190500"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1</xdr:col>
      <xdr:colOff>104775</xdr:colOff>
      <xdr:row>0</xdr:row>
      <xdr:rowOff>85725</xdr:rowOff>
    </xdr:from>
    <xdr:to>
      <xdr:col>3</xdr:col>
      <xdr:colOff>468630</xdr:colOff>
      <xdr:row>5</xdr:row>
      <xdr:rowOff>17145</xdr:rowOff>
    </xdr:to>
    <xdr:pic>
      <xdr:nvPicPr>
        <xdr:cNvPr id="6" name="Picture 1" descr="DCLG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85725"/>
          <a:ext cx="1906905" cy="1083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0</xdr:row>
      <xdr:rowOff>76200</xdr:rowOff>
    </xdr:from>
    <xdr:to>
      <xdr:col>4</xdr:col>
      <xdr:colOff>582930</xdr:colOff>
      <xdr:row>5</xdr:row>
      <xdr:rowOff>74295</xdr:rowOff>
    </xdr:to>
    <xdr:pic>
      <xdr:nvPicPr>
        <xdr:cNvPr id="3" name="Picture 1" descr="DCLG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76200"/>
          <a:ext cx="1906905" cy="1083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133350</xdr:rowOff>
    </xdr:from>
    <xdr:to>
      <xdr:col>4</xdr:col>
      <xdr:colOff>668655</xdr:colOff>
      <xdr:row>5</xdr:row>
      <xdr:rowOff>131445</xdr:rowOff>
    </xdr:to>
    <xdr:pic>
      <xdr:nvPicPr>
        <xdr:cNvPr id="3" name="Picture 1" descr="DCLG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33350"/>
          <a:ext cx="1906905" cy="1083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95250</xdr:colOff>
      <xdr:row>0</xdr:row>
      <xdr:rowOff>76200</xdr:rowOff>
    </xdr:from>
    <xdr:to>
      <xdr:col>5</xdr:col>
      <xdr:colOff>297180</xdr:colOff>
      <xdr:row>5</xdr:row>
      <xdr:rowOff>7620</xdr:rowOff>
    </xdr:to>
    <xdr:pic>
      <xdr:nvPicPr>
        <xdr:cNvPr id="2" name="Picture 1" descr="DCLG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76200"/>
          <a:ext cx="1906905" cy="1083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GF3Data/NNDR%201%20-%203/NNDR3/2014-15/To%20LAs/NNDR3%202014-15v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GF3Data/QRC4/2014-15/Draft/150409%20Draft%20QRC4%20form%202014-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1"/>
      <sheetName val="Title"/>
      <sheetName val="Part 2"/>
      <sheetName val="Part 3"/>
      <sheetName val="Part 4"/>
      <sheetName val="Part 5"/>
      <sheetName val="Data"/>
      <sheetName val="TierSplit"/>
      <sheetName val="Sheet1"/>
      <sheetName val="Access1"/>
      <sheetName val="Access2"/>
      <sheetName val="Access3"/>
      <sheetName val="Access4"/>
      <sheetName val="Access5"/>
      <sheetName val="Main Validation"/>
    </sheetNames>
    <sheetDataSet>
      <sheetData sheetId="0">
        <row r="1">
          <cell r="F1">
            <v>78</v>
          </cell>
        </row>
      </sheetData>
      <sheetData sheetId="1" refreshError="1"/>
      <sheetData sheetId="2">
        <row r="31">
          <cell r="S31">
            <v>0</v>
          </cell>
        </row>
      </sheetData>
      <sheetData sheetId="3">
        <row r="28">
          <cell r="J28">
            <v>0</v>
          </cell>
        </row>
      </sheetData>
      <sheetData sheetId="4">
        <row r="56">
          <cell r="G56">
            <v>0</v>
          </cell>
        </row>
      </sheetData>
      <sheetData sheetId="5">
        <row r="16">
          <cell r="O16" t="str">
            <v>Dover</v>
          </cell>
        </row>
      </sheetData>
      <sheetData sheetId="6">
        <row r="8">
          <cell r="A8">
            <v>1</v>
          </cell>
          <cell r="B8" t="str">
            <v>Adur</v>
          </cell>
          <cell r="C8" t="str">
            <v>E3831</v>
          </cell>
          <cell r="D8">
            <v>86084</v>
          </cell>
          <cell r="G8">
            <v>478369</v>
          </cell>
          <cell r="H8">
            <v>0</v>
          </cell>
          <cell r="I8">
            <v>86084</v>
          </cell>
          <cell r="J8">
            <v>0</v>
          </cell>
          <cell r="K8">
            <v>0</v>
          </cell>
          <cell r="L8">
            <v>0</v>
          </cell>
          <cell r="M8">
            <v>0</v>
          </cell>
          <cell r="N8">
            <v>0</v>
          </cell>
          <cell r="O8">
            <v>0</v>
          </cell>
          <cell r="P8">
            <v>0</v>
          </cell>
          <cell r="Q8">
            <v>219353</v>
          </cell>
          <cell r="R8">
            <v>54838</v>
          </cell>
          <cell r="S8">
            <v>0</v>
          </cell>
          <cell r="T8">
            <v>4431</v>
          </cell>
          <cell r="U8">
            <v>1108</v>
          </cell>
          <cell r="V8">
            <v>0</v>
          </cell>
          <cell r="W8">
            <v>1883</v>
          </cell>
          <cell r="X8">
            <v>471</v>
          </cell>
          <cell r="Y8">
            <v>0</v>
          </cell>
          <cell r="Z8">
            <v>808.49256900212322</v>
          </cell>
          <cell r="AA8">
            <v>202.12314225053075</v>
          </cell>
          <cell r="AB8">
            <v>0</v>
          </cell>
          <cell r="AC8">
            <v>100895.60781316349</v>
          </cell>
          <cell r="AD8">
            <v>25223.901953290864</v>
          </cell>
          <cell r="AE8">
            <v>0</v>
          </cell>
          <cell r="AF8">
            <v>0</v>
          </cell>
          <cell r="AG8">
            <v>0</v>
          </cell>
          <cell r="AH8">
            <v>0</v>
          </cell>
          <cell r="AI8">
            <v>0</v>
          </cell>
          <cell r="AJ8">
            <v>0</v>
          </cell>
          <cell r="AK8">
            <v>0</v>
          </cell>
          <cell r="AL8">
            <v>72757</v>
          </cell>
          <cell r="AM8">
            <v>17961</v>
          </cell>
          <cell r="AN8">
            <v>0</v>
          </cell>
          <cell r="AO8">
            <v>-202265</v>
          </cell>
          <cell r="AP8">
            <v>-161812</v>
          </cell>
          <cell r="AQ8">
            <v>-40453</v>
          </cell>
          <cell r="AR8">
            <v>0</v>
          </cell>
          <cell r="AS8">
            <v>-404530</v>
          </cell>
          <cell r="AT8">
            <v>-588516</v>
          </cell>
          <cell r="AU8">
            <v>-470813</v>
          </cell>
          <cell r="AV8">
            <v>-117703</v>
          </cell>
          <cell r="AW8">
            <v>0</v>
          </cell>
          <cell r="AX8">
            <v>-1177032</v>
          </cell>
          <cell r="AY8">
            <v>15814147</v>
          </cell>
          <cell r="AZ8">
            <v>1109848</v>
          </cell>
          <cell r="BA8">
            <v>316008</v>
          </cell>
          <cell r="BB8">
            <v>1227603</v>
          </cell>
          <cell r="BC8">
            <v>63163</v>
          </cell>
          <cell r="BD8">
            <v>0</v>
          </cell>
          <cell r="BE8">
            <v>30523</v>
          </cell>
          <cell r="BF8">
            <v>337285</v>
          </cell>
          <cell r="BG8">
            <v>29918</v>
          </cell>
          <cell r="BH8">
            <v>2055</v>
          </cell>
          <cell r="BI8">
            <v>0</v>
          </cell>
          <cell r="BJ8">
            <v>0</v>
          </cell>
          <cell r="BK8">
            <v>0</v>
          </cell>
          <cell r="BL8">
            <v>0</v>
          </cell>
          <cell r="BM8">
            <v>0</v>
          </cell>
          <cell r="BN8">
            <v>0</v>
          </cell>
          <cell r="BO8">
            <v>0</v>
          </cell>
          <cell r="BP8">
            <v>16627384</v>
          </cell>
          <cell r="BQ8">
            <v>65676</v>
          </cell>
          <cell r="BR8">
            <v>839605</v>
          </cell>
          <cell r="BS8">
            <v>253756</v>
          </cell>
        </row>
        <row r="9">
          <cell r="A9">
            <v>2</v>
          </cell>
          <cell r="B9" t="str">
            <v>Allerdale</v>
          </cell>
          <cell r="C9" t="str">
            <v>E0931</v>
          </cell>
          <cell r="D9">
            <v>181754</v>
          </cell>
          <cell r="G9">
            <v>90323</v>
          </cell>
          <cell r="H9">
            <v>0</v>
          </cell>
          <cell r="I9">
            <v>181754</v>
          </cell>
          <cell r="J9">
            <v>0</v>
          </cell>
          <cell r="K9">
            <v>165085</v>
          </cell>
          <cell r="L9">
            <v>0</v>
          </cell>
          <cell r="M9">
            <v>0</v>
          </cell>
          <cell r="N9">
            <v>0</v>
          </cell>
          <cell r="O9">
            <v>0</v>
          </cell>
          <cell r="P9">
            <v>0</v>
          </cell>
          <cell r="Q9">
            <v>628090</v>
          </cell>
          <cell r="R9">
            <v>157022</v>
          </cell>
          <cell r="S9">
            <v>0</v>
          </cell>
          <cell r="T9">
            <v>9520</v>
          </cell>
          <cell r="U9">
            <v>2380</v>
          </cell>
          <cell r="V9">
            <v>0</v>
          </cell>
          <cell r="W9">
            <v>0</v>
          </cell>
          <cell r="X9">
            <v>0</v>
          </cell>
          <cell r="Y9">
            <v>0</v>
          </cell>
          <cell r="Z9">
            <v>2021.231422505308</v>
          </cell>
          <cell r="AA9">
            <v>505.3078556263269</v>
          </cell>
          <cell r="AB9">
            <v>0</v>
          </cell>
          <cell r="AC9">
            <v>256116.29723991512</v>
          </cell>
          <cell r="AD9">
            <v>64029.074309978758</v>
          </cell>
          <cell r="AE9">
            <v>0</v>
          </cell>
          <cell r="AF9">
            <v>0</v>
          </cell>
          <cell r="AG9">
            <v>0</v>
          </cell>
          <cell r="AH9">
            <v>0</v>
          </cell>
          <cell r="AI9">
            <v>0</v>
          </cell>
          <cell r="AJ9">
            <v>0</v>
          </cell>
          <cell r="AK9">
            <v>0</v>
          </cell>
          <cell r="AL9">
            <v>115372</v>
          </cell>
          <cell r="AM9">
            <v>27923</v>
          </cell>
          <cell r="AN9">
            <v>0</v>
          </cell>
          <cell r="AO9">
            <v>-195753</v>
          </cell>
          <cell r="AP9">
            <v>-156602</v>
          </cell>
          <cell r="AQ9">
            <v>-39150</v>
          </cell>
          <cell r="AR9">
            <v>0</v>
          </cell>
          <cell r="AS9">
            <v>-391505</v>
          </cell>
          <cell r="AT9">
            <v>-1246843</v>
          </cell>
          <cell r="AU9">
            <v>-997473</v>
          </cell>
          <cell r="AV9">
            <v>-249368</v>
          </cell>
          <cell r="AW9">
            <v>0</v>
          </cell>
          <cell r="AX9">
            <v>-2493684</v>
          </cell>
          <cell r="AY9">
            <v>24057744</v>
          </cell>
          <cell r="AZ9">
            <v>3068600</v>
          </cell>
          <cell r="BA9">
            <v>484244</v>
          </cell>
          <cell r="BB9">
            <v>1476151</v>
          </cell>
          <cell r="BC9">
            <v>64263</v>
          </cell>
          <cell r="BD9">
            <v>35649</v>
          </cell>
          <cell r="BE9">
            <v>298</v>
          </cell>
          <cell r="BF9">
            <v>939028</v>
          </cell>
          <cell r="BG9">
            <v>113036</v>
          </cell>
          <cell r="BH9">
            <v>77302</v>
          </cell>
          <cell r="BI9">
            <v>1178</v>
          </cell>
          <cell r="BJ9">
            <v>2049</v>
          </cell>
          <cell r="BK9">
            <v>0</v>
          </cell>
          <cell r="BL9">
            <v>0</v>
          </cell>
          <cell r="BM9">
            <v>0</v>
          </cell>
          <cell r="BN9">
            <v>0</v>
          </cell>
          <cell r="BO9">
            <v>0</v>
          </cell>
          <cell r="BP9">
            <v>26968042</v>
          </cell>
          <cell r="BQ9">
            <v>170827</v>
          </cell>
          <cell r="BR9">
            <v>907052</v>
          </cell>
          <cell r="BS9">
            <v>154167</v>
          </cell>
        </row>
        <row r="10">
          <cell r="A10">
            <v>3</v>
          </cell>
          <cell r="B10" t="str">
            <v>Amber Valley</v>
          </cell>
          <cell r="C10" t="str">
            <v>E1031</v>
          </cell>
          <cell r="D10">
            <v>154029</v>
          </cell>
          <cell r="G10">
            <v>42356</v>
          </cell>
          <cell r="H10">
            <v>0</v>
          </cell>
          <cell r="I10">
            <v>154029</v>
          </cell>
          <cell r="J10">
            <v>0</v>
          </cell>
          <cell r="K10">
            <v>0</v>
          </cell>
          <cell r="L10">
            <v>0</v>
          </cell>
          <cell r="M10">
            <v>0</v>
          </cell>
          <cell r="N10">
            <v>0</v>
          </cell>
          <cell r="O10">
            <v>0</v>
          </cell>
          <cell r="P10">
            <v>0</v>
          </cell>
          <cell r="Q10">
            <v>502830</v>
          </cell>
          <cell r="R10">
            <v>113137</v>
          </cell>
          <cell r="S10">
            <v>12571</v>
          </cell>
          <cell r="T10">
            <v>10106</v>
          </cell>
          <cell r="U10">
            <v>2274</v>
          </cell>
          <cell r="V10">
            <v>253</v>
          </cell>
          <cell r="W10">
            <v>0</v>
          </cell>
          <cell r="X10">
            <v>0</v>
          </cell>
          <cell r="Y10">
            <v>0</v>
          </cell>
          <cell r="Z10">
            <v>8084.9256900212322</v>
          </cell>
          <cell r="AA10">
            <v>1819.1082802547769</v>
          </cell>
          <cell r="AB10">
            <v>202.1231422505308</v>
          </cell>
          <cell r="AC10">
            <v>242547.77070063693</v>
          </cell>
          <cell r="AD10">
            <v>54573.248407643296</v>
          </cell>
          <cell r="AE10">
            <v>6063.6942675159235</v>
          </cell>
          <cell r="AF10">
            <v>0</v>
          </cell>
          <cell r="AG10">
            <v>0</v>
          </cell>
          <cell r="AH10">
            <v>0</v>
          </cell>
          <cell r="AI10">
            <v>0</v>
          </cell>
          <cell r="AJ10">
            <v>0</v>
          </cell>
          <cell r="AK10">
            <v>0</v>
          </cell>
          <cell r="AL10">
            <v>131863</v>
          </cell>
          <cell r="AM10">
            <v>29301</v>
          </cell>
          <cell r="AN10">
            <v>3256</v>
          </cell>
          <cell r="AO10">
            <v>-237500</v>
          </cell>
          <cell r="AP10">
            <v>-190000</v>
          </cell>
          <cell r="AQ10">
            <v>-42750</v>
          </cell>
          <cell r="AR10">
            <v>-4750</v>
          </cell>
          <cell r="AS10">
            <v>-475000</v>
          </cell>
          <cell r="AT10">
            <v>-230000</v>
          </cell>
          <cell r="AU10">
            <v>-184000</v>
          </cell>
          <cell r="AV10">
            <v>-41400</v>
          </cell>
          <cell r="AW10">
            <v>-4600</v>
          </cell>
          <cell r="AX10">
            <v>-460000</v>
          </cell>
          <cell r="AY10">
            <v>29163327</v>
          </cell>
          <cell r="AZ10">
            <v>2493335</v>
          </cell>
          <cell r="BA10">
            <v>578599</v>
          </cell>
          <cell r="BB10">
            <v>1588345</v>
          </cell>
          <cell r="BC10">
            <v>39752</v>
          </cell>
          <cell r="BD10">
            <v>20291</v>
          </cell>
          <cell r="BE10">
            <v>138626</v>
          </cell>
          <cell r="BF10">
            <v>1369021</v>
          </cell>
          <cell r="BG10">
            <v>41725</v>
          </cell>
          <cell r="BH10">
            <v>64082</v>
          </cell>
          <cell r="BI10">
            <v>0</v>
          </cell>
          <cell r="BJ10">
            <v>20291</v>
          </cell>
          <cell r="BK10">
            <v>2042</v>
          </cell>
          <cell r="BL10">
            <v>0</v>
          </cell>
          <cell r="BM10">
            <v>0</v>
          </cell>
          <cell r="BN10">
            <v>0</v>
          </cell>
          <cell r="BO10">
            <v>0</v>
          </cell>
          <cell r="BP10">
            <v>30661223</v>
          </cell>
          <cell r="BQ10">
            <v>367600</v>
          </cell>
          <cell r="BR10">
            <v>468458</v>
          </cell>
          <cell r="BS10">
            <v>681283</v>
          </cell>
        </row>
        <row r="11">
          <cell r="A11">
            <v>4</v>
          </cell>
          <cell r="B11" t="str">
            <v>Arun</v>
          </cell>
          <cell r="C11" t="str">
            <v>E3832</v>
          </cell>
          <cell r="D11">
            <v>174261</v>
          </cell>
          <cell r="G11">
            <v>14469</v>
          </cell>
          <cell r="H11">
            <v>0</v>
          </cell>
          <cell r="I11">
            <v>174261</v>
          </cell>
          <cell r="J11">
            <v>0</v>
          </cell>
          <cell r="K11">
            <v>0</v>
          </cell>
          <cell r="L11">
            <v>0</v>
          </cell>
          <cell r="M11">
            <v>0</v>
          </cell>
          <cell r="N11">
            <v>0</v>
          </cell>
          <cell r="O11">
            <v>0</v>
          </cell>
          <cell r="P11">
            <v>0</v>
          </cell>
          <cell r="Q11">
            <v>614927</v>
          </cell>
          <cell r="R11">
            <v>153732</v>
          </cell>
          <cell r="S11">
            <v>0</v>
          </cell>
          <cell r="T11">
            <v>0</v>
          </cell>
          <cell r="U11">
            <v>0</v>
          </cell>
          <cell r="V11">
            <v>0</v>
          </cell>
          <cell r="W11">
            <v>0</v>
          </cell>
          <cell r="X11">
            <v>0</v>
          </cell>
          <cell r="Y11">
            <v>0</v>
          </cell>
          <cell r="Z11">
            <v>0</v>
          </cell>
          <cell r="AA11">
            <v>0</v>
          </cell>
          <cell r="AB11">
            <v>0</v>
          </cell>
          <cell r="AC11">
            <v>308790.90999575373</v>
          </cell>
          <cell r="AD11">
            <v>77197.727498938417</v>
          </cell>
          <cell r="AE11">
            <v>0</v>
          </cell>
          <cell r="AF11">
            <v>0</v>
          </cell>
          <cell r="AG11">
            <v>0</v>
          </cell>
          <cell r="AH11">
            <v>0</v>
          </cell>
          <cell r="AI11">
            <v>511</v>
          </cell>
          <cell r="AJ11">
            <v>127.74999999999997</v>
          </cell>
          <cell r="AK11">
            <v>0</v>
          </cell>
          <cell r="AL11">
            <v>143831</v>
          </cell>
          <cell r="AM11">
            <v>35495</v>
          </cell>
          <cell r="AN11">
            <v>0</v>
          </cell>
          <cell r="AO11">
            <v>-205500</v>
          </cell>
          <cell r="AP11">
            <v>-164400</v>
          </cell>
          <cell r="AQ11">
            <v>-41100</v>
          </cell>
          <cell r="AR11">
            <v>0</v>
          </cell>
          <cell r="AS11">
            <v>-411000</v>
          </cell>
          <cell r="AT11">
            <v>-1271500</v>
          </cell>
          <cell r="AU11">
            <v>-1017200</v>
          </cell>
          <cell r="AV11">
            <v>-254300</v>
          </cell>
          <cell r="AW11">
            <v>0</v>
          </cell>
          <cell r="AX11">
            <v>-2543000</v>
          </cell>
          <cell r="AY11">
            <v>30435663</v>
          </cell>
          <cell r="AZ11">
            <v>2981063.67</v>
          </cell>
          <cell r="BA11">
            <v>596495.18000000005</v>
          </cell>
          <cell r="BB11">
            <v>2343522.7999999998</v>
          </cell>
          <cell r="BC11">
            <v>79804.13</v>
          </cell>
          <cell r="BD11">
            <v>7170.99</v>
          </cell>
          <cell r="BE11">
            <v>879.29</v>
          </cell>
          <cell r="BF11">
            <v>741002.84</v>
          </cell>
          <cell r="BG11">
            <v>96300.93</v>
          </cell>
          <cell r="BH11">
            <v>13567.41</v>
          </cell>
          <cell r="BI11">
            <v>566.6</v>
          </cell>
          <cell r="BJ11">
            <v>3820.98</v>
          </cell>
          <cell r="BK11">
            <v>0</v>
          </cell>
          <cell r="BL11">
            <v>0</v>
          </cell>
          <cell r="BM11">
            <v>0</v>
          </cell>
          <cell r="BN11">
            <v>0</v>
          </cell>
          <cell r="BO11">
            <v>0</v>
          </cell>
          <cell r="BP11">
            <v>33737826</v>
          </cell>
          <cell r="BQ11">
            <v>381055</v>
          </cell>
          <cell r="BR11">
            <v>1644912</v>
          </cell>
          <cell r="BS11">
            <v>442119</v>
          </cell>
        </row>
        <row r="12">
          <cell r="A12">
            <v>5</v>
          </cell>
          <cell r="B12" t="str">
            <v>Ashfield</v>
          </cell>
          <cell r="C12" t="str">
            <v>E3031</v>
          </cell>
          <cell r="D12">
            <v>128854</v>
          </cell>
          <cell r="G12">
            <v>39218</v>
          </cell>
          <cell r="H12">
            <v>0</v>
          </cell>
          <cell r="I12">
            <v>128854</v>
          </cell>
          <cell r="J12">
            <v>0</v>
          </cell>
          <cell r="K12">
            <v>0</v>
          </cell>
          <cell r="L12">
            <v>0</v>
          </cell>
          <cell r="M12">
            <v>0</v>
          </cell>
          <cell r="N12">
            <v>0</v>
          </cell>
          <cell r="O12">
            <v>0</v>
          </cell>
          <cell r="P12">
            <v>0</v>
          </cell>
          <cell r="Q12">
            <v>335579</v>
          </cell>
          <cell r="R12">
            <v>75506</v>
          </cell>
          <cell r="S12">
            <v>8390</v>
          </cell>
          <cell r="T12">
            <v>35356</v>
          </cell>
          <cell r="U12">
            <v>7955</v>
          </cell>
          <cell r="V12">
            <v>884</v>
          </cell>
          <cell r="W12">
            <v>18798</v>
          </cell>
          <cell r="X12">
            <v>4229</v>
          </cell>
          <cell r="Y12">
            <v>470</v>
          </cell>
          <cell r="Z12">
            <v>9398.7261146496821</v>
          </cell>
          <cell r="AA12">
            <v>2114.7133757961783</v>
          </cell>
          <cell r="AB12">
            <v>234.96815286624206</v>
          </cell>
          <cell r="AC12">
            <v>167762.20806794055</v>
          </cell>
          <cell r="AD12">
            <v>37746.496815286613</v>
          </cell>
          <cell r="AE12">
            <v>4194.0552016985139</v>
          </cell>
          <cell r="AF12">
            <v>0</v>
          </cell>
          <cell r="AG12">
            <v>0</v>
          </cell>
          <cell r="AH12">
            <v>0</v>
          </cell>
          <cell r="AI12">
            <v>0</v>
          </cell>
          <cell r="AJ12">
            <v>0</v>
          </cell>
          <cell r="AK12">
            <v>0</v>
          </cell>
          <cell r="AL12">
            <v>140967</v>
          </cell>
          <cell r="AM12">
            <v>31410</v>
          </cell>
          <cell r="AN12">
            <v>3490</v>
          </cell>
          <cell r="AO12">
            <v>-272690</v>
          </cell>
          <cell r="AP12">
            <v>-218152</v>
          </cell>
          <cell r="AQ12">
            <v>-49084</v>
          </cell>
          <cell r="AR12">
            <v>-5454</v>
          </cell>
          <cell r="AS12">
            <v>-545380</v>
          </cell>
          <cell r="AT12">
            <v>-457056</v>
          </cell>
          <cell r="AU12">
            <v>-365645</v>
          </cell>
          <cell r="AV12">
            <v>-82270</v>
          </cell>
          <cell r="AW12">
            <v>-9141</v>
          </cell>
          <cell r="AX12">
            <v>-914112</v>
          </cell>
          <cell r="AY12">
            <v>30944603</v>
          </cell>
          <cell r="AZ12">
            <v>1711788</v>
          </cell>
          <cell r="BA12">
            <v>614242</v>
          </cell>
          <cell r="BB12">
            <v>1424109</v>
          </cell>
          <cell r="BC12">
            <v>4220</v>
          </cell>
          <cell r="BD12">
            <v>13430</v>
          </cell>
          <cell r="BE12">
            <v>0</v>
          </cell>
          <cell r="BF12">
            <v>770019</v>
          </cell>
          <cell r="BG12">
            <v>135067</v>
          </cell>
          <cell r="BH12">
            <v>44109</v>
          </cell>
          <cell r="BI12">
            <v>0</v>
          </cell>
          <cell r="BJ12">
            <v>7518</v>
          </cell>
          <cell r="BK12">
            <v>3381</v>
          </cell>
          <cell r="BL12">
            <v>0</v>
          </cell>
          <cell r="BM12">
            <v>0</v>
          </cell>
          <cell r="BN12">
            <v>0</v>
          </cell>
          <cell r="BO12">
            <v>0</v>
          </cell>
          <cell r="BP12">
            <v>32417147</v>
          </cell>
          <cell r="BQ12">
            <v>127484</v>
          </cell>
          <cell r="BR12">
            <v>973685</v>
          </cell>
          <cell r="BS12">
            <v>121626.94</v>
          </cell>
        </row>
        <row r="13">
          <cell r="A13">
            <v>6</v>
          </cell>
          <cell r="B13" t="str">
            <v>Ashford</v>
          </cell>
          <cell r="C13" t="str">
            <v>E2231</v>
          </cell>
          <cell r="D13">
            <v>180466</v>
          </cell>
          <cell r="G13">
            <v>38107</v>
          </cell>
          <cell r="H13">
            <v>0</v>
          </cell>
          <cell r="I13">
            <v>180466</v>
          </cell>
          <cell r="J13">
            <v>0</v>
          </cell>
          <cell r="K13">
            <v>0</v>
          </cell>
          <cell r="L13">
            <v>0</v>
          </cell>
          <cell r="M13">
            <v>0</v>
          </cell>
          <cell r="N13">
            <v>0</v>
          </cell>
          <cell r="O13">
            <v>0</v>
          </cell>
          <cell r="P13">
            <v>0</v>
          </cell>
          <cell r="Q13">
            <v>475384</v>
          </cell>
          <cell r="R13">
            <v>106961</v>
          </cell>
          <cell r="S13">
            <v>11885</v>
          </cell>
          <cell r="T13">
            <v>0</v>
          </cell>
          <cell r="U13">
            <v>0</v>
          </cell>
          <cell r="V13">
            <v>0</v>
          </cell>
          <cell r="W13">
            <v>0</v>
          </cell>
          <cell r="X13">
            <v>0</v>
          </cell>
          <cell r="Y13">
            <v>0</v>
          </cell>
          <cell r="Z13">
            <v>0</v>
          </cell>
          <cell r="AA13">
            <v>0</v>
          </cell>
          <cell r="AB13">
            <v>0</v>
          </cell>
          <cell r="AC13">
            <v>367055.62632696395</v>
          </cell>
          <cell r="AD13">
            <v>82587.515923566869</v>
          </cell>
          <cell r="AE13">
            <v>9176.3906581740976</v>
          </cell>
          <cell r="AF13">
            <v>0</v>
          </cell>
          <cell r="AG13">
            <v>0</v>
          </cell>
          <cell r="AH13">
            <v>0</v>
          </cell>
          <cell r="AI13">
            <v>0</v>
          </cell>
          <cell r="AJ13">
            <v>0</v>
          </cell>
          <cell r="AK13">
            <v>0</v>
          </cell>
          <cell r="AL13">
            <v>193092</v>
          </cell>
          <cell r="AM13">
            <v>43015</v>
          </cell>
          <cell r="AN13">
            <v>4779</v>
          </cell>
          <cell r="AO13">
            <v>-380967</v>
          </cell>
          <cell r="AP13">
            <v>-304774</v>
          </cell>
          <cell r="AQ13">
            <v>-68574</v>
          </cell>
          <cell r="AR13">
            <v>-7619</v>
          </cell>
          <cell r="AS13">
            <v>-761934</v>
          </cell>
          <cell r="AT13">
            <v>-1500000</v>
          </cell>
          <cell r="AU13">
            <v>-1200000</v>
          </cell>
          <cell r="AV13">
            <v>-270000</v>
          </cell>
          <cell r="AW13">
            <v>-30000</v>
          </cell>
          <cell r="AX13">
            <v>-3000000</v>
          </cell>
          <cell r="AY13">
            <v>41742016</v>
          </cell>
          <cell r="AZ13">
            <v>2351526</v>
          </cell>
          <cell r="BA13">
            <v>888365</v>
          </cell>
          <cell r="BB13">
            <v>2974952</v>
          </cell>
          <cell r="BC13">
            <v>84654</v>
          </cell>
          <cell r="BD13">
            <v>36554</v>
          </cell>
          <cell r="BE13">
            <v>53113</v>
          </cell>
          <cell r="BF13">
            <v>1894888</v>
          </cell>
          <cell r="BG13">
            <v>168438</v>
          </cell>
          <cell r="BH13">
            <v>99341</v>
          </cell>
          <cell r="BI13">
            <v>13830</v>
          </cell>
          <cell r="BJ13">
            <v>14364</v>
          </cell>
          <cell r="BK13">
            <v>49484</v>
          </cell>
          <cell r="BL13">
            <v>0</v>
          </cell>
          <cell r="BM13">
            <v>0</v>
          </cell>
          <cell r="BN13">
            <v>0</v>
          </cell>
          <cell r="BO13">
            <v>0</v>
          </cell>
          <cell r="BP13">
            <v>44817530</v>
          </cell>
          <cell r="BQ13">
            <v>27799</v>
          </cell>
          <cell r="BR13">
            <v>718311.35</v>
          </cell>
          <cell r="BS13">
            <v>1102187.1399999999</v>
          </cell>
        </row>
        <row r="14">
          <cell r="A14">
            <v>7</v>
          </cell>
          <cell r="B14" t="str">
            <v>Aylesbury Vale</v>
          </cell>
          <cell r="C14" t="str">
            <v>E0431</v>
          </cell>
          <cell r="D14">
            <v>224284</v>
          </cell>
          <cell r="G14">
            <v>26220</v>
          </cell>
          <cell r="H14">
            <v>0</v>
          </cell>
          <cell r="I14">
            <v>224284</v>
          </cell>
          <cell r="J14">
            <v>0</v>
          </cell>
          <cell r="K14">
            <v>0</v>
          </cell>
          <cell r="L14">
            <v>0</v>
          </cell>
          <cell r="M14">
            <v>0</v>
          </cell>
          <cell r="N14">
            <v>0</v>
          </cell>
          <cell r="O14">
            <v>0</v>
          </cell>
          <cell r="P14">
            <v>0</v>
          </cell>
          <cell r="Q14">
            <v>593020</v>
          </cell>
          <cell r="R14">
            <v>133430</v>
          </cell>
          <cell r="S14">
            <v>14826</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202680</v>
          </cell>
          <cell r="AM14">
            <v>45067</v>
          </cell>
          <cell r="AN14">
            <v>5007</v>
          </cell>
          <cell r="AO14">
            <v>0</v>
          </cell>
          <cell r="AP14">
            <v>0</v>
          </cell>
          <cell r="AQ14">
            <v>0</v>
          </cell>
          <cell r="AR14">
            <v>0</v>
          </cell>
          <cell r="AS14">
            <v>0</v>
          </cell>
          <cell r="AT14">
            <v>-2036126</v>
          </cell>
          <cell r="AU14">
            <v>-1628901</v>
          </cell>
          <cell r="AV14">
            <v>-366503</v>
          </cell>
          <cell r="AW14">
            <v>-40723</v>
          </cell>
          <cell r="AX14">
            <v>-4072253</v>
          </cell>
          <cell r="AY14">
            <v>43960712</v>
          </cell>
          <cell r="AZ14">
            <v>2930953</v>
          </cell>
          <cell r="BA14">
            <v>947449.45</v>
          </cell>
          <cell r="BB14">
            <v>3804849.75</v>
          </cell>
          <cell r="BC14">
            <v>27485.68</v>
          </cell>
          <cell r="BD14">
            <v>55279.46</v>
          </cell>
          <cell r="BE14">
            <v>23344</v>
          </cell>
          <cell r="BF14">
            <v>3134446</v>
          </cell>
          <cell r="BG14">
            <v>133954</v>
          </cell>
          <cell r="BH14">
            <v>138467</v>
          </cell>
          <cell r="BI14">
            <v>2138</v>
          </cell>
          <cell r="BJ14">
            <v>0</v>
          </cell>
          <cell r="BK14">
            <v>0</v>
          </cell>
          <cell r="BL14">
            <v>0</v>
          </cell>
          <cell r="BM14">
            <v>0</v>
          </cell>
          <cell r="BN14">
            <v>0</v>
          </cell>
          <cell r="BO14">
            <v>0</v>
          </cell>
          <cell r="BP14">
            <v>48129628</v>
          </cell>
          <cell r="BQ14">
            <v>113853</v>
          </cell>
          <cell r="BR14">
            <v>185135</v>
          </cell>
          <cell r="BS14">
            <v>1267920</v>
          </cell>
        </row>
        <row r="15">
          <cell r="A15">
            <v>8</v>
          </cell>
          <cell r="B15" t="str">
            <v>Babergh</v>
          </cell>
          <cell r="C15" t="str">
            <v>E3531</v>
          </cell>
          <cell r="D15">
            <v>127190</v>
          </cell>
          <cell r="G15">
            <v>22149</v>
          </cell>
          <cell r="H15">
            <v>0</v>
          </cell>
          <cell r="I15">
            <v>127190</v>
          </cell>
          <cell r="J15">
            <v>0</v>
          </cell>
          <cell r="K15">
            <v>0</v>
          </cell>
          <cell r="L15">
            <v>0</v>
          </cell>
          <cell r="M15">
            <v>0</v>
          </cell>
          <cell r="N15">
            <v>0</v>
          </cell>
          <cell r="O15">
            <v>0</v>
          </cell>
          <cell r="P15">
            <v>0</v>
          </cell>
          <cell r="Q15">
            <v>407395</v>
          </cell>
          <cell r="R15">
            <v>101849</v>
          </cell>
          <cell r="S15">
            <v>0</v>
          </cell>
          <cell r="T15">
            <v>8230</v>
          </cell>
          <cell r="U15">
            <v>2058</v>
          </cell>
          <cell r="V15">
            <v>0</v>
          </cell>
          <cell r="W15">
            <v>0</v>
          </cell>
          <cell r="X15">
            <v>0</v>
          </cell>
          <cell r="Y15">
            <v>0</v>
          </cell>
          <cell r="Z15">
            <v>24280.757978768579</v>
          </cell>
          <cell r="AA15">
            <v>6070.1894946921429</v>
          </cell>
          <cell r="AB15">
            <v>0</v>
          </cell>
          <cell r="AC15">
            <v>60636.942675159233</v>
          </cell>
          <cell r="AD15">
            <v>15159.235668789805</v>
          </cell>
          <cell r="AE15">
            <v>0</v>
          </cell>
          <cell r="AF15">
            <v>162.59</v>
          </cell>
          <cell r="AG15">
            <v>0</v>
          </cell>
          <cell r="AH15">
            <v>0</v>
          </cell>
          <cell r="AI15">
            <v>64</v>
          </cell>
          <cell r="AJ15">
            <v>15.999999999999996</v>
          </cell>
          <cell r="AK15">
            <v>0</v>
          </cell>
          <cell r="AL15">
            <v>101298</v>
          </cell>
          <cell r="AM15">
            <v>24987</v>
          </cell>
          <cell r="AN15">
            <v>0</v>
          </cell>
          <cell r="AO15">
            <v>-176812</v>
          </cell>
          <cell r="AP15">
            <v>-141450</v>
          </cell>
          <cell r="AQ15">
            <v>-35363</v>
          </cell>
          <cell r="AR15">
            <v>0</v>
          </cell>
          <cell r="AS15">
            <v>-353625</v>
          </cell>
          <cell r="AT15">
            <v>-537998</v>
          </cell>
          <cell r="AU15">
            <v>-430400</v>
          </cell>
          <cell r="AV15">
            <v>-107600</v>
          </cell>
          <cell r="AW15">
            <v>0</v>
          </cell>
          <cell r="AX15">
            <v>-1075998</v>
          </cell>
          <cell r="AY15">
            <v>22024695</v>
          </cell>
          <cell r="AZ15">
            <v>2007250.18</v>
          </cell>
          <cell r="BA15">
            <v>432985.58</v>
          </cell>
          <cell r="BB15">
            <v>1672140.31</v>
          </cell>
          <cell r="BC15">
            <v>51357.72</v>
          </cell>
          <cell r="BD15">
            <v>90840.92</v>
          </cell>
          <cell r="BE15">
            <v>0</v>
          </cell>
          <cell r="BF15">
            <v>865579.25</v>
          </cell>
          <cell r="BG15">
            <v>43227.72</v>
          </cell>
          <cell r="BH15">
            <v>9373.51</v>
          </cell>
          <cell r="BI15">
            <v>6754.16</v>
          </cell>
          <cell r="BJ15">
            <v>73982.25</v>
          </cell>
          <cell r="BK15">
            <v>18655.560000000001</v>
          </cell>
          <cell r="BL15">
            <v>0</v>
          </cell>
          <cell r="BM15">
            <v>0</v>
          </cell>
          <cell r="BN15">
            <v>0</v>
          </cell>
          <cell r="BO15">
            <v>0</v>
          </cell>
          <cell r="BP15">
            <v>23391296.399999999</v>
          </cell>
          <cell r="BQ15">
            <v>115979.73</v>
          </cell>
          <cell r="BR15">
            <v>750043</v>
          </cell>
          <cell r="BS15">
            <v>422434</v>
          </cell>
        </row>
        <row r="16">
          <cell r="A16">
            <v>9</v>
          </cell>
          <cell r="B16" t="str">
            <v>Barking and Dagenham</v>
          </cell>
          <cell r="C16" t="str">
            <v>E5030</v>
          </cell>
          <cell r="D16">
            <v>205029</v>
          </cell>
          <cell r="G16">
            <v>653326</v>
          </cell>
          <cell r="H16">
            <v>0</v>
          </cell>
          <cell r="I16">
            <v>205029</v>
          </cell>
          <cell r="J16">
            <v>0</v>
          </cell>
          <cell r="K16">
            <v>0</v>
          </cell>
          <cell r="L16">
            <v>0</v>
          </cell>
          <cell r="M16">
            <v>0</v>
          </cell>
          <cell r="N16">
            <v>0</v>
          </cell>
          <cell r="O16">
            <v>0</v>
          </cell>
          <cell r="P16">
            <v>0</v>
          </cell>
          <cell r="Q16">
            <v>332172</v>
          </cell>
          <cell r="R16">
            <v>221448</v>
          </cell>
          <cell r="S16">
            <v>0</v>
          </cell>
          <cell r="T16">
            <v>0</v>
          </cell>
          <cell r="U16">
            <v>0</v>
          </cell>
          <cell r="V16">
            <v>0</v>
          </cell>
          <cell r="W16">
            <v>25297</v>
          </cell>
          <cell r="X16">
            <v>16865</v>
          </cell>
          <cell r="Y16">
            <v>0</v>
          </cell>
          <cell r="Z16">
            <v>38902.916076433125</v>
          </cell>
          <cell r="AA16">
            <v>25935.277384288751</v>
          </cell>
          <cell r="AB16">
            <v>0</v>
          </cell>
          <cell r="AC16">
            <v>425974.52229299367</v>
          </cell>
          <cell r="AD16">
            <v>283983.01486199576</v>
          </cell>
          <cell r="AE16">
            <v>0</v>
          </cell>
          <cell r="AF16">
            <v>0</v>
          </cell>
          <cell r="AG16">
            <v>0</v>
          </cell>
          <cell r="AH16">
            <v>0</v>
          </cell>
          <cell r="AI16">
            <v>0</v>
          </cell>
          <cell r="AJ16">
            <v>0</v>
          </cell>
          <cell r="AK16">
            <v>0</v>
          </cell>
          <cell r="AL16">
            <v>176033</v>
          </cell>
          <cell r="AM16">
            <v>115904</v>
          </cell>
          <cell r="AN16">
            <v>0</v>
          </cell>
          <cell r="AO16">
            <v>-2346000</v>
          </cell>
          <cell r="AP16">
            <v>-1407600</v>
          </cell>
          <cell r="AQ16">
            <v>-938400</v>
          </cell>
          <cell r="AR16">
            <v>0</v>
          </cell>
          <cell r="AS16">
            <v>-4692000</v>
          </cell>
          <cell r="AT16">
            <v>-4815956</v>
          </cell>
          <cell r="AU16">
            <v>-2889574</v>
          </cell>
          <cell r="AV16">
            <v>-1926383</v>
          </cell>
          <cell r="AW16">
            <v>0</v>
          </cell>
          <cell r="AX16">
            <v>-9631913</v>
          </cell>
          <cell r="AY16">
            <v>47630194</v>
          </cell>
          <cell r="AZ16">
            <v>2249382</v>
          </cell>
          <cell r="BA16">
            <v>1111670</v>
          </cell>
          <cell r="BB16">
            <v>2732185</v>
          </cell>
          <cell r="BC16">
            <v>29955</v>
          </cell>
          <cell r="BD16">
            <v>0</v>
          </cell>
          <cell r="BE16">
            <v>488902</v>
          </cell>
          <cell r="BF16">
            <v>3180427</v>
          </cell>
          <cell r="BG16">
            <v>269228</v>
          </cell>
          <cell r="BH16">
            <v>35759</v>
          </cell>
          <cell r="BI16">
            <v>7489</v>
          </cell>
          <cell r="BJ16">
            <v>0</v>
          </cell>
          <cell r="BK16">
            <v>0</v>
          </cell>
          <cell r="BL16">
            <v>0</v>
          </cell>
          <cell r="BM16">
            <v>0</v>
          </cell>
          <cell r="BN16">
            <v>0</v>
          </cell>
          <cell r="BO16">
            <v>0</v>
          </cell>
          <cell r="BP16">
            <v>57447166</v>
          </cell>
          <cell r="BQ16">
            <v>588265</v>
          </cell>
          <cell r="BR16">
            <v>5231434</v>
          </cell>
          <cell r="BS16">
            <v>786851</v>
          </cell>
        </row>
        <row r="17">
          <cell r="A17">
            <v>10</v>
          </cell>
          <cell r="B17" t="str">
            <v>Barnet</v>
          </cell>
          <cell r="C17" t="str">
            <v>E5031</v>
          </cell>
          <cell r="D17">
            <v>418239</v>
          </cell>
          <cell r="G17">
            <v>230651</v>
          </cell>
          <cell r="H17">
            <v>0</v>
          </cell>
          <cell r="I17">
            <v>418239</v>
          </cell>
          <cell r="J17">
            <v>0</v>
          </cell>
          <cell r="K17">
            <v>0</v>
          </cell>
          <cell r="L17">
            <v>0</v>
          </cell>
          <cell r="M17">
            <v>0</v>
          </cell>
          <cell r="N17">
            <v>0</v>
          </cell>
          <cell r="O17">
            <v>0</v>
          </cell>
          <cell r="P17">
            <v>0</v>
          </cell>
          <cell r="Q17">
            <v>504221</v>
          </cell>
          <cell r="R17">
            <v>336147</v>
          </cell>
          <cell r="S17">
            <v>0</v>
          </cell>
          <cell r="T17">
            <v>0</v>
          </cell>
          <cell r="U17">
            <v>0</v>
          </cell>
          <cell r="V17">
            <v>0</v>
          </cell>
          <cell r="W17">
            <v>0</v>
          </cell>
          <cell r="X17">
            <v>0</v>
          </cell>
          <cell r="Y17">
            <v>0</v>
          </cell>
          <cell r="Z17">
            <v>363821.65605095535</v>
          </cell>
          <cell r="AA17">
            <v>242547.77070063693</v>
          </cell>
          <cell r="AB17">
            <v>0</v>
          </cell>
          <cell r="AC17">
            <v>757961.78343949048</v>
          </cell>
          <cell r="AD17">
            <v>505307.85562632699</v>
          </cell>
          <cell r="AE17">
            <v>0</v>
          </cell>
          <cell r="AF17">
            <v>0</v>
          </cell>
          <cell r="AG17">
            <v>0</v>
          </cell>
          <cell r="AH17">
            <v>0</v>
          </cell>
          <cell r="AI17">
            <v>0</v>
          </cell>
          <cell r="AJ17">
            <v>0</v>
          </cell>
          <cell r="AK17">
            <v>0</v>
          </cell>
          <cell r="AL17">
            <v>358434</v>
          </cell>
          <cell r="AM17">
            <v>235996</v>
          </cell>
          <cell r="AN17">
            <v>0</v>
          </cell>
          <cell r="AO17">
            <v>-1362497</v>
          </cell>
          <cell r="AP17">
            <v>-817499</v>
          </cell>
          <cell r="AQ17">
            <v>-544999</v>
          </cell>
          <cell r="AR17">
            <v>0</v>
          </cell>
          <cell r="AS17">
            <v>-2724995</v>
          </cell>
          <cell r="AT17">
            <v>-2350052</v>
          </cell>
          <cell r="AU17">
            <v>-1410032</v>
          </cell>
          <cell r="AV17">
            <v>-940021</v>
          </cell>
          <cell r="AW17">
            <v>0</v>
          </cell>
          <cell r="AX17">
            <v>-4700105</v>
          </cell>
          <cell r="AY17">
            <v>103862993</v>
          </cell>
          <cell r="AZ17">
            <v>3330314.67</v>
          </cell>
          <cell r="BA17">
            <v>2042302.32</v>
          </cell>
          <cell r="BB17">
            <v>10416288.199999999</v>
          </cell>
          <cell r="BC17">
            <v>210134.39</v>
          </cell>
          <cell r="BD17">
            <v>0</v>
          </cell>
          <cell r="BE17">
            <v>1539.43</v>
          </cell>
          <cell r="BF17">
            <v>2549053.66</v>
          </cell>
          <cell r="BG17">
            <v>785118.53</v>
          </cell>
          <cell r="BH17">
            <v>100190.41</v>
          </cell>
          <cell r="BI17">
            <v>0</v>
          </cell>
          <cell r="BJ17">
            <v>0</v>
          </cell>
          <cell r="BK17">
            <v>0</v>
          </cell>
          <cell r="BL17">
            <v>0</v>
          </cell>
          <cell r="BM17">
            <v>0</v>
          </cell>
          <cell r="BN17">
            <v>0</v>
          </cell>
          <cell r="BO17">
            <v>0</v>
          </cell>
          <cell r="BP17">
            <v>112928112</v>
          </cell>
          <cell r="BQ17">
            <v>3784.9</v>
          </cell>
          <cell r="BR17">
            <v>11757987.1</v>
          </cell>
          <cell r="BS17">
            <v>1999410.06</v>
          </cell>
        </row>
        <row r="18">
          <cell r="A18">
            <v>11</v>
          </cell>
          <cell r="B18" t="str">
            <v>Barnsley</v>
          </cell>
          <cell r="C18" t="str">
            <v>E4401</v>
          </cell>
          <cell r="D18">
            <v>271980</v>
          </cell>
          <cell r="E18">
            <v>87431</v>
          </cell>
          <cell r="G18">
            <v>40805</v>
          </cell>
          <cell r="H18">
            <v>0</v>
          </cell>
          <cell r="I18">
            <v>271980</v>
          </cell>
          <cell r="J18">
            <v>396262</v>
          </cell>
          <cell r="K18">
            <v>0</v>
          </cell>
          <cell r="L18">
            <v>0</v>
          </cell>
          <cell r="M18">
            <v>0</v>
          </cell>
          <cell r="N18">
            <v>0</v>
          </cell>
          <cell r="O18">
            <v>0</v>
          </cell>
          <cell r="P18">
            <v>0</v>
          </cell>
          <cell r="Q18">
            <v>1103887</v>
          </cell>
          <cell r="R18">
            <v>0</v>
          </cell>
          <cell r="S18">
            <v>22528</v>
          </cell>
          <cell r="T18">
            <v>0</v>
          </cell>
          <cell r="U18">
            <v>0</v>
          </cell>
          <cell r="V18">
            <v>0</v>
          </cell>
          <cell r="W18">
            <v>0</v>
          </cell>
          <cell r="X18">
            <v>0</v>
          </cell>
          <cell r="Y18">
            <v>0</v>
          </cell>
          <cell r="Z18">
            <v>21244.152866242039</v>
          </cell>
          <cell r="AA18">
            <v>3.7604827249295956E-13</v>
          </cell>
          <cell r="AB18">
            <v>433.55414012738856</v>
          </cell>
          <cell r="AC18">
            <v>365407.35252653924</v>
          </cell>
          <cell r="AD18">
            <v>6.4681705379828641E-12</v>
          </cell>
          <cell r="AE18">
            <v>7457.2929087048833</v>
          </cell>
          <cell r="AF18">
            <v>0</v>
          </cell>
          <cell r="AG18">
            <v>0</v>
          </cell>
          <cell r="AH18">
            <v>0</v>
          </cell>
          <cell r="AI18">
            <v>0</v>
          </cell>
          <cell r="AJ18">
            <v>0</v>
          </cell>
          <cell r="AK18">
            <v>0</v>
          </cell>
          <cell r="AL18">
            <v>264069</v>
          </cell>
          <cell r="AM18">
            <v>0</v>
          </cell>
          <cell r="AN18">
            <v>5244</v>
          </cell>
          <cell r="AO18">
            <v>-604159</v>
          </cell>
          <cell r="AP18">
            <v>-592076</v>
          </cell>
          <cell r="AQ18">
            <v>0</v>
          </cell>
          <cell r="AR18">
            <v>-12083</v>
          </cell>
          <cell r="AS18">
            <v>-1208318</v>
          </cell>
          <cell r="AT18">
            <v>-882349</v>
          </cell>
          <cell r="AU18">
            <v>-864702</v>
          </cell>
          <cell r="AV18">
            <v>0</v>
          </cell>
          <cell r="AW18">
            <v>-17647</v>
          </cell>
          <cell r="AX18">
            <v>-1764698</v>
          </cell>
          <cell r="AY18">
            <v>49755761</v>
          </cell>
          <cell r="AZ18">
            <v>4447494</v>
          </cell>
          <cell r="BA18">
            <v>1004790</v>
          </cell>
          <cell r="BB18">
            <v>2979927</v>
          </cell>
          <cell r="BC18">
            <v>53572</v>
          </cell>
          <cell r="BD18">
            <v>6750</v>
          </cell>
          <cell r="BE18">
            <v>40620</v>
          </cell>
          <cell r="BF18">
            <v>2014458</v>
          </cell>
          <cell r="BG18">
            <v>162507</v>
          </cell>
          <cell r="BH18">
            <v>37327</v>
          </cell>
          <cell r="BI18">
            <v>0</v>
          </cell>
          <cell r="BJ18">
            <v>2532</v>
          </cell>
          <cell r="BK18">
            <v>0</v>
          </cell>
          <cell r="BL18">
            <v>-55000</v>
          </cell>
          <cell r="BM18">
            <v>-55000</v>
          </cell>
          <cell r="BN18">
            <v>55000</v>
          </cell>
          <cell r="BO18">
            <v>0</v>
          </cell>
          <cell r="BP18">
            <v>52660766</v>
          </cell>
          <cell r="BQ18">
            <v>454667</v>
          </cell>
          <cell r="BR18">
            <v>2435669</v>
          </cell>
          <cell r="BS18">
            <v>697534</v>
          </cell>
        </row>
        <row r="19">
          <cell r="A19">
            <v>12</v>
          </cell>
          <cell r="B19" t="str">
            <v>Barrow-in-Furness</v>
          </cell>
          <cell r="C19" t="str">
            <v>E0932</v>
          </cell>
          <cell r="D19">
            <v>97916</v>
          </cell>
          <cell r="G19">
            <v>93867</v>
          </cell>
          <cell r="H19">
            <v>0</v>
          </cell>
          <cell r="I19">
            <v>97916</v>
          </cell>
          <cell r="J19">
            <v>0</v>
          </cell>
          <cell r="K19">
            <v>0</v>
          </cell>
          <cell r="L19">
            <v>0</v>
          </cell>
          <cell r="M19">
            <v>0</v>
          </cell>
          <cell r="N19">
            <v>0</v>
          </cell>
          <cell r="O19">
            <v>0</v>
          </cell>
          <cell r="P19">
            <v>0</v>
          </cell>
          <cell r="Q19">
            <v>259317</v>
          </cell>
          <cell r="R19">
            <v>64829</v>
          </cell>
          <cell r="S19">
            <v>0</v>
          </cell>
          <cell r="T19">
            <v>0</v>
          </cell>
          <cell r="U19">
            <v>0</v>
          </cell>
          <cell r="V19">
            <v>0</v>
          </cell>
          <cell r="W19">
            <v>0</v>
          </cell>
          <cell r="X19">
            <v>0</v>
          </cell>
          <cell r="Y19">
            <v>0</v>
          </cell>
          <cell r="Z19">
            <v>24547.047133757966</v>
          </cell>
          <cell r="AA19">
            <v>6136.7617834394896</v>
          </cell>
          <cell r="AB19">
            <v>0</v>
          </cell>
          <cell r="AC19">
            <v>135018.25902335459</v>
          </cell>
          <cell r="AD19">
            <v>33754.564755838634</v>
          </cell>
          <cell r="AE19">
            <v>0</v>
          </cell>
          <cell r="AF19">
            <v>0</v>
          </cell>
          <cell r="AG19">
            <v>0</v>
          </cell>
          <cell r="AH19">
            <v>0</v>
          </cell>
          <cell r="AI19">
            <v>0</v>
          </cell>
          <cell r="AJ19">
            <v>0</v>
          </cell>
          <cell r="AK19">
            <v>0</v>
          </cell>
          <cell r="AL19">
            <v>100663</v>
          </cell>
          <cell r="AM19">
            <v>24906</v>
          </cell>
          <cell r="AN19">
            <v>0</v>
          </cell>
          <cell r="AO19">
            <v>-665173</v>
          </cell>
          <cell r="AP19">
            <v>-532137</v>
          </cell>
          <cell r="AQ19">
            <v>-133034</v>
          </cell>
          <cell r="AR19">
            <v>0</v>
          </cell>
          <cell r="AS19">
            <v>-1330344</v>
          </cell>
          <cell r="AT19">
            <v>-511011</v>
          </cell>
          <cell r="AU19">
            <v>-408808</v>
          </cell>
          <cell r="AV19">
            <v>-102203</v>
          </cell>
          <cell r="AW19">
            <v>0</v>
          </cell>
          <cell r="AX19">
            <v>-1022022</v>
          </cell>
          <cell r="AY19">
            <v>22369510</v>
          </cell>
          <cell r="AZ19">
            <v>1273843</v>
          </cell>
          <cell r="BA19">
            <v>456342</v>
          </cell>
          <cell r="BB19">
            <v>1259511</v>
          </cell>
          <cell r="BC19">
            <v>88467</v>
          </cell>
          <cell r="BD19">
            <v>199</v>
          </cell>
          <cell r="BE19">
            <v>13227</v>
          </cell>
          <cell r="BF19">
            <v>626891</v>
          </cell>
          <cell r="BG19">
            <v>30455</v>
          </cell>
          <cell r="BH19">
            <v>69988</v>
          </cell>
          <cell r="BI19">
            <v>10493</v>
          </cell>
          <cell r="BJ19">
            <v>199</v>
          </cell>
          <cell r="BK19">
            <v>0</v>
          </cell>
          <cell r="BL19">
            <v>0</v>
          </cell>
          <cell r="BM19">
            <v>0</v>
          </cell>
          <cell r="BN19">
            <v>0</v>
          </cell>
          <cell r="BO19">
            <v>0</v>
          </cell>
          <cell r="BP19">
            <v>23556281</v>
          </cell>
          <cell r="BQ19">
            <v>78813</v>
          </cell>
          <cell r="BR19">
            <v>1552938</v>
          </cell>
          <cell r="BS19">
            <v>854307</v>
          </cell>
        </row>
        <row r="20">
          <cell r="A20">
            <v>13</v>
          </cell>
          <cell r="B20" t="str">
            <v>Basildon</v>
          </cell>
          <cell r="C20" t="str">
            <v>E1531</v>
          </cell>
          <cell r="D20">
            <v>236158</v>
          </cell>
          <cell r="G20">
            <v>-20376</v>
          </cell>
          <cell r="H20">
            <v>0</v>
          </cell>
          <cell r="I20">
            <v>236158</v>
          </cell>
          <cell r="J20">
            <v>0</v>
          </cell>
          <cell r="K20">
            <v>0</v>
          </cell>
          <cell r="L20">
            <v>0</v>
          </cell>
          <cell r="M20">
            <v>0</v>
          </cell>
          <cell r="N20">
            <v>0</v>
          </cell>
          <cell r="O20">
            <v>0</v>
          </cell>
          <cell r="P20">
            <v>0</v>
          </cell>
          <cell r="Q20">
            <v>451302</v>
          </cell>
          <cell r="R20">
            <v>101543</v>
          </cell>
          <cell r="S20">
            <v>11283</v>
          </cell>
          <cell r="T20">
            <v>8085</v>
          </cell>
          <cell r="U20">
            <v>1819</v>
          </cell>
          <cell r="V20">
            <v>202</v>
          </cell>
          <cell r="W20">
            <v>0</v>
          </cell>
          <cell r="X20">
            <v>0</v>
          </cell>
          <cell r="Y20">
            <v>0</v>
          </cell>
          <cell r="Z20">
            <v>153613.58811040339</v>
          </cell>
          <cell r="AA20">
            <v>34563.057324840753</v>
          </cell>
          <cell r="AB20">
            <v>3840.3397027600849</v>
          </cell>
          <cell r="AC20">
            <v>422841.61358811037</v>
          </cell>
          <cell r="AD20">
            <v>95139.363057324808</v>
          </cell>
          <cell r="AE20">
            <v>10571.040339702759</v>
          </cell>
          <cell r="AF20">
            <v>0</v>
          </cell>
          <cell r="AG20">
            <v>0</v>
          </cell>
          <cell r="AH20">
            <v>0</v>
          </cell>
          <cell r="AI20">
            <v>0</v>
          </cell>
          <cell r="AJ20">
            <v>0</v>
          </cell>
          <cell r="AK20">
            <v>0</v>
          </cell>
          <cell r="AL20">
            <v>326591</v>
          </cell>
          <cell r="AM20">
            <v>72919</v>
          </cell>
          <cell r="AN20">
            <v>8102</v>
          </cell>
          <cell r="AO20">
            <v>-450000</v>
          </cell>
          <cell r="AP20">
            <v>-360000</v>
          </cell>
          <cell r="AQ20">
            <v>-81000</v>
          </cell>
          <cell r="AR20">
            <v>-9000</v>
          </cell>
          <cell r="AS20">
            <v>-900000</v>
          </cell>
          <cell r="AT20">
            <v>-4450000</v>
          </cell>
          <cell r="AU20">
            <v>-3560000</v>
          </cell>
          <cell r="AV20">
            <v>-801000</v>
          </cell>
          <cell r="AW20">
            <v>-89000</v>
          </cell>
          <cell r="AX20">
            <v>-8900000</v>
          </cell>
          <cell r="AY20">
            <v>69421288</v>
          </cell>
          <cell r="AZ20">
            <v>2222702</v>
          </cell>
          <cell r="BA20">
            <v>1525042</v>
          </cell>
          <cell r="BB20">
            <v>3293429</v>
          </cell>
          <cell r="BC20">
            <v>28825</v>
          </cell>
          <cell r="BD20">
            <v>3321</v>
          </cell>
          <cell r="BE20">
            <v>57642</v>
          </cell>
          <cell r="BF20">
            <v>2653572</v>
          </cell>
          <cell r="BG20">
            <v>7443</v>
          </cell>
          <cell r="BH20">
            <v>42789</v>
          </cell>
          <cell r="BI20">
            <v>0</v>
          </cell>
          <cell r="BJ20">
            <v>0</v>
          </cell>
          <cell r="BK20">
            <v>0</v>
          </cell>
          <cell r="BL20">
            <v>0</v>
          </cell>
          <cell r="BM20">
            <v>0</v>
          </cell>
          <cell r="BN20">
            <v>0</v>
          </cell>
          <cell r="BO20">
            <v>0</v>
          </cell>
          <cell r="BP20">
            <v>79737897</v>
          </cell>
          <cell r="BQ20">
            <v>538291</v>
          </cell>
          <cell r="BR20">
            <v>2215929</v>
          </cell>
          <cell r="BS20">
            <v>906049</v>
          </cell>
        </row>
        <row r="21">
          <cell r="A21">
            <v>14</v>
          </cell>
          <cell r="B21" t="str">
            <v>Basingstoke &amp; Deane</v>
          </cell>
          <cell r="C21" t="str">
            <v>E1731</v>
          </cell>
          <cell r="D21">
            <v>206524</v>
          </cell>
          <cell r="G21">
            <v>360973</v>
          </cell>
          <cell r="H21">
            <v>0</v>
          </cell>
          <cell r="I21">
            <v>206524</v>
          </cell>
          <cell r="J21">
            <v>0</v>
          </cell>
          <cell r="K21">
            <v>17169</v>
          </cell>
          <cell r="L21">
            <v>1907</v>
          </cell>
          <cell r="M21">
            <v>0</v>
          </cell>
          <cell r="N21">
            <v>0</v>
          </cell>
          <cell r="O21">
            <v>0</v>
          </cell>
          <cell r="P21">
            <v>0</v>
          </cell>
          <cell r="Q21">
            <v>302946</v>
          </cell>
          <cell r="R21">
            <v>68163</v>
          </cell>
          <cell r="S21">
            <v>7574</v>
          </cell>
          <cell r="T21">
            <v>11424</v>
          </cell>
          <cell r="U21">
            <v>2570</v>
          </cell>
          <cell r="V21">
            <v>286</v>
          </cell>
          <cell r="W21">
            <v>9742</v>
          </cell>
          <cell r="X21">
            <v>2192</v>
          </cell>
          <cell r="Y21">
            <v>244</v>
          </cell>
          <cell r="Z21">
            <v>33132.42972399151</v>
          </cell>
          <cell r="AA21">
            <v>7454.7966878980878</v>
          </cell>
          <cell r="AB21">
            <v>828.31074309978771</v>
          </cell>
          <cell r="AC21">
            <v>202123.1422505308</v>
          </cell>
          <cell r="AD21">
            <v>45477.707006369419</v>
          </cell>
          <cell r="AE21">
            <v>5053.07855626327</v>
          </cell>
          <cell r="AF21">
            <v>7213</v>
          </cell>
          <cell r="AG21">
            <v>0</v>
          </cell>
          <cell r="AH21">
            <v>0</v>
          </cell>
          <cell r="AI21">
            <v>5379</v>
          </cell>
          <cell r="AJ21">
            <v>1210.2011999999997</v>
          </cell>
          <cell r="AK21">
            <v>134.46680000000001</v>
          </cell>
          <cell r="AL21">
            <v>312537</v>
          </cell>
          <cell r="AM21">
            <v>69807</v>
          </cell>
          <cell r="AN21">
            <v>7754</v>
          </cell>
          <cell r="AO21">
            <v>-300000</v>
          </cell>
          <cell r="AP21">
            <v>-240000</v>
          </cell>
          <cell r="AQ21">
            <v>-54000</v>
          </cell>
          <cell r="AR21">
            <v>-6000</v>
          </cell>
          <cell r="AS21">
            <v>-600000</v>
          </cell>
          <cell r="AT21">
            <v>-1550000</v>
          </cell>
          <cell r="AU21">
            <v>-1240000</v>
          </cell>
          <cell r="AV21">
            <v>-279000</v>
          </cell>
          <cell r="AW21">
            <v>-31000</v>
          </cell>
          <cell r="AX21">
            <v>-3100000</v>
          </cell>
          <cell r="AY21">
            <v>67038866</v>
          </cell>
          <cell r="AZ21">
            <v>1521704.75</v>
          </cell>
          <cell r="BA21">
            <v>1465079</v>
          </cell>
          <cell r="BB21">
            <v>2752240.99</v>
          </cell>
          <cell r="BC21">
            <v>10719.96</v>
          </cell>
          <cell r="BD21">
            <v>35078.120000000003</v>
          </cell>
          <cell r="BE21">
            <v>380381.68</v>
          </cell>
          <cell r="BF21">
            <v>4204186.7</v>
          </cell>
          <cell r="BG21">
            <v>346598.23</v>
          </cell>
          <cell r="BH21">
            <v>147471.42000000001</v>
          </cell>
          <cell r="BI21">
            <v>2679.99</v>
          </cell>
          <cell r="BJ21">
            <v>34619.83</v>
          </cell>
          <cell r="BK21">
            <v>51281</v>
          </cell>
          <cell r="BL21">
            <v>0</v>
          </cell>
          <cell r="BM21">
            <v>0</v>
          </cell>
          <cell r="BN21">
            <v>0</v>
          </cell>
          <cell r="BO21">
            <v>0</v>
          </cell>
          <cell r="BP21">
            <v>70796984</v>
          </cell>
          <cell r="BQ21">
            <v>587139</v>
          </cell>
          <cell r="BR21">
            <v>2734715</v>
          </cell>
          <cell r="BS21">
            <v>1526335</v>
          </cell>
        </row>
        <row r="22">
          <cell r="A22">
            <v>15</v>
          </cell>
          <cell r="B22" t="str">
            <v>Bassetlaw</v>
          </cell>
          <cell r="C22" t="str">
            <v>E3032</v>
          </cell>
          <cell r="D22">
            <v>165835</v>
          </cell>
          <cell r="G22">
            <v>130764</v>
          </cell>
          <cell r="H22">
            <v>0</v>
          </cell>
          <cell r="I22">
            <v>165835</v>
          </cell>
          <cell r="J22">
            <v>0</v>
          </cell>
          <cell r="K22">
            <v>0</v>
          </cell>
          <cell r="L22">
            <v>0</v>
          </cell>
          <cell r="M22">
            <v>0</v>
          </cell>
          <cell r="N22">
            <v>0</v>
          </cell>
          <cell r="O22">
            <v>0</v>
          </cell>
          <cell r="P22">
            <v>0</v>
          </cell>
          <cell r="Q22">
            <v>449549</v>
          </cell>
          <cell r="R22">
            <v>101149</v>
          </cell>
          <cell r="S22">
            <v>11239</v>
          </cell>
          <cell r="T22">
            <v>6163</v>
          </cell>
          <cell r="U22">
            <v>1387</v>
          </cell>
          <cell r="V22">
            <v>154</v>
          </cell>
          <cell r="W22">
            <v>10106</v>
          </cell>
          <cell r="X22">
            <v>2274</v>
          </cell>
          <cell r="Y22">
            <v>253</v>
          </cell>
          <cell r="Z22">
            <v>34360.934182590237</v>
          </cell>
          <cell r="AA22">
            <v>7731.2101910828014</v>
          </cell>
          <cell r="AB22">
            <v>859.02335456475589</v>
          </cell>
          <cell r="AC22">
            <v>161698.51380042464</v>
          </cell>
          <cell r="AD22">
            <v>36382.165605095535</v>
          </cell>
          <cell r="AE22">
            <v>4042.4628450106156</v>
          </cell>
          <cell r="AF22">
            <v>0</v>
          </cell>
          <cell r="AG22">
            <v>0</v>
          </cell>
          <cell r="AH22">
            <v>0</v>
          </cell>
          <cell r="AI22">
            <v>0</v>
          </cell>
          <cell r="AJ22">
            <v>0</v>
          </cell>
          <cell r="AK22">
            <v>0</v>
          </cell>
          <cell r="AL22">
            <v>188060</v>
          </cell>
          <cell r="AM22">
            <v>41917</v>
          </cell>
          <cell r="AN22">
            <v>4657</v>
          </cell>
          <cell r="AO22">
            <v>-402600</v>
          </cell>
          <cell r="AP22">
            <v>-322080</v>
          </cell>
          <cell r="AQ22">
            <v>-72468</v>
          </cell>
          <cell r="AR22">
            <v>-8052</v>
          </cell>
          <cell r="AS22">
            <v>-805200</v>
          </cell>
          <cell r="AT22">
            <v>-1121834</v>
          </cell>
          <cell r="AU22">
            <v>-897466</v>
          </cell>
          <cell r="AV22">
            <v>-201930</v>
          </cell>
          <cell r="AW22">
            <v>-22436</v>
          </cell>
          <cell r="AX22">
            <v>-2243666</v>
          </cell>
          <cell r="AY22">
            <v>39355876</v>
          </cell>
          <cell r="AZ22">
            <v>2199455</v>
          </cell>
          <cell r="BA22">
            <v>880280</v>
          </cell>
          <cell r="BB22">
            <v>2933476</v>
          </cell>
          <cell r="BC22">
            <v>10790</v>
          </cell>
          <cell r="BD22">
            <v>33708</v>
          </cell>
          <cell r="BE22">
            <v>1892785</v>
          </cell>
          <cell r="BF22">
            <v>1199665</v>
          </cell>
          <cell r="BG22">
            <v>111168</v>
          </cell>
          <cell r="BH22">
            <v>106188</v>
          </cell>
          <cell r="BI22">
            <v>1729</v>
          </cell>
          <cell r="BJ22">
            <v>33708</v>
          </cell>
          <cell r="BK22">
            <v>10557</v>
          </cell>
          <cell r="BL22">
            <v>0</v>
          </cell>
          <cell r="BM22">
            <v>0</v>
          </cell>
          <cell r="BN22">
            <v>0</v>
          </cell>
          <cell r="BO22">
            <v>0</v>
          </cell>
          <cell r="BP22">
            <v>40680153</v>
          </cell>
          <cell r="BQ22">
            <v>120551</v>
          </cell>
          <cell r="BR22">
            <v>1900928</v>
          </cell>
          <cell r="BS22">
            <v>710658</v>
          </cell>
        </row>
        <row r="23">
          <cell r="A23">
            <v>16</v>
          </cell>
          <cell r="B23" t="str">
            <v>Bath &amp; North East Somerset</v>
          </cell>
          <cell r="C23" t="str">
            <v>E0101</v>
          </cell>
          <cell r="D23">
            <v>261473</v>
          </cell>
          <cell r="E23">
            <v>4794705</v>
          </cell>
          <cell r="G23">
            <v>177368</v>
          </cell>
          <cell r="H23">
            <v>391</v>
          </cell>
          <cell r="I23">
            <v>261473</v>
          </cell>
          <cell r="J23">
            <v>892907</v>
          </cell>
          <cell r="K23">
            <v>0</v>
          </cell>
          <cell r="L23">
            <v>0</v>
          </cell>
          <cell r="M23">
            <v>0</v>
          </cell>
          <cell r="N23">
            <v>0</v>
          </cell>
          <cell r="O23">
            <v>0</v>
          </cell>
          <cell r="P23">
            <v>0</v>
          </cell>
          <cell r="Q23">
            <v>867611</v>
          </cell>
          <cell r="R23">
            <v>0</v>
          </cell>
          <cell r="S23">
            <v>17706</v>
          </cell>
          <cell r="T23">
            <v>0</v>
          </cell>
          <cell r="U23">
            <v>0</v>
          </cell>
          <cell r="V23">
            <v>0</v>
          </cell>
          <cell r="W23">
            <v>0</v>
          </cell>
          <cell r="X23">
            <v>0</v>
          </cell>
          <cell r="Y23">
            <v>0</v>
          </cell>
          <cell r="Z23">
            <v>172999.70377919319</v>
          </cell>
          <cell r="AA23">
            <v>3.0623127294163266E-12</v>
          </cell>
          <cell r="AB23">
            <v>3530.6061995753716</v>
          </cell>
          <cell r="AC23">
            <v>583556.57596602978</v>
          </cell>
          <cell r="AD23">
            <v>1.0329686651927702E-11</v>
          </cell>
          <cell r="AE23">
            <v>11909.317876857749</v>
          </cell>
          <cell r="AF23">
            <v>0</v>
          </cell>
          <cell r="AG23">
            <v>0</v>
          </cell>
          <cell r="AH23">
            <v>0</v>
          </cell>
          <cell r="AI23">
            <v>0</v>
          </cell>
          <cell r="AJ23">
            <v>0</v>
          </cell>
          <cell r="AK23">
            <v>0</v>
          </cell>
          <cell r="AL23">
            <v>337172</v>
          </cell>
          <cell r="AM23">
            <v>0</v>
          </cell>
          <cell r="AN23">
            <v>6631</v>
          </cell>
          <cell r="AO23">
            <v>-238054</v>
          </cell>
          <cell r="AP23">
            <v>-233293</v>
          </cell>
          <cell r="AQ23">
            <v>0</v>
          </cell>
          <cell r="AR23">
            <v>-4761</v>
          </cell>
          <cell r="AS23">
            <v>-476108</v>
          </cell>
          <cell r="AT23">
            <v>-1590762</v>
          </cell>
          <cell r="AU23">
            <v>-1558948</v>
          </cell>
          <cell r="AV23">
            <v>0</v>
          </cell>
          <cell r="AW23">
            <v>-31815</v>
          </cell>
          <cell r="AX23">
            <v>-3181525</v>
          </cell>
          <cell r="AY23">
            <v>59559846</v>
          </cell>
          <cell r="AZ23">
            <v>3512711</v>
          </cell>
          <cell r="BA23">
            <v>1282104</v>
          </cell>
          <cell r="BB23">
            <v>6269986</v>
          </cell>
          <cell r="BC23">
            <v>145997</v>
          </cell>
          <cell r="BD23">
            <v>22968</v>
          </cell>
          <cell r="BE23">
            <v>6724</v>
          </cell>
          <cell r="BF23">
            <v>3001115</v>
          </cell>
          <cell r="BG23">
            <v>55783</v>
          </cell>
          <cell r="BH23">
            <v>25343</v>
          </cell>
          <cell r="BI23">
            <v>19421</v>
          </cell>
          <cell r="BJ23">
            <v>10069</v>
          </cell>
          <cell r="BK23">
            <v>35431</v>
          </cell>
          <cell r="BL23">
            <v>0</v>
          </cell>
          <cell r="BM23">
            <v>0</v>
          </cell>
          <cell r="BN23">
            <v>0</v>
          </cell>
          <cell r="BO23">
            <v>0</v>
          </cell>
          <cell r="BP23">
            <v>63536352</v>
          </cell>
          <cell r="BQ23">
            <v>520625</v>
          </cell>
          <cell r="BR23">
            <v>2059661</v>
          </cell>
          <cell r="BS23">
            <v>957628</v>
          </cell>
        </row>
        <row r="24">
          <cell r="A24">
            <v>17</v>
          </cell>
          <cell r="B24" t="str">
            <v>Bedford UA</v>
          </cell>
          <cell r="C24" t="str">
            <v>E0202</v>
          </cell>
          <cell r="D24">
            <v>234144</v>
          </cell>
          <cell r="G24">
            <v>349434</v>
          </cell>
          <cell r="H24">
            <v>0</v>
          </cell>
          <cell r="I24">
            <v>234144</v>
          </cell>
          <cell r="J24">
            <v>0</v>
          </cell>
          <cell r="K24">
            <v>0</v>
          </cell>
          <cell r="L24">
            <v>0</v>
          </cell>
          <cell r="M24">
            <v>0</v>
          </cell>
          <cell r="N24">
            <v>0</v>
          </cell>
          <cell r="O24">
            <v>0</v>
          </cell>
          <cell r="P24">
            <v>0</v>
          </cell>
          <cell r="Q24">
            <v>703480</v>
          </cell>
          <cell r="R24">
            <v>0</v>
          </cell>
          <cell r="S24">
            <v>14357</v>
          </cell>
          <cell r="T24">
            <v>0</v>
          </cell>
          <cell r="U24">
            <v>0</v>
          </cell>
          <cell r="V24">
            <v>0</v>
          </cell>
          <cell r="W24">
            <v>0</v>
          </cell>
          <cell r="X24">
            <v>0</v>
          </cell>
          <cell r="Y24">
            <v>0</v>
          </cell>
          <cell r="Z24">
            <v>12380.042462845009</v>
          </cell>
          <cell r="AA24">
            <v>2.1914234993762211E-13</v>
          </cell>
          <cell r="AB24">
            <v>252.65392781316348</v>
          </cell>
          <cell r="AC24">
            <v>361497.23991507431</v>
          </cell>
          <cell r="AD24">
            <v>6.3989566181785667E-12</v>
          </cell>
          <cell r="AE24">
            <v>7377.4946921443743</v>
          </cell>
          <cell r="AF24">
            <v>0</v>
          </cell>
          <cell r="AG24">
            <v>0</v>
          </cell>
          <cell r="AH24">
            <v>0</v>
          </cell>
          <cell r="AI24">
            <v>0</v>
          </cell>
          <cell r="AJ24">
            <v>0</v>
          </cell>
          <cell r="AK24">
            <v>0</v>
          </cell>
          <cell r="AL24">
            <v>332291</v>
          </cell>
          <cell r="AM24">
            <v>0</v>
          </cell>
          <cell r="AN24">
            <v>6731</v>
          </cell>
          <cell r="AO24">
            <v>-640354</v>
          </cell>
          <cell r="AP24">
            <v>-627547</v>
          </cell>
          <cell r="AQ24">
            <v>0</v>
          </cell>
          <cell r="AR24">
            <v>-12807</v>
          </cell>
          <cell r="AS24">
            <v>-1280708</v>
          </cell>
          <cell r="AT24">
            <v>-1100000</v>
          </cell>
          <cell r="AU24">
            <v>-1078000</v>
          </cell>
          <cell r="AV24">
            <v>0</v>
          </cell>
          <cell r="AW24">
            <v>-22000</v>
          </cell>
          <cell r="AX24">
            <v>-2200000</v>
          </cell>
          <cell r="AY24">
            <v>61146885</v>
          </cell>
          <cell r="AZ24">
            <v>2845891</v>
          </cell>
          <cell r="BA24">
            <v>1283117</v>
          </cell>
          <cell r="BB24">
            <v>4736187</v>
          </cell>
          <cell r="BC24">
            <v>149993</v>
          </cell>
          <cell r="BD24">
            <v>40465</v>
          </cell>
          <cell r="BE24">
            <v>0</v>
          </cell>
          <cell r="BF24">
            <v>2586501</v>
          </cell>
          <cell r="BG24">
            <v>114291</v>
          </cell>
          <cell r="BH24">
            <v>25697</v>
          </cell>
          <cell r="BI24">
            <v>1162</v>
          </cell>
          <cell r="BJ24">
            <v>33059</v>
          </cell>
          <cell r="BK24">
            <v>27188</v>
          </cell>
          <cell r="BL24">
            <v>0</v>
          </cell>
          <cell r="BM24">
            <v>0</v>
          </cell>
          <cell r="BN24">
            <v>0</v>
          </cell>
          <cell r="BO24">
            <v>0</v>
          </cell>
          <cell r="BP24">
            <v>63516579</v>
          </cell>
          <cell r="BQ24">
            <v>460531</v>
          </cell>
          <cell r="BR24">
            <v>2144091.67</v>
          </cell>
          <cell r="BS24">
            <v>373974.97</v>
          </cell>
        </row>
        <row r="25">
          <cell r="A25">
            <v>18</v>
          </cell>
          <cell r="B25" t="str">
            <v>Bexley</v>
          </cell>
          <cell r="C25" t="str">
            <v>E5032</v>
          </cell>
          <cell r="D25">
            <v>262101</v>
          </cell>
          <cell r="G25">
            <v>24841</v>
          </cell>
          <cell r="H25">
            <v>0</v>
          </cell>
          <cell r="I25">
            <v>262101</v>
          </cell>
          <cell r="J25">
            <v>0</v>
          </cell>
          <cell r="K25">
            <v>0</v>
          </cell>
          <cell r="L25">
            <v>0</v>
          </cell>
          <cell r="M25">
            <v>0</v>
          </cell>
          <cell r="N25">
            <v>0</v>
          </cell>
          <cell r="O25">
            <v>0</v>
          </cell>
          <cell r="P25">
            <v>0</v>
          </cell>
          <cell r="Q25">
            <v>582374</v>
          </cell>
          <cell r="R25">
            <v>388249</v>
          </cell>
          <cell r="S25">
            <v>0</v>
          </cell>
          <cell r="T25">
            <v>0</v>
          </cell>
          <cell r="U25">
            <v>0</v>
          </cell>
          <cell r="V25">
            <v>0</v>
          </cell>
          <cell r="W25">
            <v>0</v>
          </cell>
          <cell r="X25">
            <v>0</v>
          </cell>
          <cell r="Y25">
            <v>0</v>
          </cell>
          <cell r="Z25">
            <v>16875.564331210189</v>
          </cell>
          <cell r="AA25">
            <v>11250.376220806795</v>
          </cell>
          <cell r="AB25">
            <v>0</v>
          </cell>
          <cell r="AC25">
            <v>344131.93121019105</v>
          </cell>
          <cell r="AD25">
            <v>229421.28747346072</v>
          </cell>
          <cell r="AE25">
            <v>0</v>
          </cell>
          <cell r="AF25">
            <v>0</v>
          </cell>
          <cell r="AG25">
            <v>0</v>
          </cell>
          <cell r="AH25">
            <v>0</v>
          </cell>
          <cell r="AI25">
            <v>0</v>
          </cell>
          <cell r="AJ25">
            <v>0</v>
          </cell>
          <cell r="AK25">
            <v>0</v>
          </cell>
          <cell r="AL25">
            <v>212397</v>
          </cell>
          <cell r="AM25">
            <v>139743</v>
          </cell>
          <cell r="AN25">
            <v>0</v>
          </cell>
          <cell r="AO25">
            <v>-1028500</v>
          </cell>
          <cell r="AP25">
            <v>-617100</v>
          </cell>
          <cell r="AQ25">
            <v>-411400</v>
          </cell>
          <cell r="AR25">
            <v>0</v>
          </cell>
          <cell r="AS25">
            <v>-2057000</v>
          </cell>
          <cell r="AT25">
            <v>-2718345</v>
          </cell>
          <cell r="AU25">
            <v>-1631008</v>
          </cell>
          <cell r="AV25">
            <v>-1087338</v>
          </cell>
          <cell r="AW25">
            <v>0</v>
          </cell>
          <cell r="AX25">
            <v>-5436691</v>
          </cell>
          <cell r="AY25">
            <v>61513215</v>
          </cell>
          <cell r="AZ25">
            <v>3780401</v>
          </cell>
          <cell r="BA25">
            <v>1302403</v>
          </cell>
          <cell r="BB25">
            <v>5768444</v>
          </cell>
          <cell r="BC25">
            <v>96310</v>
          </cell>
          <cell r="BD25">
            <v>0</v>
          </cell>
          <cell r="BE25">
            <v>324798</v>
          </cell>
          <cell r="BF25">
            <v>2365396</v>
          </cell>
          <cell r="BG25">
            <v>0</v>
          </cell>
          <cell r="BH25">
            <v>0</v>
          </cell>
          <cell r="BI25">
            <v>0</v>
          </cell>
          <cell r="BJ25">
            <v>0</v>
          </cell>
          <cell r="BK25">
            <v>0</v>
          </cell>
          <cell r="BL25">
            <v>0</v>
          </cell>
          <cell r="BM25">
            <v>0</v>
          </cell>
          <cell r="BN25">
            <v>0</v>
          </cell>
          <cell r="BO25">
            <v>0</v>
          </cell>
          <cell r="BP25">
            <v>68054333</v>
          </cell>
          <cell r="BQ25">
            <v>607962</v>
          </cell>
          <cell r="BR25">
            <v>2418701</v>
          </cell>
          <cell r="BS25">
            <v>3039565</v>
          </cell>
        </row>
        <row r="26">
          <cell r="A26">
            <v>19</v>
          </cell>
          <cell r="B26" t="str">
            <v>Birmingham</v>
          </cell>
          <cell r="C26" t="str">
            <v>E4601</v>
          </cell>
          <cell r="D26">
            <v>1925309</v>
          </cell>
          <cell r="E26">
            <v>3951049</v>
          </cell>
          <cell r="G26">
            <v>-578050</v>
          </cell>
          <cell r="H26">
            <v>599</v>
          </cell>
          <cell r="I26">
            <v>1925309</v>
          </cell>
          <cell r="J26">
            <v>3575901</v>
          </cell>
          <cell r="K26">
            <v>0</v>
          </cell>
          <cell r="L26">
            <v>0</v>
          </cell>
          <cell r="M26">
            <v>270011</v>
          </cell>
          <cell r="N26">
            <v>270011</v>
          </cell>
          <cell r="O26">
            <v>0</v>
          </cell>
          <cell r="P26">
            <v>0</v>
          </cell>
          <cell r="Q26">
            <v>5348280</v>
          </cell>
          <cell r="R26">
            <v>0</v>
          </cell>
          <cell r="S26">
            <v>109149</v>
          </cell>
          <cell r="T26">
            <v>0</v>
          </cell>
          <cell r="U26">
            <v>0</v>
          </cell>
          <cell r="V26">
            <v>0</v>
          </cell>
          <cell r="W26">
            <v>0</v>
          </cell>
          <cell r="X26">
            <v>0</v>
          </cell>
          <cell r="Y26">
            <v>0</v>
          </cell>
          <cell r="Z26">
            <v>0</v>
          </cell>
          <cell r="AA26">
            <v>0</v>
          </cell>
          <cell r="AB26">
            <v>0</v>
          </cell>
          <cell r="AC26">
            <v>2510672.611464968</v>
          </cell>
          <cell r="AD26">
            <v>4.4442068567349762E-11</v>
          </cell>
          <cell r="AE26">
            <v>51238.216560509551</v>
          </cell>
          <cell r="AF26">
            <v>0</v>
          </cell>
          <cell r="AG26">
            <v>0</v>
          </cell>
          <cell r="AH26">
            <v>0</v>
          </cell>
          <cell r="AI26">
            <v>0</v>
          </cell>
          <cell r="AJ26">
            <v>0</v>
          </cell>
          <cell r="AK26">
            <v>0</v>
          </cell>
          <cell r="AL26">
            <v>2139420</v>
          </cell>
          <cell r="AM26">
            <v>0</v>
          </cell>
          <cell r="AN26">
            <v>42411</v>
          </cell>
          <cell r="AO26">
            <v>-27720819</v>
          </cell>
          <cell r="AP26">
            <v>-27166404</v>
          </cell>
          <cell r="AQ26">
            <v>0</v>
          </cell>
          <cell r="AR26">
            <v>-554417</v>
          </cell>
          <cell r="AS26">
            <v>-55441640</v>
          </cell>
          <cell r="AT26">
            <v>-21709945</v>
          </cell>
          <cell r="AU26">
            <v>-21275746</v>
          </cell>
          <cell r="AV26">
            <v>0</v>
          </cell>
          <cell r="AW26">
            <v>-434199</v>
          </cell>
          <cell r="AX26">
            <v>-43419890</v>
          </cell>
          <cell r="AY26">
            <v>359454272</v>
          </cell>
          <cell r="AZ26">
            <v>19948126.699999999</v>
          </cell>
          <cell r="BA26">
            <v>8286943</v>
          </cell>
          <cell r="BB26">
            <v>25858376</v>
          </cell>
          <cell r="BC26">
            <v>129337</v>
          </cell>
          <cell r="BD26">
            <v>0</v>
          </cell>
          <cell r="BE26">
            <v>306109</v>
          </cell>
          <cell r="BF26">
            <v>26341955</v>
          </cell>
          <cell r="BG26">
            <v>64786</v>
          </cell>
          <cell r="BH26">
            <v>584263</v>
          </cell>
          <cell r="BI26">
            <v>0</v>
          </cell>
          <cell r="BJ26">
            <v>0</v>
          </cell>
          <cell r="BK26">
            <v>0</v>
          </cell>
          <cell r="BL26">
            <v>252605</v>
          </cell>
          <cell r="BM26">
            <v>252605</v>
          </cell>
          <cell r="BN26">
            <v>258556</v>
          </cell>
          <cell r="BO26">
            <v>0</v>
          </cell>
          <cell r="BP26">
            <v>414032478</v>
          </cell>
          <cell r="BQ26">
            <v>3868400</v>
          </cell>
          <cell r="BR26">
            <v>98118174</v>
          </cell>
          <cell r="BS26">
            <v>34197630</v>
          </cell>
        </row>
        <row r="27">
          <cell r="A27">
            <v>20</v>
          </cell>
          <cell r="B27" t="str">
            <v>Blaby</v>
          </cell>
          <cell r="C27" t="str">
            <v>E2431</v>
          </cell>
          <cell r="D27">
            <v>101208</v>
          </cell>
          <cell r="G27">
            <v>-541</v>
          </cell>
          <cell r="H27">
            <v>0</v>
          </cell>
          <cell r="I27">
            <v>101208</v>
          </cell>
          <cell r="J27">
            <v>0</v>
          </cell>
          <cell r="K27">
            <v>0</v>
          </cell>
          <cell r="L27">
            <v>0</v>
          </cell>
          <cell r="M27">
            <v>0</v>
          </cell>
          <cell r="N27">
            <v>0</v>
          </cell>
          <cell r="O27">
            <v>0</v>
          </cell>
          <cell r="P27">
            <v>0</v>
          </cell>
          <cell r="Q27">
            <v>227989</v>
          </cell>
          <cell r="R27">
            <v>51297</v>
          </cell>
          <cell r="S27">
            <v>5700</v>
          </cell>
          <cell r="T27">
            <v>0</v>
          </cell>
          <cell r="U27">
            <v>0</v>
          </cell>
          <cell r="V27">
            <v>0</v>
          </cell>
          <cell r="W27">
            <v>0</v>
          </cell>
          <cell r="X27">
            <v>0</v>
          </cell>
          <cell r="Y27">
            <v>0</v>
          </cell>
          <cell r="Z27">
            <v>0</v>
          </cell>
          <cell r="AA27">
            <v>0</v>
          </cell>
          <cell r="AB27">
            <v>0</v>
          </cell>
          <cell r="AC27">
            <v>72966.454352441622</v>
          </cell>
          <cell r="AD27">
            <v>16417.452229299361</v>
          </cell>
          <cell r="AE27">
            <v>1824.1613588110404</v>
          </cell>
          <cell r="AF27">
            <v>0</v>
          </cell>
          <cell r="AG27">
            <v>0</v>
          </cell>
          <cell r="AH27">
            <v>0</v>
          </cell>
          <cell r="AI27">
            <v>0</v>
          </cell>
          <cell r="AJ27">
            <v>0</v>
          </cell>
          <cell r="AK27">
            <v>0</v>
          </cell>
          <cell r="AL27">
            <v>177565</v>
          </cell>
          <cell r="AM27">
            <v>39710</v>
          </cell>
          <cell r="AN27">
            <v>4412</v>
          </cell>
          <cell r="AO27">
            <v>-120912</v>
          </cell>
          <cell r="AP27">
            <v>-96729</v>
          </cell>
          <cell r="AQ27">
            <v>-21764</v>
          </cell>
          <cell r="AR27">
            <v>-2418</v>
          </cell>
          <cell r="AS27">
            <v>-241823</v>
          </cell>
          <cell r="AT27">
            <v>-1386215</v>
          </cell>
          <cell r="AU27">
            <v>-1108970</v>
          </cell>
          <cell r="AV27">
            <v>-249518</v>
          </cell>
          <cell r="AW27">
            <v>-27724</v>
          </cell>
          <cell r="AX27">
            <v>-2772427</v>
          </cell>
          <cell r="AY27">
            <v>36928801</v>
          </cell>
          <cell r="AZ27">
            <v>1102981.3799999999</v>
          </cell>
          <cell r="BA27">
            <v>779955.06</v>
          </cell>
          <cell r="BB27">
            <v>819454.94</v>
          </cell>
          <cell r="BC27">
            <v>39337.800000000003</v>
          </cell>
          <cell r="BD27">
            <v>0</v>
          </cell>
          <cell r="BE27">
            <v>254077.26</v>
          </cell>
          <cell r="BF27">
            <v>520843.69</v>
          </cell>
          <cell r="BG27">
            <v>48167.09</v>
          </cell>
          <cell r="BH27">
            <v>3988.71</v>
          </cell>
          <cell r="BI27">
            <v>4562.09</v>
          </cell>
          <cell r="BJ27">
            <v>0</v>
          </cell>
          <cell r="BK27">
            <v>0</v>
          </cell>
          <cell r="BL27">
            <v>0</v>
          </cell>
          <cell r="BM27">
            <v>0</v>
          </cell>
          <cell r="BN27">
            <v>0</v>
          </cell>
          <cell r="BO27">
            <v>0</v>
          </cell>
          <cell r="BP27">
            <v>39919039</v>
          </cell>
          <cell r="BQ27">
            <v>451707</v>
          </cell>
          <cell r="BR27">
            <v>962376</v>
          </cell>
          <cell r="BS27">
            <v>-489463</v>
          </cell>
        </row>
        <row r="28">
          <cell r="A28">
            <v>21</v>
          </cell>
          <cell r="B28" t="str">
            <v>Blackburn with Darwen</v>
          </cell>
          <cell r="C28" t="str">
            <v>E2301</v>
          </cell>
          <cell r="D28">
            <v>250620</v>
          </cell>
          <cell r="G28">
            <v>-20000</v>
          </cell>
          <cell r="H28">
            <v>0</v>
          </cell>
          <cell r="I28">
            <v>250620</v>
          </cell>
          <cell r="J28">
            <v>0</v>
          </cell>
          <cell r="K28">
            <v>0</v>
          </cell>
          <cell r="L28">
            <v>0</v>
          </cell>
          <cell r="M28">
            <v>0</v>
          </cell>
          <cell r="N28">
            <v>0</v>
          </cell>
          <cell r="O28">
            <v>0</v>
          </cell>
          <cell r="P28">
            <v>0</v>
          </cell>
          <cell r="Q28">
            <v>1151344</v>
          </cell>
          <cell r="R28">
            <v>0</v>
          </cell>
          <cell r="S28">
            <v>23497</v>
          </cell>
          <cell r="T28">
            <v>24760</v>
          </cell>
          <cell r="U28">
            <v>0</v>
          </cell>
          <cell r="V28">
            <v>505</v>
          </cell>
          <cell r="W28">
            <v>0</v>
          </cell>
          <cell r="X28">
            <v>0</v>
          </cell>
          <cell r="Y28">
            <v>0</v>
          </cell>
          <cell r="Z28">
            <v>77251.464968152868</v>
          </cell>
          <cell r="AA28">
            <v>1.3674482636107622E-12</v>
          </cell>
          <cell r="AB28">
            <v>1576.5605095541403</v>
          </cell>
          <cell r="AC28">
            <v>229278.38641188957</v>
          </cell>
          <cell r="AD28">
            <v>4.0585163208447614E-12</v>
          </cell>
          <cell r="AE28">
            <v>4679.1507430997872</v>
          </cell>
          <cell r="AF28">
            <v>0</v>
          </cell>
          <cell r="AG28">
            <v>0</v>
          </cell>
          <cell r="AH28">
            <v>0</v>
          </cell>
          <cell r="AI28">
            <v>0</v>
          </cell>
          <cell r="AJ28">
            <v>0</v>
          </cell>
          <cell r="AK28">
            <v>0</v>
          </cell>
          <cell r="AL28">
            <v>239291</v>
          </cell>
          <cell r="AM28">
            <v>0</v>
          </cell>
          <cell r="AN28">
            <v>4829</v>
          </cell>
          <cell r="AO28">
            <v>-721500</v>
          </cell>
          <cell r="AP28">
            <v>-707070</v>
          </cell>
          <cell r="AQ28">
            <v>0</v>
          </cell>
          <cell r="AR28">
            <v>-14430</v>
          </cell>
          <cell r="AS28">
            <v>-1443000</v>
          </cell>
          <cell r="AT28">
            <v>-1790000</v>
          </cell>
          <cell r="AU28">
            <v>-1754200</v>
          </cell>
          <cell r="AV28">
            <v>0</v>
          </cell>
          <cell r="AW28">
            <v>-35800</v>
          </cell>
          <cell r="AX28">
            <v>-3580000</v>
          </cell>
          <cell r="AY28">
            <v>42011110</v>
          </cell>
          <cell r="AZ28">
            <v>4599901</v>
          </cell>
          <cell r="BA28">
            <v>950775</v>
          </cell>
          <cell r="BB28">
            <v>3282622</v>
          </cell>
          <cell r="BC28">
            <v>75174</v>
          </cell>
          <cell r="BD28">
            <v>2673</v>
          </cell>
          <cell r="BE28">
            <v>123680</v>
          </cell>
          <cell r="BF28">
            <v>2893675</v>
          </cell>
          <cell r="BG28">
            <v>53128</v>
          </cell>
          <cell r="BH28">
            <v>11556</v>
          </cell>
          <cell r="BI28">
            <v>0</v>
          </cell>
          <cell r="BJ28">
            <v>1336</v>
          </cell>
          <cell r="BK28">
            <v>0</v>
          </cell>
          <cell r="BL28">
            <v>0</v>
          </cell>
          <cell r="BM28">
            <v>0</v>
          </cell>
          <cell r="BN28">
            <v>0</v>
          </cell>
          <cell r="BO28">
            <v>0</v>
          </cell>
          <cell r="BP28">
            <v>46840720</v>
          </cell>
          <cell r="BQ28">
            <v>451506</v>
          </cell>
          <cell r="BR28">
            <v>2745972</v>
          </cell>
          <cell r="BS28">
            <v>596352</v>
          </cell>
        </row>
        <row r="29">
          <cell r="A29">
            <v>22</v>
          </cell>
          <cell r="B29" t="str">
            <v>Blackpool</v>
          </cell>
          <cell r="C29" t="str">
            <v>E2302</v>
          </cell>
          <cell r="D29">
            <v>276503</v>
          </cell>
          <cell r="G29">
            <v>66692</v>
          </cell>
          <cell r="H29">
            <v>0</v>
          </cell>
          <cell r="I29">
            <v>276503</v>
          </cell>
          <cell r="J29">
            <v>0</v>
          </cell>
          <cell r="K29">
            <v>0</v>
          </cell>
          <cell r="L29">
            <v>0</v>
          </cell>
          <cell r="M29">
            <v>0</v>
          </cell>
          <cell r="N29">
            <v>0</v>
          </cell>
          <cell r="O29">
            <v>0</v>
          </cell>
          <cell r="P29">
            <v>0</v>
          </cell>
          <cell r="Q29">
            <v>1435770</v>
          </cell>
          <cell r="R29">
            <v>0</v>
          </cell>
          <cell r="S29">
            <v>29301</v>
          </cell>
          <cell r="T29">
            <v>143608</v>
          </cell>
          <cell r="U29">
            <v>0</v>
          </cell>
          <cell r="V29">
            <v>2931</v>
          </cell>
          <cell r="W29">
            <v>24760</v>
          </cell>
          <cell r="X29">
            <v>0</v>
          </cell>
          <cell r="Y29">
            <v>505</v>
          </cell>
          <cell r="Z29">
            <v>23168.506666666664</v>
          </cell>
          <cell r="AA29">
            <v>4.1011175936726352E-13</v>
          </cell>
          <cell r="AB29">
            <v>472.82666666666665</v>
          </cell>
          <cell r="AC29">
            <v>491952.18496815284</v>
          </cell>
          <cell r="AD29">
            <v>8.7081735134932582E-12</v>
          </cell>
          <cell r="AE29">
            <v>10039.84050955414</v>
          </cell>
          <cell r="AF29">
            <v>0</v>
          </cell>
          <cell r="AG29">
            <v>0</v>
          </cell>
          <cell r="AH29">
            <v>0</v>
          </cell>
          <cell r="AI29">
            <v>0</v>
          </cell>
          <cell r="AJ29">
            <v>0</v>
          </cell>
          <cell r="AK29">
            <v>0</v>
          </cell>
          <cell r="AL29">
            <v>253873</v>
          </cell>
          <cell r="AM29">
            <v>0</v>
          </cell>
          <cell r="AN29">
            <v>5121</v>
          </cell>
          <cell r="AO29">
            <v>-797616</v>
          </cell>
          <cell r="AP29">
            <v>-781663</v>
          </cell>
          <cell r="AQ29">
            <v>0</v>
          </cell>
          <cell r="AR29">
            <v>-15952</v>
          </cell>
          <cell r="AS29">
            <v>-1595231</v>
          </cell>
          <cell r="AT29">
            <v>-2052458</v>
          </cell>
          <cell r="AU29">
            <v>-2011409</v>
          </cell>
          <cell r="AV29">
            <v>0</v>
          </cell>
          <cell r="AW29">
            <v>-41049</v>
          </cell>
          <cell r="AX29">
            <v>-4104916</v>
          </cell>
          <cell r="AY29">
            <v>43059711</v>
          </cell>
          <cell r="AZ29">
            <v>5794451</v>
          </cell>
          <cell r="BA29">
            <v>951996</v>
          </cell>
          <cell r="BB29">
            <v>2324013</v>
          </cell>
          <cell r="BC29">
            <v>0</v>
          </cell>
          <cell r="BD29">
            <v>0</v>
          </cell>
          <cell r="BE29">
            <v>5964</v>
          </cell>
          <cell r="BF29">
            <v>2111215</v>
          </cell>
          <cell r="BG29">
            <v>6189</v>
          </cell>
          <cell r="BH29">
            <v>32676</v>
          </cell>
          <cell r="BI29">
            <v>0</v>
          </cell>
          <cell r="BJ29">
            <v>0</v>
          </cell>
          <cell r="BK29">
            <v>0</v>
          </cell>
          <cell r="BL29">
            <v>0</v>
          </cell>
          <cell r="BM29">
            <v>0</v>
          </cell>
          <cell r="BN29">
            <v>0</v>
          </cell>
          <cell r="BO29">
            <v>0</v>
          </cell>
          <cell r="BP29">
            <v>50045672</v>
          </cell>
          <cell r="BQ29">
            <v>1103136</v>
          </cell>
          <cell r="BR29">
            <v>4637471</v>
          </cell>
          <cell r="BS29">
            <v>456340</v>
          </cell>
        </row>
        <row r="30">
          <cell r="A30">
            <v>23</v>
          </cell>
          <cell r="B30" t="str">
            <v>Bolsover</v>
          </cell>
          <cell r="C30" t="str">
            <v>E1032</v>
          </cell>
          <cell r="D30">
            <v>94759</v>
          </cell>
          <cell r="G30">
            <v>-11544</v>
          </cell>
          <cell r="H30">
            <v>0</v>
          </cell>
          <cell r="I30">
            <v>94759</v>
          </cell>
          <cell r="J30">
            <v>0</v>
          </cell>
          <cell r="K30">
            <v>0</v>
          </cell>
          <cell r="L30">
            <v>0</v>
          </cell>
          <cell r="M30">
            <v>0</v>
          </cell>
          <cell r="N30">
            <v>0</v>
          </cell>
          <cell r="O30">
            <v>0</v>
          </cell>
          <cell r="P30">
            <v>0</v>
          </cell>
          <cell r="Q30">
            <v>238424</v>
          </cell>
          <cell r="R30">
            <v>53646</v>
          </cell>
          <cell r="S30">
            <v>5961</v>
          </cell>
          <cell r="T30">
            <v>0</v>
          </cell>
          <cell r="U30">
            <v>0</v>
          </cell>
          <cell r="V30">
            <v>0</v>
          </cell>
          <cell r="W30">
            <v>0</v>
          </cell>
          <cell r="X30">
            <v>0</v>
          </cell>
          <cell r="Y30">
            <v>0</v>
          </cell>
          <cell r="Z30">
            <v>0</v>
          </cell>
          <cell r="AA30">
            <v>0</v>
          </cell>
          <cell r="AB30">
            <v>0</v>
          </cell>
          <cell r="AC30">
            <v>105773.06157112528</v>
          </cell>
          <cell r="AD30">
            <v>23798.938853503179</v>
          </cell>
          <cell r="AE30">
            <v>2644.3265392781318</v>
          </cell>
          <cell r="AF30">
            <v>0</v>
          </cell>
          <cell r="AG30">
            <v>0</v>
          </cell>
          <cell r="AH30">
            <v>0</v>
          </cell>
          <cell r="AI30">
            <v>0</v>
          </cell>
          <cell r="AJ30">
            <v>0</v>
          </cell>
          <cell r="AK30">
            <v>0</v>
          </cell>
          <cell r="AL30">
            <v>94575</v>
          </cell>
          <cell r="AM30">
            <v>21053</v>
          </cell>
          <cell r="AN30">
            <v>2339</v>
          </cell>
          <cell r="AO30">
            <v>-145788</v>
          </cell>
          <cell r="AP30">
            <v>-116631</v>
          </cell>
          <cell r="AQ30">
            <v>-26242</v>
          </cell>
          <cell r="AR30">
            <v>-2916</v>
          </cell>
          <cell r="AS30">
            <v>-291577</v>
          </cell>
          <cell r="AT30">
            <v>-380529</v>
          </cell>
          <cell r="AU30">
            <v>-304423</v>
          </cell>
          <cell r="AV30">
            <v>-68495</v>
          </cell>
          <cell r="AW30">
            <v>-7611</v>
          </cell>
          <cell r="AX30">
            <v>-761058</v>
          </cell>
          <cell r="AY30">
            <v>20376411</v>
          </cell>
          <cell r="AZ30">
            <v>1162151</v>
          </cell>
          <cell r="BA30">
            <v>403684</v>
          </cell>
          <cell r="BB30">
            <v>467111</v>
          </cell>
          <cell r="BC30">
            <v>0</v>
          </cell>
          <cell r="BD30">
            <v>13290</v>
          </cell>
          <cell r="BE30">
            <v>419838</v>
          </cell>
          <cell r="BF30">
            <v>510755</v>
          </cell>
          <cell r="BG30">
            <v>0</v>
          </cell>
          <cell r="BH30">
            <v>26549</v>
          </cell>
          <cell r="BI30">
            <v>0</v>
          </cell>
          <cell r="BJ30">
            <v>0</v>
          </cell>
          <cell r="BK30">
            <v>0</v>
          </cell>
          <cell r="BL30">
            <v>0</v>
          </cell>
          <cell r="BM30">
            <v>0</v>
          </cell>
          <cell r="BN30">
            <v>0</v>
          </cell>
          <cell r="BO30">
            <v>0</v>
          </cell>
          <cell r="BP30">
            <v>21465984</v>
          </cell>
          <cell r="BQ30">
            <v>53844</v>
          </cell>
          <cell r="BR30">
            <v>510715</v>
          </cell>
          <cell r="BS30">
            <v>1318343</v>
          </cell>
        </row>
        <row r="31">
          <cell r="A31">
            <v>24</v>
          </cell>
          <cell r="B31" t="str">
            <v>Bolton</v>
          </cell>
          <cell r="C31" t="str">
            <v>E4201</v>
          </cell>
          <cell r="D31">
            <v>401493</v>
          </cell>
          <cell r="G31">
            <v>450000</v>
          </cell>
          <cell r="H31">
            <v>0</v>
          </cell>
          <cell r="I31">
            <v>401493</v>
          </cell>
          <cell r="J31">
            <v>0</v>
          </cell>
          <cell r="K31">
            <v>0</v>
          </cell>
          <cell r="L31">
            <v>0</v>
          </cell>
          <cell r="M31">
            <v>0</v>
          </cell>
          <cell r="N31">
            <v>0</v>
          </cell>
          <cell r="O31">
            <v>0</v>
          </cell>
          <cell r="P31">
            <v>0</v>
          </cell>
          <cell r="Q31">
            <v>1757966</v>
          </cell>
          <cell r="R31">
            <v>0</v>
          </cell>
          <cell r="S31">
            <v>35877</v>
          </cell>
          <cell r="T31">
            <v>0</v>
          </cell>
          <cell r="U31">
            <v>0</v>
          </cell>
          <cell r="V31">
            <v>0</v>
          </cell>
          <cell r="W31">
            <v>0</v>
          </cell>
          <cell r="X31">
            <v>0</v>
          </cell>
          <cell r="Y31">
            <v>0</v>
          </cell>
          <cell r="Z31">
            <v>581861.99575371551</v>
          </cell>
          <cell r="AA31">
            <v>1.0299690447068239E-11</v>
          </cell>
          <cell r="AB31">
            <v>11874.734607218683</v>
          </cell>
          <cell r="AC31">
            <v>627915.75371549884</v>
          </cell>
          <cell r="AD31">
            <v>1.1114899988836193E-11</v>
          </cell>
          <cell r="AE31">
            <v>12814.607218683652</v>
          </cell>
          <cell r="AF31">
            <v>0</v>
          </cell>
          <cell r="AG31">
            <v>0</v>
          </cell>
          <cell r="AH31">
            <v>0</v>
          </cell>
          <cell r="AI31">
            <v>0</v>
          </cell>
          <cell r="AJ31">
            <v>0</v>
          </cell>
          <cell r="AK31">
            <v>0</v>
          </cell>
          <cell r="AL31">
            <v>448274</v>
          </cell>
          <cell r="AM31">
            <v>0</v>
          </cell>
          <cell r="AN31">
            <v>9061</v>
          </cell>
          <cell r="AO31">
            <v>-2080573</v>
          </cell>
          <cell r="AP31">
            <v>-2038961</v>
          </cell>
          <cell r="AQ31">
            <v>0</v>
          </cell>
          <cell r="AR31">
            <v>-41611</v>
          </cell>
          <cell r="AS31">
            <v>-4161145</v>
          </cell>
          <cell r="AT31">
            <v>-4081048</v>
          </cell>
          <cell r="AU31">
            <v>-3999427</v>
          </cell>
          <cell r="AV31">
            <v>0</v>
          </cell>
          <cell r="AW31">
            <v>-81621</v>
          </cell>
          <cell r="AX31">
            <v>-8162096</v>
          </cell>
          <cell r="AY31">
            <v>71444918</v>
          </cell>
          <cell r="AZ31">
            <v>7038978</v>
          </cell>
          <cell r="BA31">
            <v>1768079</v>
          </cell>
          <cell r="BB31">
            <v>5597850</v>
          </cell>
          <cell r="BC31">
            <v>99909</v>
          </cell>
          <cell r="BD31">
            <v>0</v>
          </cell>
          <cell r="BE31">
            <v>246402</v>
          </cell>
          <cell r="BF31">
            <v>5274560</v>
          </cell>
          <cell r="BG31">
            <v>703100</v>
          </cell>
          <cell r="BH31">
            <v>258183</v>
          </cell>
          <cell r="BI31">
            <v>4277</v>
          </cell>
          <cell r="BJ31">
            <v>0</v>
          </cell>
          <cell r="BK31">
            <v>0</v>
          </cell>
          <cell r="BL31">
            <v>0</v>
          </cell>
          <cell r="BM31">
            <v>0</v>
          </cell>
          <cell r="BN31">
            <v>0</v>
          </cell>
          <cell r="BO31">
            <v>0</v>
          </cell>
          <cell r="BP31">
            <v>85873834</v>
          </cell>
          <cell r="BQ31">
            <v>1196314</v>
          </cell>
          <cell r="BR31">
            <v>7099863</v>
          </cell>
          <cell r="BS31">
            <v>311376</v>
          </cell>
        </row>
        <row r="32">
          <cell r="A32">
            <v>25</v>
          </cell>
          <cell r="B32" t="str">
            <v>Boston</v>
          </cell>
          <cell r="C32" t="str">
            <v>E2531</v>
          </cell>
          <cell r="D32">
            <v>87465</v>
          </cell>
          <cell r="G32">
            <v>6344</v>
          </cell>
          <cell r="H32">
            <v>0</v>
          </cell>
          <cell r="I32">
            <v>87465</v>
          </cell>
          <cell r="J32">
            <v>0</v>
          </cell>
          <cell r="K32">
            <v>0</v>
          </cell>
          <cell r="L32">
            <v>0</v>
          </cell>
          <cell r="M32">
            <v>0</v>
          </cell>
          <cell r="N32">
            <v>0</v>
          </cell>
          <cell r="O32">
            <v>0</v>
          </cell>
          <cell r="P32">
            <v>0</v>
          </cell>
          <cell r="Q32">
            <v>267401</v>
          </cell>
          <cell r="R32">
            <v>66850</v>
          </cell>
          <cell r="S32">
            <v>0</v>
          </cell>
          <cell r="T32">
            <v>0</v>
          </cell>
          <cell r="U32">
            <v>0</v>
          </cell>
          <cell r="V32">
            <v>0</v>
          </cell>
          <cell r="W32">
            <v>0</v>
          </cell>
          <cell r="X32">
            <v>0</v>
          </cell>
          <cell r="Y32">
            <v>0</v>
          </cell>
          <cell r="Z32">
            <v>8180.3278131634834</v>
          </cell>
          <cell r="AA32">
            <v>2045.0819532908702</v>
          </cell>
          <cell r="AB32">
            <v>0</v>
          </cell>
          <cell r="AC32">
            <v>126416.30233545648</v>
          </cell>
          <cell r="AD32">
            <v>31604.075583864113</v>
          </cell>
          <cell r="AE32">
            <v>0</v>
          </cell>
          <cell r="AF32">
            <v>68797</v>
          </cell>
          <cell r="AG32">
            <v>0</v>
          </cell>
          <cell r="AH32">
            <v>0</v>
          </cell>
          <cell r="AI32">
            <v>40211</v>
          </cell>
          <cell r="AJ32">
            <v>10052.844999999998</v>
          </cell>
          <cell r="AK32">
            <v>0</v>
          </cell>
          <cell r="AL32">
            <v>79359</v>
          </cell>
          <cell r="AM32">
            <v>19608</v>
          </cell>
          <cell r="AN32">
            <v>0</v>
          </cell>
          <cell r="AO32">
            <v>-165574</v>
          </cell>
          <cell r="AP32">
            <v>-132459</v>
          </cell>
          <cell r="AQ32">
            <v>-33115</v>
          </cell>
          <cell r="AR32">
            <v>0</v>
          </cell>
          <cell r="AS32">
            <v>-331148</v>
          </cell>
          <cell r="AT32">
            <v>-705857</v>
          </cell>
          <cell r="AU32">
            <v>-564685</v>
          </cell>
          <cell r="AV32">
            <v>-141171</v>
          </cell>
          <cell r="AW32">
            <v>0</v>
          </cell>
          <cell r="AX32">
            <v>-1411713</v>
          </cell>
          <cell r="AY32">
            <v>16651412</v>
          </cell>
          <cell r="AZ32">
            <v>1296309</v>
          </cell>
          <cell r="BA32">
            <v>368483</v>
          </cell>
          <cell r="BB32">
            <v>1304697</v>
          </cell>
          <cell r="BC32">
            <v>54730</v>
          </cell>
          <cell r="BD32">
            <v>22241</v>
          </cell>
          <cell r="BE32">
            <v>4603</v>
          </cell>
          <cell r="BF32">
            <v>930838</v>
          </cell>
          <cell r="BG32">
            <v>61639</v>
          </cell>
          <cell r="BH32">
            <v>42009</v>
          </cell>
          <cell r="BI32">
            <v>10951</v>
          </cell>
          <cell r="BJ32">
            <v>1280</v>
          </cell>
          <cell r="BK32">
            <v>0</v>
          </cell>
          <cell r="BL32">
            <v>0</v>
          </cell>
          <cell r="BM32">
            <v>0</v>
          </cell>
          <cell r="BN32">
            <v>0</v>
          </cell>
          <cell r="BO32">
            <v>0</v>
          </cell>
          <cell r="BP32">
            <v>18513776.199999999</v>
          </cell>
          <cell r="BQ32">
            <v>0</v>
          </cell>
          <cell r="BR32">
            <v>1067148</v>
          </cell>
          <cell r="BS32">
            <v>350492.45</v>
          </cell>
        </row>
        <row r="33">
          <cell r="A33">
            <v>26</v>
          </cell>
          <cell r="B33" t="str">
            <v>Bournemouth</v>
          </cell>
          <cell r="C33" t="str">
            <v>E1202</v>
          </cell>
          <cell r="D33">
            <v>305240</v>
          </cell>
          <cell r="G33">
            <v>-60558</v>
          </cell>
          <cell r="H33">
            <v>0</v>
          </cell>
          <cell r="I33">
            <v>305240</v>
          </cell>
          <cell r="J33">
            <v>0</v>
          </cell>
          <cell r="K33">
            <v>111</v>
          </cell>
          <cell r="L33">
            <v>0</v>
          </cell>
          <cell r="M33">
            <v>0</v>
          </cell>
          <cell r="N33">
            <v>0</v>
          </cell>
          <cell r="O33">
            <v>0</v>
          </cell>
          <cell r="P33">
            <v>0</v>
          </cell>
          <cell r="Q33">
            <v>1082169</v>
          </cell>
          <cell r="R33">
            <v>0</v>
          </cell>
          <cell r="S33">
            <v>22085</v>
          </cell>
          <cell r="T33">
            <v>0</v>
          </cell>
          <cell r="U33">
            <v>0</v>
          </cell>
          <cell r="V33">
            <v>0</v>
          </cell>
          <cell r="W33">
            <v>0</v>
          </cell>
          <cell r="X33">
            <v>0</v>
          </cell>
          <cell r="Y33">
            <v>0</v>
          </cell>
          <cell r="Z33">
            <v>108734.40815286624</v>
          </cell>
          <cell r="AA33">
            <v>1.9247360251961325E-12</v>
          </cell>
          <cell r="AB33">
            <v>2219.0695541401274</v>
          </cell>
          <cell r="AC33">
            <v>526791.48146496818</v>
          </cell>
          <cell r="AD33">
            <v>9.3248729575702181E-12</v>
          </cell>
          <cell r="AE33">
            <v>10750.846560509553</v>
          </cell>
          <cell r="AF33">
            <v>0</v>
          </cell>
          <cell r="AG33">
            <v>0</v>
          </cell>
          <cell r="AH33">
            <v>0</v>
          </cell>
          <cell r="AI33">
            <v>0</v>
          </cell>
          <cell r="AJ33">
            <v>0</v>
          </cell>
          <cell r="AK33">
            <v>0</v>
          </cell>
          <cell r="AL33">
            <v>344900</v>
          </cell>
          <cell r="AM33">
            <v>0</v>
          </cell>
          <cell r="AN33">
            <v>6973</v>
          </cell>
          <cell r="AO33">
            <v>-707007</v>
          </cell>
          <cell r="AP33">
            <v>-692868</v>
          </cell>
          <cell r="AQ33">
            <v>0</v>
          </cell>
          <cell r="AR33">
            <v>-14140</v>
          </cell>
          <cell r="AS33">
            <v>-1414015</v>
          </cell>
          <cell r="AT33">
            <v>-1375000</v>
          </cell>
          <cell r="AU33">
            <v>-1347500</v>
          </cell>
          <cell r="AV33">
            <v>0</v>
          </cell>
          <cell r="AW33">
            <v>-27500</v>
          </cell>
          <cell r="AX33">
            <v>-2750000</v>
          </cell>
          <cell r="AY33">
            <v>59351088</v>
          </cell>
          <cell r="AZ33">
            <v>4284855</v>
          </cell>
          <cell r="BA33">
            <v>1272360</v>
          </cell>
          <cell r="BB33">
            <v>4766906</v>
          </cell>
          <cell r="BC33">
            <v>109272</v>
          </cell>
          <cell r="BD33">
            <v>0</v>
          </cell>
          <cell r="BE33">
            <v>0</v>
          </cell>
          <cell r="BF33">
            <v>2337109</v>
          </cell>
          <cell r="BG33">
            <v>167199</v>
          </cell>
          <cell r="BH33">
            <v>37682</v>
          </cell>
          <cell r="BI33">
            <v>16391</v>
          </cell>
          <cell r="BJ33">
            <v>0</v>
          </cell>
          <cell r="BK33">
            <v>0</v>
          </cell>
          <cell r="BL33">
            <v>0</v>
          </cell>
          <cell r="BM33">
            <v>0</v>
          </cell>
          <cell r="BN33">
            <v>0</v>
          </cell>
          <cell r="BO33">
            <v>0</v>
          </cell>
          <cell r="BP33">
            <v>63812838.200000003</v>
          </cell>
          <cell r="BQ33">
            <v>477526</v>
          </cell>
          <cell r="BR33">
            <v>2955632</v>
          </cell>
          <cell r="BS33">
            <v>726988</v>
          </cell>
        </row>
        <row r="34">
          <cell r="A34">
            <v>27</v>
          </cell>
          <cell r="B34" t="str">
            <v>Bracknell Forest</v>
          </cell>
          <cell r="C34" t="str">
            <v>E0301</v>
          </cell>
          <cell r="D34">
            <v>157208</v>
          </cell>
          <cell r="G34">
            <v>75138</v>
          </cell>
          <cell r="H34">
            <v>0</v>
          </cell>
          <cell r="I34">
            <v>157208</v>
          </cell>
          <cell r="J34">
            <v>0</v>
          </cell>
          <cell r="K34">
            <v>803</v>
          </cell>
          <cell r="L34">
            <v>0</v>
          </cell>
          <cell r="M34">
            <v>67401.5</v>
          </cell>
          <cell r="N34">
            <v>66053.5</v>
          </cell>
          <cell r="O34">
            <v>0</v>
          </cell>
          <cell r="P34">
            <v>1348</v>
          </cell>
          <cell r="Q34">
            <v>215345</v>
          </cell>
          <cell r="R34">
            <v>0</v>
          </cell>
          <cell r="S34">
            <v>4395</v>
          </cell>
          <cell r="T34">
            <v>24760</v>
          </cell>
          <cell r="U34">
            <v>0</v>
          </cell>
          <cell r="V34">
            <v>505</v>
          </cell>
          <cell r="W34">
            <v>0</v>
          </cell>
          <cell r="X34">
            <v>0</v>
          </cell>
          <cell r="Y34">
            <v>0</v>
          </cell>
          <cell r="Z34">
            <v>24760.084925690018</v>
          </cell>
          <cell r="AA34">
            <v>4.3828469987524422E-13</v>
          </cell>
          <cell r="AB34">
            <v>505.30785562632695</v>
          </cell>
          <cell r="AC34">
            <v>272360.93418259022</v>
          </cell>
          <cell r="AD34">
            <v>4.821131698627687E-12</v>
          </cell>
          <cell r="AE34">
            <v>5558.3864118895972</v>
          </cell>
          <cell r="AF34">
            <v>0</v>
          </cell>
          <cell r="AG34">
            <v>0</v>
          </cell>
          <cell r="AH34">
            <v>0</v>
          </cell>
          <cell r="AI34">
            <v>0</v>
          </cell>
          <cell r="AJ34">
            <v>0</v>
          </cell>
          <cell r="AK34">
            <v>0</v>
          </cell>
          <cell r="AL34">
            <v>367901</v>
          </cell>
          <cell r="AM34">
            <v>0</v>
          </cell>
          <cell r="AN34">
            <v>7474</v>
          </cell>
          <cell r="AO34">
            <v>-649650</v>
          </cell>
          <cell r="AP34">
            <v>-636657</v>
          </cell>
          <cell r="AQ34">
            <v>0</v>
          </cell>
          <cell r="AR34">
            <v>-12993</v>
          </cell>
          <cell r="AS34">
            <v>-1299300</v>
          </cell>
          <cell r="AT34">
            <v>-2358623</v>
          </cell>
          <cell r="AU34">
            <v>-2311451</v>
          </cell>
          <cell r="AV34">
            <v>0</v>
          </cell>
          <cell r="AW34">
            <v>-47173</v>
          </cell>
          <cell r="AX34">
            <v>-4717247</v>
          </cell>
          <cell r="AY34">
            <v>65382226</v>
          </cell>
          <cell r="AZ34">
            <v>769966</v>
          </cell>
          <cell r="BA34">
            <v>1458022</v>
          </cell>
          <cell r="BB34">
            <v>1834793</v>
          </cell>
          <cell r="BC34">
            <v>3354</v>
          </cell>
          <cell r="BD34">
            <v>0</v>
          </cell>
          <cell r="BE34">
            <v>75869</v>
          </cell>
          <cell r="BF34">
            <v>2591939</v>
          </cell>
          <cell r="BG34">
            <v>71632</v>
          </cell>
          <cell r="BH34">
            <v>49072</v>
          </cell>
          <cell r="BI34">
            <v>0</v>
          </cell>
          <cell r="BJ34">
            <v>0</v>
          </cell>
          <cell r="BK34">
            <v>0</v>
          </cell>
          <cell r="BL34">
            <v>0</v>
          </cell>
          <cell r="BM34">
            <v>0</v>
          </cell>
          <cell r="BN34">
            <v>0</v>
          </cell>
          <cell r="BO34">
            <v>0</v>
          </cell>
          <cell r="BP34">
            <v>71687492</v>
          </cell>
          <cell r="BQ34">
            <v>793803</v>
          </cell>
          <cell r="BR34">
            <v>2737939</v>
          </cell>
          <cell r="BS34">
            <v>1293651</v>
          </cell>
        </row>
        <row r="35">
          <cell r="A35">
            <v>28</v>
          </cell>
          <cell r="B35" t="str">
            <v>Bradford</v>
          </cell>
          <cell r="C35" t="str">
            <v>E4701</v>
          </cell>
          <cell r="D35">
            <v>733780</v>
          </cell>
          <cell r="G35">
            <v>227109</v>
          </cell>
          <cell r="H35">
            <v>0</v>
          </cell>
          <cell r="I35">
            <v>733780</v>
          </cell>
          <cell r="J35">
            <v>0</v>
          </cell>
          <cell r="K35">
            <v>0</v>
          </cell>
          <cell r="L35">
            <v>0</v>
          </cell>
          <cell r="M35">
            <v>0</v>
          </cell>
          <cell r="N35">
            <v>0</v>
          </cell>
          <cell r="O35">
            <v>0</v>
          </cell>
          <cell r="P35">
            <v>0</v>
          </cell>
          <cell r="Q35">
            <v>3609332</v>
          </cell>
          <cell r="R35">
            <v>0</v>
          </cell>
          <cell r="S35">
            <v>73660</v>
          </cell>
          <cell r="T35">
            <v>4952</v>
          </cell>
          <cell r="U35">
            <v>0</v>
          </cell>
          <cell r="V35">
            <v>101</v>
          </cell>
          <cell r="W35">
            <v>9904</v>
          </cell>
          <cell r="X35">
            <v>0</v>
          </cell>
          <cell r="Y35">
            <v>202</v>
          </cell>
          <cell r="Z35">
            <v>123800.42462845011</v>
          </cell>
          <cell r="AA35">
            <v>2.1914234993762214E-12</v>
          </cell>
          <cell r="AB35">
            <v>2526.539278131635</v>
          </cell>
          <cell r="AC35">
            <v>1188484.076433121</v>
          </cell>
          <cell r="AD35">
            <v>2.1037665594011722E-11</v>
          </cell>
          <cell r="AE35">
            <v>24254.777070063694</v>
          </cell>
          <cell r="AF35">
            <v>0</v>
          </cell>
          <cell r="AG35">
            <v>0</v>
          </cell>
          <cell r="AH35">
            <v>0</v>
          </cell>
          <cell r="AI35">
            <v>0</v>
          </cell>
          <cell r="AJ35">
            <v>0</v>
          </cell>
          <cell r="AK35">
            <v>0</v>
          </cell>
          <cell r="AL35">
            <v>716395</v>
          </cell>
          <cell r="AM35">
            <v>0</v>
          </cell>
          <cell r="AN35">
            <v>14461</v>
          </cell>
          <cell r="AO35">
            <v>-2510803</v>
          </cell>
          <cell r="AP35">
            <v>-2460586</v>
          </cell>
          <cell r="AQ35">
            <v>0</v>
          </cell>
          <cell r="AR35">
            <v>-50216</v>
          </cell>
          <cell r="AS35">
            <v>-5021605</v>
          </cell>
          <cell r="AT35">
            <v>-6166345</v>
          </cell>
          <cell r="AU35">
            <v>-6043018</v>
          </cell>
          <cell r="AV35">
            <v>0</v>
          </cell>
          <cell r="AW35">
            <v>-123327</v>
          </cell>
          <cell r="AX35">
            <v>-12332690</v>
          </cell>
          <cell r="AY35">
            <v>122534367</v>
          </cell>
          <cell r="AZ35">
            <v>13692295</v>
          </cell>
          <cell r="BA35">
            <v>2796219.19</v>
          </cell>
          <cell r="BB35">
            <v>11205065.4</v>
          </cell>
          <cell r="BC35">
            <v>131561.37</v>
          </cell>
          <cell r="BD35">
            <v>10300.1</v>
          </cell>
          <cell r="BE35">
            <v>202070.66</v>
          </cell>
          <cell r="BF35">
            <v>8272116.7400000002</v>
          </cell>
          <cell r="BG35">
            <v>8425</v>
          </cell>
          <cell r="BH35">
            <v>404534.59</v>
          </cell>
          <cell r="BI35">
            <v>0</v>
          </cell>
          <cell r="BJ35">
            <v>7868.19</v>
          </cell>
          <cell r="BK35">
            <v>0</v>
          </cell>
          <cell r="BL35">
            <v>0</v>
          </cell>
          <cell r="BM35">
            <v>0</v>
          </cell>
          <cell r="BN35">
            <v>0</v>
          </cell>
          <cell r="BO35">
            <v>0</v>
          </cell>
          <cell r="BP35">
            <v>139785175</v>
          </cell>
          <cell r="BQ35">
            <v>2527902</v>
          </cell>
          <cell r="BR35">
            <v>10215142</v>
          </cell>
          <cell r="BS35">
            <v>967226</v>
          </cell>
        </row>
        <row r="36">
          <cell r="A36">
            <v>29</v>
          </cell>
          <cell r="B36" t="str">
            <v>Braintree</v>
          </cell>
          <cell r="C36" t="str">
            <v>E1532</v>
          </cell>
          <cell r="D36">
            <v>188604</v>
          </cell>
          <cell r="G36">
            <v>64078</v>
          </cell>
          <cell r="H36">
            <v>0</v>
          </cell>
          <cell r="I36">
            <v>188604</v>
          </cell>
          <cell r="J36">
            <v>0</v>
          </cell>
          <cell r="K36">
            <v>0</v>
          </cell>
          <cell r="L36">
            <v>0</v>
          </cell>
          <cell r="M36">
            <v>0</v>
          </cell>
          <cell r="N36">
            <v>0</v>
          </cell>
          <cell r="O36">
            <v>0</v>
          </cell>
          <cell r="P36">
            <v>0</v>
          </cell>
          <cell r="Q36">
            <v>572540</v>
          </cell>
          <cell r="R36">
            <v>128821</v>
          </cell>
          <cell r="S36">
            <v>14313</v>
          </cell>
          <cell r="T36">
            <v>0</v>
          </cell>
          <cell r="U36">
            <v>0</v>
          </cell>
          <cell r="V36">
            <v>0</v>
          </cell>
          <cell r="W36">
            <v>21896</v>
          </cell>
          <cell r="X36">
            <v>4927</v>
          </cell>
          <cell r="Y36">
            <v>547</v>
          </cell>
          <cell r="Z36">
            <v>134853.32653927812</v>
          </cell>
          <cell r="AA36">
            <v>30341.998471337571</v>
          </cell>
          <cell r="AB36">
            <v>3371.3331634819533</v>
          </cell>
          <cell r="AC36">
            <v>214856.90021231421</v>
          </cell>
          <cell r="AD36">
            <v>48342.802547770691</v>
          </cell>
          <cell r="AE36">
            <v>5371.4225053078553</v>
          </cell>
          <cell r="AF36">
            <v>0</v>
          </cell>
          <cell r="AG36">
            <v>0</v>
          </cell>
          <cell r="AH36">
            <v>0</v>
          </cell>
          <cell r="AI36">
            <v>0</v>
          </cell>
          <cell r="AJ36">
            <v>0</v>
          </cell>
          <cell r="AK36">
            <v>0</v>
          </cell>
          <cell r="AL36">
            <v>171443</v>
          </cell>
          <cell r="AM36">
            <v>38124</v>
          </cell>
          <cell r="AN36">
            <v>4236</v>
          </cell>
          <cell r="AO36">
            <v>-201940</v>
          </cell>
          <cell r="AP36">
            <v>-161552</v>
          </cell>
          <cell r="AQ36">
            <v>-36349</v>
          </cell>
          <cell r="AR36">
            <v>-4039</v>
          </cell>
          <cell r="AS36">
            <v>-403880</v>
          </cell>
          <cell r="AT36">
            <v>-675000</v>
          </cell>
          <cell r="AU36">
            <v>-540000</v>
          </cell>
          <cell r="AV36">
            <v>-121500</v>
          </cell>
          <cell r="AW36">
            <v>-13500</v>
          </cell>
          <cell r="AX36">
            <v>-1350000</v>
          </cell>
          <cell r="AY36">
            <v>38465355</v>
          </cell>
          <cell r="AZ36">
            <v>2790475</v>
          </cell>
          <cell r="BA36">
            <v>762550</v>
          </cell>
          <cell r="BB36">
            <v>2522361</v>
          </cell>
          <cell r="BC36">
            <v>99331</v>
          </cell>
          <cell r="BD36">
            <v>14173</v>
          </cell>
          <cell r="BE36">
            <v>2240</v>
          </cell>
          <cell r="BF36">
            <v>1484573</v>
          </cell>
          <cell r="BG36">
            <v>72017</v>
          </cell>
          <cell r="BH36">
            <v>162111</v>
          </cell>
          <cell r="BI36">
            <v>610</v>
          </cell>
          <cell r="BJ36">
            <v>3303</v>
          </cell>
          <cell r="BK36">
            <v>0</v>
          </cell>
          <cell r="BL36">
            <v>0</v>
          </cell>
          <cell r="BM36">
            <v>0</v>
          </cell>
          <cell r="BN36">
            <v>0</v>
          </cell>
          <cell r="BO36">
            <v>0</v>
          </cell>
          <cell r="BP36">
            <v>40419003</v>
          </cell>
          <cell r="BQ36">
            <v>437834</v>
          </cell>
          <cell r="BR36">
            <v>1320978</v>
          </cell>
          <cell r="BS36">
            <v>707248</v>
          </cell>
        </row>
        <row r="37">
          <cell r="A37">
            <v>30</v>
          </cell>
          <cell r="B37" t="str">
            <v>Breckland</v>
          </cell>
          <cell r="C37" t="str">
            <v>E2631</v>
          </cell>
          <cell r="D37">
            <v>167365</v>
          </cell>
          <cell r="G37">
            <v>279725</v>
          </cell>
          <cell r="H37">
            <v>0</v>
          </cell>
          <cell r="I37">
            <v>167365</v>
          </cell>
          <cell r="J37">
            <v>0</v>
          </cell>
          <cell r="K37">
            <v>75172</v>
          </cell>
          <cell r="L37">
            <v>0</v>
          </cell>
          <cell r="M37">
            <v>0</v>
          </cell>
          <cell r="N37">
            <v>0</v>
          </cell>
          <cell r="O37">
            <v>0</v>
          </cell>
          <cell r="P37">
            <v>0</v>
          </cell>
          <cell r="Q37">
            <v>551662</v>
          </cell>
          <cell r="R37">
            <v>137915</v>
          </cell>
          <cell r="S37">
            <v>0</v>
          </cell>
          <cell r="T37">
            <v>0</v>
          </cell>
          <cell r="U37">
            <v>0</v>
          </cell>
          <cell r="V37">
            <v>0</v>
          </cell>
          <cell r="W37">
            <v>0</v>
          </cell>
          <cell r="X37">
            <v>0</v>
          </cell>
          <cell r="Y37">
            <v>0</v>
          </cell>
          <cell r="Z37">
            <v>18338.228450106159</v>
          </cell>
          <cell r="AA37">
            <v>4584.5571125265378</v>
          </cell>
          <cell r="AB37">
            <v>0</v>
          </cell>
          <cell r="AC37">
            <v>208785.52526539279</v>
          </cell>
          <cell r="AD37">
            <v>52196.381316348183</v>
          </cell>
          <cell r="AE37">
            <v>0</v>
          </cell>
          <cell r="AF37">
            <v>0</v>
          </cell>
          <cell r="AG37">
            <v>0</v>
          </cell>
          <cell r="AH37">
            <v>0</v>
          </cell>
          <cell r="AI37">
            <v>0</v>
          </cell>
          <cell r="AJ37">
            <v>0</v>
          </cell>
          <cell r="AK37">
            <v>0</v>
          </cell>
          <cell r="AL37">
            <v>125483</v>
          </cell>
          <cell r="AM37">
            <v>30727</v>
          </cell>
          <cell r="AN37">
            <v>0</v>
          </cell>
          <cell r="AO37">
            <v>-123876.54</v>
          </cell>
          <cell r="AP37">
            <v>-99101</v>
          </cell>
          <cell r="AQ37">
            <v>-24775</v>
          </cell>
          <cell r="AR37">
            <v>0</v>
          </cell>
          <cell r="AS37">
            <v>-247752.54</v>
          </cell>
          <cell r="AT37">
            <v>-892160</v>
          </cell>
          <cell r="AU37">
            <v>-713729</v>
          </cell>
          <cell r="AV37">
            <v>-178432</v>
          </cell>
          <cell r="AW37">
            <v>0</v>
          </cell>
          <cell r="AX37">
            <v>-1784321</v>
          </cell>
          <cell r="AY37">
            <v>27431278</v>
          </cell>
          <cell r="AZ37">
            <v>2696601.54</v>
          </cell>
          <cell r="BA37">
            <v>539067.68000000005</v>
          </cell>
          <cell r="BB37">
            <v>1499720.86</v>
          </cell>
          <cell r="BC37">
            <v>26632.61</v>
          </cell>
          <cell r="BD37">
            <v>79222.97</v>
          </cell>
          <cell r="BE37">
            <v>66337.509999999995</v>
          </cell>
          <cell r="BF37">
            <v>1132572.4099999999</v>
          </cell>
          <cell r="BG37">
            <v>61549.64</v>
          </cell>
          <cell r="BH37">
            <v>6743.36</v>
          </cell>
          <cell r="BI37">
            <v>942.63</v>
          </cell>
          <cell r="BJ37">
            <v>10606.4</v>
          </cell>
          <cell r="BK37">
            <v>0</v>
          </cell>
          <cell r="BL37">
            <v>0</v>
          </cell>
          <cell r="BM37">
            <v>0</v>
          </cell>
          <cell r="BN37">
            <v>0</v>
          </cell>
          <cell r="BO37">
            <v>0</v>
          </cell>
          <cell r="BP37">
            <v>29261302.300000001</v>
          </cell>
          <cell r="BQ37">
            <v>124648.8</v>
          </cell>
          <cell r="BR37">
            <v>768978.1</v>
          </cell>
          <cell r="BS37">
            <v>90370.84</v>
          </cell>
        </row>
        <row r="38">
          <cell r="A38">
            <v>31</v>
          </cell>
          <cell r="B38" t="str">
            <v>Brent</v>
          </cell>
          <cell r="C38" t="str">
            <v>E5033</v>
          </cell>
          <cell r="D38">
            <v>417441</v>
          </cell>
          <cell r="G38">
            <v>59299</v>
          </cell>
          <cell r="H38">
            <v>0</v>
          </cell>
          <cell r="I38">
            <v>417441</v>
          </cell>
          <cell r="J38">
            <v>0</v>
          </cell>
          <cell r="K38">
            <v>0</v>
          </cell>
          <cell r="L38">
            <v>0</v>
          </cell>
          <cell r="M38">
            <v>0</v>
          </cell>
          <cell r="N38">
            <v>0</v>
          </cell>
          <cell r="O38">
            <v>0</v>
          </cell>
          <cell r="P38">
            <v>0</v>
          </cell>
          <cell r="Q38">
            <v>611162</v>
          </cell>
          <cell r="R38">
            <v>407442</v>
          </cell>
          <cell r="S38">
            <v>0</v>
          </cell>
          <cell r="T38">
            <v>0</v>
          </cell>
          <cell r="U38">
            <v>0</v>
          </cell>
          <cell r="V38">
            <v>0</v>
          </cell>
          <cell r="W38">
            <v>30319</v>
          </cell>
          <cell r="X38">
            <v>20212</v>
          </cell>
          <cell r="Y38">
            <v>0</v>
          </cell>
          <cell r="Z38">
            <v>75796.178343949039</v>
          </cell>
          <cell r="AA38">
            <v>50530.7855626327</v>
          </cell>
          <cell r="AB38">
            <v>0</v>
          </cell>
          <cell r="AC38">
            <v>636787.03949044587</v>
          </cell>
          <cell r="AD38">
            <v>424524.6929936306</v>
          </cell>
          <cell r="AE38">
            <v>0</v>
          </cell>
          <cell r="AF38">
            <v>0</v>
          </cell>
          <cell r="AG38">
            <v>0</v>
          </cell>
          <cell r="AH38">
            <v>0</v>
          </cell>
          <cell r="AI38">
            <v>0</v>
          </cell>
          <cell r="AJ38">
            <v>0</v>
          </cell>
          <cell r="AK38">
            <v>0</v>
          </cell>
          <cell r="AL38">
            <v>357014</v>
          </cell>
          <cell r="AM38">
            <v>235055</v>
          </cell>
          <cell r="AN38">
            <v>0</v>
          </cell>
          <cell r="AO38">
            <v>95689</v>
          </cell>
          <cell r="AP38">
            <v>57413</v>
          </cell>
          <cell r="AQ38">
            <v>38276</v>
          </cell>
          <cell r="AR38">
            <v>0</v>
          </cell>
          <cell r="AS38">
            <v>191378</v>
          </cell>
          <cell r="AT38">
            <v>-3048504</v>
          </cell>
          <cell r="AU38">
            <v>-1829102</v>
          </cell>
          <cell r="AV38">
            <v>-1219402</v>
          </cell>
          <cell r="AW38">
            <v>0</v>
          </cell>
          <cell r="AX38">
            <v>-6097008</v>
          </cell>
          <cell r="AY38">
            <v>101172734</v>
          </cell>
          <cell r="AZ38">
            <v>4003563</v>
          </cell>
          <cell r="BA38">
            <v>2001538</v>
          </cell>
          <cell r="BB38">
            <v>6720418</v>
          </cell>
          <cell r="BC38">
            <v>24360</v>
          </cell>
          <cell r="BD38">
            <v>0</v>
          </cell>
          <cell r="BE38">
            <v>37392</v>
          </cell>
          <cell r="BF38">
            <v>5698972</v>
          </cell>
          <cell r="BG38">
            <v>406073</v>
          </cell>
          <cell r="BH38">
            <v>108566</v>
          </cell>
          <cell r="BI38">
            <v>2407</v>
          </cell>
          <cell r="BJ38">
            <v>0</v>
          </cell>
          <cell r="BK38">
            <v>0</v>
          </cell>
          <cell r="BL38">
            <v>0</v>
          </cell>
          <cell r="BM38">
            <v>0</v>
          </cell>
          <cell r="BN38">
            <v>0</v>
          </cell>
          <cell r="BO38">
            <v>0</v>
          </cell>
          <cell r="BP38">
            <v>109358373</v>
          </cell>
          <cell r="BQ38">
            <v>1935104</v>
          </cell>
          <cell r="BR38">
            <v>5590105</v>
          </cell>
          <cell r="BS38">
            <v>2950924</v>
          </cell>
        </row>
        <row r="39">
          <cell r="A39">
            <v>32</v>
          </cell>
          <cell r="B39" t="str">
            <v>Brentwood</v>
          </cell>
          <cell r="C39" t="str">
            <v>E1533</v>
          </cell>
          <cell r="D39">
            <v>104749</v>
          </cell>
          <cell r="G39">
            <v>231314</v>
          </cell>
          <cell r="H39">
            <v>0</v>
          </cell>
          <cell r="I39">
            <v>104749</v>
          </cell>
          <cell r="J39">
            <v>0</v>
          </cell>
          <cell r="K39">
            <v>0</v>
          </cell>
          <cell r="L39">
            <v>0</v>
          </cell>
          <cell r="M39">
            <v>0</v>
          </cell>
          <cell r="N39">
            <v>0</v>
          </cell>
          <cell r="O39">
            <v>0</v>
          </cell>
          <cell r="P39">
            <v>0</v>
          </cell>
          <cell r="Q39">
            <v>210518</v>
          </cell>
          <cell r="R39">
            <v>47367</v>
          </cell>
          <cell r="S39">
            <v>5263</v>
          </cell>
          <cell r="T39">
            <v>0</v>
          </cell>
          <cell r="U39">
            <v>0</v>
          </cell>
          <cell r="V39">
            <v>0</v>
          </cell>
          <cell r="W39">
            <v>0</v>
          </cell>
          <cell r="X39">
            <v>0</v>
          </cell>
          <cell r="Y39">
            <v>0</v>
          </cell>
          <cell r="Z39">
            <v>0</v>
          </cell>
          <cell r="AA39">
            <v>0</v>
          </cell>
          <cell r="AB39">
            <v>0</v>
          </cell>
          <cell r="AC39">
            <v>286824.46199575369</v>
          </cell>
          <cell r="AD39">
            <v>64535.503949044571</v>
          </cell>
          <cell r="AE39">
            <v>7170.6115498938425</v>
          </cell>
          <cell r="AF39">
            <v>0</v>
          </cell>
          <cell r="AG39">
            <v>0</v>
          </cell>
          <cell r="AH39">
            <v>0</v>
          </cell>
          <cell r="AI39">
            <v>0</v>
          </cell>
          <cell r="AJ39">
            <v>0</v>
          </cell>
          <cell r="AK39">
            <v>0</v>
          </cell>
          <cell r="AL39">
            <v>121930</v>
          </cell>
          <cell r="AM39">
            <v>27184</v>
          </cell>
          <cell r="AN39">
            <v>3020</v>
          </cell>
          <cell r="AO39">
            <v>-151044</v>
          </cell>
          <cell r="AP39">
            <v>-120835</v>
          </cell>
          <cell r="AQ39">
            <v>-27188</v>
          </cell>
          <cell r="AR39">
            <v>-3021</v>
          </cell>
          <cell r="AS39">
            <v>-302088</v>
          </cell>
          <cell r="AT39">
            <v>-1027168</v>
          </cell>
          <cell r="AU39">
            <v>-821733</v>
          </cell>
          <cell r="AV39">
            <v>-184890</v>
          </cell>
          <cell r="AW39">
            <v>-20543</v>
          </cell>
          <cell r="AX39">
            <v>-2054334</v>
          </cell>
          <cell r="AY39">
            <v>26705504</v>
          </cell>
          <cell r="AZ39">
            <v>1033559</v>
          </cell>
          <cell r="BA39">
            <v>590890</v>
          </cell>
          <cell r="BB39">
            <v>2114094</v>
          </cell>
          <cell r="BC39">
            <v>41731</v>
          </cell>
          <cell r="BD39">
            <v>4054</v>
          </cell>
          <cell r="BE39">
            <v>35121</v>
          </cell>
          <cell r="BF39">
            <v>1465166</v>
          </cell>
          <cell r="BG39">
            <v>120280</v>
          </cell>
          <cell r="BH39">
            <v>50403</v>
          </cell>
          <cell r="BI39">
            <v>5216</v>
          </cell>
          <cell r="BJ39">
            <v>5371</v>
          </cell>
          <cell r="BK39">
            <v>10389</v>
          </cell>
          <cell r="BL39">
            <v>0</v>
          </cell>
          <cell r="BM39">
            <v>0</v>
          </cell>
          <cell r="BN39">
            <v>0</v>
          </cell>
          <cell r="BO39">
            <v>0</v>
          </cell>
          <cell r="BP39">
            <v>29968664</v>
          </cell>
          <cell r="BQ39">
            <v>693620.66</v>
          </cell>
          <cell r="BR39">
            <v>2139290</v>
          </cell>
          <cell r="BS39">
            <v>448160</v>
          </cell>
        </row>
        <row r="40">
          <cell r="A40">
            <v>33</v>
          </cell>
          <cell r="B40" t="str">
            <v>Brighton &amp; Hove</v>
          </cell>
          <cell r="C40" t="str">
            <v>E1401</v>
          </cell>
          <cell r="D40">
            <v>418801</v>
          </cell>
          <cell r="G40">
            <v>84754</v>
          </cell>
          <cell r="H40">
            <v>0</v>
          </cell>
          <cell r="I40">
            <v>418801</v>
          </cell>
          <cell r="J40">
            <v>0</v>
          </cell>
          <cell r="K40">
            <v>0</v>
          </cell>
          <cell r="L40">
            <v>0</v>
          </cell>
          <cell r="M40">
            <v>0</v>
          </cell>
          <cell r="N40">
            <v>0</v>
          </cell>
          <cell r="O40">
            <v>0</v>
          </cell>
          <cell r="P40">
            <v>0</v>
          </cell>
          <cell r="Q40">
            <v>1452270</v>
          </cell>
          <cell r="R40">
            <v>0</v>
          </cell>
          <cell r="S40">
            <v>29638</v>
          </cell>
          <cell r="T40">
            <v>4952</v>
          </cell>
          <cell r="U40">
            <v>0</v>
          </cell>
          <cell r="V40">
            <v>101</v>
          </cell>
          <cell r="W40">
            <v>14856</v>
          </cell>
          <cell r="X40">
            <v>0</v>
          </cell>
          <cell r="Y40">
            <v>303</v>
          </cell>
          <cell r="Z40">
            <v>38130.530785562631</v>
          </cell>
          <cell r="AA40">
            <v>6.7495843780787617E-13</v>
          </cell>
          <cell r="AB40">
            <v>778.17409766454352</v>
          </cell>
          <cell r="AC40">
            <v>1122622.2505307854</v>
          </cell>
          <cell r="AD40">
            <v>1.9871828292343575E-11</v>
          </cell>
          <cell r="AE40">
            <v>22910.658174097665</v>
          </cell>
          <cell r="AF40">
            <v>0</v>
          </cell>
          <cell r="AG40">
            <v>0</v>
          </cell>
          <cell r="AH40">
            <v>0</v>
          </cell>
          <cell r="AI40">
            <v>6227</v>
          </cell>
          <cell r="AJ40">
            <v>1.1022432966356632E-13</v>
          </cell>
          <cell r="AK40">
            <v>127.08</v>
          </cell>
          <cell r="AL40">
            <v>552010</v>
          </cell>
          <cell r="AM40">
            <v>0</v>
          </cell>
          <cell r="AN40">
            <v>11175</v>
          </cell>
          <cell r="AO40">
            <v>-1145887</v>
          </cell>
          <cell r="AP40">
            <v>-1122969</v>
          </cell>
          <cell r="AQ40">
            <v>0</v>
          </cell>
          <cell r="AR40">
            <v>-22917</v>
          </cell>
          <cell r="AS40">
            <v>-2291773</v>
          </cell>
          <cell r="AT40">
            <v>-3038950</v>
          </cell>
          <cell r="AU40">
            <v>-2978172</v>
          </cell>
          <cell r="AV40">
            <v>0</v>
          </cell>
          <cell r="AW40">
            <v>-60779</v>
          </cell>
          <cell r="AX40">
            <v>-6077901</v>
          </cell>
          <cell r="AY40">
            <v>97539888</v>
          </cell>
          <cell r="AZ40">
            <v>5779175</v>
          </cell>
          <cell r="BA40">
            <v>2038806</v>
          </cell>
          <cell r="BB40">
            <v>7945253</v>
          </cell>
          <cell r="BC40">
            <v>54588</v>
          </cell>
          <cell r="BD40">
            <v>0</v>
          </cell>
          <cell r="BE40">
            <v>27232</v>
          </cell>
          <cell r="BF40">
            <v>3706998</v>
          </cell>
          <cell r="BG40">
            <v>89511</v>
          </cell>
          <cell r="BH40">
            <v>64508</v>
          </cell>
          <cell r="BI40">
            <v>2265</v>
          </cell>
          <cell r="BJ40">
            <v>0</v>
          </cell>
          <cell r="BK40">
            <v>0</v>
          </cell>
          <cell r="BL40">
            <v>51105</v>
          </cell>
          <cell r="BM40">
            <v>51105</v>
          </cell>
          <cell r="BN40">
            <v>0</v>
          </cell>
          <cell r="BO40">
            <v>0</v>
          </cell>
          <cell r="BP40">
            <v>105430715</v>
          </cell>
          <cell r="BQ40">
            <v>918058</v>
          </cell>
          <cell r="BR40">
            <v>4416853</v>
          </cell>
          <cell r="BS40">
            <v>3485149</v>
          </cell>
        </row>
        <row r="41">
          <cell r="A41">
            <v>34</v>
          </cell>
          <cell r="B41" t="str">
            <v>Bristol</v>
          </cell>
          <cell r="C41" t="str">
            <v>E0102</v>
          </cell>
          <cell r="D41">
            <v>722649</v>
          </cell>
          <cell r="E41">
            <v>12992674</v>
          </cell>
          <cell r="F41">
            <v>6460675</v>
          </cell>
          <cell r="G41">
            <v>1612226</v>
          </cell>
          <cell r="H41">
            <v>35301</v>
          </cell>
          <cell r="I41">
            <v>722649</v>
          </cell>
          <cell r="J41">
            <v>4378558</v>
          </cell>
          <cell r="K41">
            <v>258</v>
          </cell>
          <cell r="L41">
            <v>0</v>
          </cell>
          <cell r="M41">
            <v>280000</v>
          </cell>
          <cell r="N41">
            <v>280000</v>
          </cell>
          <cell r="O41">
            <v>0</v>
          </cell>
          <cell r="P41">
            <v>0</v>
          </cell>
          <cell r="Q41">
            <v>1330285</v>
          </cell>
          <cell r="R41">
            <v>0</v>
          </cell>
          <cell r="S41">
            <v>27149</v>
          </cell>
          <cell r="T41">
            <v>49520</v>
          </cell>
          <cell r="U41">
            <v>0</v>
          </cell>
          <cell r="V41">
            <v>1011</v>
          </cell>
          <cell r="W41">
            <v>0</v>
          </cell>
          <cell r="X41">
            <v>0</v>
          </cell>
          <cell r="Y41">
            <v>0</v>
          </cell>
          <cell r="Z41">
            <v>619002.12314225058</v>
          </cell>
          <cell r="AA41">
            <v>1.0957117496881106E-11</v>
          </cell>
          <cell r="AB41">
            <v>12632.696390658175</v>
          </cell>
          <cell r="AC41">
            <v>990403.39702760091</v>
          </cell>
          <cell r="AD41">
            <v>1.7531387995009771E-11</v>
          </cell>
          <cell r="AE41">
            <v>20212.31422505308</v>
          </cell>
          <cell r="AF41">
            <v>0</v>
          </cell>
          <cell r="AG41">
            <v>0</v>
          </cell>
          <cell r="AH41">
            <v>0</v>
          </cell>
          <cell r="AI41">
            <v>0</v>
          </cell>
          <cell r="AJ41">
            <v>0</v>
          </cell>
          <cell r="AK41">
            <v>0</v>
          </cell>
          <cell r="AL41">
            <v>1125546</v>
          </cell>
          <cell r="AM41">
            <v>0</v>
          </cell>
          <cell r="AN41">
            <v>21804</v>
          </cell>
          <cell r="AO41">
            <v>-1102000</v>
          </cell>
          <cell r="AP41">
            <v>-1079960</v>
          </cell>
          <cell r="AQ41">
            <v>0</v>
          </cell>
          <cell r="AR41">
            <v>-22040</v>
          </cell>
          <cell r="AS41">
            <v>-2204000</v>
          </cell>
          <cell r="AT41">
            <v>-7041000</v>
          </cell>
          <cell r="AU41">
            <v>-6900180</v>
          </cell>
          <cell r="AV41">
            <v>0</v>
          </cell>
          <cell r="AW41">
            <v>-140820</v>
          </cell>
          <cell r="AX41">
            <v>-14082000</v>
          </cell>
          <cell r="AY41">
            <v>191577342</v>
          </cell>
          <cell r="AZ41">
            <v>7769697</v>
          </cell>
          <cell r="BA41">
            <v>4238342</v>
          </cell>
          <cell r="BB41">
            <v>15356805</v>
          </cell>
          <cell r="BC41">
            <v>143723</v>
          </cell>
          <cell r="BD41">
            <v>0</v>
          </cell>
          <cell r="BE41">
            <v>524169</v>
          </cell>
          <cell r="BF41">
            <v>12855383</v>
          </cell>
          <cell r="BG41">
            <v>307911</v>
          </cell>
          <cell r="BH41">
            <v>462886</v>
          </cell>
          <cell r="BI41">
            <v>5113</v>
          </cell>
          <cell r="BJ41">
            <v>0</v>
          </cell>
          <cell r="BK41">
            <v>0</v>
          </cell>
          <cell r="BL41">
            <v>341768</v>
          </cell>
          <cell r="BM41">
            <v>341768</v>
          </cell>
          <cell r="BN41">
            <v>341768</v>
          </cell>
          <cell r="BO41">
            <v>0</v>
          </cell>
          <cell r="BP41">
            <v>206767613</v>
          </cell>
          <cell r="BQ41">
            <v>1817177</v>
          </cell>
          <cell r="BR41">
            <v>4385330</v>
          </cell>
          <cell r="BS41">
            <v>3849916</v>
          </cell>
        </row>
        <row r="42">
          <cell r="A42">
            <v>35</v>
          </cell>
          <cell r="B42" t="str">
            <v>Broadland</v>
          </cell>
          <cell r="C42" t="str">
            <v>E2632</v>
          </cell>
          <cell r="D42">
            <v>137480</v>
          </cell>
          <cell r="G42">
            <v>-1785</v>
          </cell>
          <cell r="H42">
            <v>0</v>
          </cell>
          <cell r="I42">
            <v>137480</v>
          </cell>
          <cell r="J42">
            <v>0</v>
          </cell>
          <cell r="K42">
            <v>5000</v>
          </cell>
          <cell r="L42">
            <v>0</v>
          </cell>
          <cell r="M42">
            <v>0</v>
          </cell>
          <cell r="N42">
            <v>0</v>
          </cell>
          <cell r="O42">
            <v>0</v>
          </cell>
          <cell r="P42">
            <v>0</v>
          </cell>
          <cell r="Q42">
            <v>484710</v>
          </cell>
          <cell r="R42">
            <v>121178</v>
          </cell>
          <cell r="S42">
            <v>0</v>
          </cell>
          <cell r="T42">
            <v>4851</v>
          </cell>
          <cell r="U42">
            <v>1213</v>
          </cell>
          <cell r="V42">
            <v>0</v>
          </cell>
          <cell r="W42">
            <v>20212</v>
          </cell>
          <cell r="X42">
            <v>5053</v>
          </cell>
          <cell r="Y42">
            <v>0</v>
          </cell>
          <cell r="Z42">
            <v>10106.15711252654</v>
          </cell>
          <cell r="AA42">
            <v>2526.5392781316341</v>
          </cell>
          <cell r="AB42">
            <v>0</v>
          </cell>
          <cell r="AC42">
            <v>131380.04246284501</v>
          </cell>
          <cell r="AD42">
            <v>32845.010615711246</v>
          </cell>
          <cell r="AE42">
            <v>0</v>
          </cell>
          <cell r="AF42">
            <v>0</v>
          </cell>
          <cell r="AG42">
            <v>0</v>
          </cell>
          <cell r="AH42">
            <v>0</v>
          </cell>
          <cell r="AI42">
            <v>0</v>
          </cell>
          <cell r="AJ42">
            <v>0</v>
          </cell>
          <cell r="AK42">
            <v>0</v>
          </cell>
          <cell r="AL42">
            <v>127015</v>
          </cell>
          <cell r="AM42">
            <v>31376</v>
          </cell>
          <cell r="AN42">
            <v>0</v>
          </cell>
          <cell r="AO42">
            <v>-57238</v>
          </cell>
          <cell r="AP42">
            <v>-45789</v>
          </cell>
          <cell r="AQ42">
            <v>-11447</v>
          </cell>
          <cell r="AR42">
            <v>0</v>
          </cell>
          <cell r="AS42">
            <v>-114474</v>
          </cell>
          <cell r="AT42">
            <v>-412417</v>
          </cell>
          <cell r="AU42">
            <v>-329934</v>
          </cell>
          <cell r="AV42">
            <v>-82483</v>
          </cell>
          <cell r="AW42">
            <v>0</v>
          </cell>
          <cell r="AX42">
            <v>-824834</v>
          </cell>
          <cell r="AY42">
            <v>28515180</v>
          </cell>
          <cell r="AZ42">
            <v>2363343</v>
          </cell>
          <cell r="BA42">
            <v>541974</v>
          </cell>
          <cell r="BB42">
            <v>1298930</v>
          </cell>
          <cell r="BC42">
            <v>39036</v>
          </cell>
          <cell r="BD42">
            <v>53315</v>
          </cell>
          <cell r="BE42">
            <v>3824</v>
          </cell>
          <cell r="BF42">
            <v>636239</v>
          </cell>
          <cell r="BG42">
            <v>13042</v>
          </cell>
          <cell r="BH42">
            <v>53594</v>
          </cell>
          <cell r="BI42">
            <v>0</v>
          </cell>
          <cell r="BJ42">
            <v>53315</v>
          </cell>
          <cell r="BK42">
            <v>9119</v>
          </cell>
          <cell r="BL42">
            <v>0</v>
          </cell>
          <cell r="BM42">
            <v>0</v>
          </cell>
          <cell r="BN42">
            <v>0</v>
          </cell>
          <cell r="BO42">
            <v>0</v>
          </cell>
          <cell r="BP42">
            <v>29767163</v>
          </cell>
          <cell r="BQ42">
            <v>0</v>
          </cell>
          <cell r="BR42">
            <v>271085</v>
          </cell>
          <cell r="BS42">
            <v>631866</v>
          </cell>
        </row>
        <row r="43">
          <cell r="A43">
            <v>36</v>
          </cell>
          <cell r="B43" t="str">
            <v>Bromley</v>
          </cell>
          <cell r="C43" t="str">
            <v>E5034</v>
          </cell>
          <cell r="D43">
            <v>347201</v>
          </cell>
          <cell r="G43">
            <v>19127</v>
          </cell>
          <cell r="H43">
            <v>0</v>
          </cell>
          <cell r="I43">
            <v>347201</v>
          </cell>
          <cell r="J43">
            <v>0</v>
          </cell>
          <cell r="K43">
            <v>0</v>
          </cell>
          <cell r="L43">
            <v>0</v>
          </cell>
          <cell r="M43">
            <v>0</v>
          </cell>
          <cell r="N43">
            <v>0</v>
          </cell>
          <cell r="O43">
            <v>0</v>
          </cell>
          <cell r="P43">
            <v>0</v>
          </cell>
          <cell r="Q43">
            <v>646915</v>
          </cell>
          <cell r="R43">
            <v>431277</v>
          </cell>
          <cell r="S43">
            <v>0</v>
          </cell>
          <cell r="T43">
            <v>0</v>
          </cell>
          <cell r="U43">
            <v>0</v>
          </cell>
          <cell r="V43">
            <v>0</v>
          </cell>
          <cell r="W43">
            <v>0</v>
          </cell>
          <cell r="X43">
            <v>0</v>
          </cell>
          <cell r="Y43">
            <v>0</v>
          </cell>
          <cell r="Z43">
            <v>32567.495541401273</v>
          </cell>
          <cell r="AA43">
            <v>21711.663694267518</v>
          </cell>
          <cell r="AB43">
            <v>0</v>
          </cell>
          <cell r="AC43">
            <v>587326.09171974519</v>
          </cell>
          <cell r="AD43">
            <v>391550.72781316354</v>
          </cell>
          <cell r="AE43">
            <v>0</v>
          </cell>
          <cell r="AF43">
            <v>0</v>
          </cell>
          <cell r="AG43">
            <v>0</v>
          </cell>
          <cell r="AH43">
            <v>0</v>
          </cell>
          <cell r="AI43">
            <v>0</v>
          </cell>
          <cell r="AJ43">
            <v>0</v>
          </cell>
          <cell r="AK43">
            <v>0</v>
          </cell>
          <cell r="AL43">
            <v>263397</v>
          </cell>
          <cell r="AM43">
            <v>173141</v>
          </cell>
          <cell r="AN43">
            <v>0</v>
          </cell>
          <cell r="AO43">
            <v>-342828</v>
          </cell>
          <cell r="AP43">
            <v>-205698</v>
          </cell>
          <cell r="AQ43">
            <v>-137132</v>
          </cell>
          <cell r="AR43">
            <v>0</v>
          </cell>
          <cell r="AS43">
            <v>-685658</v>
          </cell>
          <cell r="AT43">
            <v>-224927</v>
          </cell>
          <cell r="AU43">
            <v>-134957</v>
          </cell>
          <cell r="AV43">
            <v>-89971</v>
          </cell>
          <cell r="AW43">
            <v>0</v>
          </cell>
          <cell r="AX43">
            <v>-449855</v>
          </cell>
          <cell r="AY43">
            <v>82244928</v>
          </cell>
          <cell r="AZ43">
            <v>4230896.76</v>
          </cell>
          <cell r="BA43">
            <v>1562063.92</v>
          </cell>
          <cell r="BB43">
            <v>7781310.4000000004</v>
          </cell>
          <cell r="BC43">
            <v>162223.70000000001</v>
          </cell>
          <cell r="BD43">
            <v>0</v>
          </cell>
          <cell r="BE43">
            <v>8871.18</v>
          </cell>
          <cell r="BF43">
            <v>3350740.65</v>
          </cell>
          <cell r="BG43">
            <v>208884.71</v>
          </cell>
          <cell r="BH43">
            <v>193676.74</v>
          </cell>
          <cell r="BI43">
            <v>40555.919999999998</v>
          </cell>
          <cell r="BJ43">
            <v>0</v>
          </cell>
          <cell r="BK43">
            <v>0</v>
          </cell>
          <cell r="BL43">
            <v>0</v>
          </cell>
          <cell r="BM43">
            <v>0</v>
          </cell>
          <cell r="BN43">
            <v>0</v>
          </cell>
          <cell r="BO43">
            <v>0</v>
          </cell>
          <cell r="BP43">
            <v>84193580</v>
          </cell>
          <cell r="BQ43">
            <v>753068</v>
          </cell>
          <cell r="BR43">
            <v>1687209.39</v>
          </cell>
          <cell r="BS43">
            <v>3589324</v>
          </cell>
        </row>
        <row r="44">
          <cell r="A44">
            <v>37</v>
          </cell>
          <cell r="B44" t="str">
            <v>Bromsgrove</v>
          </cell>
          <cell r="C44" t="str">
            <v>E1831</v>
          </cell>
          <cell r="D44">
            <v>124226</v>
          </cell>
          <cell r="G44">
            <v>76285</v>
          </cell>
          <cell r="H44">
            <v>0</v>
          </cell>
          <cell r="I44">
            <v>124226</v>
          </cell>
          <cell r="J44">
            <v>0</v>
          </cell>
          <cell r="K44">
            <v>0</v>
          </cell>
          <cell r="L44">
            <v>0</v>
          </cell>
          <cell r="M44">
            <v>0</v>
          </cell>
          <cell r="N44">
            <v>0</v>
          </cell>
          <cell r="O44">
            <v>0</v>
          </cell>
          <cell r="P44">
            <v>0</v>
          </cell>
          <cell r="Q44">
            <v>372089</v>
          </cell>
          <cell r="R44">
            <v>83720</v>
          </cell>
          <cell r="S44">
            <v>9302</v>
          </cell>
          <cell r="T44">
            <v>0</v>
          </cell>
          <cell r="U44">
            <v>0</v>
          </cell>
          <cell r="V44">
            <v>0</v>
          </cell>
          <cell r="W44">
            <v>0</v>
          </cell>
          <cell r="X44">
            <v>0</v>
          </cell>
          <cell r="Y44">
            <v>0</v>
          </cell>
          <cell r="Z44">
            <v>2606.1757961783442</v>
          </cell>
          <cell r="AA44">
            <v>586.38955414012719</v>
          </cell>
          <cell r="AB44">
            <v>65.154394904458599</v>
          </cell>
          <cell r="AC44">
            <v>172638.63099787687</v>
          </cell>
          <cell r="AD44">
            <v>38843.691974522284</v>
          </cell>
          <cell r="AE44">
            <v>4315.9657749469216</v>
          </cell>
          <cell r="AF44">
            <v>0</v>
          </cell>
          <cell r="AG44">
            <v>0</v>
          </cell>
          <cell r="AH44">
            <v>0</v>
          </cell>
          <cell r="AI44">
            <v>0</v>
          </cell>
          <cell r="AJ44">
            <v>0</v>
          </cell>
          <cell r="AK44">
            <v>0</v>
          </cell>
          <cell r="AL44">
            <v>113612</v>
          </cell>
          <cell r="AM44">
            <v>25266</v>
          </cell>
          <cell r="AN44">
            <v>2807</v>
          </cell>
          <cell r="AO44">
            <v>-273212</v>
          </cell>
          <cell r="AP44">
            <v>-218568</v>
          </cell>
          <cell r="AQ44">
            <v>-49178</v>
          </cell>
          <cell r="AR44">
            <v>-5464</v>
          </cell>
          <cell r="AS44">
            <v>-546422</v>
          </cell>
          <cell r="AT44">
            <v>-461498</v>
          </cell>
          <cell r="AU44">
            <v>-369197</v>
          </cell>
          <cell r="AV44">
            <v>-83069</v>
          </cell>
          <cell r="AW44">
            <v>-9230</v>
          </cell>
          <cell r="AX44">
            <v>-922994</v>
          </cell>
          <cell r="AY44">
            <v>24957958</v>
          </cell>
          <cell r="AZ44">
            <v>1853565.74</v>
          </cell>
          <cell r="BA44">
            <v>498631.91</v>
          </cell>
          <cell r="BB44">
            <v>1831110.14</v>
          </cell>
          <cell r="BC44">
            <v>15147.36</v>
          </cell>
          <cell r="BD44">
            <v>2107.7199999999998</v>
          </cell>
          <cell r="BE44">
            <v>0</v>
          </cell>
          <cell r="BF44">
            <v>827738</v>
          </cell>
          <cell r="BG44">
            <v>122770.88</v>
          </cell>
          <cell r="BH44">
            <v>131786.97</v>
          </cell>
          <cell r="BI44">
            <v>3424.17</v>
          </cell>
          <cell r="BJ44">
            <v>1507.2</v>
          </cell>
          <cell r="BK44">
            <v>0</v>
          </cell>
          <cell r="BL44">
            <v>0</v>
          </cell>
          <cell r="BM44">
            <v>0</v>
          </cell>
          <cell r="BN44">
            <v>0</v>
          </cell>
          <cell r="BO44">
            <v>0</v>
          </cell>
          <cell r="BP44">
            <v>26534611.600000001</v>
          </cell>
          <cell r="BQ44">
            <v>325712.84999999998</v>
          </cell>
          <cell r="BR44">
            <v>1204488</v>
          </cell>
          <cell r="BS44">
            <v>441013.3</v>
          </cell>
        </row>
        <row r="45">
          <cell r="A45">
            <v>38</v>
          </cell>
          <cell r="B45" t="str">
            <v>Broxbourne</v>
          </cell>
          <cell r="C45" t="str">
            <v>E1931</v>
          </cell>
          <cell r="D45">
            <v>115645</v>
          </cell>
          <cell r="G45">
            <v>-425451</v>
          </cell>
          <cell r="H45">
            <v>0</v>
          </cell>
          <cell r="I45">
            <v>115645</v>
          </cell>
          <cell r="J45">
            <v>0</v>
          </cell>
          <cell r="K45">
            <v>0</v>
          </cell>
          <cell r="L45">
            <v>0</v>
          </cell>
          <cell r="M45">
            <v>0</v>
          </cell>
          <cell r="N45">
            <v>0</v>
          </cell>
          <cell r="O45">
            <v>0</v>
          </cell>
          <cell r="P45">
            <v>0</v>
          </cell>
          <cell r="Q45">
            <v>263973</v>
          </cell>
          <cell r="R45">
            <v>65993</v>
          </cell>
          <cell r="S45">
            <v>0</v>
          </cell>
          <cell r="T45">
            <v>0</v>
          </cell>
          <cell r="U45">
            <v>0</v>
          </cell>
          <cell r="V45">
            <v>0</v>
          </cell>
          <cell r="W45">
            <v>0</v>
          </cell>
          <cell r="X45">
            <v>0</v>
          </cell>
          <cell r="Y45">
            <v>0</v>
          </cell>
          <cell r="Z45">
            <v>101061.5711252654</v>
          </cell>
          <cell r="AA45">
            <v>25265.392781316343</v>
          </cell>
          <cell r="AB45">
            <v>0</v>
          </cell>
          <cell r="AC45">
            <v>252653.92781316349</v>
          </cell>
          <cell r="AD45">
            <v>63163.481953290859</v>
          </cell>
          <cell r="AE45">
            <v>0</v>
          </cell>
          <cell r="AF45">
            <v>0</v>
          </cell>
          <cell r="AG45">
            <v>0</v>
          </cell>
          <cell r="AH45">
            <v>0</v>
          </cell>
          <cell r="AI45">
            <v>0</v>
          </cell>
          <cell r="AJ45">
            <v>0</v>
          </cell>
          <cell r="AK45">
            <v>0</v>
          </cell>
          <cell r="AL45">
            <v>169022</v>
          </cell>
          <cell r="AM45">
            <v>41949</v>
          </cell>
          <cell r="AN45">
            <v>0</v>
          </cell>
          <cell r="AO45">
            <v>-96762</v>
          </cell>
          <cell r="AP45">
            <v>-77410</v>
          </cell>
          <cell r="AQ45">
            <v>-19353</v>
          </cell>
          <cell r="AR45">
            <v>0</v>
          </cell>
          <cell r="AS45">
            <v>-193525</v>
          </cell>
          <cell r="AT45">
            <v>-931222</v>
          </cell>
          <cell r="AU45">
            <v>-744977</v>
          </cell>
          <cell r="AV45">
            <v>-186244</v>
          </cell>
          <cell r="AW45">
            <v>0</v>
          </cell>
          <cell r="AX45">
            <v>-1862443</v>
          </cell>
          <cell r="AY45">
            <v>38585402</v>
          </cell>
          <cell r="AZ45">
            <v>1274016</v>
          </cell>
          <cell r="BA45">
            <v>763006</v>
          </cell>
          <cell r="BB45">
            <v>1674359</v>
          </cell>
          <cell r="BC45">
            <v>70518</v>
          </cell>
          <cell r="BD45">
            <v>0</v>
          </cell>
          <cell r="BE45">
            <v>41009</v>
          </cell>
          <cell r="BF45">
            <v>683853</v>
          </cell>
          <cell r="BG45">
            <v>92961</v>
          </cell>
          <cell r="BH45">
            <v>11336</v>
          </cell>
          <cell r="BI45">
            <v>0</v>
          </cell>
          <cell r="BJ45">
            <v>0</v>
          </cell>
          <cell r="BK45">
            <v>0</v>
          </cell>
          <cell r="BL45">
            <v>0</v>
          </cell>
          <cell r="BM45">
            <v>0</v>
          </cell>
          <cell r="BN45">
            <v>0</v>
          </cell>
          <cell r="BO45">
            <v>0</v>
          </cell>
          <cell r="BP45">
            <v>39890160</v>
          </cell>
          <cell r="BQ45">
            <v>87568</v>
          </cell>
          <cell r="BR45">
            <v>1380544</v>
          </cell>
          <cell r="BS45">
            <v>94344</v>
          </cell>
        </row>
        <row r="46">
          <cell r="A46">
            <v>39</v>
          </cell>
          <cell r="B46" t="str">
            <v>Broxtowe</v>
          </cell>
          <cell r="C46" t="str">
            <v>E3033</v>
          </cell>
          <cell r="D46">
            <v>107581</v>
          </cell>
          <cell r="E46">
            <v>1099687</v>
          </cell>
          <cell r="G46">
            <v>-12848</v>
          </cell>
          <cell r="H46">
            <v>-102</v>
          </cell>
          <cell r="I46">
            <v>107581</v>
          </cell>
          <cell r="J46">
            <v>0</v>
          </cell>
          <cell r="K46">
            <v>0</v>
          </cell>
          <cell r="L46">
            <v>0</v>
          </cell>
          <cell r="M46">
            <v>0</v>
          </cell>
          <cell r="N46">
            <v>0</v>
          </cell>
          <cell r="O46">
            <v>0</v>
          </cell>
          <cell r="P46">
            <v>0</v>
          </cell>
          <cell r="Q46">
            <v>303725</v>
          </cell>
          <cell r="R46">
            <v>68338</v>
          </cell>
          <cell r="S46">
            <v>7593</v>
          </cell>
          <cell r="T46">
            <v>0</v>
          </cell>
          <cell r="U46">
            <v>0</v>
          </cell>
          <cell r="V46">
            <v>0</v>
          </cell>
          <cell r="W46">
            <v>0</v>
          </cell>
          <cell r="X46">
            <v>0</v>
          </cell>
          <cell r="Y46">
            <v>0</v>
          </cell>
          <cell r="Z46">
            <v>0</v>
          </cell>
          <cell r="AA46">
            <v>0</v>
          </cell>
          <cell r="AB46">
            <v>0</v>
          </cell>
          <cell r="AC46">
            <v>101061.5711252654</v>
          </cell>
          <cell r="AD46">
            <v>22738.85350318471</v>
          </cell>
          <cell r="AE46">
            <v>2526.539278131635</v>
          </cell>
          <cell r="AF46">
            <v>0</v>
          </cell>
          <cell r="AG46">
            <v>0</v>
          </cell>
          <cell r="AH46">
            <v>0</v>
          </cell>
          <cell r="AI46">
            <v>0</v>
          </cell>
          <cell r="AJ46">
            <v>0</v>
          </cell>
          <cell r="AK46">
            <v>0</v>
          </cell>
          <cell r="AL46">
            <v>105106</v>
          </cell>
          <cell r="AM46">
            <v>23380</v>
          </cell>
          <cell r="AN46">
            <v>2598</v>
          </cell>
          <cell r="AO46">
            <v>-262799</v>
          </cell>
          <cell r="AP46">
            <v>-210239</v>
          </cell>
          <cell r="AQ46">
            <v>-47304</v>
          </cell>
          <cell r="AR46">
            <v>-5256</v>
          </cell>
          <cell r="AS46">
            <v>-525598</v>
          </cell>
          <cell r="AT46">
            <v>-584234</v>
          </cell>
          <cell r="AU46">
            <v>-467387</v>
          </cell>
          <cell r="AV46">
            <v>-105162</v>
          </cell>
          <cell r="AW46">
            <v>-11685</v>
          </cell>
          <cell r="AX46">
            <v>-1168468</v>
          </cell>
          <cell r="AY46">
            <v>22536972</v>
          </cell>
          <cell r="AZ46">
            <v>1500790</v>
          </cell>
          <cell r="BA46">
            <v>460896</v>
          </cell>
          <cell r="BB46">
            <v>950089.8</v>
          </cell>
          <cell r="BC46">
            <v>0</v>
          </cell>
          <cell r="BD46">
            <v>2229.19</v>
          </cell>
          <cell r="BE46">
            <v>1800.09</v>
          </cell>
          <cell r="BF46">
            <v>856219</v>
          </cell>
          <cell r="BG46">
            <v>33394.629999999997</v>
          </cell>
          <cell r="BH46">
            <v>66135</v>
          </cell>
          <cell r="BI46">
            <v>0</v>
          </cell>
          <cell r="BJ46">
            <v>2229.16</v>
          </cell>
          <cell r="BK46">
            <v>0</v>
          </cell>
          <cell r="BL46">
            <v>0</v>
          </cell>
          <cell r="BM46">
            <v>0</v>
          </cell>
          <cell r="BN46">
            <v>0</v>
          </cell>
          <cell r="BO46">
            <v>0</v>
          </cell>
          <cell r="BP46">
            <v>24605644</v>
          </cell>
          <cell r="BQ46">
            <v>154698</v>
          </cell>
          <cell r="BR46">
            <v>1459448.6</v>
          </cell>
          <cell r="BS46">
            <v>500309.25</v>
          </cell>
        </row>
        <row r="47">
          <cell r="A47">
            <v>40</v>
          </cell>
          <cell r="B47" t="str">
            <v>Burnley</v>
          </cell>
          <cell r="C47" t="str">
            <v>E2333</v>
          </cell>
          <cell r="D47">
            <v>148397</v>
          </cell>
          <cell r="G47">
            <v>58322</v>
          </cell>
          <cell r="H47">
            <v>0</v>
          </cell>
          <cell r="I47">
            <v>148397</v>
          </cell>
          <cell r="J47">
            <v>0</v>
          </cell>
          <cell r="K47">
            <v>23859</v>
          </cell>
          <cell r="L47">
            <v>0</v>
          </cell>
          <cell r="M47">
            <v>0</v>
          </cell>
          <cell r="N47">
            <v>0</v>
          </cell>
          <cell r="O47">
            <v>0</v>
          </cell>
          <cell r="P47">
            <v>0</v>
          </cell>
          <cell r="Q47">
            <v>493978</v>
          </cell>
          <cell r="R47">
            <v>111145</v>
          </cell>
          <cell r="S47">
            <v>12349</v>
          </cell>
          <cell r="T47">
            <v>2451</v>
          </cell>
          <cell r="U47">
            <v>552</v>
          </cell>
          <cell r="V47">
            <v>61</v>
          </cell>
          <cell r="W47">
            <v>26962</v>
          </cell>
          <cell r="X47">
            <v>6066</v>
          </cell>
          <cell r="Y47">
            <v>674</v>
          </cell>
          <cell r="Z47">
            <v>2450.9452229299363</v>
          </cell>
          <cell r="AA47">
            <v>551.46267515923557</v>
          </cell>
          <cell r="AB47">
            <v>61.273630573248411</v>
          </cell>
          <cell r="AC47">
            <v>171571.82505307859</v>
          </cell>
          <cell r="AD47">
            <v>38603.660636942666</v>
          </cell>
          <cell r="AE47">
            <v>4289.2956263269643</v>
          </cell>
          <cell r="AF47">
            <v>0</v>
          </cell>
          <cell r="AG47">
            <v>0</v>
          </cell>
          <cell r="AH47">
            <v>0</v>
          </cell>
          <cell r="AI47">
            <v>0</v>
          </cell>
          <cell r="AJ47">
            <v>0</v>
          </cell>
          <cell r="AK47">
            <v>0</v>
          </cell>
          <cell r="AL47">
            <v>115648</v>
          </cell>
          <cell r="AM47">
            <v>25609</v>
          </cell>
          <cell r="AN47">
            <v>2846</v>
          </cell>
          <cell r="AO47">
            <v>-462932.34</v>
          </cell>
          <cell r="AP47">
            <v>-370347</v>
          </cell>
          <cell r="AQ47">
            <v>-83328</v>
          </cell>
          <cell r="AR47">
            <v>-9259</v>
          </cell>
          <cell r="AS47">
            <v>-925866.34</v>
          </cell>
          <cell r="AT47">
            <v>-817277</v>
          </cell>
          <cell r="AU47">
            <v>-653821</v>
          </cell>
          <cell r="AV47">
            <v>-147110</v>
          </cell>
          <cell r="AW47">
            <v>-16346</v>
          </cell>
          <cell r="AX47">
            <v>-1634554</v>
          </cell>
          <cell r="AY47">
            <v>25586271</v>
          </cell>
          <cell r="AZ47">
            <v>2403067.96</v>
          </cell>
          <cell r="BA47">
            <v>526928.12</v>
          </cell>
          <cell r="BB47">
            <v>1798397.13</v>
          </cell>
          <cell r="BC47">
            <v>21421.08</v>
          </cell>
          <cell r="BD47">
            <v>3065.46</v>
          </cell>
          <cell r="BE47">
            <v>63950</v>
          </cell>
          <cell r="BF47">
            <v>1184231.25</v>
          </cell>
          <cell r="BG47">
            <v>40566.959999999999</v>
          </cell>
          <cell r="BH47">
            <v>62651.41</v>
          </cell>
          <cell r="BI47">
            <v>0</v>
          </cell>
          <cell r="BJ47">
            <v>0</v>
          </cell>
          <cell r="BK47">
            <v>0</v>
          </cell>
          <cell r="BL47">
            <v>4417.72</v>
          </cell>
          <cell r="BM47">
            <v>4417.72</v>
          </cell>
          <cell r="BN47">
            <v>0</v>
          </cell>
          <cell r="BO47">
            <v>0</v>
          </cell>
          <cell r="BP47">
            <v>27887116.300000001</v>
          </cell>
          <cell r="BQ47">
            <v>261186</v>
          </cell>
          <cell r="BR47">
            <v>1719300</v>
          </cell>
          <cell r="BS47">
            <v>696534</v>
          </cell>
        </row>
        <row r="48">
          <cell r="A48">
            <v>41</v>
          </cell>
          <cell r="B48" t="str">
            <v>Bury</v>
          </cell>
          <cell r="C48" t="str">
            <v>E4202</v>
          </cell>
          <cell r="D48">
            <v>239233</v>
          </cell>
          <cell r="G48">
            <v>49106</v>
          </cell>
          <cell r="H48">
            <v>0</v>
          </cell>
          <cell r="I48">
            <v>239233</v>
          </cell>
          <cell r="J48">
            <v>0</v>
          </cell>
          <cell r="K48">
            <v>0</v>
          </cell>
          <cell r="L48">
            <v>0</v>
          </cell>
          <cell r="M48">
            <v>0</v>
          </cell>
          <cell r="N48">
            <v>0</v>
          </cell>
          <cell r="O48">
            <v>0</v>
          </cell>
          <cell r="P48">
            <v>0</v>
          </cell>
          <cell r="Q48">
            <v>1075775</v>
          </cell>
          <cell r="R48">
            <v>0</v>
          </cell>
          <cell r="S48">
            <v>21955</v>
          </cell>
          <cell r="T48">
            <v>0</v>
          </cell>
          <cell r="U48">
            <v>0</v>
          </cell>
          <cell r="V48">
            <v>0</v>
          </cell>
          <cell r="W48">
            <v>0</v>
          </cell>
          <cell r="X48">
            <v>0</v>
          </cell>
          <cell r="Y48">
            <v>0</v>
          </cell>
          <cell r="Z48">
            <v>109083.44116602972</v>
          </cell>
          <cell r="AA48">
            <v>1.930914349296394E-12</v>
          </cell>
          <cell r="AB48">
            <v>2226.1926768577496</v>
          </cell>
          <cell r="AC48">
            <v>531846.62420382164</v>
          </cell>
          <cell r="AD48">
            <v>9.4143553533202465E-12</v>
          </cell>
          <cell r="AE48">
            <v>10854.012738853502</v>
          </cell>
          <cell r="AF48">
            <v>0</v>
          </cell>
          <cell r="AG48">
            <v>0</v>
          </cell>
          <cell r="AH48">
            <v>0</v>
          </cell>
          <cell r="AI48">
            <v>0</v>
          </cell>
          <cell r="AJ48">
            <v>0</v>
          </cell>
          <cell r="AK48">
            <v>0</v>
          </cell>
          <cell r="AL48">
            <v>256673</v>
          </cell>
          <cell r="AM48">
            <v>0</v>
          </cell>
          <cell r="AN48">
            <v>5186</v>
          </cell>
          <cell r="AO48">
            <v>-362801</v>
          </cell>
          <cell r="AP48">
            <v>-355544</v>
          </cell>
          <cell r="AQ48">
            <v>0</v>
          </cell>
          <cell r="AR48">
            <v>-7256</v>
          </cell>
          <cell r="AS48">
            <v>-725601</v>
          </cell>
          <cell r="AT48">
            <v>-500000</v>
          </cell>
          <cell r="AU48">
            <v>-490000</v>
          </cell>
          <cell r="AV48">
            <v>0</v>
          </cell>
          <cell r="AW48">
            <v>-10000</v>
          </cell>
          <cell r="AX48">
            <v>-1000000</v>
          </cell>
          <cell r="AY48">
            <v>47018944</v>
          </cell>
          <cell r="AZ48">
            <v>4284209</v>
          </cell>
          <cell r="BA48">
            <v>941071</v>
          </cell>
          <cell r="BB48">
            <v>2031235</v>
          </cell>
          <cell r="BC48">
            <v>87448</v>
          </cell>
          <cell r="BD48">
            <v>1316</v>
          </cell>
          <cell r="BE48">
            <v>2935</v>
          </cell>
          <cell r="BF48">
            <v>1338559</v>
          </cell>
          <cell r="BG48">
            <v>278957</v>
          </cell>
          <cell r="BH48">
            <v>41288</v>
          </cell>
          <cell r="BI48">
            <v>21862</v>
          </cell>
          <cell r="BJ48">
            <v>1316</v>
          </cell>
          <cell r="BK48">
            <v>0</v>
          </cell>
          <cell r="BL48">
            <v>0</v>
          </cell>
          <cell r="BM48">
            <v>0</v>
          </cell>
          <cell r="BN48">
            <v>0</v>
          </cell>
          <cell r="BO48">
            <v>0</v>
          </cell>
          <cell r="BP48">
            <v>49640468</v>
          </cell>
          <cell r="BQ48">
            <v>662563</v>
          </cell>
          <cell r="BR48">
            <v>0</v>
          </cell>
          <cell r="BS48">
            <v>0</v>
          </cell>
        </row>
        <row r="49">
          <cell r="A49">
            <v>42</v>
          </cell>
          <cell r="B49" t="str">
            <v>Calderdale</v>
          </cell>
          <cell r="C49" t="str">
            <v>E4702</v>
          </cell>
          <cell r="D49">
            <v>353872</v>
          </cell>
          <cell r="G49">
            <v>47517</v>
          </cell>
          <cell r="H49">
            <v>0</v>
          </cell>
          <cell r="I49">
            <v>353872</v>
          </cell>
          <cell r="J49">
            <v>0</v>
          </cell>
          <cell r="K49">
            <v>0</v>
          </cell>
          <cell r="L49">
            <v>0</v>
          </cell>
          <cell r="M49">
            <v>0</v>
          </cell>
          <cell r="N49">
            <v>0</v>
          </cell>
          <cell r="O49">
            <v>0</v>
          </cell>
          <cell r="P49">
            <v>0</v>
          </cell>
          <cell r="Q49">
            <v>1526701</v>
          </cell>
          <cell r="R49">
            <v>0</v>
          </cell>
          <cell r="S49">
            <v>31157</v>
          </cell>
          <cell r="T49">
            <v>0</v>
          </cell>
          <cell r="U49">
            <v>0</v>
          </cell>
          <cell r="V49">
            <v>0</v>
          </cell>
          <cell r="W49">
            <v>0</v>
          </cell>
          <cell r="X49">
            <v>0</v>
          </cell>
          <cell r="Y49">
            <v>0</v>
          </cell>
          <cell r="Z49">
            <v>0</v>
          </cell>
          <cell r="AA49">
            <v>0</v>
          </cell>
          <cell r="AB49">
            <v>0</v>
          </cell>
          <cell r="AC49">
            <v>495201.69851380045</v>
          </cell>
          <cell r="AD49">
            <v>8.7656939975048855E-12</v>
          </cell>
          <cell r="AE49">
            <v>10106.15711252654</v>
          </cell>
          <cell r="AF49">
            <v>0</v>
          </cell>
          <cell r="AG49">
            <v>0</v>
          </cell>
          <cell r="AH49">
            <v>0</v>
          </cell>
          <cell r="AI49">
            <v>0</v>
          </cell>
          <cell r="AJ49">
            <v>0</v>
          </cell>
          <cell r="AK49">
            <v>0</v>
          </cell>
          <cell r="AL49">
            <v>308079</v>
          </cell>
          <cell r="AM49">
            <v>0</v>
          </cell>
          <cell r="AN49">
            <v>6211</v>
          </cell>
          <cell r="AO49">
            <v>-1633106</v>
          </cell>
          <cell r="AP49">
            <v>-1600445</v>
          </cell>
          <cell r="AQ49">
            <v>0</v>
          </cell>
          <cell r="AR49">
            <v>-32662</v>
          </cell>
          <cell r="AS49">
            <v>-3266213</v>
          </cell>
          <cell r="AT49">
            <v>-1125566</v>
          </cell>
          <cell r="AU49">
            <v>-1103055</v>
          </cell>
          <cell r="AV49">
            <v>0</v>
          </cell>
          <cell r="AW49">
            <v>-22511</v>
          </cell>
          <cell r="AX49">
            <v>-2251132</v>
          </cell>
          <cell r="AY49">
            <v>55554252</v>
          </cell>
          <cell r="AZ49">
            <v>6060635</v>
          </cell>
          <cell r="BA49">
            <v>1043930</v>
          </cell>
          <cell r="BB49">
            <v>3288131</v>
          </cell>
          <cell r="BC49">
            <v>171297</v>
          </cell>
          <cell r="BD49">
            <v>9390</v>
          </cell>
          <cell r="BE49">
            <v>30309</v>
          </cell>
          <cell r="BF49">
            <v>3106626.52</v>
          </cell>
          <cell r="BG49">
            <v>251140</v>
          </cell>
          <cell r="BH49">
            <v>257547</v>
          </cell>
          <cell r="BI49">
            <v>0</v>
          </cell>
          <cell r="BJ49">
            <v>0</v>
          </cell>
          <cell r="BK49">
            <v>2767</v>
          </cell>
          <cell r="BL49">
            <v>0</v>
          </cell>
          <cell r="BM49">
            <v>0</v>
          </cell>
          <cell r="BN49">
            <v>0</v>
          </cell>
          <cell r="BO49">
            <v>0</v>
          </cell>
          <cell r="BP49">
            <v>59432772</v>
          </cell>
          <cell r="BQ49">
            <v>-10089</v>
          </cell>
          <cell r="BR49">
            <v>6594921</v>
          </cell>
          <cell r="BS49">
            <v>1469511</v>
          </cell>
        </row>
        <row r="50">
          <cell r="A50">
            <v>43</v>
          </cell>
          <cell r="B50" t="str">
            <v>Cambridge</v>
          </cell>
          <cell r="C50" t="str">
            <v>E0531</v>
          </cell>
          <cell r="D50">
            <v>228269</v>
          </cell>
          <cell r="G50">
            <v>107754</v>
          </cell>
          <cell r="H50">
            <v>0</v>
          </cell>
          <cell r="I50">
            <v>228269</v>
          </cell>
          <cell r="J50">
            <v>0</v>
          </cell>
          <cell r="K50">
            <v>0</v>
          </cell>
          <cell r="L50">
            <v>0</v>
          </cell>
          <cell r="M50">
            <v>0</v>
          </cell>
          <cell r="N50">
            <v>0</v>
          </cell>
          <cell r="O50">
            <v>0</v>
          </cell>
          <cell r="P50">
            <v>0</v>
          </cell>
          <cell r="Q50">
            <v>259193</v>
          </cell>
          <cell r="R50">
            <v>58318</v>
          </cell>
          <cell r="S50">
            <v>6480</v>
          </cell>
          <cell r="T50">
            <v>0</v>
          </cell>
          <cell r="U50">
            <v>0</v>
          </cell>
          <cell r="V50">
            <v>0</v>
          </cell>
          <cell r="W50">
            <v>35978</v>
          </cell>
          <cell r="X50">
            <v>8095</v>
          </cell>
          <cell r="Y50">
            <v>899</v>
          </cell>
          <cell r="Z50">
            <v>0</v>
          </cell>
          <cell r="AA50">
            <v>0</v>
          </cell>
          <cell r="AB50">
            <v>0</v>
          </cell>
          <cell r="AC50">
            <v>315312.10191082803</v>
          </cell>
          <cell r="AD50">
            <v>70945.222929936295</v>
          </cell>
          <cell r="AE50">
            <v>7882.8025477707006</v>
          </cell>
          <cell r="AF50">
            <v>0</v>
          </cell>
          <cell r="AG50">
            <v>0</v>
          </cell>
          <cell r="AH50">
            <v>0</v>
          </cell>
          <cell r="AI50">
            <v>0</v>
          </cell>
          <cell r="AJ50">
            <v>0</v>
          </cell>
          <cell r="AK50">
            <v>0</v>
          </cell>
          <cell r="AL50">
            <v>413532</v>
          </cell>
          <cell r="AM50">
            <v>92499</v>
          </cell>
          <cell r="AN50">
            <v>10278</v>
          </cell>
          <cell r="AO50">
            <v>-136629</v>
          </cell>
          <cell r="AP50">
            <v>-109305</v>
          </cell>
          <cell r="AQ50">
            <v>-24594</v>
          </cell>
          <cell r="AR50">
            <v>-2733</v>
          </cell>
          <cell r="AS50">
            <v>-273261</v>
          </cell>
          <cell r="AT50">
            <v>-4047462</v>
          </cell>
          <cell r="AU50">
            <v>-3237970</v>
          </cell>
          <cell r="AV50">
            <v>-728544</v>
          </cell>
          <cell r="AW50">
            <v>-80949</v>
          </cell>
          <cell r="AX50">
            <v>-8094925</v>
          </cell>
          <cell r="AY50">
            <v>84760194</v>
          </cell>
          <cell r="AZ50">
            <v>1269149</v>
          </cell>
          <cell r="BA50">
            <v>2247080</v>
          </cell>
          <cell r="BB50">
            <v>20933962</v>
          </cell>
          <cell r="BC50">
            <v>13697</v>
          </cell>
          <cell r="BD50">
            <v>0</v>
          </cell>
          <cell r="BE50">
            <v>12520</v>
          </cell>
          <cell r="BF50">
            <v>2800481</v>
          </cell>
          <cell r="BG50">
            <v>164371</v>
          </cell>
          <cell r="BH50">
            <v>7537</v>
          </cell>
          <cell r="BI50">
            <v>1460</v>
          </cell>
          <cell r="BJ50">
            <v>0</v>
          </cell>
          <cell r="BK50">
            <v>0</v>
          </cell>
          <cell r="BL50">
            <v>0</v>
          </cell>
          <cell r="BM50">
            <v>0</v>
          </cell>
          <cell r="BN50">
            <v>0</v>
          </cell>
          <cell r="BO50">
            <v>0</v>
          </cell>
          <cell r="BP50">
            <v>93851290</v>
          </cell>
          <cell r="BQ50">
            <v>256946</v>
          </cell>
          <cell r="BR50">
            <v>1226125</v>
          </cell>
          <cell r="BS50">
            <v>1492055</v>
          </cell>
        </row>
        <row r="51">
          <cell r="A51">
            <v>44</v>
          </cell>
          <cell r="B51" t="str">
            <v>Camden</v>
          </cell>
          <cell r="C51" t="str">
            <v>E5011</v>
          </cell>
          <cell r="D51">
            <v>1190058</v>
          </cell>
          <cell r="G51">
            <v>982677</v>
          </cell>
          <cell r="H51">
            <v>0</v>
          </cell>
          <cell r="I51">
            <v>1190058</v>
          </cell>
          <cell r="J51">
            <v>0</v>
          </cell>
          <cell r="K51">
            <v>0</v>
          </cell>
          <cell r="L51">
            <v>0</v>
          </cell>
          <cell r="M51">
            <v>0</v>
          </cell>
          <cell r="N51">
            <v>0</v>
          </cell>
          <cell r="O51">
            <v>0</v>
          </cell>
          <cell r="P51">
            <v>0</v>
          </cell>
          <cell r="Q51">
            <v>436568</v>
          </cell>
          <cell r="R51">
            <v>291046</v>
          </cell>
          <cell r="S51">
            <v>0</v>
          </cell>
          <cell r="T51">
            <v>0</v>
          </cell>
          <cell r="U51">
            <v>0</v>
          </cell>
          <cell r="V51">
            <v>0</v>
          </cell>
          <cell r="W51">
            <v>0</v>
          </cell>
          <cell r="X51">
            <v>0</v>
          </cell>
          <cell r="Y51">
            <v>0</v>
          </cell>
          <cell r="Z51">
            <v>224356.68789808915</v>
          </cell>
          <cell r="AA51">
            <v>149571.12526539279</v>
          </cell>
          <cell r="AB51">
            <v>0</v>
          </cell>
          <cell r="AC51">
            <v>691261.14649681526</v>
          </cell>
          <cell r="AD51">
            <v>460840.76433121023</v>
          </cell>
          <cell r="AE51">
            <v>0</v>
          </cell>
          <cell r="AF51">
            <v>0</v>
          </cell>
          <cell r="AG51">
            <v>0</v>
          </cell>
          <cell r="AH51">
            <v>0</v>
          </cell>
          <cell r="AI51">
            <v>0</v>
          </cell>
          <cell r="AJ51">
            <v>0</v>
          </cell>
          <cell r="AK51">
            <v>0</v>
          </cell>
          <cell r="AL51">
            <v>1602842</v>
          </cell>
          <cell r="AM51">
            <v>1060139</v>
          </cell>
          <cell r="AN51">
            <v>0</v>
          </cell>
          <cell r="AO51">
            <v>-2870884</v>
          </cell>
          <cell r="AP51">
            <v>-1722531</v>
          </cell>
          <cell r="AQ51">
            <v>-1148354</v>
          </cell>
          <cell r="AR51">
            <v>0</v>
          </cell>
          <cell r="AS51">
            <v>-5741769</v>
          </cell>
          <cell r="AT51">
            <v>-13560373</v>
          </cell>
          <cell r="AU51">
            <v>-8136224</v>
          </cell>
          <cell r="AV51">
            <v>-5424149</v>
          </cell>
          <cell r="AW51">
            <v>0</v>
          </cell>
          <cell r="AX51">
            <v>-27120746</v>
          </cell>
          <cell r="AY51">
            <v>453328547</v>
          </cell>
          <cell r="AZ51">
            <v>2728183.32</v>
          </cell>
          <cell r="BA51">
            <v>10394969.699999999</v>
          </cell>
          <cell r="BB51">
            <v>54694365.200000003</v>
          </cell>
          <cell r="BC51">
            <v>13470.6</v>
          </cell>
          <cell r="BD51">
            <v>0</v>
          </cell>
          <cell r="BE51">
            <v>389754.22</v>
          </cell>
          <cell r="BF51">
            <v>17309236.5</v>
          </cell>
          <cell r="BG51">
            <v>176839.69</v>
          </cell>
          <cell r="BH51">
            <v>-1257.1500000000001</v>
          </cell>
          <cell r="BI51">
            <v>0</v>
          </cell>
          <cell r="BJ51">
            <v>0</v>
          </cell>
          <cell r="BK51">
            <v>0</v>
          </cell>
          <cell r="BL51">
            <v>0</v>
          </cell>
          <cell r="BM51">
            <v>0</v>
          </cell>
          <cell r="BN51">
            <v>0</v>
          </cell>
          <cell r="BO51">
            <v>0</v>
          </cell>
          <cell r="BP51">
            <v>488520232</v>
          </cell>
          <cell r="BQ51">
            <v>0</v>
          </cell>
          <cell r="BR51">
            <v>7562638</v>
          </cell>
          <cell r="BS51">
            <v>-7027884</v>
          </cell>
        </row>
        <row r="52">
          <cell r="A52">
            <v>45</v>
          </cell>
          <cell r="B52" t="str">
            <v>Cannock Chase</v>
          </cell>
          <cell r="C52" t="str">
            <v>E3431</v>
          </cell>
          <cell r="D52">
            <v>139484</v>
          </cell>
          <cell r="G52">
            <v>293042</v>
          </cell>
          <cell r="H52">
            <v>0</v>
          </cell>
          <cell r="I52">
            <v>139484</v>
          </cell>
          <cell r="J52">
            <v>0</v>
          </cell>
          <cell r="K52">
            <v>0</v>
          </cell>
          <cell r="L52">
            <v>0</v>
          </cell>
          <cell r="M52">
            <v>0</v>
          </cell>
          <cell r="N52">
            <v>0</v>
          </cell>
          <cell r="O52">
            <v>0</v>
          </cell>
          <cell r="P52">
            <v>0</v>
          </cell>
          <cell r="Q52">
            <v>450433</v>
          </cell>
          <cell r="R52">
            <v>101347</v>
          </cell>
          <cell r="S52">
            <v>11261</v>
          </cell>
          <cell r="T52">
            <v>0</v>
          </cell>
          <cell r="U52">
            <v>0</v>
          </cell>
          <cell r="V52">
            <v>0</v>
          </cell>
          <cell r="W52">
            <v>0</v>
          </cell>
          <cell r="X52">
            <v>0</v>
          </cell>
          <cell r="Y52">
            <v>0</v>
          </cell>
          <cell r="Z52">
            <v>0</v>
          </cell>
          <cell r="AA52">
            <v>0</v>
          </cell>
          <cell r="AB52">
            <v>0</v>
          </cell>
          <cell r="AC52">
            <v>192325.82929936307</v>
          </cell>
          <cell r="AD52">
            <v>43273.31159235668</v>
          </cell>
          <cell r="AE52">
            <v>4808.1457324840767</v>
          </cell>
          <cell r="AF52">
            <v>0</v>
          </cell>
          <cell r="AG52">
            <v>0</v>
          </cell>
          <cell r="AH52">
            <v>0</v>
          </cell>
          <cell r="AI52">
            <v>0</v>
          </cell>
          <cell r="AJ52">
            <v>0</v>
          </cell>
          <cell r="AK52">
            <v>0</v>
          </cell>
          <cell r="AL52">
            <v>150955</v>
          </cell>
          <cell r="AM52">
            <v>33632</v>
          </cell>
          <cell r="AN52">
            <v>3737</v>
          </cell>
          <cell r="AO52">
            <v>-847265</v>
          </cell>
          <cell r="AP52">
            <v>-677811</v>
          </cell>
          <cell r="AQ52">
            <v>-152507</v>
          </cell>
          <cell r="AR52">
            <v>-16945</v>
          </cell>
          <cell r="AS52">
            <v>-1694528</v>
          </cell>
          <cell r="AT52">
            <v>-823667</v>
          </cell>
          <cell r="AU52">
            <v>-658933</v>
          </cell>
          <cell r="AV52">
            <v>-148260</v>
          </cell>
          <cell r="AW52">
            <v>-16473</v>
          </cell>
          <cell r="AX52">
            <v>-1647333</v>
          </cell>
          <cell r="AY52">
            <v>32373648</v>
          </cell>
          <cell r="AZ52">
            <v>2205033.39</v>
          </cell>
          <cell r="BA52">
            <v>652425.29</v>
          </cell>
          <cell r="BB52">
            <v>1338115.69</v>
          </cell>
          <cell r="BC52">
            <v>1413</v>
          </cell>
          <cell r="BD52">
            <v>0</v>
          </cell>
          <cell r="BE52">
            <v>2007.07</v>
          </cell>
          <cell r="BF52">
            <v>1231442.55</v>
          </cell>
          <cell r="BG52">
            <v>46243.040000000001</v>
          </cell>
          <cell r="BH52">
            <v>10297.65</v>
          </cell>
          <cell r="BI52">
            <v>88.31</v>
          </cell>
          <cell r="BJ52">
            <v>0</v>
          </cell>
          <cell r="BK52">
            <v>0</v>
          </cell>
          <cell r="BL52">
            <v>0</v>
          </cell>
          <cell r="BM52">
            <v>0</v>
          </cell>
          <cell r="BN52">
            <v>0</v>
          </cell>
          <cell r="BO52">
            <v>0</v>
          </cell>
          <cell r="BP52">
            <v>34306937</v>
          </cell>
          <cell r="BQ52">
            <v>41832.410000000003</v>
          </cell>
          <cell r="BR52">
            <v>2537592</v>
          </cell>
          <cell r="BS52">
            <v>659670</v>
          </cell>
        </row>
        <row r="53">
          <cell r="A53">
            <v>46</v>
          </cell>
          <cell r="B53" t="str">
            <v>Canterbury</v>
          </cell>
          <cell r="C53" t="str">
            <v>E2232</v>
          </cell>
          <cell r="D53">
            <v>229868</v>
          </cell>
          <cell r="G53">
            <v>56576</v>
          </cell>
          <cell r="H53">
            <v>0</v>
          </cell>
          <cell r="I53">
            <v>229868</v>
          </cell>
          <cell r="J53">
            <v>0</v>
          </cell>
          <cell r="K53">
            <v>0</v>
          </cell>
          <cell r="L53">
            <v>0</v>
          </cell>
          <cell r="M53">
            <v>0</v>
          </cell>
          <cell r="N53">
            <v>0</v>
          </cell>
          <cell r="O53">
            <v>0</v>
          </cell>
          <cell r="P53">
            <v>0</v>
          </cell>
          <cell r="Q53">
            <v>623699</v>
          </cell>
          <cell r="R53">
            <v>140332</v>
          </cell>
          <cell r="S53">
            <v>15592</v>
          </cell>
          <cell r="T53">
            <v>1416</v>
          </cell>
          <cell r="U53">
            <v>318</v>
          </cell>
          <cell r="V53">
            <v>35</v>
          </cell>
          <cell r="W53">
            <v>0</v>
          </cell>
          <cell r="X53">
            <v>0</v>
          </cell>
          <cell r="Y53">
            <v>0</v>
          </cell>
          <cell r="Z53">
            <v>40424.62845010616</v>
          </cell>
          <cell r="AA53">
            <v>9095.5414012738838</v>
          </cell>
          <cell r="AB53">
            <v>1010.6157112526539</v>
          </cell>
          <cell r="AC53">
            <v>360385.56263269641</v>
          </cell>
          <cell r="AD53">
            <v>81086.751592356668</v>
          </cell>
          <cell r="AE53">
            <v>9009.6390658174096</v>
          </cell>
          <cell r="AF53">
            <v>5639</v>
          </cell>
          <cell r="AG53">
            <v>0</v>
          </cell>
          <cell r="AH53">
            <v>0</v>
          </cell>
          <cell r="AI53">
            <v>3837</v>
          </cell>
          <cell r="AJ53">
            <v>863.27999999999986</v>
          </cell>
          <cell r="AK53">
            <v>95.92</v>
          </cell>
          <cell r="AL53">
            <v>218983</v>
          </cell>
          <cell r="AM53">
            <v>48722</v>
          </cell>
          <cell r="AN53">
            <v>5414</v>
          </cell>
          <cell r="AO53">
            <v>-328099</v>
          </cell>
          <cell r="AP53">
            <v>-262479</v>
          </cell>
          <cell r="AQ53">
            <v>-59058</v>
          </cell>
          <cell r="AR53">
            <v>-6562</v>
          </cell>
          <cell r="AS53">
            <v>-656198</v>
          </cell>
          <cell r="AT53">
            <v>-574330</v>
          </cell>
          <cell r="AU53">
            <v>-459465</v>
          </cell>
          <cell r="AV53">
            <v>-103380</v>
          </cell>
          <cell r="AW53">
            <v>-11487</v>
          </cell>
          <cell r="AX53">
            <v>-1148662</v>
          </cell>
          <cell r="AY53">
            <v>49479272</v>
          </cell>
          <cell r="AZ53">
            <v>3049280</v>
          </cell>
          <cell r="BA53">
            <v>1053818</v>
          </cell>
          <cell r="BB53">
            <v>6543909</v>
          </cell>
          <cell r="BC53">
            <v>98060</v>
          </cell>
          <cell r="BD53">
            <v>16367</v>
          </cell>
          <cell r="BE53">
            <v>152</v>
          </cell>
          <cell r="BF53">
            <v>1469096</v>
          </cell>
          <cell r="BG53">
            <v>244807</v>
          </cell>
          <cell r="BH53">
            <v>66850</v>
          </cell>
          <cell r="BI53">
            <v>4442</v>
          </cell>
          <cell r="BJ53">
            <v>0</v>
          </cell>
          <cell r="BK53">
            <v>10800</v>
          </cell>
          <cell r="BL53">
            <v>0</v>
          </cell>
          <cell r="BM53">
            <v>0</v>
          </cell>
          <cell r="BN53">
            <v>0</v>
          </cell>
          <cell r="BO53">
            <v>0</v>
          </cell>
          <cell r="BP53">
            <v>51475431</v>
          </cell>
          <cell r="BQ53">
            <v>292570</v>
          </cell>
          <cell r="BR53">
            <v>1426127</v>
          </cell>
          <cell r="BS53">
            <v>-1246756</v>
          </cell>
        </row>
        <row r="54">
          <cell r="A54">
            <v>47</v>
          </cell>
          <cell r="B54" t="str">
            <v>Carlisle</v>
          </cell>
          <cell r="C54" t="str">
            <v>E0933</v>
          </cell>
          <cell r="D54">
            <v>180284</v>
          </cell>
          <cell r="G54">
            <v>23291</v>
          </cell>
          <cell r="H54">
            <v>0</v>
          </cell>
          <cell r="I54">
            <v>180284</v>
          </cell>
          <cell r="J54">
            <v>0</v>
          </cell>
          <cell r="K54">
            <v>0</v>
          </cell>
          <cell r="L54">
            <v>0</v>
          </cell>
          <cell r="M54">
            <v>0</v>
          </cell>
          <cell r="N54">
            <v>0</v>
          </cell>
          <cell r="O54">
            <v>0</v>
          </cell>
          <cell r="P54">
            <v>0</v>
          </cell>
          <cell r="Q54">
            <v>476999</v>
          </cell>
          <cell r="R54">
            <v>119250</v>
          </cell>
          <cell r="S54">
            <v>0</v>
          </cell>
          <cell r="T54">
            <v>6064</v>
          </cell>
          <cell r="U54">
            <v>1516</v>
          </cell>
          <cell r="V54">
            <v>0</v>
          </cell>
          <cell r="W54">
            <v>0</v>
          </cell>
          <cell r="X54">
            <v>0</v>
          </cell>
          <cell r="Y54">
            <v>0</v>
          </cell>
          <cell r="Z54">
            <v>14685.459023354564</v>
          </cell>
          <cell r="AA54">
            <v>3671.3647558386401</v>
          </cell>
          <cell r="AB54">
            <v>0</v>
          </cell>
          <cell r="AC54">
            <v>251918.19957537155</v>
          </cell>
          <cell r="AD54">
            <v>62979.549893842865</v>
          </cell>
          <cell r="AE54">
            <v>0</v>
          </cell>
          <cell r="AF54">
            <v>0</v>
          </cell>
          <cell r="AG54">
            <v>0</v>
          </cell>
          <cell r="AH54">
            <v>0</v>
          </cell>
          <cell r="AI54">
            <v>0</v>
          </cell>
          <cell r="AJ54">
            <v>0</v>
          </cell>
          <cell r="AK54">
            <v>0</v>
          </cell>
          <cell r="AL54">
            <v>177670</v>
          </cell>
          <cell r="AM54">
            <v>43939</v>
          </cell>
          <cell r="AN54">
            <v>0</v>
          </cell>
          <cell r="AO54">
            <v>-136937</v>
          </cell>
          <cell r="AP54">
            <v>-109550</v>
          </cell>
          <cell r="AQ54">
            <v>-27388</v>
          </cell>
          <cell r="AR54">
            <v>0</v>
          </cell>
          <cell r="AS54">
            <v>-273875</v>
          </cell>
          <cell r="AT54">
            <v>-1010340</v>
          </cell>
          <cell r="AU54">
            <v>-808273</v>
          </cell>
          <cell r="AV54">
            <v>-202068</v>
          </cell>
          <cell r="AW54">
            <v>0</v>
          </cell>
          <cell r="AX54">
            <v>-2020681</v>
          </cell>
          <cell r="AY54">
            <v>38504415</v>
          </cell>
          <cell r="AZ54">
            <v>2320663</v>
          </cell>
          <cell r="BA54">
            <v>813450</v>
          </cell>
          <cell r="BB54">
            <v>3015430</v>
          </cell>
          <cell r="BC54">
            <v>85326</v>
          </cell>
          <cell r="BD54">
            <v>32423</v>
          </cell>
          <cell r="BE54">
            <v>1239</v>
          </cell>
          <cell r="BF54">
            <v>1897654</v>
          </cell>
          <cell r="BG54">
            <v>56881</v>
          </cell>
          <cell r="BH54">
            <v>42221</v>
          </cell>
          <cell r="BI54">
            <v>2751</v>
          </cell>
          <cell r="BJ54">
            <v>0</v>
          </cell>
          <cell r="BK54">
            <v>3612</v>
          </cell>
          <cell r="BL54">
            <v>0</v>
          </cell>
          <cell r="BM54">
            <v>0</v>
          </cell>
          <cell r="BN54">
            <v>0</v>
          </cell>
          <cell r="BO54">
            <v>0</v>
          </cell>
          <cell r="BP54">
            <v>41344982</v>
          </cell>
          <cell r="BQ54">
            <v>441207</v>
          </cell>
          <cell r="BR54">
            <v>698940</v>
          </cell>
          <cell r="BS54">
            <v>559717</v>
          </cell>
        </row>
        <row r="55">
          <cell r="A55">
            <v>48</v>
          </cell>
          <cell r="B55" t="str">
            <v>Castle Point</v>
          </cell>
          <cell r="C55" t="str">
            <v>E1534</v>
          </cell>
          <cell r="D55">
            <v>82932</v>
          </cell>
          <cell r="G55">
            <v>107785</v>
          </cell>
          <cell r="H55">
            <v>0</v>
          </cell>
          <cell r="I55">
            <v>82932</v>
          </cell>
          <cell r="J55">
            <v>0</v>
          </cell>
          <cell r="K55">
            <v>0</v>
          </cell>
          <cell r="L55">
            <v>0</v>
          </cell>
          <cell r="M55">
            <v>0</v>
          </cell>
          <cell r="N55">
            <v>0</v>
          </cell>
          <cell r="O55">
            <v>0</v>
          </cell>
          <cell r="P55">
            <v>0</v>
          </cell>
          <cell r="Q55">
            <v>335855</v>
          </cell>
          <cell r="R55">
            <v>75567</v>
          </cell>
          <cell r="S55">
            <v>8396</v>
          </cell>
          <cell r="T55">
            <v>13684</v>
          </cell>
          <cell r="U55">
            <v>3079</v>
          </cell>
          <cell r="V55">
            <v>342</v>
          </cell>
          <cell r="W55">
            <v>3032</v>
          </cell>
          <cell r="X55">
            <v>682</v>
          </cell>
          <cell r="Y55">
            <v>76</v>
          </cell>
          <cell r="Z55">
            <v>15862.624203821657</v>
          </cell>
          <cell r="AA55">
            <v>3569.090445859872</v>
          </cell>
          <cell r="AB55">
            <v>396.5656050955414</v>
          </cell>
          <cell r="AC55">
            <v>173623.77919320596</v>
          </cell>
          <cell r="AD55">
            <v>39065.350318471334</v>
          </cell>
          <cell r="AE55">
            <v>4340.5944798301489</v>
          </cell>
          <cell r="AF55">
            <v>0</v>
          </cell>
          <cell r="AG55">
            <v>0</v>
          </cell>
          <cell r="AH55">
            <v>0</v>
          </cell>
          <cell r="AI55">
            <v>0</v>
          </cell>
          <cell r="AJ55">
            <v>0</v>
          </cell>
          <cell r="AK55">
            <v>0</v>
          </cell>
          <cell r="AL55">
            <v>64339</v>
          </cell>
          <cell r="AM55">
            <v>14278</v>
          </cell>
          <cell r="AN55">
            <v>1586</v>
          </cell>
          <cell r="AO55">
            <v>-78007</v>
          </cell>
          <cell r="AP55">
            <v>-62406</v>
          </cell>
          <cell r="AQ55">
            <v>-14041</v>
          </cell>
          <cell r="AR55">
            <v>-1560</v>
          </cell>
          <cell r="AS55">
            <v>-156014</v>
          </cell>
          <cell r="AT55">
            <v>-236550</v>
          </cell>
          <cell r="AU55">
            <v>-189240</v>
          </cell>
          <cell r="AV55">
            <v>-42579</v>
          </cell>
          <cell r="AW55">
            <v>-4731</v>
          </cell>
          <cell r="AX55">
            <v>-473100</v>
          </cell>
          <cell r="AY55">
            <v>14454750</v>
          </cell>
          <cell r="AZ55">
            <v>1657265</v>
          </cell>
          <cell r="BA55">
            <v>272443</v>
          </cell>
          <cell r="BB55">
            <v>1280543</v>
          </cell>
          <cell r="BC55">
            <v>8930</v>
          </cell>
          <cell r="BD55">
            <v>0</v>
          </cell>
          <cell r="BE55">
            <v>0</v>
          </cell>
          <cell r="BF55">
            <v>276992</v>
          </cell>
          <cell r="BG55">
            <v>57538</v>
          </cell>
          <cell r="BH55">
            <v>35061</v>
          </cell>
          <cell r="BI55">
            <v>2233</v>
          </cell>
          <cell r="BJ55">
            <v>0</v>
          </cell>
          <cell r="BK55">
            <v>0</v>
          </cell>
          <cell r="BL55">
            <v>0</v>
          </cell>
          <cell r="BM55">
            <v>0</v>
          </cell>
          <cell r="BN55">
            <v>0</v>
          </cell>
          <cell r="BO55">
            <v>0</v>
          </cell>
          <cell r="BP55">
            <v>15067322</v>
          </cell>
          <cell r="BQ55">
            <v>60876</v>
          </cell>
          <cell r="BR55">
            <v>250324.45</v>
          </cell>
          <cell r="BS55">
            <v>143220.51999999999</v>
          </cell>
        </row>
        <row r="56">
          <cell r="A56">
            <v>49</v>
          </cell>
          <cell r="B56" t="str">
            <v>Central Bedfordshire UA</v>
          </cell>
          <cell r="C56" t="str">
            <v>E0203</v>
          </cell>
          <cell r="D56">
            <v>314370</v>
          </cell>
          <cell r="G56">
            <v>199767</v>
          </cell>
          <cell r="H56">
            <v>0</v>
          </cell>
          <cell r="I56">
            <v>314370</v>
          </cell>
          <cell r="J56">
            <v>0</v>
          </cell>
          <cell r="K56">
            <v>0</v>
          </cell>
          <cell r="L56">
            <v>0</v>
          </cell>
          <cell r="M56">
            <v>0</v>
          </cell>
          <cell r="N56">
            <v>0</v>
          </cell>
          <cell r="O56">
            <v>0</v>
          </cell>
          <cell r="P56">
            <v>0</v>
          </cell>
          <cell r="Q56">
            <v>1071210</v>
          </cell>
          <cell r="R56">
            <v>0</v>
          </cell>
          <cell r="S56">
            <v>21861</v>
          </cell>
          <cell r="T56">
            <v>-34986</v>
          </cell>
          <cell r="U56">
            <v>0</v>
          </cell>
          <cell r="V56">
            <v>-714</v>
          </cell>
          <cell r="W56">
            <v>0</v>
          </cell>
          <cell r="X56">
            <v>0</v>
          </cell>
          <cell r="Y56">
            <v>0</v>
          </cell>
          <cell r="Z56">
            <v>148560.50955414012</v>
          </cell>
          <cell r="AA56">
            <v>2.6297081992514652E-12</v>
          </cell>
          <cell r="AB56">
            <v>3031.8471337579617</v>
          </cell>
          <cell r="AC56">
            <v>531165.72186836519</v>
          </cell>
          <cell r="AD56">
            <v>9.4023025240736771E-12</v>
          </cell>
          <cell r="AE56">
            <v>10840.116772823778</v>
          </cell>
          <cell r="AF56">
            <v>0</v>
          </cell>
          <cell r="AG56">
            <v>0</v>
          </cell>
          <cell r="AH56">
            <v>0</v>
          </cell>
          <cell r="AI56">
            <v>0</v>
          </cell>
          <cell r="AJ56">
            <v>0</v>
          </cell>
          <cell r="AK56">
            <v>0</v>
          </cell>
          <cell r="AL56">
            <v>401849</v>
          </cell>
          <cell r="AM56">
            <v>0</v>
          </cell>
          <cell r="AN56">
            <v>8133</v>
          </cell>
          <cell r="AO56">
            <v>-309479</v>
          </cell>
          <cell r="AP56">
            <v>-303290</v>
          </cell>
          <cell r="AQ56">
            <v>0</v>
          </cell>
          <cell r="AR56">
            <v>-6189</v>
          </cell>
          <cell r="AS56">
            <v>-618958</v>
          </cell>
          <cell r="AT56">
            <v>-2027979</v>
          </cell>
          <cell r="AU56">
            <v>-1987419</v>
          </cell>
          <cell r="AV56">
            <v>0</v>
          </cell>
          <cell r="AW56">
            <v>-40559</v>
          </cell>
          <cell r="AX56">
            <v>-4055957</v>
          </cell>
          <cell r="AY56">
            <v>71435753</v>
          </cell>
          <cell r="AZ56">
            <v>4158017</v>
          </cell>
          <cell r="BA56">
            <v>1495240.9</v>
          </cell>
          <cell r="BB56">
            <v>5767228.0899999999</v>
          </cell>
          <cell r="BC56">
            <v>109328.52</v>
          </cell>
          <cell r="BD56">
            <v>48907.6</v>
          </cell>
          <cell r="BE56">
            <v>384031.1</v>
          </cell>
          <cell r="BF56">
            <v>3199649.48</v>
          </cell>
          <cell r="BG56">
            <v>325435.52000000002</v>
          </cell>
          <cell r="BH56">
            <v>236377.44</v>
          </cell>
          <cell r="BI56">
            <v>0</v>
          </cell>
          <cell r="BJ56">
            <v>29658.69</v>
          </cell>
          <cell r="BK56">
            <v>12936</v>
          </cell>
          <cell r="BL56">
            <v>0</v>
          </cell>
          <cell r="BM56">
            <v>0</v>
          </cell>
          <cell r="BN56">
            <v>0</v>
          </cell>
          <cell r="BO56">
            <v>0</v>
          </cell>
          <cell r="BP56">
            <v>76494093.200000003</v>
          </cell>
          <cell r="BQ56">
            <v>706745.51</v>
          </cell>
          <cell r="BR56">
            <v>5170106</v>
          </cell>
          <cell r="BS56">
            <v>642765</v>
          </cell>
        </row>
        <row r="57">
          <cell r="A57">
            <v>50</v>
          </cell>
          <cell r="B57" t="str">
            <v>Charnwood</v>
          </cell>
          <cell r="C57" t="str">
            <v>E2432</v>
          </cell>
          <cell r="D57">
            <v>193882</v>
          </cell>
          <cell r="G57">
            <v>54423</v>
          </cell>
          <cell r="H57">
            <v>0</v>
          </cell>
          <cell r="I57">
            <v>193882</v>
          </cell>
          <cell r="J57">
            <v>0</v>
          </cell>
          <cell r="K57">
            <v>130140</v>
          </cell>
          <cell r="L57">
            <v>0</v>
          </cell>
          <cell r="M57">
            <v>0</v>
          </cell>
          <cell r="N57">
            <v>0</v>
          </cell>
          <cell r="O57">
            <v>0</v>
          </cell>
          <cell r="P57">
            <v>0</v>
          </cell>
          <cell r="Q57">
            <v>595965</v>
          </cell>
          <cell r="R57">
            <v>134092</v>
          </cell>
          <cell r="S57">
            <v>14899</v>
          </cell>
          <cell r="T57">
            <v>4042</v>
          </cell>
          <cell r="U57">
            <v>910</v>
          </cell>
          <cell r="V57">
            <v>101</v>
          </cell>
          <cell r="W57">
            <v>0</v>
          </cell>
          <cell r="X57">
            <v>0</v>
          </cell>
          <cell r="Y57">
            <v>0</v>
          </cell>
          <cell r="Z57">
            <v>16497.695116772822</v>
          </cell>
          <cell r="AA57">
            <v>3711.9814012738843</v>
          </cell>
          <cell r="AB57">
            <v>412.44237791932056</v>
          </cell>
          <cell r="AC57">
            <v>235331.97452229299</v>
          </cell>
          <cell r="AD57">
            <v>52949.694267515915</v>
          </cell>
          <cell r="AE57">
            <v>5883.2993630573246</v>
          </cell>
          <cell r="AF57">
            <v>0</v>
          </cell>
          <cell r="AG57">
            <v>0</v>
          </cell>
          <cell r="AH57">
            <v>0</v>
          </cell>
          <cell r="AI57">
            <v>0</v>
          </cell>
          <cell r="AJ57">
            <v>0</v>
          </cell>
          <cell r="AK57">
            <v>0</v>
          </cell>
          <cell r="AL57">
            <v>172206</v>
          </cell>
          <cell r="AM57">
            <v>37972</v>
          </cell>
          <cell r="AN57">
            <v>4219</v>
          </cell>
          <cell r="AO57">
            <v>-95766</v>
          </cell>
          <cell r="AP57">
            <v>-76613</v>
          </cell>
          <cell r="AQ57">
            <v>-17238</v>
          </cell>
          <cell r="AR57">
            <v>-1916</v>
          </cell>
          <cell r="AS57">
            <v>-191533</v>
          </cell>
          <cell r="AT57">
            <v>-823644</v>
          </cell>
          <cell r="AU57">
            <v>-658915</v>
          </cell>
          <cell r="AV57">
            <v>-148256</v>
          </cell>
          <cell r="AW57">
            <v>-16473</v>
          </cell>
          <cell r="AX57">
            <v>-1647288</v>
          </cell>
          <cell r="AY57">
            <v>40149187</v>
          </cell>
          <cell r="AZ57">
            <v>2941617</v>
          </cell>
          <cell r="BA57">
            <v>854087</v>
          </cell>
          <cell r="BB57">
            <v>5208799</v>
          </cell>
          <cell r="BC57">
            <v>14369</v>
          </cell>
          <cell r="BD57">
            <v>1309</v>
          </cell>
          <cell r="BE57">
            <v>57727</v>
          </cell>
          <cell r="BF57">
            <v>1609517</v>
          </cell>
          <cell r="BG57">
            <v>63008</v>
          </cell>
          <cell r="BH57">
            <v>175516</v>
          </cell>
          <cell r="BI57">
            <v>403</v>
          </cell>
          <cell r="BJ57">
            <v>399</v>
          </cell>
          <cell r="BK57">
            <v>0</v>
          </cell>
          <cell r="BL57">
            <v>12125</v>
          </cell>
          <cell r="BM57">
            <v>12125</v>
          </cell>
          <cell r="BN57">
            <v>0</v>
          </cell>
          <cell r="BO57">
            <v>0</v>
          </cell>
          <cell r="BP57">
            <v>42371789</v>
          </cell>
          <cell r="BQ57">
            <v>222665</v>
          </cell>
          <cell r="BR57">
            <v>1071944</v>
          </cell>
          <cell r="BS57">
            <v>622513</v>
          </cell>
        </row>
        <row r="58">
          <cell r="A58">
            <v>51</v>
          </cell>
          <cell r="B58" t="str">
            <v>Chelmsford</v>
          </cell>
          <cell r="C58" t="str">
            <v>E1535</v>
          </cell>
          <cell r="D58">
            <v>223812</v>
          </cell>
          <cell r="G58">
            <v>44003</v>
          </cell>
          <cell r="H58">
            <v>0</v>
          </cell>
          <cell r="I58">
            <v>223812</v>
          </cell>
          <cell r="J58">
            <v>0</v>
          </cell>
          <cell r="K58">
            <v>0</v>
          </cell>
          <cell r="L58">
            <v>0</v>
          </cell>
          <cell r="M58">
            <v>0</v>
          </cell>
          <cell r="N58">
            <v>0</v>
          </cell>
          <cell r="O58">
            <v>0</v>
          </cell>
          <cell r="P58">
            <v>0</v>
          </cell>
          <cell r="Q58">
            <v>475602</v>
          </cell>
          <cell r="R58">
            <v>107010</v>
          </cell>
          <cell r="S58">
            <v>11890</v>
          </cell>
          <cell r="T58">
            <v>0</v>
          </cell>
          <cell r="U58">
            <v>0</v>
          </cell>
          <cell r="V58">
            <v>0</v>
          </cell>
          <cell r="W58">
            <v>0</v>
          </cell>
          <cell r="X58">
            <v>0</v>
          </cell>
          <cell r="Y58">
            <v>0</v>
          </cell>
          <cell r="Z58">
            <v>60636.942675159233</v>
          </cell>
          <cell r="AA58">
            <v>13643.312101910824</v>
          </cell>
          <cell r="AB58">
            <v>1515.9235668789809</v>
          </cell>
          <cell r="AC58">
            <v>327439.4904458599</v>
          </cell>
          <cell r="AD58">
            <v>73673.885350318451</v>
          </cell>
          <cell r="AE58">
            <v>8185.9872611464971</v>
          </cell>
          <cell r="AF58">
            <v>0</v>
          </cell>
          <cell r="AG58">
            <v>0</v>
          </cell>
          <cell r="AH58">
            <v>0</v>
          </cell>
          <cell r="AI58">
            <v>0</v>
          </cell>
          <cell r="AJ58">
            <v>0</v>
          </cell>
          <cell r="AK58">
            <v>0</v>
          </cell>
          <cell r="AL58">
            <v>331831</v>
          </cell>
          <cell r="AM58">
            <v>74127</v>
          </cell>
          <cell r="AN58">
            <v>8236</v>
          </cell>
          <cell r="AO58">
            <v>-505659.65</v>
          </cell>
          <cell r="AP58">
            <v>-404528</v>
          </cell>
          <cell r="AQ58">
            <v>-91019</v>
          </cell>
          <cell r="AR58">
            <v>-10113</v>
          </cell>
          <cell r="AS58">
            <v>-1011319.65</v>
          </cell>
          <cell r="AT58">
            <v>-1341847</v>
          </cell>
          <cell r="AU58">
            <v>-1073478</v>
          </cell>
          <cell r="AV58">
            <v>-241533</v>
          </cell>
          <cell r="AW58">
            <v>-26837</v>
          </cell>
          <cell r="AX58">
            <v>-2683695</v>
          </cell>
          <cell r="AY58">
            <v>72040823</v>
          </cell>
          <cell r="AZ58">
            <v>2325502.04</v>
          </cell>
          <cell r="BA58">
            <v>1517005.86</v>
          </cell>
          <cell r="BB58">
            <v>4291931.26</v>
          </cell>
          <cell r="BC58">
            <v>31745.4</v>
          </cell>
          <cell r="BD58">
            <v>8083.16</v>
          </cell>
          <cell r="BE58">
            <v>10849.13</v>
          </cell>
          <cell r="BF58">
            <v>3207264.2</v>
          </cell>
          <cell r="BG58">
            <v>7353.22</v>
          </cell>
          <cell r="BH58">
            <v>100922.73</v>
          </cell>
          <cell r="BI58">
            <v>0</v>
          </cell>
          <cell r="BJ58">
            <v>1504.84</v>
          </cell>
          <cell r="BK58">
            <v>7930.3</v>
          </cell>
          <cell r="BL58">
            <v>0</v>
          </cell>
          <cell r="BM58">
            <v>0</v>
          </cell>
          <cell r="BN58">
            <v>0</v>
          </cell>
          <cell r="BO58">
            <v>0</v>
          </cell>
          <cell r="BP58">
            <v>76139572.599999994</v>
          </cell>
          <cell r="BQ58">
            <v>1146223.93</v>
          </cell>
          <cell r="BR58">
            <v>2698213.07</v>
          </cell>
          <cell r="BS58">
            <v>1750506.94</v>
          </cell>
        </row>
        <row r="59">
          <cell r="A59">
            <v>52</v>
          </cell>
          <cell r="B59" t="str">
            <v>Cheltenham</v>
          </cell>
          <cell r="C59" t="str">
            <v>E1631</v>
          </cell>
          <cell r="D59">
            <v>183923</v>
          </cell>
          <cell r="G59">
            <v>-17861</v>
          </cell>
          <cell r="H59">
            <v>0</v>
          </cell>
          <cell r="I59">
            <v>183923</v>
          </cell>
          <cell r="J59">
            <v>0</v>
          </cell>
          <cell r="K59">
            <v>0</v>
          </cell>
          <cell r="L59">
            <v>0</v>
          </cell>
          <cell r="M59">
            <v>0</v>
          </cell>
          <cell r="N59">
            <v>0</v>
          </cell>
          <cell r="O59">
            <v>0</v>
          </cell>
          <cell r="P59">
            <v>0</v>
          </cell>
          <cell r="Q59">
            <v>429127</v>
          </cell>
          <cell r="R59">
            <v>107282</v>
          </cell>
          <cell r="S59">
            <v>0</v>
          </cell>
          <cell r="T59">
            <v>2022</v>
          </cell>
          <cell r="U59">
            <v>505</v>
          </cell>
          <cell r="V59">
            <v>0</v>
          </cell>
          <cell r="W59">
            <v>12127</v>
          </cell>
          <cell r="X59">
            <v>3032</v>
          </cell>
          <cell r="Y59">
            <v>0</v>
          </cell>
          <cell r="Z59">
            <v>30318.471337579616</v>
          </cell>
          <cell r="AA59">
            <v>7579.6178343949023</v>
          </cell>
          <cell r="AB59">
            <v>0</v>
          </cell>
          <cell r="AC59">
            <v>303184.71337579621</v>
          </cell>
          <cell r="AD59">
            <v>75796.178343949025</v>
          </cell>
          <cell r="AE59">
            <v>0</v>
          </cell>
          <cell r="AF59">
            <v>0</v>
          </cell>
          <cell r="AG59">
            <v>0</v>
          </cell>
          <cell r="AH59">
            <v>0</v>
          </cell>
          <cell r="AI59">
            <v>0</v>
          </cell>
          <cell r="AJ59">
            <v>0</v>
          </cell>
          <cell r="AK59">
            <v>0</v>
          </cell>
          <cell r="AL59">
            <v>231324</v>
          </cell>
          <cell r="AM59">
            <v>57343</v>
          </cell>
          <cell r="AN59">
            <v>0</v>
          </cell>
          <cell r="AO59">
            <v>-262651</v>
          </cell>
          <cell r="AP59">
            <v>-210121</v>
          </cell>
          <cell r="AQ59">
            <v>-52530</v>
          </cell>
          <cell r="AR59">
            <v>0</v>
          </cell>
          <cell r="AS59">
            <v>-525302</v>
          </cell>
          <cell r="AT59">
            <v>-642500</v>
          </cell>
          <cell r="AU59">
            <v>-514000</v>
          </cell>
          <cell r="AV59">
            <v>-128500</v>
          </cell>
          <cell r="AW59">
            <v>0</v>
          </cell>
          <cell r="AX59">
            <v>-1285000</v>
          </cell>
          <cell r="AY59">
            <v>52375394</v>
          </cell>
          <cell r="AZ59">
            <v>2132035</v>
          </cell>
          <cell r="BA59">
            <v>1072740</v>
          </cell>
          <cell r="BB59">
            <v>3497636</v>
          </cell>
          <cell r="BC59">
            <v>26895</v>
          </cell>
          <cell r="BD59">
            <v>0</v>
          </cell>
          <cell r="BE59">
            <v>24217</v>
          </cell>
          <cell r="BF59">
            <v>2443380</v>
          </cell>
          <cell r="BG59">
            <v>14368</v>
          </cell>
          <cell r="BH59">
            <v>14525</v>
          </cell>
          <cell r="BI59">
            <v>0</v>
          </cell>
          <cell r="BJ59">
            <v>0</v>
          </cell>
          <cell r="BK59">
            <v>0</v>
          </cell>
          <cell r="BL59">
            <v>0</v>
          </cell>
          <cell r="BM59">
            <v>0</v>
          </cell>
          <cell r="BN59">
            <v>0</v>
          </cell>
          <cell r="BO59">
            <v>0</v>
          </cell>
          <cell r="BP59">
            <v>54281305</v>
          </cell>
          <cell r="BQ59">
            <v>263619</v>
          </cell>
          <cell r="BR59">
            <v>1271155</v>
          </cell>
          <cell r="BS59">
            <v>4228046</v>
          </cell>
        </row>
        <row r="60">
          <cell r="A60">
            <v>53</v>
          </cell>
          <cell r="B60" t="str">
            <v>Cherwell</v>
          </cell>
          <cell r="C60" t="str">
            <v>E3131</v>
          </cell>
          <cell r="D60">
            <v>219880</v>
          </cell>
          <cell r="G60">
            <v>84538</v>
          </cell>
          <cell r="H60">
            <v>0</v>
          </cell>
          <cell r="I60">
            <v>219880</v>
          </cell>
          <cell r="J60">
            <v>0</v>
          </cell>
          <cell r="K60">
            <v>19536</v>
          </cell>
          <cell r="L60">
            <v>415430</v>
          </cell>
          <cell r="M60">
            <v>0</v>
          </cell>
          <cell r="N60">
            <v>0</v>
          </cell>
          <cell r="O60">
            <v>0</v>
          </cell>
          <cell r="P60">
            <v>0</v>
          </cell>
          <cell r="Q60">
            <v>374468</v>
          </cell>
          <cell r="R60">
            <v>93617</v>
          </cell>
          <cell r="S60">
            <v>0</v>
          </cell>
          <cell r="T60">
            <v>22848</v>
          </cell>
          <cell r="U60">
            <v>5712</v>
          </cell>
          <cell r="V60">
            <v>0</v>
          </cell>
          <cell r="W60">
            <v>163315</v>
          </cell>
          <cell r="X60">
            <v>40829</v>
          </cell>
          <cell r="Y60">
            <v>0</v>
          </cell>
          <cell r="Z60">
            <v>136635.2441613588</v>
          </cell>
          <cell r="AA60">
            <v>34158.811040339693</v>
          </cell>
          <cell r="AB60">
            <v>0</v>
          </cell>
          <cell r="AC60">
            <v>172613.16348195332</v>
          </cell>
          <cell r="AD60">
            <v>43153.290870488316</v>
          </cell>
          <cell r="AE60">
            <v>0</v>
          </cell>
          <cell r="AF60">
            <v>0</v>
          </cell>
          <cell r="AG60">
            <v>0</v>
          </cell>
          <cell r="AH60">
            <v>0</v>
          </cell>
          <cell r="AI60">
            <v>0</v>
          </cell>
          <cell r="AJ60">
            <v>0</v>
          </cell>
          <cell r="AK60">
            <v>0</v>
          </cell>
          <cell r="AL60">
            <v>300337</v>
          </cell>
          <cell r="AM60">
            <v>78859</v>
          </cell>
          <cell r="AN60">
            <v>0</v>
          </cell>
          <cell r="AO60">
            <v>-154918</v>
          </cell>
          <cell r="AP60">
            <v>-123935</v>
          </cell>
          <cell r="AQ60">
            <v>-30984</v>
          </cell>
          <cell r="AR60">
            <v>0</v>
          </cell>
          <cell r="AS60">
            <v>-309837</v>
          </cell>
          <cell r="AT60">
            <v>-1675344</v>
          </cell>
          <cell r="AU60">
            <v>-1340275</v>
          </cell>
          <cell r="AV60">
            <v>-335069</v>
          </cell>
          <cell r="AW60">
            <v>0</v>
          </cell>
          <cell r="AX60">
            <v>-3350688</v>
          </cell>
          <cell r="AY60">
            <v>66291216</v>
          </cell>
          <cell r="AZ60">
            <v>1924365</v>
          </cell>
          <cell r="BA60">
            <v>1319736</v>
          </cell>
          <cell r="BB60">
            <v>2361966</v>
          </cell>
          <cell r="BC60">
            <v>50873</v>
          </cell>
          <cell r="BD60">
            <v>52919</v>
          </cell>
          <cell r="BE60">
            <v>245939</v>
          </cell>
          <cell r="BF60">
            <v>2480526</v>
          </cell>
          <cell r="BG60">
            <v>59837</v>
          </cell>
          <cell r="BH60">
            <v>309659</v>
          </cell>
          <cell r="BI60">
            <v>0</v>
          </cell>
          <cell r="BJ60">
            <v>45205</v>
          </cell>
          <cell r="BK60">
            <v>17995</v>
          </cell>
          <cell r="BL60">
            <v>0</v>
          </cell>
          <cell r="BM60">
            <v>0</v>
          </cell>
          <cell r="BN60">
            <v>0</v>
          </cell>
          <cell r="BO60">
            <v>0</v>
          </cell>
          <cell r="BP60">
            <v>70111848</v>
          </cell>
          <cell r="BQ60">
            <v>134868</v>
          </cell>
          <cell r="BR60">
            <v>1529718</v>
          </cell>
          <cell r="BS60">
            <v>1906129</v>
          </cell>
        </row>
        <row r="61">
          <cell r="A61">
            <v>54</v>
          </cell>
          <cell r="B61" t="str">
            <v>Cheshire East UA</v>
          </cell>
          <cell r="C61" t="str">
            <v>E0603</v>
          </cell>
          <cell r="D61">
            <v>560489</v>
          </cell>
          <cell r="G61">
            <v>90100</v>
          </cell>
          <cell r="H61">
            <v>0</v>
          </cell>
          <cell r="I61">
            <v>560489</v>
          </cell>
          <cell r="J61">
            <v>0</v>
          </cell>
          <cell r="K61">
            <v>0</v>
          </cell>
          <cell r="L61">
            <v>0</v>
          </cell>
          <cell r="M61">
            <v>0</v>
          </cell>
          <cell r="N61">
            <v>0</v>
          </cell>
          <cell r="O61">
            <v>0</v>
          </cell>
          <cell r="P61">
            <v>0</v>
          </cell>
          <cell r="Q61">
            <v>2001385</v>
          </cell>
          <cell r="R61">
            <v>0</v>
          </cell>
          <cell r="S61">
            <v>40845</v>
          </cell>
          <cell r="T61">
            <v>0</v>
          </cell>
          <cell r="U61">
            <v>0</v>
          </cell>
          <cell r="V61">
            <v>0</v>
          </cell>
          <cell r="W61">
            <v>0</v>
          </cell>
          <cell r="X61">
            <v>0</v>
          </cell>
          <cell r="Y61">
            <v>0</v>
          </cell>
          <cell r="Z61">
            <v>77249.484161358807</v>
          </cell>
          <cell r="AA61">
            <v>1.367413200834772E-12</v>
          </cell>
          <cell r="AB61">
            <v>1576.5200849256901</v>
          </cell>
          <cell r="AC61">
            <v>1610576.6721868366</v>
          </cell>
          <cell r="AD61">
            <v>2.8509236358194976E-11</v>
          </cell>
          <cell r="AE61">
            <v>32868.911677282376</v>
          </cell>
          <cell r="AF61">
            <v>0</v>
          </cell>
          <cell r="AG61">
            <v>0</v>
          </cell>
          <cell r="AH61">
            <v>0</v>
          </cell>
          <cell r="AI61">
            <v>0</v>
          </cell>
          <cell r="AJ61">
            <v>0</v>
          </cell>
          <cell r="AK61">
            <v>0</v>
          </cell>
          <cell r="AL61">
            <v>709123</v>
          </cell>
          <cell r="AM61">
            <v>0</v>
          </cell>
          <cell r="AN61">
            <v>14350</v>
          </cell>
          <cell r="AO61">
            <v>-683787</v>
          </cell>
          <cell r="AP61">
            <v>-670112</v>
          </cell>
          <cell r="AQ61">
            <v>0</v>
          </cell>
          <cell r="AR61">
            <v>-13676</v>
          </cell>
          <cell r="AS61">
            <v>-1367575</v>
          </cell>
          <cell r="AT61">
            <v>-3351647</v>
          </cell>
          <cell r="AU61">
            <v>-3284615</v>
          </cell>
          <cell r="AV61">
            <v>0</v>
          </cell>
          <cell r="AW61">
            <v>-67032</v>
          </cell>
          <cell r="AX61">
            <v>-6703294</v>
          </cell>
          <cell r="AY61">
            <v>129249381</v>
          </cell>
          <cell r="AZ61">
            <v>7670131</v>
          </cell>
          <cell r="BA61">
            <v>2593444</v>
          </cell>
          <cell r="BB61">
            <v>5811172</v>
          </cell>
          <cell r="BC61">
            <v>85395</v>
          </cell>
          <cell r="BD61">
            <v>23973</v>
          </cell>
          <cell r="BE61">
            <v>422701</v>
          </cell>
          <cell r="BF61">
            <v>5247607</v>
          </cell>
          <cell r="BG61">
            <v>184613</v>
          </cell>
          <cell r="BH61">
            <v>48123</v>
          </cell>
          <cell r="BI61">
            <v>7985</v>
          </cell>
          <cell r="BJ61">
            <v>23973</v>
          </cell>
          <cell r="BK61">
            <v>10535</v>
          </cell>
          <cell r="BL61">
            <v>0</v>
          </cell>
          <cell r="BM61">
            <v>0</v>
          </cell>
          <cell r="BN61">
            <v>0</v>
          </cell>
          <cell r="BO61">
            <v>0</v>
          </cell>
          <cell r="BP61">
            <v>136586427</v>
          </cell>
          <cell r="BQ61">
            <v>867834.67</v>
          </cell>
          <cell r="BR61">
            <v>6305619</v>
          </cell>
          <cell r="BS61">
            <v>1010203</v>
          </cell>
        </row>
        <row r="62">
          <cell r="A62">
            <v>55</v>
          </cell>
          <cell r="B62" t="str">
            <v>Cheshire West &amp; Chester UA</v>
          </cell>
          <cell r="C62" t="str">
            <v>E0604</v>
          </cell>
          <cell r="D62">
            <v>501621</v>
          </cell>
          <cell r="G62">
            <v>-50426</v>
          </cell>
          <cell r="H62">
            <v>0</v>
          </cell>
          <cell r="I62">
            <v>501621</v>
          </cell>
          <cell r="J62">
            <v>0</v>
          </cell>
          <cell r="K62">
            <v>0</v>
          </cell>
          <cell r="L62">
            <v>0</v>
          </cell>
          <cell r="M62">
            <v>0</v>
          </cell>
          <cell r="N62">
            <v>0</v>
          </cell>
          <cell r="O62">
            <v>0</v>
          </cell>
          <cell r="P62">
            <v>0</v>
          </cell>
          <cell r="Q62">
            <v>1452707</v>
          </cell>
          <cell r="R62">
            <v>0</v>
          </cell>
          <cell r="S62">
            <v>29647</v>
          </cell>
          <cell r="T62">
            <v>9904</v>
          </cell>
          <cell r="U62">
            <v>0</v>
          </cell>
          <cell r="V62">
            <v>202</v>
          </cell>
          <cell r="W62">
            <v>9904</v>
          </cell>
          <cell r="X62">
            <v>0</v>
          </cell>
          <cell r="Y62">
            <v>202</v>
          </cell>
          <cell r="Z62">
            <v>153512.52653927813</v>
          </cell>
          <cell r="AA62">
            <v>2.7173651392265143E-12</v>
          </cell>
          <cell r="AB62">
            <v>3132.9087048832271</v>
          </cell>
          <cell r="AC62">
            <v>866602.97239915072</v>
          </cell>
          <cell r="AD62">
            <v>1.533996449563355E-11</v>
          </cell>
          <cell r="AE62">
            <v>17685.774946921443</v>
          </cell>
          <cell r="AF62">
            <v>0</v>
          </cell>
          <cell r="AG62">
            <v>0</v>
          </cell>
          <cell r="AH62">
            <v>0</v>
          </cell>
          <cell r="AI62">
            <v>0</v>
          </cell>
          <cell r="AJ62">
            <v>0</v>
          </cell>
          <cell r="AK62">
            <v>0</v>
          </cell>
          <cell r="AL62">
            <v>782587</v>
          </cell>
          <cell r="AM62">
            <v>0</v>
          </cell>
          <cell r="AN62">
            <v>15862</v>
          </cell>
          <cell r="AO62">
            <v>-189602</v>
          </cell>
          <cell r="AP62">
            <v>-185810</v>
          </cell>
          <cell r="AQ62">
            <v>0</v>
          </cell>
          <cell r="AR62">
            <v>-3792</v>
          </cell>
          <cell r="AS62">
            <v>-379204</v>
          </cell>
          <cell r="AT62">
            <v>-4250998</v>
          </cell>
          <cell r="AU62">
            <v>-4165977</v>
          </cell>
          <cell r="AV62">
            <v>0</v>
          </cell>
          <cell r="AW62">
            <v>-85020</v>
          </cell>
          <cell r="AX62">
            <v>-8501995</v>
          </cell>
          <cell r="AY62">
            <v>140068288</v>
          </cell>
          <cell r="AZ62">
            <v>5788225</v>
          </cell>
          <cell r="BA62">
            <v>3059322</v>
          </cell>
          <cell r="BB62">
            <v>7101327</v>
          </cell>
          <cell r="BC62">
            <v>52723</v>
          </cell>
          <cell r="BD62">
            <v>61707</v>
          </cell>
          <cell r="BE62">
            <v>100070</v>
          </cell>
          <cell r="BF62">
            <v>6987226</v>
          </cell>
          <cell r="BG62">
            <v>742616</v>
          </cell>
          <cell r="BH62">
            <v>853757</v>
          </cell>
          <cell r="BI62">
            <v>10327</v>
          </cell>
          <cell r="BJ62">
            <v>61707</v>
          </cell>
          <cell r="BK62">
            <v>23990</v>
          </cell>
          <cell r="BL62">
            <v>0</v>
          </cell>
          <cell r="BM62">
            <v>0</v>
          </cell>
          <cell r="BN62">
            <v>0</v>
          </cell>
          <cell r="BO62">
            <v>0</v>
          </cell>
          <cell r="BP62">
            <v>154223826</v>
          </cell>
          <cell r="BQ62">
            <v>2410241</v>
          </cell>
          <cell r="BR62">
            <v>4544971</v>
          </cell>
          <cell r="BS62">
            <v>4254766</v>
          </cell>
        </row>
        <row r="63">
          <cell r="A63">
            <v>56</v>
          </cell>
          <cell r="B63" t="str">
            <v>Chesterfield</v>
          </cell>
          <cell r="C63" t="str">
            <v>E1033</v>
          </cell>
          <cell r="D63">
            <v>166169</v>
          </cell>
          <cell r="E63">
            <v>0</v>
          </cell>
          <cell r="G63">
            <v>-15898</v>
          </cell>
          <cell r="H63">
            <v>0</v>
          </cell>
          <cell r="I63">
            <v>166169</v>
          </cell>
          <cell r="J63">
            <v>0</v>
          </cell>
          <cell r="K63">
            <v>0</v>
          </cell>
          <cell r="L63">
            <v>0</v>
          </cell>
          <cell r="M63">
            <v>0</v>
          </cell>
          <cell r="N63">
            <v>0</v>
          </cell>
          <cell r="O63">
            <v>0</v>
          </cell>
          <cell r="P63">
            <v>0</v>
          </cell>
          <cell r="Q63">
            <v>512148</v>
          </cell>
          <cell r="R63">
            <v>115233</v>
          </cell>
          <cell r="S63">
            <v>12804</v>
          </cell>
          <cell r="T63">
            <v>0</v>
          </cell>
          <cell r="U63">
            <v>0</v>
          </cell>
          <cell r="V63">
            <v>0</v>
          </cell>
          <cell r="W63">
            <v>0</v>
          </cell>
          <cell r="X63">
            <v>0</v>
          </cell>
          <cell r="Y63">
            <v>0</v>
          </cell>
          <cell r="Z63">
            <v>11155.984713375798</v>
          </cell>
          <cell r="AA63">
            <v>2510.0965605095539</v>
          </cell>
          <cell r="AB63">
            <v>278.89961783439492</v>
          </cell>
          <cell r="AC63">
            <v>235984.83227176219</v>
          </cell>
          <cell r="AD63">
            <v>53096.58726114648</v>
          </cell>
          <cell r="AE63">
            <v>5899.6208067940552</v>
          </cell>
          <cell r="AF63">
            <v>0</v>
          </cell>
          <cell r="AG63">
            <v>0</v>
          </cell>
          <cell r="AH63">
            <v>0</v>
          </cell>
          <cell r="AI63">
            <v>0</v>
          </cell>
          <cell r="AJ63">
            <v>0</v>
          </cell>
          <cell r="AK63">
            <v>0</v>
          </cell>
          <cell r="AL63">
            <v>153692</v>
          </cell>
          <cell r="AM63">
            <v>34184</v>
          </cell>
          <cell r="AN63">
            <v>3798</v>
          </cell>
          <cell r="AO63">
            <v>-367983</v>
          </cell>
          <cell r="AP63">
            <v>-294388</v>
          </cell>
          <cell r="AQ63">
            <v>-66238</v>
          </cell>
          <cell r="AR63">
            <v>-7360</v>
          </cell>
          <cell r="AS63">
            <v>-735969</v>
          </cell>
          <cell r="AT63">
            <v>-857411</v>
          </cell>
          <cell r="AU63">
            <v>-685929</v>
          </cell>
          <cell r="AV63">
            <v>-154334</v>
          </cell>
          <cell r="AW63">
            <v>-17149</v>
          </cell>
          <cell r="AX63">
            <v>-1714823</v>
          </cell>
          <cell r="AY63">
            <v>33236820</v>
          </cell>
          <cell r="AZ63">
            <v>2516759</v>
          </cell>
          <cell r="BA63">
            <v>651228</v>
          </cell>
          <cell r="BB63">
            <v>1278393</v>
          </cell>
          <cell r="BC63">
            <v>21428</v>
          </cell>
          <cell r="BD63">
            <v>3156</v>
          </cell>
          <cell r="BE63">
            <v>9929</v>
          </cell>
          <cell r="BF63">
            <v>1385605</v>
          </cell>
          <cell r="BG63">
            <v>30857</v>
          </cell>
          <cell r="BH63">
            <v>20952</v>
          </cell>
          <cell r="BI63">
            <v>935</v>
          </cell>
          <cell r="BJ63">
            <v>0</v>
          </cell>
          <cell r="BK63">
            <v>0</v>
          </cell>
          <cell r="BL63">
            <v>0</v>
          </cell>
          <cell r="BM63">
            <v>0</v>
          </cell>
          <cell r="BN63">
            <v>0</v>
          </cell>
          <cell r="BO63">
            <v>0</v>
          </cell>
          <cell r="BP63">
            <v>35705267</v>
          </cell>
          <cell r="BQ63">
            <v>328232.23</v>
          </cell>
          <cell r="BR63">
            <v>1399350</v>
          </cell>
          <cell r="BS63">
            <v>509261</v>
          </cell>
        </row>
        <row r="64">
          <cell r="A64">
            <v>57</v>
          </cell>
          <cell r="B64" t="str">
            <v>Chichester</v>
          </cell>
          <cell r="C64" t="str">
            <v>E3833</v>
          </cell>
          <cell r="D64">
            <v>195843</v>
          </cell>
          <cell r="G64">
            <v>-197957</v>
          </cell>
          <cell r="H64">
            <v>0</v>
          </cell>
          <cell r="I64">
            <v>195843</v>
          </cell>
          <cell r="J64">
            <v>0</v>
          </cell>
          <cell r="K64">
            <v>0</v>
          </cell>
          <cell r="L64">
            <v>0</v>
          </cell>
          <cell r="M64">
            <v>0</v>
          </cell>
          <cell r="N64">
            <v>0</v>
          </cell>
          <cell r="O64">
            <v>0</v>
          </cell>
          <cell r="P64">
            <v>0</v>
          </cell>
          <cell r="Q64">
            <v>567253</v>
          </cell>
          <cell r="R64">
            <v>141813</v>
          </cell>
          <cell r="S64">
            <v>0</v>
          </cell>
          <cell r="T64">
            <v>12127</v>
          </cell>
          <cell r="U64">
            <v>3032</v>
          </cell>
          <cell r="V64">
            <v>0</v>
          </cell>
          <cell r="W64">
            <v>20212</v>
          </cell>
          <cell r="X64">
            <v>5053</v>
          </cell>
          <cell r="Y64">
            <v>0</v>
          </cell>
          <cell r="Z64">
            <v>20212.31422505308</v>
          </cell>
          <cell r="AA64">
            <v>5053.0785562632682</v>
          </cell>
          <cell r="AB64">
            <v>0</v>
          </cell>
          <cell r="AC64">
            <v>262760.08492569003</v>
          </cell>
          <cell r="AD64">
            <v>65690.021231422492</v>
          </cell>
          <cell r="AE64">
            <v>0</v>
          </cell>
          <cell r="AF64">
            <v>0</v>
          </cell>
          <cell r="AG64">
            <v>0</v>
          </cell>
          <cell r="AH64">
            <v>0</v>
          </cell>
          <cell r="AI64">
            <v>0</v>
          </cell>
          <cell r="AJ64">
            <v>0</v>
          </cell>
          <cell r="AK64">
            <v>0</v>
          </cell>
          <cell r="AL64">
            <v>182782</v>
          </cell>
          <cell r="AM64">
            <v>45176</v>
          </cell>
          <cell r="AN64">
            <v>0</v>
          </cell>
          <cell r="AO64">
            <v>-355454</v>
          </cell>
          <cell r="AP64">
            <v>-284364</v>
          </cell>
          <cell r="AQ64">
            <v>-71091</v>
          </cell>
          <cell r="AR64">
            <v>0</v>
          </cell>
          <cell r="AS64">
            <v>-710909</v>
          </cell>
          <cell r="AT64">
            <v>-1040637</v>
          </cell>
          <cell r="AU64">
            <v>-832509</v>
          </cell>
          <cell r="AV64">
            <v>-208128</v>
          </cell>
          <cell r="AW64">
            <v>0</v>
          </cell>
          <cell r="AX64">
            <v>-2081274</v>
          </cell>
          <cell r="AY64">
            <v>40952273</v>
          </cell>
          <cell r="AZ64">
            <v>2799326</v>
          </cell>
          <cell r="BA64">
            <v>819393</v>
          </cell>
          <cell r="BB64">
            <v>3133954</v>
          </cell>
          <cell r="BC64">
            <v>30425</v>
          </cell>
          <cell r="BD64">
            <v>44843</v>
          </cell>
          <cell r="BE64">
            <v>41590</v>
          </cell>
          <cell r="BF64">
            <v>929330</v>
          </cell>
          <cell r="BG64">
            <v>10156</v>
          </cell>
          <cell r="BH64">
            <v>5634</v>
          </cell>
          <cell r="BI64">
            <v>0</v>
          </cell>
          <cell r="BJ64">
            <v>42894</v>
          </cell>
          <cell r="BK64">
            <v>8112</v>
          </cell>
          <cell r="BL64">
            <v>0</v>
          </cell>
          <cell r="BM64">
            <v>0</v>
          </cell>
          <cell r="BN64">
            <v>0</v>
          </cell>
          <cell r="BO64">
            <v>0</v>
          </cell>
          <cell r="BP64">
            <v>43501703</v>
          </cell>
          <cell r="BQ64">
            <v>72783</v>
          </cell>
          <cell r="BR64">
            <v>1543021</v>
          </cell>
          <cell r="BS64">
            <v>599560</v>
          </cell>
        </row>
        <row r="65">
          <cell r="A65">
            <v>58</v>
          </cell>
          <cell r="B65" t="str">
            <v>Chiltern</v>
          </cell>
          <cell r="C65" t="str">
            <v>E0432</v>
          </cell>
          <cell r="D65">
            <v>116496</v>
          </cell>
          <cell r="G65">
            <v>-60412</v>
          </cell>
          <cell r="H65">
            <v>0</v>
          </cell>
          <cell r="I65">
            <v>116496</v>
          </cell>
          <cell r="J65">
            <v>0</v>
          </cell>
          <cell r="K65">
            <v>0</v>
          </cell>
          <cell r="L65">
            <v>0</v>
          </cell>
          <cell r="M65">
            <v>0</v>
          </cell>
          <cell r="N65">
            <v>0</v>
          </cell>
          <cell r="O65">
            <v>0</v>
          </cell>
          <cell r="P65">
            <v>0</v>
          </cell>
          <cell r="Q65">
            <v>271473</v>
          </cell>
          <cell r="R65">
            <v>61081</v>
          </cell>
          <cell r="S65">
            <v>6787</v>
          </cell>
          <cell r="T65">
            <v>0</v>
          </cell>
          <cell r="U65">
            <v>0</v>
          </cell>
          <cell r="V65">
            <v>0</v>
          </cell>
          <cell r="W65">
            <v>0</v>
          </cell>
          <cell r="X65">
            <v>0</v>
          </cell>
          <cell r="Y65">
            <v>0</v>
          </cell>
          <cell r="Z65">
            <v>0</v>
          </cell>
          <cell r="AA65">
            <v>0</v>
          </cell>
          <cell r="AB65">
            <v>0</v>
          </cell>
          <cell r="AC65">
            <v>241739.27813163484</v>
          </cell>
          <cell r="AD65">
            <v>54391.33757961783</v>
          </cell>
          <cell r="AE65">
            <v>6043.4819532908714</v>
          </cell>
          <cell r="AF65">
            <v>24531.919999999998</v>
          </cell>
          <cell r="AG65">
            <v>0</v>
          </cell>
          <cell r="AH65">
            <v>0</v>
          </cell>
          <cell r="AI65">
            <v>0</v>
          </cell>
          <cell r="AJ65">
            <v>0</v>
          </cell>
          <cell r="AK65">
            <v>0</v>
          </cell>
          <cell r="AL65">
            <v>89173</v>
          </cell>
          <cell r="AM65">
            <v>19786</v>
          </cell>
          <cell r="AN65">
            <v>2198</v>
          </cell>
          <cell r="AO65">
            <v>-69782</v>
          </cell>
          <cell r="AP65">
            <v>-55824</v>
          </cell>
          <cell r="AQ65">
            <v>-12560</v>
          </cell>
          <cell r="AR65">
            <v>-1395</v>
          </cell>
          <cell r="AS65">
            <v>-139561</v>
          </cell>
          <cell r="AT65">
            <v>-728447</v>
          </cell>
          <cell r="AU65">
            <v>-582757</v>
          </cell>
          <cell r="AV65">
            <v>-131120</v>
          </cell>
          <cell r="AW65">
            <v>-14569</v>
          </cell>
          <cell r="AX65">
            <v>-1456893</v>
          </cell>
          <cell r="AY65">
            <v>18740660</v>
          </cell>
          <cell r="AZ65">
            <v>1338159.8</v>
          </cell>
          <cell r="BA65">
            <v>383632.37</v>
          </cell>
          <cell r="BB65">
            <v>2218812.58</v>
          </cell>
          <cell r="BC65">
            <v>32922.9</v>
          </cell>
          <cell r="BD65">
            <v>19009.900000000001</v>
          </cell>
          <cell r="BE65">
            <v>130.06</v>
          </cell>
          <cell r="BF65">
            <v>788523.35</v>
          </cell>
          <cell r="BG65">
            <v>103917.44</v>
          </cell>
          <cell r="BH65">
            <v>42412.87</v>
          </cell>
          <cell r="BI65">
            <v>4735.91</v>
          </cell>
          <cell r="BJ65">
            <v>6391.76</v>
          </cell>
          <cell r="BK65">
            <v>0</v>
          </cell>
          <cell r="BL65">
            <v>0</v>
          </cell>
          <cell r="BM65">
            <v>0</v>
          </cell>
          <cell r="BN65">
            <v>0</v>
          </cell>
          <cell r="BO65">
            <v>0</v>
          </cell>
          <cell r="BP65">
            <v>20443942.199999999</v>
          </cell>
          <cell r="BQ65">
            <v>96877</v>
          </cell>
          <cell r="BR65">
            <v>668186</v>
          </cell>
          <cell r="BS65">
            <v>293370</v>
          </cell>
        </row>
        <row r="66">
          <cell r="A66">
            <v>59</v>
          </cell>
          <cell r="B66" t="str">
            <v>Chorley</v>
          </cell>
          <cell r="C66" t="str">
            <v>E2334</v>
          </cell>
          <cell r="D66">
            <v>132564</v>
          </cell>
          <cell r="G66">
            <v>53559</v>
          </cell>
          <cell r="H66">
            <v>0</v>
          </cell>
          <cell r="I66">
            <v>132564</v>
          </cell>
          <cell r="J66">
            <v>0</v>
          </cell>
          <cell r="K66">
            <v>0</v>
          </cell>
          <cell r="L66">
            <v>0</v>
          </cell>
          <cell r="M66">
            <v>0</v>
          </cell>
          <cell r="N66">
            <v>0</v>
          </cell>
          <cell r="O66">
            <v>0</v>
          </cell>
          <cell r="P66">
            <v>0</v>
          </cell>
          <cell r="Q66">
            <v>478633</v>
          </cell>
          <cell r="R66">
            <v>107693</v>
          </cell>
          <cell r="S66">
            <v>11966</v>
          </cell>
          <cell r="T66">
            <v>5595</v>
          </cell>
          <cell r="U66">
            <v>1259</v>
          </cell>
          <cell r="V66">
            <v>140</v>
          </cell>
          <cell r="W66">
            <v>20212</v>
          </cell>
          <cell r="X66">
            <v>4548</v>
          </cell>
          <cell r="Y66">
            <v>505</v>
          </cell>
          <cell r="Z66">
            <v>14792.180042462845</v>
          </cell>
          <cell r="AA66">
            <v>3328.2405095541394</v>
          </cell>
          <cell r="AB66">
            <v>369.80450106157116</v>
          </cell>
          <cell r="AC66">
            <v>198484.92569002125</v>
          </cell>
          <cell r="AD66">
            <v>44659.108280254768</v>
          </cell>
          <cell r="AE66">
            <v>4962.1231422505307</v>
          </cell>
          <cell r="AF66">
            <v>0</v>
          </cell>
          <cell r="AG66">
            <v>0</v>
          </cell>
          <cell r="AH66">
            <v>0</v>
          </cell>
          <cell r="AI66">
            <v>0</v>
          </cell>
          <cell r="AJ66">
            <v>0</v>
          </cell>
          <cell r="AK66">
            <v>0</v>
          </cell>
          <cell r="AL66">
            <v>116022</v>
          </cell>
          <cell r="AM66">
            <v>25788</v>
          </cell>
          <cell r="AN66">
            <v>2865</v>
          </cell>
          <cell r="AO66">
            <v>-351264</v>
          </cell>
          <cell r="AP66">
            <v>-281012</v>
          </cell>
          <cell r="AQ66">
            <v>-63228</v>
          </cell>
          <cell r="AR66">
            <v>-7026</v>
          </cell>
          <cell r="AS66">
            <v>-702530</v>
          </cell>
          <cell r="AT66">
            <v>-625000</v>
          </cell>
          <cell r="AU66">
            <v>-500000</v>
          </cell>
          <cell r="AV66">
            <v>-112500</v>
          </cell>
          <cell r="AW66">
            <v>-12500</v>
          </cell>
          <cell r="AX66">
            <v>-1250000</v>
          </cell>
          <cell r="AY66">
            <v>24756676</v>
          </cell>
          <cell r="AZ66">
            <v>2236040</v>
          </cell>
          <cell r="BA66">
            <v>508572</v>
          </cell>
          <cell r="BB66">
            <v>1914588</v>
          </cell>
          <cell r="BC66">
            <v>26622</v>
          </cell>
          <cell r="BD66">
            <v>6341</v>
          </cell>
          <cell r="BE66">
            <v>516</v>
          </cell>
          <cell r="BF66">
            <v>713298</v>
          </cell>
          <cell r="BG66">
            <v>8205</v>
          </cell>
          <cell r="BH66">
            <v>3792</v>
          </cell>
          <cell r="BI66">
            <v>0</v>
          </cell>
          <cell r="BJ66">
            <v>0</v>
          </cell>
          <cell r="BK66">
            <v>0</v>
          </cell>
          <cell r="BL66">
            <v>0</v>
          </cell>
          <cell r="BM66">
            <v>0</v>
          </cell>
          <cell r="BN66">
            <v>0</v>
          </cell>
          <cell r="BO66">
            <v>0</v>
          </cell>
          <cell r="BP66">
            <v>26456313</v>
          </cell>
          <cell r="BQ66">
            <v>276481</v>
          </cell>
          <cell r="BR66">
            <v>1108500</v>
          </cell>
          <cell r="BS66">
            <v>328785</v>
          </cell>
        </row>
        <row r="67">
          <cell r="A67">
            <v>60</v>
          </cell>
          <cell r="B67" t="str">
            <v>Christchurch</v>
          </cell>
          <cell r="C67" t="str">
            <v>E1232</v>
          </cell>
          <cell r="D67">
            <v>75172</v>
          </cell>
          <cell r="G67">
            <v>21246</v>
          </cell>
          <cell r="H67">
            <v>0</v>
          </cell>
          <cell r="I67">
            <v>75172</v>
          </cell>
          <cell r="J67">
            <v>0</v>
          </cell>
          <cell r="K67">
            <v>0</v>
          </cell>
          <cell r="L67">
            <v>0</v>
          </cell>
          <cell r="M67">
            <v>0</v>
          </cell>
          <cell r="N67">
            <v>0</v>
          </cell>
          <cell r="O67">
            <v>0</v>
          </cell>
          <cell r="P67">
            <v>0</v>
          </cell>
          <cell r="Q67">
            <v>221483</v>
          </cell>
          <cell r="R67">
            <v>49834</v>
          </cell>
          <cell r="S67">
            <v>5537</v>
          </cell>
          <cell r="T67">
            <v>0</v>
          </cell>
          <cell r="U67">
            <v>0</v>
          </cell>
          <cell r="V67">
            <v>0</v>
          </cell>
          <cell r="W67">
            <v>0</v>
          </cell>
          <cell r="X67">
            <v>0</v>
          </cell>
          <cell r="Y67">
            <v>0</v>
          </cell>
          <cell r="Z67">
            <v>491.96772823779196</v>
          </cell>
          <cell r="AA67">
            <v>110.69273885350316</v>
          </cell>
          <cell r="AB67">
            <v>12.299193205944798</v>
          </cell>
          <cell r="AC67">
            <v>134326.18938428874</v>
          </cell>
          <cell r="AD67">
            <v>30223.392611464958</v>
          </cell>
          <cell r="AE67">
            <v>3358.1547346072184</v>
          </cell>
          <cell r="AF67">
            <v>0</v>
          </cell>
          <cell r="AG67">
            <v>0</v>
          </cell>
          <cell r="AH67">
            <v>0</v>
          </cell>
          <cell r="AI67">
            <v>0</v>
          </cell>
          <cell r="AJ67">
            <v>0</v>
          </cell>
          <cell r="AK67">
            <v>0</v>
          </cell>
          <cell r="AL67">
            <v>71923</v>
          </cell>
          <cell r="AM67">
            <v>16003</v>
          </cell>
          <cell r="AN67">
            <v>1778</v>
          </cell>
          <cell r="AO67">
            <v>-169407</v>
          </cell>
          <cell r="AP67">
            <v>-135526</v>
          </cell>
          <cell r="AQ67">
            <v>-30494</v>
          </cell>
          <cell r="AR67">
            <v>-3388</v>
          </cell>
          <cell r="AS67">
            <v>-338815</v>
          </cell>
          <cell r="AT67">
            <v>-453526</v>
          </cell>
          <cell r="AU67">
            <v>-362821</v>
          </cell>
          <cell r="AV67">
            <v>-81635</v>
          </cell>
          <cell r="AW67">
            <v>-9070</v>
          </cell>
          <cell r="AX67">
            <v>-907052</v>
          </cell>
          <cell r="AY67">
            <v>15893291</v>
          </cell>
          <cell r="AZ67">
            <v>1103276</v>
          </cell>
          <cell r="BA67">
            <v>331733</v>
          </cell>
          <cell r="BB67">
            <v>601401</v>
          </cell>
          <cell r="BC67">
            <v>35626</v>
          </cell>
          <cell r="BD67">
            <v>1672</v>
          </cell>
          <cell r="BE67">
            <v>632</v>
          </cell>
          <cell r="BF67">
            <v>671773</v>
          </cell>
          <cell r="BG67">
            <v>4186</v>
          </cell>
          <cell r="BH67">
            <v>39782</v>
          </cell>
          <cell r="BI67">
            <v>1507</v>
          </cell>
          <cell r="BJ67">
            <v>0</v>
          </cell>
          <cell r="BK67">
            <v>0</v>
          </cell>
          <cell r="BL67">
            <v>0</v>
          </cell>
          <cell r="BM67">
            <v>0</v>
          </cell>
          <cell r="BN67">
            <v>0</v>
          </cell>
          <cell r="BO67">
            <v>0</v>
          </cell>
          <cell r="BP67">
            <v>17122567</v>
          </cell>
          <cell r="BQ67">
            <v>-19570</v>
          </cell>
          <cell r="BR67">
            <v>700750</v>
          </cell>
          <cell r="BS67">
            <v>-78294</v>
          </cell>
        </row>
        <row r="68">
          <cell r="A68">
            <v>61</v>
          </cell>
          <cell r="B68" t="str">
            <v>City of London</v>
          </cell>
          <cell r="C68" t="str">
            <v>E5010</v>
          </cell>
          <cell r="D68">
            <v>1680657</v>
          </cell>
          <cell r="G68">
            <v>162394</v>
          </cell>
          <cell r="H68">
            <v>0</v>
          </cell>
          <cell r="I68">
            <v>1680657</v>
          </cell>
          <cell r="J68">
            <v>0</v>
          </cell>
          <cell r="K68">
            <v>0</v>
          </cell>
          <cell r="L68">
            <v>0</v>
          </cell>
          <cell r="M68">
            <v>0</v>
          </cell>
          <cell r="N68">
            <v>0</v>
          </cell>
          <cell r="O68">
            <v>0</v>
          </cell>
          <cell r="P68">
            <v>0</v>
          </cell>
          <cell r="Q68">
            <v>56656</v>
          </cell>
          <cell r="R68">
            <v>37770</v>
          </cell>
          <cell r="S68">
            <v>0</v>
          </cell>
          <cell r="T68">
            <v>0</v>
          </cell>
          <cell r="U68">
            <v>0</v>
          </cell>
          <cell r="V68">
            <v>0</v>
          </cell>
          <cell r="W68">
            <v>0</v>
          </cell>
          <cell r="X68">
            <v>0</v>
          </cell>
          <cell r="Y68">
            <v>0</v>
          </cell>
          <cell r="Z68">
            <v>45006.557961783437</v>
          </cell>
          <cell r="AA68">
            <v>30004.371974522295</v>
          </cell>
          <cell r="AB68">
            <v>0</v>
          </cell>
          <cell r="AC68">
            <v>186155.41401273882</v>
          </cell>
          <cell r="AD68">
            <v>124103.6093418259</v>
          </cell>
          <cell r="AE68">
            <v>0</v>
          </cell>
          <cell r="AF68">
            <v>0</v>
          </cell>
          <cell r="AG68">
            <v>0</v>
          </cell>
          <cell r="AH68">
            <v>0</v>
          </cell>
          <cell r="AI68">
            <v>0</v>
          </cell>
          <cell r="AJ68">
            <v>0</v>
          </cell>
          <cell r="AK68">
            <v>0</v>
          </cell>
          <cell r="AL68">
            <v>2458061</v>
          </cell>
          <cell r="AM68">
            <v>1550784</v>
          </cell>
          <cell r="AN68">
            <v>0</v>
          </cell>
          <cell r="AO68">
            <v>-5054742</v>
          </cell>
          <cell r="AP68">
            <v>-3032845</v>
          </cell>
          <cell r="AQ68">
            <v>-2021896</v>
          </cell>
          <cell r="AR68">
            <v>0</v>
          </cell>
          <cell r="AS68">
            <v>-10109483</v>
          </cell>
          <cell r="AT68">
            <v>-56852090</v>
          </cell>
          <cell r="AU68">
            <v>-34111253</v>
          </cell>
          <cell r="AV68">
            <v>-22740835</v>
          </cell>
          <cell r="AW68">
            <v>0</v>
          </cell>
          <cell r="AX68">
            <v>-113704178</v>
          </cell>
          <cell r="AY68">
            <v>665006236</v>
          </cell>
          <cell r="AZ68">
            <v>368413</v>
          </cell>
          <cell r="BA68">
            <v>16035196</v>
          </cell>
          <cell r="BB68">
            <v>10168511</v>
          </cell>
          <cell r="BC68">
            <v>0</v>
          </cell>
          <cell r="BD68">
            <v>0</v>
          </cell>
          <cell r="BE68">
            <v>811742</v>
          </cell>
          <cell r="BF68">
            <v>34285468</v>
          </cell>
          <cell r="BG68">
            <v>132990</v>
          </cell>
          <cell r="BH68">
            <v>480625</v>
          </cell>
          <cell r="BI68">
            <v>0</v>
          </cell>
          <cell r="BJ68">
            <v>0</v>
          </cell>
          <cell r="BK68">
            <v>0</v>
          </cell>
          <cell r="BL68">
            <v>0</v>
          </cell>
          <cell r="BM68">
            <v>0</v>
          </cell>
          <cell r="BN68">
            <v>0</v>
          </cell>
          <cell r="BO68">
            <v>0</v>
          </cell>
          <cell r="BP68">
            <v>791164983</v>
          </cell>
          <cell r="BQ68">
            <v>962125</v>
          </cell>
          <cell r="BR68">
            <v>17873083</v>
          </cell>
          <cell r="BS68">
            <v>34507844</v>
          </cell>
        </row>
        <row r="69">
          <cell r="A69">
            <v>62</v>
          </cell>
          <cell r="B69" t="str">
            <v>Colchester</v>
          </cell>
          <cell r="C69" t="str">
            <v>E1536</v>
          </cell>
          <cell r="D69">
            <v>237985</v>
          </cell>
          <cell r="G69">
            <v>16909</v>
          </cell>
          <cell r="H69">
            <v>0</v>
          </cell>
          <cell r="I69">
            <v>237985</v>
          </cell>
          <cell r="J69">
            <v>0</v>
          </cell>
          <cell r="K69">
            <v>0</v>
          </cell>
          <cell r="L69">
            <v>0</v>
          </cell>
          <cell r="M69">
            <v>0</v>
          </cell>
          <cell r="N69">
            <v>0</v>
          </cell>
          <cell r="O69">
            <v>0</v>
          </cell>
          <cell r="P69">
            <v>0</v>
          </cell>
          <cell r="Q69">
            <v>531637</v>
          </cell>
          <cell r="R69">
            <v>119618</v>
          </cell>
          <cell r="S69">
            <v>13291</v>
          </cell>
          <cell r="T69">
            <v>40424</v>
          </cell>
          <cell r="U69">
            <v>9096</v>
          </cell>
          <cell r="V69">
            <v>1011</v>
          </cell>
          <cell r="W69">
            <v>40424</v>
          </cell>
          <cell r="X69">
            <v>9096</v>
          </cell>
          <cell r="Y69">
            <v>1011</v>
          </cell>
          <cell r="Z69">
            <v>104065.12101910828</v>
          </cell>
          <cell r="AA69">
            <v>23414.652229299358</v>
          </cell>
          <cell r="AB69">
            <v>2601.6280254777071</v>
          </cell>
          <cell r="AC69">
            <v>333888.43142250529</v>
          </cell>
          <cell r="AD69">
            <v>75124.897070063671</v>
          </cell>
          <cell r="AE69">
            <v>8347.2107855626327</v>
          </cell>
          <cell r="AF69">
            <v>0</v>
          </cell>
          <cell r="AG69">
            <v>0</v>
          </cell>
          <cell r="AH69">
            <v>0</v>
          </cell>
          <cell r="AI69">
            <v>0</v>
          </cell>
          <cell r="AJ69">
            <v>0</v>
          </cell>
          <cell r="AK69">
            <v>0</v>
          </cell>
          <cell r="AL69">
            <v>257368</v>
          </cell>
          <cell r="AM69">
            <v>57339</v>
          </cell>
          <cell r="AN69">
            <v>6371</v>
          </cell>
          <cell r="AO69">
            <v>-377282</v>
          </cell>
          <cell r="AP69">
            <v>-301825</v>
          </cell>
          <cell r="AQ69">
            <v>-67910</v>
          </cell>
          <cell r="AR69">
            <v>-7546</v>
          </cell>
          <cell r="AS69">
            <v>-754563</v>
          </cell>
          <cell r="AT69">
            <v>-835921</v>
          </cell>
          <cell r="AU69">
            <v>-668736</v>
          </cell>
          <cell r="AV69">
            <v>-150466</v>
          </cell>
          <cell r="AW69">
            <v>-16718</v>
          </cell>
          <cell r="AX69">
            <v>-1671841</v>
          </cell>
          <cell r="AY69">
            <v>58208304</v>
          </cell>
          <cell r="AZ69">
            <v>2725345</v>
          </cell>
          <cell r="BA69">
            <v>1211424</v>
          </cell>
          <cell r="BB69">
            <v>4334327</v>
          </cell>
          <cell r="BC69">
            <v>57744</v>
          </cell>
          <cell r="BD69">
            <v>16869</v>
          </cell>
          <cell r="BE69">
            <v>18210</v>
          </cell>
          <cell r="BF69">
            <v>2967155</v>
          </cell>
          <cell r="BG69">
            <v>147352</v>
          </cell>
          <cell r="BH69">
            <v>37828</v>
          </cell>
          <cell r="BI69">
            <v>14097</v>
          </cell>
          <cell r="BJ69">
            <v>16869</v>
          </cell>
          <cell r="BK69">
            <v>0</v>
          </cell>
          <cell r="BL69">
            <v>0</v>
          </cell>
          <cell r="BM69">
            <v>0</v>
          </cell>
          <cell r="BN69">
            <v>0</v>
          </cell>
          <cell r="BO69">
            <v>0</v>
          </cell>
          <cell r="BP69">
            <v>61010017</v>
          </cell>
          <cell r="BQ69">
            <v>296901</v>
          </cell>
          <cell r="BR69">
            <v>2326661</v>
          </cell>
          <cell r="BS69">
            <v>728507</v>
          </cell>
        </row>
        <row r="70">
          <cell r="A70">
            <v>63</v>
          </cell>
          <cell r="B70" t="str">
            <v>Copeland</v>
          </cell>
          <cell r="C70" t="str">
            <v>E0934</v>
          </cell>
          <cell r="D70">
            <v>112133</v>
          </cell>
          <cell r="G70">
            <v>20052</v>
          </cell>
          <cell r="H70">
            <v>0</v>
          </cell>
          <cell r="I70">
            <v>112133</v>
          </cell>
          <cell r="J70">
            <v>0</v>
          </cell>
          <cell r="K70">
            <v>487</v>
          </cell>
          <cell r="L70">
            <v>0</v>
          </cell>
          <cell r="M70">
            <v>0</v>
          </cell>
          <cell r="N70">
            <v>0</v>
          </cell>
          <cell r="O70">
            <v>0</v>
          </cell>
          <cell r="P70">
            <v>0</v>
          </cell>
          <cell r="Q70">
            <v>268990</v>
          </cell>
          <cell r="R70">
            <v>67247</v>
          </cell>
          <cell r="S70">
            <v>0</v>
          </cell>
          <cell r="T70">
            <v>6064</v>
          </cell>
          <cell r="U70">
            <v>1516</v>
          </cell>
          <cell r="V70">
            <v>0</v>
          </cell>
          <cell r="W70">
            <v>0</v>
          </cell>
          <cell r="X70">
            <v>0</v>
          </cell>
          <cell r="Y70">
            <v>0</v>
          </cell>
          <cell r="Z70">
            <v>2021.231422505308</v>
          </cell>
          <cell r="AA70">
            <v>505.3078556263269</v>
          </cell>
          <cell r="AB70">
            <v>0</v>
          </cell>
          <cell r="AC70">
            <v>133885.56093418258</v>
          </cell>
          <cell r="AD70">
            <v>33471.390233545637</v>
          </cell>
          <cell r="AE70">
            <v>0</v>
          </cell>
          <cell r="AF70">
            <v>0</v>
          </cell>
          <cell r="AG70">
            <v>0</v>
          </cell>
          <cell r="AH70">
            <v>0</v>
          </cell>
          <cell r="AI70">
            <v>0</v>
          </cell>
          <cell r="AJ70">
            <v>0</v>
          </cell>
          <cell r="AK70">
            <v>0</v>
          </cell>
          <cell r="AL70">
            <v>171110</v>
          </cell>
          <cell r="AM70">
            <v>42479</v>
          </cell>
          <cell r="AN70">
            <v>0</v>
          </cell>
          <cell r="AO70">
            <v>-144561</v>
          </cell>
          <cell r="AP70">
            <v>-115649</v>
          </cell>
          <cell r="AQ70">
            <v>-28913</v>
          </cell>
          <cell r="AR70">
            <v>0</v>
          </cell>
          <cell r="AS70">
            <v>-289123</v>
          </cell>
          <cell r="AT70">
            <v>-11003840</v>
          </cell>
          <cell r="AU70">
            <v>-8803072</v>
          </cell>
          <cell r="AV70">
            <v>-2200768</v>
          </cell>
          <cell r="AW70">
            <v>0</v>
          </cell>
          <cell r="AX70">
            <v>-22007680</v>
          </cell>
          <cell r="AY70">
            <v>20173764</v>
          </cell>
          <cell r="AZ70">
            <v>1292276</v>
          </cell>
          <cell r="BA70">
            <v>794635</v>
          </cell>
          <cell r="BB70">
            <v>1138397</v>
          </cell>
          <cell r="BC70">
            <v>61039</v>
          </cell>
          <cell r="BD70">
            <v>23253</v>
          </cell>
          <cell r="BE70">
            <v>958</v>
          </cell>
          <cell r="BF70">
            <v>291941</v>
          </cell>
          <cell r="BG70">
            <v>0</v>
          </cell>
          <cell r="BH70">
            <v>0</v>
          </cell>
          <cell r="BI70">
            <v>0</v>
          </cell>
          <cell r="BJ70">
            <v>109</v>
          </cell>
          <cell r="BK70">
            <v>0</v>
          </cell>
          <cell r="BL70">
            <v>0</v>
          </cell>
          <cell r="BM70">
            <v>0</v>
          </cell>
          <cell r="BN70">
            <v>0</v>
          </cell>
          <cell r="BO70">
            <v>0</v>
          </cell>
          <cell r="BP70">
            <v>42431950</v>
          </cell>
          <cell r="BQ70">
            <v>31578</v>
          </cell>
          <cell r="BR70">
            <v>798697</v>
          </cell>
          <cell r="BS70">
            <v>184215</v>
          </cell>
        </row>
        <row r="71">
          <cell r="A71">
            <v>64</v>
          </cell>
          <cell r="B71" t="str">
            <v>Corby</v>
          </cell>
          <cell r="C71" t="str">
            <v>E2831</v>
          </cell>
          <cell r="D71">
            <v>88685</v>
          </cell>
          <cell r="G71">
            <v>192564</v>
          </cell>
          <cell r="H71">
            <v>0</v>
          </cell>
          <cell r="I71">
            <v>88685</v>
          </cell>
          <cell r="J71">
            <v>0</v>
          </cell>
          <cell r="K71">
            <v>0</v>
          </cell>
          <cell r="L71">
            <v>0</v>
          </cell>
          <cell r="M71">
            <v>0</v>
          </cell>
          <cell r="N71">
            <v>0</v>
          </cell>
          <cell r="O71">
            <v>0</v>
          </cell>
          <cell r="P71">
            <v>0</v>
          </cell>
          <cell r="Q71">
            <v>96005</v>
          </cell>
          <cell r="R71">
            <v>24001</v>
          </cell>
          <cell r="S71">
            <v>0</v>
          </cell>
          <cell r="T71">
            <v>7277</v>
          </cell>
          <cell r="U71">
            <v>1819</v>
          </cell>
          <cell r="V71">
            <v>0</v>
          </cell>
          <cell r="W71">
            <v>0</v>
          </cell>
          <cell r="X71">
            <v>0</v>
          </cell>
          <cell r="Y71">
            <v>0</v>
          </cell>
          <cell r="Z71">
            <v>19325.80212314225</v>
          </cell>
          <cell r="AA71">
            <v>4831.4505307855616</v>
          </cell>
          <cell r="AB71">
            <v>0</v>
          </cell>
          <cell r="AC71">
            <v>2425.4777070063697</v>
          </cell>
          <cell r="AD71">
            <v>606.36942675159219</v>
          </cell>
          <cell r="AE71">
            <v>0</v>
          </cell>
          <cell r="AF71">
            <v>0</v>
          </cell>
          <cell r="AG71">
            <v>0</v>
          </cell>
          <cell r="AH71">
            <v>0</v>
          </cell>
          <cell r="AI71">
            <v>0</v>
          </cell>
          <cell r="AJ71">
            <v>0</v>
          </cell>
          <cell r="AK71">
            <v>0</v>
          </cell>
          <cell r="AL71">
            <v>150962</v>
          </cell>
          <cell r="AM71">
            <v>37505</v>
          </cell>
          <cell r="AN71">
            <v>0</v>
          </cell>
          <cell r="AO71">
            <v>-513562.7</v>
          </cell>
          <cell r="AP71">
            <v>-410849</v>
          </cell>
          <cell r="AQ71">
            <v>-102712</v>
          </cell>
          <cell r="AR71">
            <v>0</v>
          </cell>
          <cell r="AS71">
            <v>-1027123.7</v>
          </cell>
          <cell r="AT71">
            <v>-578949</v>
          </cell>
          <cell r="AU71">
            <v>-463160</v>
          </cell>
          <cell r="AV71">
            <v>-115790</v>
          </cell>
          <cell r="AW71">
            <v>0</v>
          </cell>
          <cell r="AX71">
            <v>-1157899</v>
          </cell>
          <cell r="AY71">
            <v>31180958</v>
          </cell>
          <cell r="AZ71">
            <v>1002738</v>
          </cell>
          <cell r="BA71">
            <v>679614</v>
          </cell>
          <cell r="BB71">
            <v>1721514</v>
          </cell>
          <cell r="BC71">
            <v>0</v>
          </cell>
          <cell r="BD71">
            <v>518</v>
          </cell>
          <cell r="BE71">
            <v>141523</v>
          </cell>
          <cell r="BF71">
            <v>1769143.85</v>
          </cell>
          <cell r="BG71">
            <v>31701</v>
          </cell>
          <cell r="BH71">
            <v>42482</v>
          </cell>
          <cell r="BI71">
            <v>0</v>
          </cell>
          <cell r="BJ71">
            <v>0</v>
          </cell>
          <cell r="BK71">
            <v>0</v>
          </cell>
          <cell r="BL71">
            <v>0</v>
          </cell>
          <cell r="BM71">
            <v>0</v>
          </cell>
          <cell r="BN71">
            <v>0</v>
          </cell>
          <cell r="BO71">
            <v>0</v>
          </cell>
          <cell r="BP71">
            <v>32228879</v>
          </cell>
          <cell r="BQ71">
            <v>50745</v>
          </cell>
          <cell r="BR71">
            <v>2529294</v>
          </cell>
          <cell r="BS71">
            <v>852669</v>
          </cell>
        </row>
        <row r="72">
          <cell r="A72">
            <v>65</v>
          </cell>
          <cell r="B72" t="str">
            <v>Cornwall UA</v>
          </cell>
          <cell r="C72" t="str">
            <v>E0801</v>
          </cell>
          <cell r="D72">
            <v>1110285</v>
          </cell>
          <cell r="E72">
            <v>421337</v>
          </cell>
          <cell r="G72">
            <v>842886</v>
          </cell>
          <cell r="H72">
            <v>0</v>
          </cell>
          <cell r="I72">
            <v>1110285</v>
          </cell>
          <cell r="J72">
            <v>0</v>
          </cell>
          <cell r="K72">
            <v>260280</v>
          </cell>
          <cell r="L72">
            <v>0</v>
          </cell>
          <cell r="M72">
            <v>172053</v>
          </cell>
          <cell r="N72">
            <v>172053</v>
          </cell>
          <cell r="O72">
            <v>0</v>
          </cell>
          <cell r="P72">
            <v>0</v>
          </cell>
          <cell r="Q72">
            <v>5309178</v>
          </cell>
          <cell r="R72">
            <v>0</v>
          </cell>
          <cell r="S72">
            <v>0</v>
          </cell>
          <cell r="T72">
            <v>0</v>
          </cell>
          <cell r="U72">
            <v>0</v>
          </cell>
          <cell r="V72">
            <v>0</v>
          </cell>
          <cell r="W72">
            <v>0</v>
          </cell>
          <cell r="X72">
            <v>0</v>
          </cell>
          <cell r="Y72">
            <v>0</v>
          </cell>
          <cell r="Z72">
            <v>96232.343949044589</v>
          </cell>
          <cell r="AA72">
            <v>0</v>
          </cell>
          <cell r="AB72">
            <v>0</v>
          </cell>
          <cell r="AC72">
            <v>1977986.6709129512</v>
          </cell>
          <cell r="AD72">
            <v>0</v>
          </cell>
          <cell r="AE72">
            <v>0</v>
          </cell>
          <cell r="AF72">
            <v>1021</v>
          </cell>
          <cell r="AG72">
            <v>0</v>
          </cell>
          <cell r="AH72">
            <v>0</v>
          </cell>
          <cell r="AI72">
            <v>14444</v>
          </cell>
          <cell r="AJ72">
            <v>0</v>
          </cell>
          <cell r="AK72">
            <v>0</v>
          </cell>
          <cell r="AL72">
            <v>761755</v>
          </cell>
          <cell r="AM72">
            <v>0</v>
          </cell>
          <cell r="AN72">
            <v>0</v>
          </cell>
          <cell r="AO72">
            <v>-2133973</v>
          </cell>
          <cell r="AP72">
            <v>-2133974</v>
          </cell>
          <cell r="AQ72">
            <v>0</v>
          </cell>
          <cell r="AR72">
            <v>0</v>
          </cell>
          <cell r="AS72">
            <v>-4267947</v>
          </cell>
          <cell r="AT72">
            <v>-4169000</v>
          </cell>
          <cell r="AU72">
            <v>-4169000</v>
          </cell>
          <cell r="AV72">
            <v>0</v>
          </cell>
          <cell r="AW72">
            <v>0</v>
          </cell>
          <cell r="AX72">
            <v>-8338000</v>
          </cell>
          <cell r="AY72">
            <v>141244786</v>
          </cell>
          <cell r="AZ72">
            <v>20566382</v>
          </cell>
          <cell r="BA72">
            <v>2797248</v>
          </cell>
          <cell r="BB72">
            <v>14763929</v>
          </cell>
          <cell r="BC72">
            <v>192844</v>
          </cell>
          <cell r="BD72">
            <v>248611</v>
          </cell>
          <cell r="BE72">
            <v>67797</v>
          </cell>
          <cell r="BF72">
            <v>3757412</v>
          </cell>
          <cell r="BG72">
            <v>1005239</v>
          </cell>
          <cell r="BH72">
            <v>476857</v>
          </cell>
          <cell r="BI72">
            <v>6560</v>
          </cell>
          <cell r="BJ72">
            <v>123886</v>
          </cell>
          <cell r="BK72">
            <v>41702</v>
          </cell>
          <cell r="BL72">
            <v>139268</v>
          </cell>
          <cell r="BM72">
            <v>139268</v>
          </cell>
          <cell r="BN72">
            <v>139268</v>
          </cell>
          <cell r="BO72">
            <v>0</v>
          </cell>
          <cell r="BP72">
            <v>151498402</v>
          </cell>
          <cell r="BQ72">
            <v>843523</v>
          </cell>
          <cell r="BR72">
            <v>8877456</v>
          </cell>
          <cell r="BS72">
            <v>5203588</v>
          </cell>
        </row>
        <row r="73">
          <cell r="A73">
            <v>66</v>
          </cell>
          <cell r="B73" t="str">
            <v>Cotswold</v>
          </cell>
          <cell r="C73" t="str">
            <v>E1632</v>
          </cell>
          <cell r="D73">
            <v>180018</v>
          </cell>
          <cell r="G73">
            <v>183908</v>
          </cell>
          <cell r="H73">
            <v>0</v>
          </cell>
          <cell r="I73">
            <v>180018</v>
          </cell>
          <cell r="J73">
            <v>0</v>
          </cell>
          <cell r="K73">
            <v>0</v>
          </cell>
          <cell r="L73">
            <v>0</v>
          </cell>
          <cell r="M73">
            <v>0</v>
          </cell>
          <cell r="N73">
            <v>0</v>
          </cell>
          <cell r="O73">
            <v>0</v>
          </cell>
          <cell r="P73">
            <v>0</v>
          </cell>
          <cell r="Q73">
            <v>510182</v>
          </cell>
          <cell r="R73">
            <v>127545</v>
          </cell>
          <cell r="S73">
            <v>0</v>
          </cell>
          <cell r="T73">
            <v>0</v>
          </cell>
          <cell r="U73">
            <v>0</v>
          </cell>
          <cell r="V73">
            <v>0</v>
          </cell>
          <cell r="W73">
            <v>0</v>
          </cell>
          <cell r="X73">
            <v>0</v>
          </cell>
          <cell r="Y73">
            <v>0</v>
          </cell>
          <cell r="Z73">
            <v>1941.1906581740977</v>
          </cell>
          <cell r="AA73">
            <v>485.29766454352426</v>
          </cell>
          <cell r="AB73">
            <v>0</v>
          </cell>
          <cell r="AC73">
            <v>136705.583014862</v>
          </cell>
          <cell r="AD73">
            <v>34176.395753715493</v>
          </cell>
          <cell r="AE73">
            <v>0</v>
          </cell>
          <cell r="AF73">
            <v>33187</v>
          </cell>
          <cell r="AG73">
            <v>0</v>
          </cell>
          <cell r="AH73">
            <v>0</v>
          </cell>
          <cell r="AI73">
            <v>11633</v>
          </cell>
          <cell r="AJ73">
            <v>2908.2999999999993</v>
          </cell>
          <cell r="AK73">
            <v>0</v>
          </cell>
          <cell r="AL73">
            <v>125160</v>
          </cell>
          <cell r="AM73">
            <v>30812</v>
          </cell>
          <cell r="AN73">
            <v>0</v>
          </cell>
          <cell r="AO73">
            <v>-23972</v>
          </cell>
          <cell r="AP73">
            <v>-19177</v>
          </cell>
          <cell r="AQ73">
            <v>-4794</v>
          </cell>
          <cell r="AR73">
            <v>0</v>
          </cell>
          <cell r="AS73">
            <v>-47943</v>
          </cell>
          <cell r="AT73">
            <v>-583845</v>
          </cell>
          <cell r="AU73">
            <v>-467077</v>
          </cell>
          <cell r="AV73">
            <v>-116770</v>
          </cell>
          <cell r="AW73">
            <v>0</v>
          </cell>
          <cell r="AX73">
            <v>-1167692</v>
          </cell>
          <cell r="AY73">
            <v>27071923</v>
          </cell>
          <cell r="AZ73">
            <v>2507343</v>
          </cell>
          <cell r="BA73">
            <v>502571</v>
          </cell>
          <cell r="BB73">
            <v>1862803</v>
          </cell>
          <cell r="BC73">
            <v>110201</v>
          </cell>
          <cell r="BD73">
            <v>34998</v>
          </cell>
          <cell r="BE73">
            <v>19720</v>
          </cell>
          <cell r="BF73">
            <v>1174154</v>
          </cell>
          <cell r="BG73">
            <v>58605</v>
          </cell>
          <cell r="BH73">
            <v>8250</v>
          </cell>
          <cell r="BI73">
            <v>74</v>
          </cell>
          <cell r="BJ73">
            <v>8089</v>
          </cell>
          <cell r="BK73">
            <v>0</v>
          </cell>
          <cell r="BL73">
            <v>0</v>
          </cell>
          <cell r="BM73">
            <v>0</v>
          </cell>
          <cell r="BN73">
            <v>0</v>
          </cell>
          <cell r="BO73">
            <v>0</v>
          </cell>
          <cell r="BP73">
            <v>28424970</v>
          </cell>
          <cell r="BQ73">
            <v>123101</v>
          </cell>
          <cell r="BR73">
            <v>724495</v>
          </cell>
          <cell r="BS73">
            <v>360980</v>
          </cell>
        </row>
        <row r="74">
          <cell r="A74">
            <v>67</v>
          </cell>
          <cell r="B74" t="str">
            <v>Coventry</v>
          </cell>
          <cell r="C74" t="str">
            <v>E4602</v>
          </cell>
          <cell r="D74">
            <v>379506</v>
          </cell>
          <cell r="G74">
            <v>8211</v>
          </cell>
          <cell r="H74">
            <v>0</v>
          </cell>
          <cell r="I74">
            <v>379506</v>
          </cell>
          <cell r="J74">
            <v>0</v>
          </cell>
          <cell r="K74">
            <v>0</v>
          </cell>
          <cell r="L74">
            <v>0</v>
          </cell>
          <cell r="M74">
            <v>0</v>
          </cell>
          <cell r="N74">
            <v>0</v>
          </cell>
          <cell r="O74">
            <v>0</v>
          </cell>
          <cell r="P74">
            <v>0</v>
          </cell>
          <cell r="Q74">
            <v>1216292</v>
          </cell>
          <cell r="R74">
            <v>0</v>
          </cell>
          <cell r="S74">
            <v>24822</v>
          </cell>
          <cell r="T74">
            <v>0</v>
          </cell>
          <cell r="U74">
            <v>0</v>
          </cell>
          <cell r="V74">
            <v>0</v>
          </cell>
          <cell r="W74">
            <v>0</v>
          </cell>
          <cell r="X74">
            <v>0</v>
          </cell>
          <cell r="Y74">
            <v>0</v>
          </cell>
          <cell r="Z74">
            <v>95078.726114649675</v>
          </cell>
          <cell r="AA74">
            <v>1.6830132475209379E-12</v>
          </cell>
          <cell r="AB74">
            <v>1940.3821656050955</v>
          </cell>
          <cell r="AC74">
            <v>544721.86836518045</v>
          </cell>
          <cell r="AD74">
            <v>9.642263397255374E-12</v>
          </cell>
          <cell r="AE74">
            <v>11116.772823779194</v>
          </cell>
          <cell r="AF74">
            <v>0</v>
          </cell>
          <cell r="AG74">
            <v>0</v>
          </cell>
          <cell r="AH74">
            <v>0</v>
          </cell>
          <cell r="AI74">
            <v>0</v>
          </cell>
          <cell r="AJ74">
            <v>0</v>
          </cell>
          <cell r="AK74">
            <v>0</v>
          </cell>
          <cell r="AL74">
            <v>603151</v>
          </cell>
          <cell r="AM74">
            <v>0</v>
          </cell>
          <cell r="AN74">
            <v>12227</v>
          </cell>
          <cell r="AO74">
            <v>-1610934.09</v>
          </cell>
          <cell r="AP74">
            <v>-1578714</v>
          </cell>
          <cell r="AQ74">
            <v>0</v>
          </cell>
          <cell r="AR74">
            <v>-32218</v>
          </cell>
          <cell r="AS74">
            <v>-3221866.09</v>
          </cell>
          <cell r="AT74">
            <v>-5094150</v>
          </cell>
          <cell r="AU74">
            <v>-4992268</v>
          </cell>
          <cell r="AV74">
            <v>0</v>
          </cell>
          <cell r="AW74">
            <v>-101883</v>
          </cell>
          <cell r="AX74">
            <v>-10188301</v>
          </cell>
          <cell r="AY74">
            <v>104266676</v>
          </cell>
          <cell r="AZ74">
            <v>4879669</v>
          </cell>
          <cell r="BA74">
            <v>2425870</v>
          </cell>
          <cell r="BB74">
            <v>11162457</v>
          </cell>
          <cell r="BC74">
            <v>42107</v>
          </cell>
          <cell r="BD74">
            <v>0</v>
          </cell>
          <cell r="BE74">
            <v>539891</v>
          </cell>
          <cell r="BF74">
            <v>3174252</v>
          </cell>
          <cell r="BG74">
            <v>730024</v>
          </cell>
          <cell r="BH74">
            <v>302696</v>
          </cell>
          <cell r="BI74">
            <v>10527</v>
          </cell>
          <cell r="BJ74">
            <v>0</v>
          </cell>
          <cell r="BK74">
            <v>0</v>
          </cell>
          <cell r="BL74">
            <v>0</v>
          </cell>
          <cell r="BM74">
            <v>0</v>
          </cell>
          <cell r="BN74">
            <v>0</v>
          </cell>
          <cell r="BO74">
            <v>0</v>
          </cell>
          <cell r="BP74">
            <v>116903914</v>
          </cell>
          <cell r="BQ74">
            <v>1142556</v>
          </cell>
          <cell r="BR74">
            <v>6469524</v>
          </cell>
          <cell r="BS74">
            <v>2416831</v>
          </cell>
        </row>
        <row r="75">
          <cell r="A75">
            <v>68</v>
          </cell>
          <cell r="B75" t="str">
            <v>Craven</v>
          </cell>
          <cell r="C75" t="str">
            <v>E2731</v>
          </cell>
          <cell r="D75">
            <v>119174</v>
          </cell>
          <cell r="G75">
            <v>23630</v>
          </cell>
          <cell r="H75">
            <v>0</v>
          </cell>
          <cell r="I75">
            <v>119174</v>
          </cell>
          <cell r="J75">
            <v>0</v>
          </cell>
          <cell r="K75">
            <v>0</v>
          </cell>
          <cell r="L75">
            <v>0</v>
          </cell>
          <cell r="M75">
            <v>0</v>
          </cell>
          <cell r="N75">
            <v>0</v>
          </cell>
          <cell r="O75">
            <v>0</v>
          </cell>
          <cell r="P75">
            <v>0</v>
          </cell>
          <cell r="Q75">
            <v>206224</v>
          </cell>
          <cell r="R75">
            <v>46400</v>
          </cell>
          <cell r="S75">
            <v>5156</v>
          </cell>
          <cell r="T75">
            <v>4042</v>
          </cell>
          <cell r="U75">
            <v>910</v>
          </cell>
          <cell r="V75">
            <v>101</v>
          </cell>
          <cell r="W75">
            <v>24255</v>
          </cell>
          <cell r="X75">
            <v>5457</v>
          </cell>
          <cell r="Y75">
            <v>606</v>
          </cell>
          <cell r="Z75">
            <v>12127.388535031847</v>
          </cell>
          <cell r="AA75">
            <v>2728.6624203821648</v>
          </cell>
          <cell r="AB75">
            <v>303.18471337579615</v>
          </cell>
          <cell r="AC75">
            <v>291057.32484076434</v>
          </cell>
          <cell r="AD75">
            <v>65487.898089171962</v>
          </cell>
          <cell r="AE75">
            <v>7276.4331210191085</v>
          </cell>
          <cell r="AF75">
            <v>0</v>
          </cell>
          <cell r="AG75">
            <v>0</v>
          </cell>
          <cell r="AH75">
            <v>0</v>
          </cell>
          <cell r="AI75">
            <v>0</v>
          </cell>
          <cell r="AJ75">
            <v>0</v>
          </cell>
          <cell r="AK75">
            <v>0</v>
          </cell>
          <cell r="AL75">
            <v>78656</v>
          </cell>
          <cell r="AM75">
            <v>17413</v>
          </cell>
          <cell r="AN75">
            <v>1935</v>
          </cell>
          <cell r="AO75">
            <v>-104098</v>
          </cell>
          <cell r="AP75">
            <v>-83280</v>
          </cell>
          <cell r="AQ75">
            <v>-18739</v>
          </cell>
          <cell r="AR75">
            <v>-2083</v>
          </cell>
          <cell r="AS75">
            <v>-208200</v>
          </cell>
          <cell r="AT75">
            <v>-599500</v>
          </cell>
          <cell r="AU75">
            <v>-479600</v>
          </cell>
          <cell r="AV75">
            <v>-107910</v>
          </cell>
          <cell r="AW75">
            <v>-11990</v>
          </cell>
          <cell r="AX75">
            <v>-1199000</v>
          </cell>
          <cell r="AY75">
            <v>16322496</v>
          </cell>
          <cell r="AZ75">
            <v>2057290</v>
          </cell>
          <cell r="BA75">
            <v>314713</v>
          </cell>
          <cell r="BB75">
            <v>1092454</v>
          </cell>
          <cell r="BC75">
            <v>27101</v>
          </cell>
          <cell r="BD75">
            <v>36095</v>
          </cell>
          <cell r="BE75">
            <v>25441</v>
          </cell>
          <cell r="BF75">
            <v>677833</v>
          </cell>
          <cell r="BG75">
            <v>21506</v>
          </cell>
          <cell r="BH75">
            <v>3761</v>
          </cell>
          <cell r="BI75">
            <v>0</v>
          </cell>
          <cell r="BJ75">
            <v>30184</v>
          </cell>
          <cell r="BK75">
            <v>0</v>
          </cell>
          <cell r="BL75">
            <v>0</v>
          </cell>
          <cell r="BM75">
            <v>0</v>
          </cell>
          <cell r="BN75">
            <v>0</v>
          </cell>
          <cell r="BO75">
            <v>0</v>
          </cell>
          <cell r="BP75">
            <v>17824415</v>
          </cell>
          <cell r="BQ75">
            <v>101056.77</v>
          </cell>
          <cell r="BR75">
            <v>622216</v>
          </cell>
          <cell r="BS75">
            <v>100400</v>
          </cell>
        </row>
        <row r="76">
          <cell r="A76">
            <v>69</v>
          </cell>
          <cell r="B76" t="str">
            <v>Crawley</v>
          </cell>
          <cell r="C76" t="str">
            <v>E3834</v>
          </cell>
          <cell r="D76">
            <v>216300</v>
          </cell>
          <cell r="G76">
            <v>20183</v>
          </cell>
          <cell r="H76">
            <v>0</v>
          </cell>
          <cell r="I76">
            <v>216300</v>
          </cell>
          <cell r="J76">
            <v>0</v>
          </cell>
          <cell r="K76">
            <v>0</v>
          </cell>
          <cell r="L76">
            <v>0</v>
          </cell>
          <cell r="M76">
            <v>0</v>
          </cell>
          <cell r="N76">
            <v>0</v>
          </cell>
          <cell r="O76">
            <v>0</v>
          </cell>
          <cell r="P76">
            <v>0</v>
          </cell>
          <cell r="Q76">
            <v>151449</v>
          </cell>
          <cell r="R76">
            <v>37862</v>
          </cell>
          <cell r="S76">
            <v>0</v>
          </cell>
          <cell r="T76">
            <v>2284</v>
          </cell>
          <cell r="U76">
            <v>571</v>
          </cell>
          <cell r="V76">
            <v>0</v>
          </cell>
          <cell r="W76">
            <v>12127</v>
          </cell>
          <cell r="X76">
            <v>3032</v>
          </cell>
          <cell r="Y76">
            <v>0</v>
          </cell>
          <cell r="Z76">
            <v>70209.898938428887</v>
          </cell>
          <cell r="AA76">
            <v>17552.474734607214</v>
          </cell>
          <cell r="AB76">
            <v>0</v>
          </cell>
          <cell r="AC76">
            <v>173825.90233545649</v>
          </cell>
          <cell r="AD76">
            <v>43456.475583864107</v>
          </cell>
          <cell r="AE76">
            <v>0</v>
          </cell>
          <cell r="AF76">
            <v>6442</v>
          </cell>
          <cell r="AG76">
            <v>0</v>
          </cell>
          <cell r="AH76">
            <v>0</v>
          </cell>
          <cell r="AI76">
            <v>7743</v>
          </cell>
          <cell r="AJ76">
            <v>1935.8139999999996</v>
          </cell>
          <cell r="AK76">
            <v>0</v>
          </cell>
          <cell r="AL76">
            <v>470665</v>
          </cell>
          <cell r="AM76">
            <v>117092</v>
          </cell>
          <cell r="AN76">
            <v>0</v>
          </cell>
          <cell r="AO76">
            <v>-434303</v>
          </cell>
          <cell r="AP76">
            <v>-347443</v>
          </cell>
          <cell r="AQ76">
            <v>-86861</v>
          </cell>
          <cell r="AR76">
            <v>0</v>
          </cell>
          <cell r="AS76">
            <v>-868607</v>
          </cell>
          <cell r="AT76">
            <v>-2783689</v>
          </cell>
          <cell r="AU76">
            <v>-2226950</v>
          </cell>
          <cell r="AV76">
            <v>-556738</v>
          </cell>
          <cell r="AW76">
            <v>0</v>
          </cell>
          <cell r="AX76">
            <v>-5567377</v>
          </cell>
          <cell r="AY76">
            <v>106152348</v>
          </cell>
          <cell r="AZ76">
            <v>718970</v>
          </cell>
          <cell r="BA76">
            <v>2236186</v>
          </cell>
          <cell r="BB76">
            <v>2583247</v>
          </cell>
          <cell r="BC76">
            <v>27729</v>
          </cell>
          <cell r="BD76">
            <v>0</v>
          </cell>
          <cell r="BE76">
            <v>9202</v>
          </cell>
          <cell r="BF76">
            <v>3950952</v>
          </cell>
          <cell r="BG76">
            <v>274493</v>
          </cell>
          <cell r="BH76">
            <v>97696</v>
          </cell>
          <cell r="BI76">
            <v>1607</v>
          </cell>
          <cell r="BJ76">
            <v>0</v>
          </cell>
          <cell r="BK76">
            <v>0</v>
          </cell>
          <cell r="BL76">
            <v>0</v>
          </cell>
          <cell r="BM76">
            <v>0</v>
          </cell>
          <cell r="BN76">
            <v>0</v>
          </cell>
          <cell r="BO76">
            <v>0</v>
          </cell>
          <cell r="BP76">
            <v>112686297</v>
          </cell>
          <cell r="BQ76">
            <v>592812</v>
          </cell>
          <cell r="BR76">
            <v>1462710</v>
          </cell>
          <cell r="BS76">
            <v>3425944</v>
          </cell>
        </row>
        <row r="77">
          <cell r="A77">
            <v>70</v>
          </cell>
          <cell r="B77" t="str">
            <v>Croydon</v>
          </cell>
          <cell r="C77" t="str">
            <v>E5035</v>
          </cell>
          <cell r="D77">
            <v>437992</v>
          </cell>
          <cell r="G77">
            <v>248544</v>
          </cell>
          <cell r="H77">
            <v>0</v>
          </cell>
          <cell r="I77">
            <v>437992</v>
          </cell>
          <cell r="J77">
            <v>0</v>
          </cell>
          <cell r="K77">
            <v>0</v>
          </cell>
          <cell r="L77">
            <v>0</v>
          </cell>
          <cell r="M77">
            <v>0</v>
          </cell>
          <cell r="N77">
            <v>0</v>
          </cell>
          <cell r="O77">
            <v>0</v>
          </cell>
          <cell r="P77">
            <v>0</v>
          </cell>
          <cell r="Q77">
            <v>849965</v>
          </cell>
          <cell r="R77">
            <v>566644</v>
          </cell>
          <cell r="S77">
            <v>0</v>
          </cell>
          <cell r="T77">
            <v>29131</v>
          </cell>
          <cell r="U77">
            <v>19421</v>
          </cell>
          <cell r="V77">
            <v>0</v>
          </cell>
          <cell r="W77">
            <v>0</v>
          </cell>
          <cell r="X77">
            <v>0</v>
          </cell>
          <cell r="Y77">
            <v>0</v>
          </cell>
          <cell r="Z77">
            <v>101404.06878980892</v>
          </cell>
          <cell r="AA77">
            <v>67602.712526539282</v>
          </cell>
          <cell r="AB77">
            <v>0</v>
          </cell>
          <cell r="AC77">
            <v>180698.08917197451</v>
          </cell>
          <cell r="AD77">
            <v>120465.39278131636</v>
          </cell>
          <cell r="AE77">
            <v>0</v>
          </cell>
          <cell r="AF77">
            <v>0</v>
          </cell>
          <cell r="AG77">
            <v>0</v>
          </cell>
          <cell r="AH77">
            <v>0</v>
          </cell>
          <cell r="AI77">
            <v>18530</v>
          </cell>
          <cell r="AJ77">
            <v>12353.564</v>
          </cell>
          <cell r="AK77">
            <v>0</v>
          </cell>
          <cell r="AL77">
            <v>355978</v>
          </cell>
          <cell r="AM77">
            <v>234219</v>
          </cell>
          <cell r="AN77">
            <v>0</v>
          </cell>
          <cell r="AO77">
            <v>-5022767</v>
          </cell>
          <cell r="AP77">
            <v>-3013661</v>
          </cell>
          <cell r="AQ77">
            <v>-2009107</v>
          </cell>
          <cell r="AR77">
            <v>0</v>
          </cell>
          <cell r="AS77">
            <v>-10045535</v>
          </cell>
          <cell r="AT77">
            <v>-2898000</v>
          </cell>
          <cell r="AU77">
            <v>-1738800</v>
          </cell>
          <cell r="AV77">
            <v>-1159200</v>
          </cell>
          <cell r="AW77">
            <v>0</v>
          </cell>
          <cell r="AX77">
            <v>-5796000</v>
          </cell>
          <cell r="AY77">
            <v>102943212</v>
          </cell>
          <cell r="AZ77">
            <v>5413081</v>
          </cell>
          <cell r="BA77">
            <v>28367</v>
          </cell>
          <cell r="BB77">
            <v>7872517</v>
          </cell>
          <cell r="BC77">
            <v>119318</v>
          </cell>
          <cell r="BD77">
            <v>0</v>
          </cell>
          <cell r="BE77">
            <v>197105</v>
          </cell>
          <cell r="BF77">
            <v>8657713</v>
          </cell>
          <cell r="BG77">
            <v>26563</v>
          </cell>
          <cell r="BH77">
            <v>48444</v>
          </cell>
          <cell r="BI77">
            <v>0</v>
          </cell>
          <cell r="BJ77">
            <v>0</v>
          </cell>
          <cell r="BK77">
            <v>0</v>
          </cell>
          <cell r="BL77">
            <v>135870</v>
          </cell>
          <cell r="BM77">
            <v>135870</v>
          </cell>
          <cell r="BN77">
            <v>0</v>
          </cell>
          <cell r="BO77">
            <v>0</v>
          </cell>
          <cell r="BP77">
            <v>111441604</v>
          </cell>
          <cell r="BQ77">
            <v>202062</v>
          </cell>
          <cell r="BR77">
            <v>13885873</v>
          </cell>
          <cell r="BS77">
            <v>5349357</v>
          </cell>
        </row>
        <row r="78">
          <cell r="A78">
            <v>71</v>
          </cell>
          <cell r="B78" t="str">
            <v>Dacorum</v>
          </cell>
          <cell r="C78" t="str">
            <v>E1932</v>
          </cell>
          <cell r="D78">
            <v>219911</v>
          </cell>
          <cell r="G78">
            <v>-68477</v>
          </cell>
          <cell r="H78">
            <v>0</v>
          </cell>
          <cell r="I78">
            <v>219911</v>
          </cell>
          <cell r="J78">
            <v>0</v>
          </cell>
          <cell r="K78">
            <v>0</v>
          </cell>
          <cell r="L78">
            <v>0</v>
          </cell>
          <cell r="M78">
            <v>0</v>
          </cell>
          <cell r="N78">
            <v>0</v>
          </cell>
          <cell r="O78">
            <v>0</v>
          </cell>
          <cell r="P78">
            <v>0</v>
          </cell>
          <cell r="Q78">
            <v>397641</v>
          </cell>
          <cell r="R78">
            <v>99410</v>
          </cell>
          <cell r="S78">
            <v>0</v>
          </cell>
          <cell r="T78">
            <v>19882</v>
          </cell>
          <cell r="U78">
            <v>4971</v>
          </cell>
          <cell r="V78">
            <v>0</v>
          </cell>
          <cell r="W78">
            <v>0</v>
          </cell>
          <cell r="X78">
            <v>0</v>
          </cell>
          <cell r="Y78">
            <v>0</v>
          </cell>
          <cell r="Z78">
            <v>3458.5897239915075</v>
          </cell>
          <cell r="AA78">
            <v>864.64743099787665</v>
          </cell>
          <cell r="AB78">
            <v>0</v>
          </cell>
          <cell r="AC78">
            <v>455181.31634819537</v>
          </cell>
          <cell r="AD78">
            <v>113795.32908704881</v>
          </cell>
          <cell r="AE78">
            <v>0</v>
          </cell>
          <cell r="AF78">
            <v>0</v>
          </cell>
          <cell r="AG78">
            <v>0</v>
          </cell>
          <cell r="AH78">
            <v>0</v>
          </cell>
          <cell r="AI78">
            <v>0</v>
          </cell>
          <cell r="AJ78">
            <v>0</v>
          </cell>
          <cell r="AK78">
            <v>0</v>
          </cell>
          <cell r="AL78">
            <v>250443</v>
          </cell>
          <cell r="AM78">
            <v>62027</v>
          </cell>
          <cell r="AN78">
            <v>0</v>
          </cell>
          <cell r="AO78">
            <v>-318281</v>
          </cell>
          <cell r="AP78">
            <v>-254625</v>
          </cell>
          <cell r="AQ78">
            <v>-63656</v>
          </cell>
          <cell r="AR78">
            <v>0</v>
          </cell>
          <cell r="AS78">
            <v>-636562</v>
          </cell>
          <cell r="AT78">
            <v>-2568398.66</v>
          </cell>
          <cell r="AU78">
            <v>-2054718</v>
          </cell>
          <cell r="AV78">
            <v>-513679</v>
          </cell>
          <cell r="AW78">
            <v>0</v>
          </cell>
          <cell r="AX78">
            <v>-5136795.66</v>
          </cell>
          <cell r="AY78">
            <v>55709222</v>
          </cell>
          <cell r="AZ78">
            <v>2036043.51</v>
          </cell>
          <cell r="BA78">
            <v>1213460.97</v>
          </cell>
          <cell r="BB78">
            <v>3755160.65</v>
          </cell>
          <cell r="BC78">
            <v>76526.759999999995</v>
          </cell>
          <cell r="BD78">
            <v>3909.3</v>
          </cell>
          <cell r="BE78">
            <v>36066.97</v>
          </cell>
          <cell r="BF78">
            <v>2269429.5099999998</v>
          </cell>
          <cell r="BG78">
            <v>240554.62</v>
          </cell>
          <cell r="BH78">
            <v>19839.37</v>
          </cell>
          <cell r="BI78">
            <v>978.52</v>
          </cell>
          <cell r="BJ78">
            <v>0</v>
          </cell>
          <cell r="BK78">
            <v>217.87</v>
          </cell>
          <cell r="BL78">
            <v>0</v>
          </cell>
          <cell r="BM78">
            <v>0</v>
          </cell>
          <cell r="BN78">
            <v>0</v>
          </cell>
          <cell r="BO78">
            <v>0</v>
          </cell>
          <cell r="BP78">
            <v>62418894.700000003</v>
          </cell>
          <cell r="BQ78">
            <v>252032</v>
          </cell>
          <cell r="BR78">
            <v>2784483.22</v>
          </cell>
          <cell r="BS78">
            <v>1371449</v>
          </cell>
        </row>
        <row r="79">
          <cell r="A79">
            <v>72</v>
          </cell>
          <cell r="B79" t="str">
            <v>Darlington</v>
          </cell>
          <cell r="C79" t="str">
            <v>E1301</v>
          </cell>
          <cell r="D79">
            <v>147527</v>
          </cell>
          <cell r="G79">
            <v>-120246</v>
          </cell>
          <cell r="H79">
            <v>0</v>
          </cell>
          <cell r="I79">
            <v>147527</v>
          </cell>
          <cell r="J79">
            <v>0</v>
          </cell>
          <cell r="K79">
            <v>0</v>
          </cell>
          <cell r="L79">
            <v>0</v>
          </cell>
          <cell r="M79">
            <v>0</v>
          </cell>
          <cell r="N79">
            <v>0</v>
          </cell>
          <cell r="O79">
            <v>0</v>
          </cell>
          <cell r="P79">
            <v>0</v>
          </cell>
          <cell r="Q79">
            <v>517562</v>
          </cell>
          <cell r="R79">
            <v>0</v>
          </cell>
          <cell r="S79">
            <v>10562</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183038</v>
          </cell>
          <cell r="AM79">
            <v>0</v>
          </cell>
          <cell r="AN79">
            <v>3703</v>
          </cell>
          <cell r="AO79">
            <v>-252755</v>
          </cell>
          <cell r="AP79">
            <v>-247700</v>
          </cell>
          <cell r="AQ79">
            <v>0</v>
          </cell>
          <cell r="AR79">
            <v>-5055</v>
          </cell>
          <cell r="AS79">
            <v>-505510</v>
          </cell>
          <cell r="AT79">
            <v>-655005</v>
          </cell>
          <cell r="AU79">
            <v>-641904</v>
          </cell>
          <cell r="AV79">
            <v>0</v>
          </cell>
          <cell r="AW79">
            <v>-13100</v>
          </cell>
          <cell r="AX79">
            <v>-1310009</v>
          </cell>
          <cell r="AY79">
            <v>30415006</v>
          </cell>
          <cell r="AZ79">
            <v>2059081</v>
          </cell>
          <cell r="BA79">
            <v>657915</v>
          </cell>
          <cell r="BB79">
            <v>2522661</v>
          </cell>
          <cell r="BC79">
            <v>50907</v>
          </cell>
          <cell r="BD79">
            <v>3867</v>
          </cell>
          <cell r="BE79">
            <v>7571</v>
          </cell>
          <cell r="BF79">
            <v>1582247</v>
          </cell>
          <cell r="BG79">
            <v>32957</v>
          </cell>
          <cell r="BH79">
            <v>0</v>
          </cell>
          <cell r="BI79">
            <v>0</v>
          </cell>
          <cell r="BJ79">
            <v>0</v>
          </cell>
          <cell r="BK79">
            <v>0</v>
          </cell>
          <cell r="BL79">
            <v>0</v>
          </cell>
          <cell r="BM79">
            <v>0</v>
          </cell>
          <cell r="BN79">
            <v>0</v>
          </cell>
          <cell r="BO79">
            <v>0</v>
          </cell>
          <cell r="BP79">
            <v>33584526</v>
          </cell>
          <cell r="BQ79">
            <v>759490</v>
          </cell>
          <cell r="BR79">
            <v>2024311</v>
          </cell>
          <cell r="BS79">
            <v>-743241</v>
          </cell>
        </row>
        <row r="80">
          <cell r="A80">
            <v>73</v>
          </cell>
          <cell r="B80" t="str">
            <v>Dartford</v>
          </cell>
          <cell r="C80" t="str">
            <v>E2233</v>
          </cell>
          <cell r="D80">
            <v>174373</v>
          </cell>
          <cell r="G80">
            <v>39846</v>
          </cell>
          <cell r="H80">
            <v>0</v>
          </cell>
          <cell r="I80">
            <v>174373</v>
          </cell>
          <cell r="J80">
            <v>0</v>
          </cell>
          <cell r="K80">
            <v>0</v>
          </cell>
          <cell r="L80">
            <v>0</v>
          </cell>
          <cell r="M80">
            <v>0</v>
          </cell>
          <cell r="N80">
            <v>0</v>
          </cell>
          <cell r="O80">
            <v>0</v>
          </cell>
          <cell r="P80">
            <v>0</v>
          </cell>
          <cell r="Q80">
            <v>271572</v>
          </cell>
          <cell r="R80">
            <v>61104</v>
          </cell>
          <cell r="S80">
            <v>6789</v>
          </cell>
          <cell r="T80">
            <v>800</v>
          </cell>
          <cell r="U80">
            <v>180</v>
          </cell>
          <cell r="V80">
            <v>20</v>
          </cell>
          <cell r="W80">
            <v>59682</v>
          </cell>
          <cell r="X80">
            <v>13428</v>
          </cell>
          <cell r="Y80">
            <v>1492</v>
          </cell>
          <cell r="Z80">
            <v>36473.121019108279</v>
          </cell>
          <cell r="AA80">
            <v>8206.4522292993606</v>
          </cell>
          <cell r="AB80">
            <v>911.828025477707</v>
          </cell>
          <cell r="AC80">
            <v>168846.80084925692</v>
          </cell>
          <cell r="AD80">
            <v>37990.530191082791</v>
          </cell>
          <cell r="AE80">
            <v>4221.1700212314227</v>
          </cell>
          <cell r="AF80">
            <v>0</v>
          </cell>
          <cell r="AG80">
            <v>0</v>
          </cell>
          <cell r="AH80">
            <v>0</v>
          </cell>
          <cell r="AI80">
            <v>0</v>
          </cell>
          <cell r="AJ80">
            <v>0</v>
          </cell>
          <cell r="AK80">
            <v>0</v>
          </cell>
          <cell r="AL80">
            <v>329877</v>
          </cell>
          <cell r="AM80">
            <v>73806</v>
          </cell>
          <cell r="AN80">
            <v>8201</v>
          </cell>
          <cell r="AO80">
            <v>-882829</v>
          </cell>
          <cell r="AP80">
            <v>-706265</v>
          </cell>
          <cell r="AQ80">
            <v>-158910</v>
          </cell>
          <cell r="AR80">
            <v>-17657</v>
          </cell>
          <cell r="AS80">
            <v>-1765661</v>
          </cell>
          <cell r="AT80">
            <v>-4010916</v>
          </cell>
          <cell r="AU80">
            <v>-3208733</v>
          </cell>
          <cell r="AV80">
            <v>-721965</v>
          </cell>
          <cell r="AW80">
            <v>-80218</v>
          </cell>
          <cell r="AX80">
            <v>-8021832</v>
          </cell>
          <cell r="AY80">
            <v>72699299</v>
          </cell>
          <cell r="AZ80">
            <v>1336305</v>
          </cell>
          <cell r="BA80">
            <v>1647088</v>
          </cell>
          <cell r="BB80">
            <v>2413976</v>
          </cell>
          <cell r="BC80">
            <v>49696</v>
          </cell>
          <cell r="BD80">
            <v>648</v>
          </cell>
          <cell r="BE80">
            <v>282373</v>
          </cell>
          <cell r="BF80">
            <v>2553164</v>
          </cell>
          <cell r="BG80">
            <v>43283</v>
          </cell>
          <cell r="BH80">
            <v>1875</v>
          </cell>
          <cell r="BI80">
            <v>7630</v>
          </cell>
          <cell r="BJ80">
            <v>0</v>
          </cell>
          <cell r="BK80">
            <v>2213</v>
          </cell>
          <cell r="BL80">
            <v>0</v>
          </cell>
          <cell r="BM80">
            <v>0</v>
          </cell>
          <cell r="BN80">
            <v>0</v>
          </cell>
          <cell r="BO80">
            <v>0</v>
          </cell>
          <cell r="BP80">
            <v>81506624</v>
          </cell>
          <cell r="BQ80">
            <v>246843</v>
          </cell>
          <cell r="BR80">
            <v>1984705</v>
          </cell>
          <cell r="BS80">
            <v>3745726</v>
          </cell>
        </row>
        <row r="81">
          <cell r="A81">
            <v>74</v>
          </cell>
          <cell r="B81" t="str">
            <v>Daventry</v>
          </cell>
          <cell r="C81" t="str">
            <v>E2832</v>
          </cell>
          <cell r="D81">
            <v>116893</v>
          </cell>
          <cell r="G81">
            <v>37590</v>
          </cell>
          <cell r="H81">
            <v>0</v>
          </cell>
          <cell r="I81">
            <v>116893</v>
          </cell>
          <cell r="J81">
            <v>0</v>
          </cell>
          <cell r="K81">
            <v>213390</v>
          </cell>
          <cell r="L81">
            <v>0</v>
          </cell>
          <cell r="M81">
            <v>0</v>
          </cell>
          <cell r="N81">
            <v>0</v>
          </cell>
          <cell r="O81">
            <v>0</v>
          </cell>
          <cell r="P81">
            <v>0</v>
          </cell>
          <cell r="Q81">
            <v>286852</v>
          </cell>
          <cell r="R81">
            <v>71713</v>
          </cell>
          <cell r="S81">
            <v>0</v>
          </cell>
          <cell r="T81">
            <v>0</v>
          </cell>
          <cell r="U81">
            <v>0</v>
          </cell>
          <cell r="V81">
            <v>0</v>
          </cell>
          <cell r="W81">
            <v>0</v>
          </cell>
          <cell r="X81">
            <v>0</v>
          </cell>
          <cell r="Y81">
            <v>0</v>
          </cell>
          <cell r="Z81">
            <v>26680.254777070066</v>
          </cell>
          <cell r="AA81">
            <v>6670.0636942675146</v>
          </cell>
          <cell r="AB81">
            <v>0</v>
          </cell>
          <cell r="AC81">
            <v>133401.27388535033</v>
          </cell>
          <cell r="AD81">
            <v>33350.318471337574</v>
          </cell>
          <cell r="AE81">
            <v>0</v>
          </cell>
          <cell r="AF81">
            <v>0</v>
          </cell>
          <cell r="AG81">
            <v>0</v>
          </cell>
          <cell r="AH81">
            <v>0</v>
          </cell>
          <cell r="AI81">
            <v>0</v>
          </cell>
          <cell r="AJ81">
            <v>0</v>
          </cell>
          <cell r="AK81">
            <v>0</v>
          </cell>
          <cell r="AL81">
            <v>169857</v>
          </cell>
          <cell r="AM81">
            <v>41588</v>
          </cell>
          <cell r="AN81">
            <v>0</v>
          </cell>
          <cell r="AO81">
            <v>-257626</v>
          </cell>
          <cell r="AP81">
            <v>-206102</v>
          </cell>
          <cell r="AQ81">
            <v>-51526</v>
          </cell>
          <cell r="AR81">
            <v>0</v>
          </cell>
          <cell r="AS81">
            <v>-515254</v>
          </cell>
          <cell r="AT81">
            <v>-622891</v>
          </cell>
          <cell r="AU81">
            <v>-498313</v>
          </cell>
          <cell r="AV81">
            <v>-124578</v>
          </cell>
          <cell r="AW81">
            <v>0</v>
          </cell>
          <cell r="AX81">
            <v>-1245782</v>
          </cell>
          <cell r="AY81">
            <v>36584636</v>
          </cell>
          <cell r="AZ81">
            <v>1425982</v>
          </cell>
          <cell r="BA81">
            <v>753444</v>
          </cell>
          <cell r="BB81">
            <v>1554058</v>
          </cell>
          <cell r="BC81">
            <v>26229</v>
          </cell>
          <cell r="BD81">
            <v>40110</v>
          </cell>
          <cell r="BE81">
            <v>404113</v>
          </cell>
          <cell r="BF81">
            <v>1336492</v>
          </cell>
          <cell r="BG81">
            <v>44434</v>
          </cell>
          <cell r="BH81">
            <v>15990</v>
          </cell>
          <cell r="BI81">
            <v>824</v>
          </cell>
          <cell r="BJ81">
            <v>2243</v>
          </cell>
          <cell r="BK81">
            <v>0</v>
          </cell>
          <cell r="BL81">
            <v>0</v>
          </cell>
          <cell r="BM81">
            <v>0</v>
          </cell>
          <cell r="BN81">
            <v>0</v>
          </cell>
          <cell r="BO81">
            <v>0</v>
          </cell>
          <cell r="BP81">
            <v>38677554</v>
          </cell>
          <cell r="BQ81">
            <v>64232</v>
          </cell>
          <cell r="BR81">
            <v>613871</v>
          </cell>
          <cell r="BS81">
            <v>522421</v>
          </cell>
        </row>
        <row r="82">
          <cell r="A82">
            <v>75</v>
          </cell>
          <cell r="B82" t="str">
            <v>Derby</v>
          </cell>
          <cell r="C82" t="str">
            <v>E1001</v>
          </cell>
          <cell r="D82">
            <v>314441</v>
          </cell>
          <cell r="E82">
            <v>0</v>
          </cell>
          <cell r="G82">
            <v>32453</v>
          </cell>
          <cell r="H82">
            <v>0</v>
          </cell>
          <cell r="I82">
            <v>314441</v>
          </cell>
          <cell r="J82">
            <v>0</v>
          </cell>
          <cell r="K82">
            <v>300000</v>
          </cell>
          <cell r="L82">
            <v>0</v>
          </cell>
          <cell r="M82">
            <v>0</v>
          </cell>
          <cell r="N82">
            <v>0</v>
          </cell>
          <cell r="O82">
            <v>0</v>
          </cell>
          <cell r="P82">
            <v>0</v>
          </cell>
          <cell r="Q82">
            <v>923420</v>
          </cell>
          <cell r="R82">
            <v>0</v>
          </cell>
          <cell r="S82">
            <v>18845</v>
          </cell>
          <cell r="T82">
            <v>24760</v>
          </cell>
          <cell r="U82">
            <v>0</v>
          </cell>
          <cell r="V82">
            <v>505</v>
          </cell>
          <cell r="W82">
            <v>0</v>
          </cell>
          <cell r="X82">
            <v>0</v>
          </cell>
          <cell r="Y82">
            <v>0</v>
          </cell>
          <cell r="Z82">
            <v>28748.43940552017</v>
          </cell>
          <cell r="AA82">
            <v>5.0888359933114855E-13</v>
          </cell>
          <cell r="AB82">
            <v>586.70284501061576</v>
          </cell>
          <cell r="AC82">
            <v>495309.15728237788</v>
          </cell>
          <cell r="AD82">
            <v>8.7675961531023434E-12</v>
          </cell>
          <cell r="AE82">
            <v>10108.350148619957</v>
          </cell>
          <cell r="AF82">
            <v>0</v>
          </cell>
          <cell r="AG82">
            <v>0</v>
          </cell>
          <cell r="AH82">
            <v>0</v>
          </cell>
          <cell r="AI82">
            <v>0</v>
          </cell>
          <cell r="AJ82">
            <v>0</v>
          </cell>
          <cell r="AK82">
            <v>0</v>
          </cell>
          <cell r="AL82">
            <v>441247</v>
          </cell>
          <cell r="AM82">
            <v>0</v>
          </cell>
          <cell r="AN82">
            <v>8872</v>
          </cell>
          <cell r="AO82">
            <v>-1732502</v>
          </cell>
          <cell r="AP82">
            <v>-1697853</v>
          </cell>
          <cell r="AQ82">
            <v>0</v>
          </cell>
          <cell r="AR82">
            <v>-34650</v>
          </cell>
          <cell r="AS82">
            <v>-3465005</v>
          </cell>
          <cell r="AT82">
            <v>-4626031</v>
          </cell>
          <cell r="AU82">
            <v>-4533509</v>
          </cell>
          <cell r="AV82">
            <v>0</v>
          </cell>
          <cell r="AW82">
            <v>-92521</v>
          </cell>
          <cell r="AX82">
            <v>-9252061</v>
          </cell>
          <cell r="AY82">
            <v>73346123</v>
          </cell>
          <cell r="AZ82">
            <v>3793478.27</v>
          </cell>
          <cell r="BA82">
            <v>1687172.21</v>
          </cell>
          <cell r="BB82">
            <v>5200608.07</v>
          </cell>
          <cell r="BC82">
            <v>32970</v>
          </cell>
          <cell r="BD82">
            <v>0</v>
          </cell>
          <cell r="BE82">
            <v>67947.44</v>
          </cell>
          <cell r="BF82">
            <v>3388472.12</v>
          </cell>
          <cell r="BG82">
            <v>66321.34</v>
          </cell>
          <cell r="BH82">
            <v>176673.88</v>
          </cell>
          <cell r="BI82">
            <v>8242.5</v>
          </cell>
          <cell r="BJ82">
            <v>0</v>
          </cell>
          <cell r="BK82">
            <v>0</v>
          </cell>
          <cell r="BL82">
            <v>0</v>
          </cell>
          <cell r="BM82">
            <v>0</v>
          </cell>
          <cell r="BN82">
            <v>0</v>
          </cell>
          <cell r="BO82">
            <v>0</v>
          </cell>
          <cell r="BP82">
            <v>86243839.799999997</v>
          </cell>
          <cell r="BQ82">
            <v>1857106</v>
          </cell>
          <cell r="BR82">
            <v>6649182.4800000004</v>
          </cell>
          <cell r="BS82">
            <v>755116.35</v>
          </cell>
        </row>
        <row r="83">
          <cell r="A83">
            <v>76</v>
          </cell>
          <cell r="B83" t="str">
            <v>Derbyshire Dales</v>
          </cell>
          <cell r="C83" t="str">
            <v>E1035</v>
          </cell>
          <cell r="D83">
            <v>146520</v>
          </cell>
          <cell r="G83">
            <v>42055</v>
          </cell>
          <cell r="H83">
            <v>0</v>
          </cell>
          <cell r="I83">
            <v>146520</v>
          </cell>
          <cell r="J83">
            <v>0</v>
          </cell>
          <cell r="K83">
            <v>0</v>
          </cell>
          <cell r="L83">
            <v>0</v>
          </cell>
          <cell r="M83">
            <v>0</v>
          </cell>
          <cell r="N83">
            <v>0</v>
          </cell>
          <cell r="O83">
            <v>0</v>
          </cell>
          <cell r="P83">
            <v>0</v>
          </cell>
          <cell r="Q83">
            <v>503941</v>
          </cell>
          <cell r="R83">
            <v>113387</v>
          </cell>
          <cell r="S83">
            <v>12599</v>
          </cell>
          <cell r="T83">
            <v>0</v>
          </cell>
          <cell r="U83">
            <v>0</v>
          </cell>
          <cell r="V83">
            <v>0</v>
          </cell>
          <cell r="W83">
            <v>0</v>
          </cell>
          <cell r="X83">
            <v>0</v>
          </cell>
          <cell r="Y83">
            <v>0</v>
          </cell>
          <cell r="Z83">
            <v>9747.9949044585992</v>
          </cell>
          <cell r="AA83">
            <v>2193.2988535031841</v>
          </cell>
          <cell r="AB83">
            <v>243.69987261146497</v>
          </cell>
          <cell r="AC83">
            <v>232128.32271762207</v>
          </cell>
          <cell r="AD83">
            <v>52228.872611464954</v>
          </cell>
          <cell r="AE83">
            <v>5803.2080679405517</v>
          </cell>
          <cell r="AF83">
            <v>0</v>
          </cell>
          <cell r="AG83">
            <v>0</v>
          </cell>
          <cell r="AH83">
            <v>0</v>
          </cell>
          <cell r="AI83">
            <v>0</v>
          </cell>
          <cell r="AJ83">
            <v>0</v>
          </cell>
          <cell r="AK83">
            <v>0</v>
          </cell>
          <cell r="AL83">
            <v>72392</v>
          </cell>
          <cell r="AM83">
            <v>15938</v>
          </cell>
          <cell r="AN83">
            <v>1771</v>
          </cell>
          <cell r="AO83">
            <v>-99000</v>
          </cell>
          <cell r="AP83">
            <v>-79200</v>
          </cell>
          <cell r="AQ83">
            <v>-17820</v>
          </cell>
          <cell r="AR83">
            <v>-1980</v>
          </cell>
          <cell r="AS83">
            <v>-198000</v>
          </cell>
          <cell r="AT83">
            <v>-271166</v>
          </cell>
          <cell r="AU83">
            <v>-216933</v>
          </cell>
          <cell r="AV83">
            <v>-48810</v>
          </cell>
          <cell r="AW83">
            <v>-5424</v>
          </cell>
          <cell r="AX83">
            <v>-542333</v>
          </cell>
          <cell r="AY83">
            <v>16329042</v>
          </cell>
          <cell r="AZ83">
            <v>2461415</v>
          </cell>
          <cell r="BA83">
            <v>282119</v>
          </cell>
          <cell r="BB83">
            <v>1008455</v>
          </cell>
          <cell r="BC83">
            <v>43794</v>
          </cell>
          <cell r="BD83">
            <v>59606</v>
          </cell>
          <cell r="BE83">
            <v>0</v>
          </cell>
          <cell r="BF83">
            <v>457224</v>
          </cell>
          <cell r="BG83">
            <v>107204</v>
          </cell>
          <cell r="BH83">
            <v>127325</v>
          </cell>
          <cell r="BI83">
            <v>4072</v>
          </cell>
          <cell r="BJ83">
            <v>59606</v>
          </cell>
          <cell r="BK83">
            <v>8986</v>
          </cell>
          <cell r="BL83">
            <v>2572</v>
          </cell>
          <cell r="BM83">
            <v>2572</v>
          </cell>
          <cell r="BN83">
            <v>0</v>
          </cell>
          <cell r="BO83">
            <v>0</v>
          </cell>
          <cell r="BP83">
            <v>17206055</v>
          </cell>
          <cell r="BQ83">
            <v>131562</v>
          </cell>
          <cell r="BR83">
            <v>969308</v>
          </cell>
          <cell r="BS83">
            <v>156370</v>
          </cell>
        </row>
        <row r="84">
          <cell r="A84">
            <v>77</v>
          </cell>
          <cell r="B84" t="str">
            <v>Doncaster</v>
          </cell>
          <cell r="C84" t="str">
            <v>E4402</v>
          </cell>
          <cell r="D84">
            <v>369928</v>
          </cell>
          <cell r="G84">
            <v>76610</v>
          </cell>
          <cell r="H84">
            <v>0</v>
          </cell>
          <cell r="I84">
            <v>369928</v>
          </cell>
          <cell r="J84">
            <v>0</v>
          </cell>
          <cell r="K84">
            <v>0</v>
          </cell>
          <cell r="L84">
            <v>0</v>
          </cell>
          <cell r="M84">
            <v>0</v>
          </cell>
          <cell r="N84">
            <v>0</v>
          </cell>
          <cell r="O84">
            <v>0</v>
          </cell>
          <cell r="P84">
            <v>0</v>
          </cell>
          <cell r="Q84">
            <v>1360646</v>
          </cell>
          <cell r="R84">
            <v>0</v>
          </cell>
          <cell r="S84">
            <v>27768</v>
          </cell>
          <cell r="T84">
            <v>0</v>
          </cell>
          <cell r="U84">
            <v>0</v>
          </cell>
          <cell r="V84">
            <v>0</v>
          </cell>
          <cell r="W84">
            <v>0</v>
          </cell>
          <cell r="X84">
            <v>0</v>
          </cell>
          <cell r="Y84">
            <v>0</v>
          </cell>
          <cell r="Z84">
            <v>121418.99966029724</v>
          </cell>
          <cell r="AA84">
            <v>2.1492692769422203E-12</v>
          </cell>
          <cell r="AB84">
            <v>2477.938768577495</v>
          </cell>
          <cell r="AC84">
            <v>568851.06632696395</v>
          </cell>
          <cell r="AD84">
            <v>1.0069380602977797E-11</v>
          </cell>
          <cell r="AE84">
            <v>11609.205435244161</v>
          </cell>
          <cell r="AF84">
            <v>0</v>
          </cell>
          <cell r="AG84">
            <v>0</v>
          </cell>
          <cell r="AH84">
            <v>0</v>
          </cell>
          <cell r="AI84">
            <v>0</v>
          </cell>
          <cell r="AJ84">
            <v>0</v>
          </cell>
          <cell r="AK84">
            <v>0</v>
          </cell>
          <cell r="AL84">
            <v>473893</v>
          </cell>
          <cell r="AM84">
            <v>0</v>
          </cell>
          <cell r="AN84">
            <v>9591</v>
          </cell>
          <cell r="AO84">
            <v>-2422148</v>
          </cell>
          <cell r="AP84">
            <v>-2373705</v>
          </cell>
          <cell r="AQ84">
            <v>0</v>
          </cell>
          <cell r="AR84">
            <v>-48443</v>
          </cell>
          <cell r="AS84">
            <v>-4844296</v>
          </cell>
          <cell r="AT84">
            <v>-3120614</v>
          </cell>
          <cell r="AU84">
            <v>-3058203</v>
          </cell>
          <cell r="AV84">
            <v>0</v>
          </cell>
          <cell r="AW84">
            <v>-62413</v>
          </cell>
          <cell r="AX84">
            <v>-6241230</v>
          </cell>
          <cell r="AY84">
            <v>82663319</v>
          </cell>
          <cell r="AZ84">
            <v>5545584</v>
          </cell>
          <cell r="BA84">
            <v>1765824</v>
          </cell>
          <cell r="BB84">
            <v>5065240</v>
          </cell>
          <cell r="BC84">
            <v>28430</v>
          </cell>
          <cell r="BD84">
            <v>9015</v>
          </cell>
          <cell r="BE84">
            <v>12071</v>
          </cell>
          <cell r="BF84">
            <v>2931861</v>
          </cell>
          <cell r="BG84">
            <v>253737</v>
          </cell>
          <cell r="BH84">
            <v>86490</v>
          </cell>
          <cell r="BI84">
            <v>0</v>
          </cell>
          <cell r="BJ84">
            <v>730</v>
          </cell>
          <cell r="BK84">
            <v>0</v>
          </cell>
          <cell r="BL84">
            <v>0</v>
          </cell>
          <cell r="BM84">
            <v>0</v>
          </cell>
          <cell r="BN84">
            <v>0</v>
          </cell>
          <cell r="BO84">
            <v>0</v>
          </cell>
          <cell r="BP84">
            <v>91500476</v>
          </cell>
          <cell r="BQ84">
            <v>1681371</v>
          </cell>
          <cell r="BR84">
            <v>8822744</v>
          </cell>
          <cell r="BS84">
            <v>1416793</v>
          </cell>
        </row>
        <row r="85">
          <cell r="A85">
            <v>78</v>
          </cell>
          <cell r="B85" t="str">
            <v>Dover</v>
          </cell>
          <cell r="C85" t="str">
            <v>E2234</v>
          </cell>
          <cell r="D85">
            <v>153665</v>
          </cell>
          <cell r="G85">
            <v>422539</v>
          </cell>
          <cell r="H85">
            <v>22308</v>
          </cell>
          <cell r="I85">
            <v>153665</v>
          </cell>
          <cell r="J85">
            <v>0</v>
          </cell>
          <cell r="K85">
            <v>0</v>
          </cell>
          <cell r="L85">
            <v>0</v>
          </cell>
          <cell r="M85">
            <v>279688</v>
          </cell>
          <cell r="N85">
            <v>223750</v>
          </cell>
          <cell r="O85">
            <v>50344</v>
          </cell>
          <cell r="P85">
            <v>5594</v>
          </cell>
          <cell r="Q85">
            <v>423272</v>
          </cell>
          <cell r="R85">
            <v>95236</v>
          </cell>
          <cell r="S85">
            <v>10582</v>
          </cell>
          <cell r="T85">
            <v>2442</v>
          </cell>
          <cell r="U85">
            <v>550</v>
          </cell>
          <cell r="V85">
            <v>61</v>
          </cell>
          <cell r="W85">
            <v>40424</v>
          </cell>
          <cell r="X85">
            <v>9096</v>
          </cell>
          <cell r="Y85">
            <v>1011</v>
          </cell>
          <cell r="Z85">
            <v>36382.165605095543</v>
          </cell>
          <cell r="AA85">
            <v>8185.9872611464953</v>
          </cell>
          <cell r="AB85">
            <v>909.55414012738856</v>
          </cell>
          <cell r="AC85">
            <v>235452.03566878985</v>
          </cell>
          <cell r="AD85">
            <v>52976.708025477703</v>
          </cell>
          <cell r="AE85">
            <v>5886.3008917197458</v>
          </cell>
          <cell r="AF85">
            <v>0</v>
          </cell>
          <cell r="AG85">
            <v>0</v>
          </cell>
          <cell r="AH85">
            <v>0</v>
          </cell>
          <cell r="AI85">
            <v>627</v>
          </cell>
          <cell r="AJ85">
            <v>141.11999999999998</v>
          </cell>
          <cell r="AK85">
            <v>15.68</v>
          </cell>
          <cell r="AL85">
            <v>141411</v>
          </cell>
          <cell r="AM85">
            <v>31451</v>
          </cell>
          <cell r="AN85">
            <v>3495</v>
          </cell>
          <cell r="AO85">
            <v>-921483</v>
          </cell>
          <cell r="AP85">
            <v>-737187</v>
          </cell>
          <cell r="AQ85">
            <v>-165867</v>
          </cell>
          <cell r="AR85">
            <v>-18430</v>
          </cell>
          <cell r="AS85">
            <v>-1842967</v>
          </cell>
          <cell r="AT85">
            <v>-1469000</v>
          </cell>
          <cell r="AU85">
            <v>-1175200</v>
          </cell>
          <cell r="AV85">
            <v>-264420</v>
          </cell>
          <cell r="AW85">
            <v>-29380</v>
          </cell>
          <cell r="AX85">
            <v>-2938000</v>
          </cell>
          <cell r="AY85">
            <v>29575228</v>
          </cell>
          <cell r="AZ85">
            <v>2129946.14</v>
          </cell>
          <cell r="BA85">
            <v>688844.38</v>
          </cell>
          <cell r="BB85">
            <v>2074145.6</v>
          </cell>
          <cell r="BC85">
            <v>59251.8</v>
          </cell>
          <cell r="BD85">
            <v>25705.61</v>
          </cell>
          <cell r="BE85">
            <v>4025.49</v>
          </cell>
          <cell r="BF85">
            <v>1535571.48</v>
          </cell>
          <cell r="BG85">
            <v>149878.43</v>
          </cell>
          <cell r="BH85">
            <v>45385.98</v>
          </cell>
          <cell r="BI85">
            <v>0</v>
          </cell>
          <cell r="BJ85">
            <v>0</v>
          </cell>
          <cell r="BK85">
            <v>0</v>
          </cell>
          <cell r="BL85">
            <v>1529582.34</v>
          </cell>
          <cell r="BM85">
            <v>1529582.34</v>
          </cell>
          <cell r="BN85">
            <v>0</v>
          </cell>
          <cell r="BO85">
            <v>1741479.88</v>
          </cell>
          <cell r="BP85">
            <v>33705324.799999997</v>
          </cell>
          <cell r="BQ85">
            <v>359730.09</v>
          </cell>
          <cell r="BR85">
            <v>2592966</v>
          </cell>
          <cell r="BS85">
            <v>816120</v>
          </cell>
        </row>
        <row r="86">
          <cell r="A86">
            <v>79</v>
          </cell>
          <cell r="B86" t="str">
            <v>Dudley</v>
          </cell>
          <cell r="C86" t="str">
            <v>E4603</v>
          </cell>
          <cell r="D86">
            <v>432845</v>
          </cell>
          <cell r="G86">
            <v>350</v>
          </cell>
          <cell r="H86">
            <v>0</v>
          </cell>
          <cell r="I86">
            <v>432845</v>
          </cell>
          <cell r="J86">
            <v>0</v>
          </cell>
          <cell r="K86">
            <v>0</v>
          </cell>
          <cell r="L86">
            <v>0</v>
          </cell>
          <cell r="M86">
            <v>0</v>
          </cell>
          <cell r="N86">
            <v>0</v>
          </cell>
          <cell r="O86">
            <v>0</v>
          </cell>
          <cell r="P86">
            <v>0</v>
          </cell>
          <cell r="Q86">
            <v>1525364</v>
          </cell>
          <cell r="R86">
            <v>0</v>
          </cell>
          <cell r="S86">
            <v>31130</v>
          </cell>
          <cell r="T86">
            <v>24760</v>
          </cell>
          <cell r="U86">
            <v>0</v>
          </cell>
          <cell r="V86">
            <v>505</v>
          </cell>
          <cell r="W86">
            <v>49520</v>
          </cell>
          <cell r="X86">
            <v>0</v>
          </cell>
          <cell r="Y86">
            <v>1011</v>
          </cell>
          <cell r="Z86">
            <v>123800.42462845011</v>
          </cell>
          <cell r="AA86">
            <v>2.1914234993762214E-12</v>
          </cell>
          <cell r="AB86">
            <v>2526.539278131635</v>
          </cell>
          <cell r="AC86">
            <v>495201.69851380045</v>
          </cell>
          <cell r="AD86">
            <v>8.7656939975048855E-12</v>
          </cell>
          <cell r="AE86">
            <v>10106.15711252654</v>
          </cell>
          <cell r="AF86">
            <v>0</v>
          </cell>
          <cell r="AG86">
            <v>0</v>
          </cell>
          <cell r="AH86">
            <v>0</v>
          </cell>
          <cell r="AI86">
            <v>0</v>
          </cell>
          <cell r="AJ86">
            <v>0</v>
          </cell>
          <cell r="AK86">
            <v>0</v>
          </cell>
          <cell r="AL86">
            <v>488750</v>
          </cell>
          <cell r="AM86">
            <v>0</v>
          </cell>
          <cell r="AN86">
            <v>9881</v>
          </cell>
          <cell r="AO86">
            <v>-1470000</v>
          </cell>
          <cell r="AP86">
            <v>-1440600</v>
          </cell>
          <cell r="AQ86">
            <v>0</v>
          </cell>
          <cell r="AR86">
            <v>-29400</v>
          </cell>
          <cell r="AS86">
            <v>-2940000</v>
          </cell>
          <cell r="AT86">
            <v>-3350000</v>
          </cell>
          <cell r="AU86">
            <v>-3283000</v>
          </cell>
          <cell r="AV86">
            <v>0</v>
          </cell>
          <cell r="AW86">
            <v>-67000</v>
          </cell>
          <cell r="AX86">
            <v>-6700000</v>
          </cell>
          <cell r="AY86">
            <v>83649256</v>
          </cell>
          <cell r="AZ86">
            <v>6283675</v>
          </cell>
          <cell r="BA86">
            <v>1830729</v>
          </cell>
          <cell r="BB86">
            <v>4421346</v>
          </cell>
          <cell r="BC86">
            <v>27789</v>
          </cell>
          <cell r="BD86">
            <v>0</v>
          </cell>
          <cell r="BE86">
            <v>68359</v>
          </cell>
          <cell r="BF86">
            <v>5350064</v>
          </cell>
          <cell r="BG86">
            <v>490714</v>
          </cell>
          <cell r="BH86">
            <v>70087</v>
          </cell>
          <cell r="BI86">
            <v>6947</v>
          </cell>
          <cell r="BJ86">
            <v>0</v>
          </cell>
          <cell r="BK86">
            <v>0</v>
          </cell>
          <cell r="BL86">
            <v>0</v>
          </cell>
          <cell r="BM86">
            <v>0</v>
          </cell>
          <cell r="BN86">
            <v>0</v>
          </cell>
          <cell r="BO86">
            <v>0</v>
          </cell>
          <cell r="BP86">
            <v>93378914</v>
          </cell>
          <cell r="BQ86">
            <v>1488537</v>
          </cell>
          <cell r="BR86">
            <v>5671333</v>
          </cell>
          <cell r="BS86">
            <v>1561147</v>
          </cell>
        </row>
        <row r="87">
          <cell r="A87">
            <v>80</v>
          </cell>
          <cell r="B87" t="str">
            <v>Durham UA</v>
          </cell>
          <cell r="C87" t="str">
            <v>E1302</v>
          </cell>
          <cell r="D87">
            <v>600349</v>
          </cell>
          <cell r="G87">
            <v>176181</v>
          </cell>
          <cell r="H87">
            <v>0</v>
          </cell>
          <cell r="I87">
            <v>600349</v>
          </cell>
          <cell r="J87">
            <v>0</v>
          </cell>
          <cell r="K87">
            <v>10127</v>
          </cell>
          <cell r="L87">
            <v>0</v>
          </cell>
          <cell r="M87">
            <v>0</v>
          </cell>
          <cell r="N87">
            <v>0</v>
          </cell>
          <cell r="O87">
            <v>0</v>
          </cell>
          <cell r="P87">
            <v>0</v>
          </cell>
          <cell r="Q87">
            <v>2245841</v>
          </cell>
          <cell r="R87">
            <v>0</v>
          </cell>
          <cell r="S87">
            <v>45833</v>
          </cell>
          <cell r="T87">
            <v>4952</v>
          </cell>
          <cell r="U87">
            <v>0</v>
          </cell>
          <cell r="V87">
            <v>101</v>
          </cell>
          <cell r="W87">
            <v>97994</v>
          </cell>
          <cell r="X87">
            <v>0</v>
          </cell>
          <cell r="Y87">
            <v>2000</v>
          </cell>
          <cell r="Z87">
            <v>560448.97910828027</v>
          </cell>
          <cell r="AA87">
            <v>9.9206530729221315E-12</v>
          </cell>
          <cell r="AB87">
            <v>11437.734267515925</v>
          </cell>
          <cell r="AC87">
            <v>1028784.99507431</v>
          </cell>
          <cell r="AD87">
            <v>1.8210790639674382E-11</v>
          </cell>
          <cell r="AE87">
            <v>20995.612144373674</v>
          </cell>
          <cell r="AF87">
            <v>0</v>
          </cell>
          <cell r="AG87">
            <v>0</v>
          </cell>
          <cell r="AH87">
            <v>0</v>
          </cell>
          <cell r="AI87">
            <v>0</v>
          </cell>
          <cell r="AJ87">
            <v>0</v>
          </cell>
          <cell r="AK87">
            <v>0</v>
          </cell>
          <cell r="AL87">
            <v>579200</v>
          </cell>
          <cell r="AM87">
            <v>0</v>
          </cell>
          <cell r="AN87">
            <v>11688</v>
          </cell>
          <cell r="AO87">
            <v>-2275746</v>
          </cell>
          <cell r="AP87">
            <v>-2230231</v>
          </cell>
          <cell r="AQ87">
            <v>0</v>
          </cell>
          <cell r="AR87">
            <v>-45514</v>
          </cell>
          <cell r="AS87">
            <v>-4551491</v>
          </cell>
          <cell r="AT87">
            <v>-2595831</v>
          </cell>
          <cell r="AU87">
            <v>-2543914</v>
          </cell>
          <cell r="AV87">
            <v>0</v>
          </cell>
          <cell r="AW87">
            <v>-51916</v>
          </cell>
          <cell r="AX87">
            <v>-5191661</v>
          </cell>
          <cell r="AY87">
            <v>104792755</v>
          </cell>
          <cell r="AZ87">
            <v>8942135</v>
          </cell>
          <cell r="BA87">
            <v>2231391</v>
          </cell>
          <cell r="BB87">
            <v>9212639</v>
          </cell>
          <cell r="BC87">
            <v>213175</v>
          </cell>
          <cell r="BD87">
            <v>89810</v>
          </cell>
          <cell r="BE87">
            <v>121090</v>
          </cell>
          <cell r="BF87">
            <v>4815148</v>
          </cell>
          <cell r="BG87">
            <v>448784</v>
          </cell>
          <cell r="BH87">
            <v>51638</v>
          </cell>
          <cell r="BI87">
            <v>0</v>
          </cell>
          <cell r="BJ87">
            <v>19613</v>
          </cell>
          <cell r="BK87">
            <v>4056</v>
          </cell>
          <cell r="BL87">
            <v>0</v>
          </cell>
          <cell r="BM87">
            <v>0</v>
          </cell>
          <cell r="BN87">
            <v>0</v>
          </cell>
          <cell r="BO87">
            <v>0</v>
          </cell>
          <cell r="BP87">
            <v>113165789</v>
          </cell>
          <cell r="BQ87">
            <v>1419971</v>
          </cell>
          <cell r="BR87">
            <v>7992661</v>
          </cell>
          <cell r="BS87">
            <v>1011345</v>
          </cell>
        </row>
        <row r="88">
          <cell r="A88">
            <v>81</v>
          </cell>
          <cell r="B88" t="str">
            <v>Ealing</v>
          </cell>
          <cell r="C88" t="str">
            <v>E5036</v>
          </cell>
          <cell r="D88">
            <v>494217</v>
          </cell>
          <cell r="G88">
            <v>113270</v>
          </cell>
          <cell r="H88">
            <v>0</v>
          </cell>
          <cell r="I88">
            <v>494217</v>
          </cell>
          <cell r="J88">
            <v>0</v>
          </cell>
          <cell r="K88">
            <v>0</v>
          </cell>
          <cell r="L88">
            <v>0</v>
          </cell>
          <cell r="M88">
            <v>0</v>
          </cell>
          <cell r="N88">
            <v>0</v>
          </cell>
          <cell r="O88">
            <v>0</v>
          </cell>
          <cell r="P88">
            <v>0</v>
          </cell>
          <cell r="Q88">
            <v>612230</v>
          </cell>
          <cell r="R88">
            <v>408153</v>
          </cell>
          <cell r="S88">
            <v>0</v>
          </cell>
          <cell r="T88">
            <v>30319</v>
          </cell>
          <cell r="U88">
            <v>20212</v>
          </cell>
          <cell r="V88">
            <v>0</v>
          </cell>
          <cell r="W88">
            <v>1428000</v>
          </cell>
          <cell r="X88">
            <v>952000</v>
          </cell>
          <cell r="Y88">
            <v>0</v>
          </cell>
          <cell r="Z88">
            <v>765257.31719745218</v>
          </cell>
          <cell r="AA88">
            <v>510171.54479830147</v>
          </cell>
          <cell r="AB88">
            <v>0</v>
          </cell>
          <cell r="AC88">
            <v>740255.79617834394</v>
          </cell>
          <cell r="AD88">
            <v>493503.86411889596</v>
          </cell>
          <cell r="AE88">
            <v>0</v>
          </cell>
          <cell r="AF88">
            <v>0</v>
          </cell>
          <cell r="AG88">
            <v>0</v>
          </cell>
          <cell r="AH88">
            <v>0</v>
          </cell>
          <cell r="AI88">
            <v>0</v>
          </cell>
          <cell r="AJ88">
            <v>0</v>
          </cell>
          <cell r="AK88">
            <v>0</v>
          </cell>
          <cell r="AL88">
            <v>399992</v>
          </cell>
          <cell r="AM88">
            <v>263163</v>
          </cell>
          <cell r="AN88">
            <v>0</v>
          </cell>
          <cell r="AO88">
            <v>-2161102</v>
          </cell>
          <cell r="AP88">
            <v>-1296661</v>
          </cell>
          <cell r="AQ88">
            <v>-864441</v>
          </cell>
          <cell r="AR88">
            <v>0</v>
          </cell>
          <cell r="AS88">
            <v>-4322204</v>
          </cell>
          <cell r="AT88">
            <v>-10284799</v>
          </cell>
          <cell r="AU88">
            <v>-6170879</v>
          </cell>
          <cell r="AV88">
            <v>-4113920</v>
          </cell>
          <cell r="AW88">
            <v>0</v>
          </cell>
          <cell r="AX88">
            <v>-20569598</v>
          </cell>
          <cell r="AY88">
            <v>119293554</v>
          </cell>
          <cell r="AZ88">
            <v>4142589.62</v>
          </cell>
          <cell r="BA88">
            <v>2630358</v>
          </cell>
          <cell r="BB88">
            <v>6643364</v>
          </cell>
          <cell r="BC88">
            <v>68332</v>
          </cell>
          <cell r="BD88">
            <v>0</v>
          </cell>
          <cell r="BE88">
            <v>18414</v>
          </cell>
          <cell r="BF88">
            <v>5290094</v>
          </cell>
          <cell r="BG88">
            <v>57840.57</v>
          </cell>
          <cell r="BH88">
            <v>182404</v>
          </cell>
          <cell r="BI88">
            <v>0</v>
          </cell>
          <cell r="BJ88">
            <v>0</v>
          </cell>
          <cell r="BK88">
            <v>0</v>
          </cell>
          <cell r="BL88">
            <v>0</v>
          </cell>
          <cell r="BM88">
            <v>0</v>
          </cell>
          <cell r="BN88">
            <v>0</v>
          </cell>
          <cell r="BO88">
            <v>0</v>
          </cell>
          <cell r="BP88">
            <v>145587514</v>
          </cell>
          <cell r="BQ88">
            <v>396377</v>
          </cell>
          <cell r="BR88">
            <v>23819916</v>
          </cell>
          <cell r="BS88">
            <v>7550425</v>
          </cell>
        </row>
        <row r="89">
          <cell r="A89">
            <v>82</v>
          </cell>
          <cell r="B89" t="str">
            <v>East Cambridgeshire</v>
          </cell>
          <cell r="C89" t="str">
            <v>E0532</v>
          </cell>
          <cell r="D89">
            <v>91787</v>
          </cell>
          <cell r="G89">
            <v>19953</v>
          </cell>
          <cell r="H89">
            <v>0</v>
          </cell>
          <cell r="I89">
            <v>91787</v>
          </cell>
          <cell r="J89">
            <v>0</v>
          </cell>
          <cell r="K89">
            <v>30000</v>
          </cell>
          <cell r="L89">
            <v>0</v>
          </cell>
          <cell r="M89">
            <v>0</v>
          </cell>
          <cell r="N89">
            <v>0</v>
          </cell>
          <cell r="O89">
            <v>0</v>
          </cell>
          <cell r="P89">
            <v>0</v>
          </cell>
          <cell r="Q89">
            <v>304743</v>
          </cell>
          <cell r="R89">
            <v>68567</v>
          </cell>
          <cell r="S89">
            <v>7619</v>
          </cell>
          <cell r="T89">
            <v>0</v>
          </cell>
          <cell r="U89">
            <v>0</v>
          </cell>
          <cell r="V89">
            <v>0</v>
          </cell>
          <cell r="W89">
            <v>0</v>
          </cell>
          <cell r="X89">
            <v>0</v>
          </cell>
          <cell r="Y89">
            <v>0</v>
          </cell>
          <cell r="Z89">
            <v>8084.9256900212322</v>
          </cell>
          <cell r="AA89">
            <v>1819.1082802547769</v>
          </cell>
          <cell r="AB89">
            <v>202.1231422505308</v>
          </cell>
          <cell r="AC89">
            <v>111167.72823779195</v>
          </cell>
          <cell r="AD89">
            <v>25012.738853503182</v>
          </cell>
          <cell r="AE89">
            <v>2779.1932059447986</v>
          </cell>
          <cell r="AF89">
            <v>0</v>
          </cell>
          <cell r="AG89">
            <v>0</v>
          </cell>
          <cell r="AH89">
            <v>0</v>
          </cell>
          <cell r="AI89">
            <v>0</v>
          </cell>
          <cell r="AJ89">
            <v>0</v>
          </cell>
          <cell r="AK89">
            <v>0</v>
          </cell>
          <cell r="AL89">
            <v>74959</v>
          </cell>
          <cell r="AM89">
            <v>16575</v>
          </cell>
          <cell r="AN89">
            <v>1842</v>
          </cell>
          <cell r="AO89">
            <v>-75257.47</v>
          </cell>
          <cell r="AP89">
            <v>-60207</v>
          </cell>
          <cell r="AQ89">
            <v>-13547</v>
          </cell>
          <cell r="AR89">
            <v>-1506</v>
          </cell>
          <cell r="AS89">
            <v>-150517.47</v>
          </cell>
          <cell r="AT89">
            <v>-475420</v>
          </cell>
          <cell r="AU89">
            <v>-380335</v>
          </cell>
          <cell r="AV89">
            <v>-85575</v>
          </cell>
          <cell r="AW89">
            <v>-9509</v>
          </cell>
          <cell r="AX89">
            <v>-950839</v>
          </cell>
          <cell r="AY89">
            <v>15981736</v>
          </cell>
          <cell r="AZ89">
            <v>1455165.55</v>
          </cell>
          <cell r="BA89">
            <v>328076.27</v>
          </cell>
          <cell r="BB89">
            <v>1420819.13</v>
          </cell>
          <cell r="BC89">
            <v>47608.68</v>
          </cell>
          <cell r="BD89">
            <v>34746.86</v>
          </cell>
          <cell r="BE89">
            <v>5571.04</v>
          </cell>
          <cell r="BF89">
            <v>604548.77</v>
          </cell>
          <cell r="BG89">
            <v>43970.3</v>
          </cell>
          <cell r="BH89">
            <v>13922.11</v>
          </cell>
          <cell r="BI89">
            <v>4741.22</v>
          </cell>
          <cell r="BJ89">
            <v>11872.79</v>
          </cell>
          <cell r="BK89">
            <v>0</v>
          </cell>
          <cell r="BL89">
            <v>0</v>
          </cell>
          <cell r="BM89">
            <v>0</v>
          </cell>
          <cell r="BN89">
            <v>0</v>
          </cell>
          <cell r="BO89">
            <v>0</v>
          </cell>
          <cell r="BP89">
            <v>17263258.199999999</v>
          </cell>
          <cell r="BQ89">
            <v>34886.43</v>
          </cell>
          <cell r="BR89">
            <v>289687.92</v>
          </cell>
          <cell r="BS89">
            <v>90529.85</v>
          </cell>
        </row>
        <row r="90">
          <cell r="A90">
            <v>83</v>
          </cell>
          <cell r="B90" t="str">
            <v>East Devon</v>
          </cell>
          <cell r="C90" t="str">
            <v>E1131</v>
          </cell>
          <cell r="D90">
            <v>227568</v>
          </cell>
          <cell r="G90">
            <v>271954</v>
          </cell>
          <cell r="H90">
            <v>0</v>
          </cell>
          <cell r="I90">
            <v>227568</v>
          </cell>
          <cell r="J90">
            <v>0</v>
          </cell>
          <cell r="K90">
            <v>58800</v>
          </cell>
          <cell r="L90">
            <v>0</v>
          </cell>
          <cell r="M90">
            <v>0</v>
          </cell>
          <cell r="N90">
            <v>0</v>
          </cell>
          <cell r="O90">
            <v>0</v>
          </cell>
          <cell r="P90">
            <v>0</v>
          </cell>
          <cell r="Q90">
            <v>793677</v>
          </cell>
          <cell r="R90">
            <v>178577</v>
          </cell>
          <cell r="S90">
            <v>19842</v>
          </cell>
          <cell r="T90">
            <v>13211</v>
          </cell>
          <cell r="U90">
            <v>2972</v>
          </cell>
          <cell r="V90">
            <v>330</v>
          </cell>
          <cell r="W90">
            <v>0</v>
          </cell>
          <cell r="X90">
            <v>0</v>
          </cell>
          <cell r="Y90">
            <v>0</v>
          </cell>
          <cell r="Z90">
            <v>0</v>
          </cell>
          <cell r="AA90">
            <v>0</v>
          </cell>
          <cell r="AB90">
            <v>0</v>
          </cell>
          <cell r="AC90">
            <v>346034.81953290873</v>
          </cell>
          <cell r="AD90">
            <v>77857.834394904436</v>
          </cell>
          <cell r="AE90">
            <v>8650.8704883227165</v>
          </cell>
          <cell r="AF90">
            <v>0</v>
          </cell>
          <cell r="AG90">
            <v>0</v>
          </cell>
          <cell r="AH90">
            <v>0</v>
          </cell>
          <cell r="AI90">
            <v>0</v>
          </cell>
          <cell r="AJ90">
            <v>0</v>
          </cell>
          <cell r="AK90">
            <v>0</v>
          </cell>
          <cell r="AL90">
            <v>137284</v>
          </cell>
          <cell r="AM90">
            <v>30205</v>
          </cell>
          <cell r="AN90">
            <v>3356</v>
          </cell>
          <cell r="AO90">
            <v>-63000</v>
          </cell>
          <cell r="AP90">
            <v>-50400</v>
          </cell>
          <cell r="AQ90">
            <v>-11340</v>
          </cell>
          <cell r="AR90">
            <v>-1260</v>
          </cell>
          <cell r="AS90">
            <v>-126000</v>
          </cell>
          <cell r="AT90">
            <v>-785673</v>
          </cell>
          <cell r="AU90">
            <v>-628537</v>
          </cell>
          <cell r="AV90">
            <v>-141421</v>
          </cell>
          <cell r="AW90">
            <v>-15713</v>
          </cell>
          <cell r="AX90">
            <v>-1571344</v>
          </cell>
          <cell r="AY90">
            <v>29790304</v>
          </cell>
          <cell r="AZ90">
            <v>3871827.59</v>
          </cell>
          <cell r="BA90">
            <v>557694.49</v>
          </cell>
          <cell r="BB90">
            <v>2060806.39</v>
          </cell>
          <cell r="BC90">
            <v>123899</v>
          </cell>
          <cell r="BD90">
            <v>48893.57</v>
          </cell>
          <cell r="BE90">
            <v>0</v>
          </cell>
          <cell r="BF90">
            <v>935716.81</v>
          </cell>
          <cell r="BG90">
            <v>132884.59</v>
          </cell>
          <cell r="BH90">
            <v>8451.68</v>
          </cell>
          <cell r="BI90">
            <v>18458.28</v>
          </cell>
          <cell r="BJ90">
            <v>18181.04</v>
          </cell>
          <cell r="BK90">
            <v>2729.73</v>
          </cell>
          <cell r="BL90">
            <v>0</v>
          </cell>
          <cell r="BM90">
            <v>0</v>
          </cell>
          <cell r="BN90">
            <v>0</v>
          </cell>
          <cell r="BO90">
            <v>0</v>
          </cell>
          <cell r="BP90">
            <v>31532063.800000001</v>
          </cell>
          <cell r="BQ90">
            <v>114622</v>
          </cell>
          <cell r="BR90">
            <v>759475.85</v>
          </cell>
          <cell r="BS90">
            <v>676185.61</v>
          </cell>
        </row>
        <row r="91">
          <cell r="A91">
            <v>84</v>
          </cell>
          <cell r="B91" t="str">
            <v>East Dorset</v>
          </cell>
          <cell r="C91" t="str">
            <v>E1233</v>
          </cell>
          <cell r="D91">
            <v>109348</v>
          </cell>
          <cell r="G91">
            <v>18224</v>
          </cell>
          <cell r="H91">
            <v>0</v>
          </cell>
          <cell r="I91">
            <v>109348</v>
          </cell>
          <cell r="J91">
            <v>0</v>
          </cell>
          <cell r="K91">
            <v>0</v>
          </cell>
          <cell r="L91">
            <v>0</v>
          </cell>
          <cell r="M91">
            <v>0</v>
          </cell>
          <cell r="N91">
            <v>0</v>
          </cell>
          <cell r="O91">
            <v>0</v>
          </cell>
          <cell r="P91">
            <v>0</v>
          </cell>
          <cell r="Q91">
            <v>381804</v>
          </cell>
          <cell r="R91">
            <v>85906</v>
          </cell>
          <cell r="S91">
            <v>9545</v>
          </cell>
          <cell r="T91">
            <v>0</v>
          </cell>
          <cell r="U91">
            <v>0</v>
          </cell>
          <cell r="V91">
            <v>0</v>
          </cell>
          <cell r="W91">
            <v>0</v>
          </cell>
          <cell r="X91">
            <v>0</v>
          </cell>
          <cell r="Y91">
            <v>0</v>
          </cell>
          <cell r="Z91">
            <v>5992.1426751592362</v>
          </cell>
          <cell r="AA91">
            <v>1348.2321019108279</v>
          </cell>
          <cell r="AB91">
            <v>149.80356687898089</v>
          </cell>
          <cell r="AC91">
            <v>162919.33757961786</v>
          </cell>
          <cell r="AD91">
            <v>36656.850955414004</v>
          </cell>
          <cell r="AE91">
            <v>4072.983439490446</v>
          </cell>
          <cell r="AF91">
            <v>0</v>
          </cell>
          <cell r="AG91">
            <v>0</v>
          </cell>
          <cell r="AH91">
            <v>0</v>
          </cell>
          <cell r="AI91">
            <v>0</v>
          </cell>
          <cell r="AJ91">
            <v>0</v>
          </cell>
          <cell r="AK91">
            <v>0</v>
          </cell>
          <cell r="AL91">
            <v>85821</v>
          </cell>
          <cell r="AM91">
            <v>19049</v>
          </cell>
          <cell r="AN91">
            <v>2117</v>
          </cell>
          <cell r="AO91">
            <v>-133002</v>
          </cell>
          <cell r="AP91">
            <v>-106403</v>
          </cell>
          <cell r="AQ91">
            <v>-23941</v>
          </cell>
          <cell r="AR91">
            <v>-2660</v>
          </cell>
          <cell r="AS91">
            <v>-266006</v>
          </cell>
          <cell r="AT91">
            <v>-586194</v>
          </cell>
          <cell r="AU91">
            <v>-468956</v>
          </cell>
          <cell r="AV91">
            <v>-105515</v>
          </cell>
          <cell r="AW91">
            <v>-11724</v>
          </cell>
          <cell r="AX91">
            <v>-1172389</v>
          </cell>
          <cell r="AY91">
            <v>19615008</v>
          </cell>
          <cell r="AZ91">
            <v>1852230</v>
          </cell>
          <cell r="BA91">
            <v>371261</v>
          </cell>
          <cell r="BB91">
            <v>748833</v>
          </cell>
          <cell r="BC91">
            <v>33077</v>
          </cell>
          <cell r="BD91">
            <v>14088.75</v>
          </cell>
          <cell r="BE91">
            <v>1829</v>
          </cell>
          <cell r="BF91">
            <v>662531</v>
          </cell>
          <cell r="BG91">
            <v>28694</v>
          </cell>
          <cell r="BH91">
            <v>44925</v>
          </cell>
          <cell r="BI91">
            <v>0</v>
          </cell>
          <cell r="BJ91">
            <v>7364</v>
          </cell>
          <cell r="BK91">
            <v>260</v>
          </cell>
          <cell r="BL91">
            <v>0</v>
          </cell>
          <cell r="BM91">
            <v>0</v>
          </cell>
          <cell r="BN91">
            <v>0</v>
          </cell>
          <cell r="BO91">
            <v>0</v>
          </cell>
          <cell r="BP91">
            <v>20990112</v>
          </cell>
          <cell r="BQ91">
            <v>-14290</v>
          </cell>
          <cell r="BR91">
            <v>626278.21</v>
          </cell>
          <cell r="BS91">
            <v>-175288</v>
          </cell>
        </row>
        <row r="92">
          <cell r="A92">
            <v>85</v>
          </cell>
          <cell r="B92" t="str">
            <v>East Hampshire</v>
          </cell>
          <cell r="C92" t="str">
            <v>E1732</v>
          </cell>
          <cell r="D92">
            <v>151081</v>
          </cell>
          <cell r="G92">
            <v>24313</v>
          </cell>
          <cell r="H92">
            <v>0</v>
          </cell>
          <cell r="I92">
            <v>151081</v>
          </cell>
          <cell r="J92">
            <v>0</v>
          </cell>
          <cell r="K92">
            <v>0</v>
          </cell>
          <cell r="L92">
            <v>0</v>
          </cell>
          <cell r="M92">
            <v>0</v>
          </cell>
          <cell r="N92">
            <v>0</v>
          </cell>
          <cell r="O92">
            <v>0</v>
          </cell>
          <cell r="P92">
            <v>0</v>
          </cell>
          <cell r="Q92">
            <v>470780</v>
          </cell>
          <cell r="R92">
            <v>105925</v>
          </cell>
          <cell r="S92">
            <v>11769</v>
          </cell>
          <cell r="T92">
            <v>8085</v>
          </cell>
          <cell r="U92">
            <v>1819</v>
          </cell>
          <cell r="V92">
            <v>202</v>
          </cell>
          <cell r="W92">
            <v>20212</v>
          </cell>
          <cell r="X92">
            <v>4548</v>
          </cell>
          <cell r="Y92">
            <v>505</v>
          </cell>
          <cell r="Z92">
            <v>30318.471337579616</v>
          </cell>
          <cell r="AA92">
            <v>6821.656050955412</v>
          </cell>
          <cell r="AB92">
            <v>757.96178343949043</v>
          </cell>
          <cell r="AC92">
            <v>202123.1422505308</v>
          </cell>
          <cell r="AD92">
            <v>45477.707006369419</v>
          </cell>
          <cell r="AE92">
            <v>5053.07855626327</v>
          </cell>
          <cell r="AF92">
            <v>10452</v>
          </cell>
          <cell r="AG92">
            <v>0</v>
          </cell>
          <cell r="AH92">
            <v>0</v>
          </cell>
          <cell r="AI92">
            <v>5935</v>
          </cell>
          <cell r="AJ92">
            <v>1335.3380999999997</v>
          </cell>
          <cell r="AK92">
            <v>148.37090000000001</v>
          </cell>
          <cell r="AL92">
            <v>116546</v>
          </cell>
          <cell r="AM92">
            <v>25862</v>
          </cell>
          <cell r="AN92">
            <v>2874</v>
          </cell>
          <cell r="AO92">
            <v>-134064</v>
          </cell>
          <cell r="AP92">
            <v>-107250</v>
          </cell>
          <cell r="AQ92">
            <v>-24131</v>
          </cell>
          <cell r="AR92">
            <v>-2682</v>
          </cell>
          <cell r="AS92">
            <v>-268127</v>
          </cell>
          <cell r="AT92">
            <v>-792659</v>
          </cell>
          <cell r="AU92">
            <v>-634127</v>
          </cell>
          <cell r="AV92">
            <v>-142679</v>
          </cell>
          <cell r="AW92">
            <v>-15853</v>
          </cell>
          <cell r="AX92">
            <v>-1585318</v>
          </cell>
          <cell r="AY92">
            <v>26789932</v>
          </cell>
          <cell r="AZ92">
            <v>2341856</v>
          </cell>
          <cell r="BA92">
            <v>534453</v>
          </cell>
          <cell r="BB92">
            <v>2150554</v>
          </cell>
          <cell r="BC92">
            <v>61409</v>
          </cell>
          <cell r="BD92">
            <v>29099</v>
          </cell>
          <cell r="BE92">
            <v>25792</v>
          </cell>
          <cell r="BF92">
            <v>1203417</v>
          </cell>
          <cell r="BG92">
            <v>118885</v>
          </cell>
          <cell r="BH92">
            <v>2152</v>
          </cell>
          <cell r="BI92">
            <v>7620</v>
          </cell>
          <cell r="BJ92">
            <v>29098</v>
          </cell>
          <cell r="BK92">
            <v>0</v>
          </cell>
          <cell r="BL92">
            <v>0</v>
          </cell>
          <cell r="BM92">
            <v>0</v>
          </cell>
          <cell r="BN92">
            <v>0</v>
          </cell>
          <cell r="BO92">
            <v>0</v>
          </cell>
          <cell r="BP92">
            <v>28715316</v>
          </cell>
          <cell r="BQ92">
            <v>0</v>
          </cell>
          <cell r="BR92">
            <v>522177</v>
          </cell>
          <cell r="BS92">
            <v>263566</v>
          </cell>
        </row>
        <row r="93">
          <cell r="A93">
            <v>86</v>
          </cell>
          <cell r="B93" t="str">
            <v>East Hertfordshire</v>
          </cell>
          <cell r="C93" t="str">
            <v>E1933</v>
          </cell>
          <cell r="D93">
            <v>197093</v>
          </cell>
          <cell r="G93">
            <v>73152</v>
          </cell>
          <cell r="H93">
            <v>0</v>
          </cell>
          <cell r="I93">
            <v>197093</v>
          </cell>
          <cell r="J93">
            <v>0</v>
          </cell>
          <cell r="K93">
            <v>0</v>
          </cell>
          <cell r="L93">
            <v>0</v>
          </cell>
          <cell r="M93">
            <v>0</v>
          </cell>
          <cell r="N93">
            <v>0</v>
          </cell>
          <cell r="O93">
            <v>0</v>
          </cell>
          <cell r="P93">
            <v>0</v>
          </cell>
          <cell r="Q93">
            <v>491152</v>
          </cell>
          <cell r="R93">
            <v>122788</v>
          </cell>
          <cell r="S93">
            <v>0</v>
          </cell>
          <cell r="T93">
            <v>0</v>
          </cell>
          <cell r="U93">
            <v>0</v>
          </cell>
          <cell r="V93">
            <v>0</v>
          </cell>
          <cell r="W93">
            <v>154348</v>
          </cell>
          <cell r="X93">
            <v>38587</v>
          </cell>
          <cell r="Y93">
            <v>0</v>
          </cell>
          <cell r="Z93">
            <v>191232.34309978771</v>
          </cell>
          <cell r="AA93">
            <v>47808.085774946914</v>
          </cell>
          <cell r="AB93">
            <v>0</v>
          </cell>
          <cell r="AC93">
            <v>331568.86624203826</v>
          </cell>
          <cell r="AD93">
            <v>82892.216560509536</v>
          </cell>
          <cell r="AE93">
            <v>0</v>
          </cell>
          <cell r="AF93">
            <v>0</v>
          </cell>
          <cell r="AG93">
            <v>0</v>
          </cell>
          <cell r="AH93">
            <v>0</v>
          </cell>
          <cell r="AI93">
            <v>5289</v>
          </cell>
          <cell r="AJ93">
            <v>1322.3019999999997</v>
          </cell>
          <cell r="AK93">
            <v>0</v>
          </cell>
          <cell r="AL93">
            <v>184816</v>
          </cell>
          <cell r="AM93">
            <v>45681</v>
          </cell>
          <cell r="AN93">
            <v>0</v>
          </cell>
          <cell r="AO93">
            <v>-698168</v>
          </cell>
          <cell r="AP93">
            <v>-558534</v>
          </cell>
          <cell r="AQ93">
            <v>-139634</v>
          </cell>
          <cell r="AR93">
            <v>0</v>
          </cell>
          <cell r="AS93">
            <v>-1396336</v>
          </cell>
          <cell r="AT93">
            <v>-1280140</v>
          </cell>
          <cell r="AU93">
            <v>-1024112</v>
          </cell>
          <cell r="AV93">
            <v>-256028</v>
          </cell>
          <cell r="AW93">
            <v>0</v>
          </cell>
          <cell r="AX93">
            <v>-2560280</v>
          </cell>
          <cell r="AY93">
            <v>39555368</v>
          </cell>
          <cell r="AZ93">
            <v>2420446</v>
          </cell>
          <cell r="BA93">
            <v>872941</v>
          </cell>
          <cell r="BB93">
            <v>3713731</v>
          </cell>
          <cell r="BC93">
            <v>93917</v>
          </cell>
          <cell r="BD93">
            <v>51332</v>
          </cell>
          <cell r="BE93">
            <v>37583</v>
          </cell>
          <cell r="BF93">
            <v>2388401</v>
          </cell>
          <cell r="BG93">
            <v>157158</v>
          </cell>
          <cell r="BH93">
            <v>33450</v>
          </cell>
          <cell r="BI93">
            <v>251</v>
          </cell>
          <cell r="BJ93">
            <v>19864</v>
          </cell>
          <cell r="BK93">
            <v>1381</v>
          </cell>
          <cell r="BL93">
            <v>0</v>
          </cell>
          <cell r="BM93">
            <v>0</v>
          </cell>
          <cell r="BN93">
            <v>0</v>
          </cell>
          <cell r="BO93">
            <v>0</v>
          </cell>
          <cell r="BP93">
            <v>43994474</v>
          </cell>
          <cell r="BQ93">
            <v>717829</v>
          </cell>
          <cell r="BR93">
            <v>2386948</v>
          </cell>
          <cell r="BS93">
            <v>-526291</v>
          </cell>
        </row>
        <row r="94">
          <cell r="A94">
            <v>87</v>
          </cell>
          <cell r="B94" t="str">
            <v>East Lindsey</v>
          </cell>
          <cell r="C94" t="str">
            <v>E2532</v>
          </cell>
          <cell r="D94">
            <v>269433</v>
          </cell>
          <cell r="G94">
            <v>74442</v>
          </cell>
          <cell r="H94">
            <v>0</v>
          </cell>
          <cell r="I94">
            <v>269433</v>
          </cell>
          <cell r="J94">
            <v>0</v>
          </cell>
          <cell r="K94">
            <v>2355</v>
          </cell>
          <cell r="L94">
            <v>0</v>
          </cell>
          <cell r="M94">
            <v>0</v>
          </cell>
          <cell r="N94">
            <v>0</v>
          </cell>
          <cell r="O94">
            <v>0</v>
          </cell>
          <cell r="P94">
            <v>0</v>
          </cell>
          <cell r="Q94">
            <v>863698</v>
          </cell>
          <cell r="R94">
            <v>215925</v>
          </cell>
          <cell r="S94">
            <v>0</v>
          </cell>
          <cell r="T94">
            <v>35253</v>
          </cell>
          <cell r="U94">
            <v>8813</v>
          </cell>
          <cell r="V94">
            <v>0</v>
          </cell>
          <cell r="W94">
            <v>0</v>
          </cell>
          <cell r="X94">
            <v>0</v>
          </cell>
          <cell r="Y94">
            <v>0</v>
          </cell>
          <cell r="Z94">
            <v>3403.7537154989386</v>
          </cell>
          <cell r="AA94">
            <v>850.93842887473443</v>
          </cell>
          <cell r="AB94">
            <v>0</v>
          </cell>
          <cell r="AC94">
            <v>380537.64416135882</v>
          </cell>
          <cell r="AD94">
            <v>95134.411040339677</v>
          </cell>
          <cell r="AE94">
            <v>0</v>
          </cell>
          <cell r="AF94">
            <v>0</v>
          </cell>
          <cell r="AG94">
            <v>0</v>
          </cell>
          <cell r="AH94">
            <v>0</v>
          </cell>
          <cell r="AI94">
            <v>0</v>
          </cell>
          <cell r="AJ94">
            <v>0</v>
          </cell>
          <cell r="AK94">
            <v>0</v>
          </cell>
          <cell r="AL94">
            <v>139005</v>
          </cell>
          <cell r="AM94">
            <v>34030</v>
          </cell>
          <cell r="AN94">
            <v>0</v>
          </cell>
          <cell r="AO94">
            <v>-358000</v>
          </cell>
          <cell r="AP94">
            <v>-286400</v>
          </cell>
          <cell r="AQ94">
            <v>-71600</v>
          </cell>
          <cell r="AR94">
            <v>0</v>
          </cell>
          <cell r="AS94">
            <v>-716000</v>
          </cell>
          <cell r="AT94">
            <v>-755406</v>
          </cell>
          <cell r="AU94">
            <v>-604326</v>
          </cell>
          <cell r="AV94">
            <v>-151081</v>
          </cell>
          <cell r="AW94">
            <v>0</v>
          </cell>
          <cell r="AX94">
            <v>-1510813</v>
          </cell>
          <cell r="AY94">
            <v>30720343</v>
          </cell>
          <cell r="AZ94">
            <v>4272505</v>
          </cell>
          <cell r="BA94">
            <v>585426</v>
          </cell>
          <cell r="BB94">
            <v>1978045</v>
          </cell>
          <cell r="BC94">
            <v>76137</v>
          </cell>
          <cell r="BD94">
            <v>107454</v>
          </cell>
          <cell r="BE94">
            <v>0</v>
          </cell>
          <cell r="BF94">
            <v>765400</v>
          </cell>
          <cell r="BG94">
            <v>61319</v>
          </cell>
          <cell r="BH94">
            <v>4228</v>
          </cell>
          <cell r="BI94">
            <v>9077</v>
          </cell>
          <cell r="BJ94">
            <v>21080</v>
          </cell>
          <cell r="BK94">
            <v>0</v>
          </cell>
          <cell r="BL94">
            <v>0</v>
          </cell>
          <cell r="BM94">
            <v>0</v>
          </cell>
          <cell r="BN94">
            <v>0</v>
          </cell>
          <cell r="BO94">
            <v>0</v>
          </cell>
          <cell r="BP94">
            <v>33130376</v>
          </cell>
          <cell r="BQ94">
            <v>336435</v>
          </cell>
          <cell r="BR94">
            <v>2100579</v>
          </cell>
          <cell r="BS94">
            <v>652135</v>
          </cell>
        </row>
        <row r="95">
          <cell r="A95">
            <v>88</v>
          </cell>
          <cell r="B95" t="str">
            <v>East Northamptonshire</v>
          </cell>
          <cell r="C95" t="str">
            <v>E2833</v>
          </cell>
          <cell r="D95">
            <v>99677</v>
          </cell>
          <cell r="G95">
            <v>4833</v>
          </cell>
          <cell r="H95">
            <v>0</v>
          </cell>
          <cell r="I95">
            <v>99677</v>
          </cell>
          <cell r="J95">
            <v>0</v>
          </cell>
          <cell r="K95">
            <v>25000</v>
          </cell>
          <cell r="L95">
            <v>0</v>
          </cell>
          <cell r="M95">
            <v>0</v>
          </cell>
          <cell r="N95">
            <v>0</v>
          </cell>
          <cell r="O95">
            <v>0</v>
          </cell>
          <cell r="P95">
            <v>0</v>
          </cell>
          <cell r="Q95">
            <v>356195</v>
          </cell>
          <cell r="R95">
            <v>89049</v>
          </cell>
          <cell r="S95">
            <v>0</v>
          </cell>
          <cell r="T95">
            <v>4042</v>
          </cell>
          <cell r="U95">
            <v>1011</v>
          </cell>
          <cell r="V95">
            <v>0</v>
          </cell>
          <cell r="W95">
            <v>10106</v>
          </cell>
          <cell r="X95">
            <v>2527</v>
          </cell>
          <cell r="Y95">
            <v>0</v>
          </cell>
          <cell r="Z95">
            <v>1212.7388535031848</v>
          </cell>
          <cell r="AA95">
            <v>303.18471337579609</v>
          </cell>
          <cell r="AB95">
            <v>0</v>
          </cell>
          <cell r="AC95">
            <v>103082.80254777071</v>
          </cell>
          <cell r="AD95">
            <v>25770.700636942671</v>
          </cell>
          <cell r="AE95">
            <v>0</v>
          </cell>
          <cell r="AF95">
            <v>0</v>
          </cell>
          <cell r="AG95">
            <v>0</v>
          </cell>
          <cell r="AH95">
            <v>0</v>
          </cell>
          <cell r="AI95">
            <v>0</v>
          </cell>
          <cell r="AJ95">
            <v>0</v>
          </cell>
          <cell r="AK95">
            <v>0</v>
          </cell>
          <cell r="AL95">
            <v>92766</v>
          </cell>
          <cell r="AM95">
            <v>22861</v>
          </cell>
          <cell r="AN95">
            <v>0</v>
          </cell>
          <cell r="AO95">
            <v>-45528</v>
          </cell>
          <cell r="AP95">
            <v>-36421</v>
          </cell>
          <cell r="AQ95">
            <v>-9105</v>
          </cell>
          <cell r="AR95">
            <v>0</v>
          </cell>
          <cell r="AS95">
            <v>-91054</v>
          </cell>
          <cell r="AT95">
            <v>-206733</v>
          </cell>
          <cell r="AU95">
            <v>-165387</v>
          </cell>
          <cell r="AV95">
            <v>-41347</v>
          </cell>
          <cell r="AW95">
            <v>0</v>
          </cell>
          <cell r="AX95">
            <v>-413467</v>
          </cell>
          <cell r="AY95">
            <v>20214634</v>
          </cell>
          <cell r="AZ95">
            <v>1743146.89</v>
          </cell>
          <cell r="BA95">
            <v>406366.99</v>
          </cell>
          <cell r="BB95">
            <v>1479276.14</v>
          </cell>
          <cell r="BC95">
            <v>20902.98</v>
          </cell>
          <cell r="BD95">
            <v>33624.33</v>
          </cell>
          <cell r="BE95">
            <v>77279.289999999994</v>
          </cell>
          <cell r="BF95">
            <v>677539.39</v>
          </cell>
          <cell r="BG95">
            <v>81856.89</v>
          </cell>
          <cell r="BH95">
            <v>111315.62</v>
          </cell>
          <cell r="BI95">
            <v>5225.74</v>
          </cell>
          <cell r="BJ95">
            <v>20832.36</v>
          </cell>
          <cell r="BK95">
            <v>59674.879999999997</v>
          </cell>
          <cell r="BL95">
            <v>0</v>
          </cell>
          <cell r="BM95">
            <v>0</v>
          </cell>
          <cell r="BN95">
            <v>0</v>
          </cell>
          <cell r="BO95">
            <v>0</v>
          </cell>
          <cell r="BP95">
            <v>21033491.199999999</v>
          </cell>
          <cell r="BQ95">
            <v>41956</v>
          </cell>
          <cell r="BR95">
            <v>407386</v>
          </cell>
          <cell r="BS95">
            <v>48963</v>
          </cell>
        </row>
        <row r="96">
          <cell r="A96">
            <v>89</v>
          </cell>
          <cell r="B96" t="str">
            <v>East Riding of Yorkshire</v>
          </cell>
          <cell r="C96" t="str">
            <v>E2001</v>
          </cell>
          <cell r="D96">
            <v>435614</v>
          </cell>
          <cell r="E96">
            <v>0</v>
          </cell>
          <cell r="F96">
            <v>95870</v>
          </cell>
          <cell r="G96">
            <v>239328</v>
          </cell>
          <cell r="H96">
            <v>0</v>
          </cell>
          <cell r="I96">
            <v>435614</v>
          </cell>
          <cell r="J96">
            <v>530</v>
          </cell>
          <cell r="K96">
            <v>1332261</v>
          </cell>
          <cell r="L96">
            <v>0</v>
          </cell>
          <cell r="M96">
            <v>123745.5</v>
          </cell>
          <cell r="N96">
            <v>122527.5</v>
          </cell>
          <cell r="O96">
            <v>0</v>
          </cell>
          <cell r="P96">
            <v>1218</v>
          </cell>
          <cell r="Q96">
            <v>1784165</v>
          </cell>
          <cell r="R96">
            <v>0</v>
          </cell>
          <cell r="S96">
            <v>36412</v>
          </cell>
          <cell r="T96">
            <v>2169</v>
          </cell>
          <cell r="U96">
            <v>0</v>
          </cell>
          <cell r="V96">
            <v>44</v>
          </cell>
          <cell r="W96">
            <v>0</v>
          </cell>
          <cell r="X96">
            <v>0</v>
          </cell>
          <cell r="Y96">
            <v>0</v>
          </cell>
          <cell r="Z96">
            <v>43791.181401273883</v>
          </cell>
          <cell r="AA96">
            <v>7.7515908589335451E-13</v>
          </cell>
          <cell r="AB96">
            <v>893.69757961783444</v>
          </cell>
          <cell r="AC96">
            <v>846635.94471337576</v>
          </cell>
          <cell r="AD96">
            <v>1.4986522947960156E-11</v>
          </cell>
          <cell r="AE96">
            <v>17278.284585987261</v>
          </cell>
          <cell r="AF96">
            <v>55838.94</v>
          </cell>
          <cell r="AG96">
            <v>0</v>
          </cell>
          <cell r="AH96">
            <v>0</v>
          </cell>
          <cell r="AI96">
            <v>29776</v>
          </cell>
          <cell r="AJ96">
            <v>5.2707838094079307E-13</v>
          </cell>
          <cell r="AK96">
            <v>607.68000000000006</v>
          </cell>
          <cell r="AL96">
            <v>512212</v>
          </cell>
          <cell r="AM96">
            <v>0</v>
          </cell>
          <cell r="AN96">
            <v>10057</v>
          </cell>
          <cell r="AO96">
            <v>-767152</v>
          </cell>
          <cell r="AP96">
            <v>-751809</v>
          </cell>
          <cell r="AQ96">
            <v>0</v>
          </cell>
          <cell r="AR96">
            <v>-15343</v>
          </cell>
          <cell r="AS96">
            <v>-1534304</v>
          </cell>
          <cell r="AT96">
            <v>-1082775</v>
          </cell>
          <cell r="AU96">
            <v>-1061118</v>
          </cell>
          <cell r="AV96">
            <v>0</v>
          </cell>
          <cell r="AW96">
            <v>-21655</v>
          </cell>
          <cell r="AX96">
            <v>-2165548</v>
          </cell>
          <cell r="AY96">
            <v>88604971</v>
          </cell>
          <cell r="AZ96">
            <v>7122958.7800000003</v>
          </cell>
          <cell r="BA96">
            <v>1703579.81</v>
          </cell>
          <cell r="BB96">
            <v>2812891.07</v>
          </cell>
          <cell r="BC96">
            <v>43136.76</v>
          </cell>
          <cell r="BD96">
            <v>118396.92</v>
          </cell>
          <cell r="BE96">
            <v>0</v>
          </cell>
          <cell r="BF96">
            <v>2737193.85</v>
          </cell>
          <cell r="BG96">
            <v>118917.95</v>
          </cell>
          <cell r="BH96">
            <v>358189.1</v>
          </cell>
          <cell r="BI96">
            <v>5427.51</v>
          </cell>
          <cell r="BJ96">
            <v>47182.33</v>
          </cell>
          <cell r="BK96">
            <v>150390.71</v>
          </cell>
          <cell r="BL96">
            <v>245353</v>
          </cell>
          <cell r="BM96">
            <v>245353</v>
          </cell>
          <cell r="BN96">
            <v>104170.94</v>
          </cell>
          <cell r="BO96">
            <v>149684</v>
          </cell>
          <cell r="BP96">
            <v>91037592</v>
          </cell>
          <cell r="BQ96">
            <v>263072</v>
          </cell>
          <cell r="BR96">
            <v>3431895</v>
          </cell>
          <cell r="BS96">
            <v>1184064</v>
          </cell>
        </row>
        <row r="97">
          <cell r="A97">
            <v>90</v>
          </cell>
          <cell r="B97" t="str">
            <v>East Staffordshire</v>
          </cell>
          <cell r="C97" t="str">
            <v>E3432</v>
          </cell>
          <cell r="D97">
            <v>180196</v>
          </cell>
          <cell r="G97">
            <v>40651</v>
          </cell>
          <cell r="H97">
            <v>0</v>
          </cell>
          <cell r="I97">
            <v>180196</v>
          </cell>
          <cell r="J97">
            <v>0</v>
          </cell>
          <cell r="K97">
            <v>0</v>
          </cell>
          <cell r="L97">
            <v>0</v>
          </cell>
          <cell r="M97">
            <v>0</v>
          </cell>
          <cell r="N97">
            <v>0</v>
          </cell>
          <cell r="O97">
            <v>0</v>
          </cell>
          <cell r="P97">
            <v>0</v>
          </cell>
          <cell r="Q97">
            <v>233459</v>
          </cell>
          <cell r="R97">
            <v>52528</v>
          </cell>
          <cell r="S97">
            <v>5836</v>
          </cell>
          <cell r="T97">
            <v>0</v>
          </cell>
          <cell r="U97">
            <v>0</v>
          </cell>
          <cell r="V97">
            <v>0</v>
          </cell>
          <cell r="W97">
            <v>10007</v>
          </cell>
          <cell r="X97">
            <v>2252</v>
          </cell>
          <cell r="Y97">
            <v>250</v>
          </cell>
          <cell r="Z97">
            <v>65854.602021231418</v>
          </cell>
          <cell r="AA97">
            <v>14817.285454777068</v>
          </cell>
          <cell r="AB97">
            <v>1646.3650505307855</v>
          </cell>
          <cell r="AC97">
            <v>270845.01061571128</v>
          </cell>
          <cell r="AD97">
            <v>60940.127388535017</v>
          </cell>
          <cell r="AE97">
            <v>6771.1252653927813</v>
          </cell>
          <cell r="AF97">
            <v>0</v>
          </cell>
          <cell r="AG97">
            <v>0</v>
          </cell>
          <cell r="AH97">
            <v>0</v>
          </cell>
          <cell r="AI97">
            <v>0</v>
          </cell>
          <cell r="AJ97">
            <v>0</v>
          </cell>
          <cell r="AK97">
            <v>0</v>
          </cell>
          <cell r="AL97">
            <v>228393</v>
          </cell>
          <cell r="AM97">
            <v>50958</v>
          </cell>
          <cell r="AN97">
            <v>5662</v>
          </cell>
          <cell r="AO97">
            <v>-69287</v>
          </cell>
          <cell r="AP97">
            <v>-55430</v>
          </cell>
          <cell r="AQ97">
            <v>-12472</v>
          </cell>
          <cell r="AR97">
            <v>-1386</v>
          </cell>
          <cell r="AS97">
            <v>-138575</v>
          </cell>
          <cell r="AT97">
            <v>-1846180</v>
          </cell>
          <cell r="AU97">
            <v>-1476944</v>
          </cell>
          <cell r="AV97">
            <v>-332313</v>
          </cell>
          <cell r="AW97">
            <v>-36924</v>
          </cell>
          <cell r="AX97">
            <v>-3692361</v>
          </cell>
          <cell r="AY97">
            <v>48519361</v>
          </cell>
          <cell r="AZ97">
            <v>2377642.9300000002</v>
          </cell>
          <cell r="BA97">
            <v>1048606.97</v>
          </cell>
          <cell r="BB97">
            <v>1839949.11</v>
          </cell>
          <cell r="BC97">
            <v>52594.93</v>
          </cell>
          <cell r="BD97">
            <v>8378.74</v>
          </cell>
          <cell r="BE97">
            <v>213117.68</v>
          </cell>
          <cell r="BF97">
            <v>2428055.77</v>
          </cell>
          <cell r="BG97">
            <v>122544.07</v>
          </cell>
          <cell r="BH97">
            <v>114731.04</v>
          </cell>
          <cell r="BI97">
            <v>9675.1200000000008</v>
          </cell>
          <cell r="BJ97">
            <v>10186.73</v>
          </cell>
          <cell r="BK97">
            <v>2061.63</v>
          </cell>
          <cell r="BL97">
            <v>0</v>
          </cell>
          <cell r="BM97">
            <v>0</v>
          </cell>
          <cell r="BN97">
            <v>0</v>
          </cell>
          <cell r="BO97">
            <v>0</v>
          </cell>
          <cell r="BP97">
            <v>53261979</v>
          </cell>
          <cell r="BQ97">
            <v>484245.93</v>
          </cell>
          <cell r="BR97">
            <v>1821820.82</v>
          </cell>
          <cell r="BS97">
            <v>305929.65999999997</v>
          </cell>
        </row>
        <row r="98">
          <cell r="A98">
            <v>91</v>
          </cell>
          <cell r="B98" t="str">
            <v>Eastbourne</v>
          </cell>
          <cell r="C98" t="str">
            <v>E1432</v>
          </cell>
          <cell r="D98">
            <v>127045</v>
          </cell>
          <cell r="G98">
            <v>37995</v>
          </cell>
          <cell r="H98">
            <v>0</v>
          </cell>
          <cell r="I98">
            <v>127045</v>
          </cell>
          <cell r="J98">
            <v>0</v>
          </cell>
          <cell r="K98">
            <v>0</v>
          </cell>
          <cell r="L98">
            <v>0</v>
          </cell>
          <cell r="M98">
            <v>0</v>
          </cell>
          <cell r="N98">
            <v>0</v>
          </cell>
          <cell r="O98">
            <v>0</v>
          </cell>
          <cell r="P98">
            <v>0</v>
          </cell>
          <cell r="Q98">
            <v>383907</v>
          </cell>
          <cell r="R98">
            <v>86379</v>
          </cell>
          <cell r="S98">
            <v>9598</v>
          </cell>
          <cell r="T98">
            <v>14213</v>
          </cell>
          <cell r="U98">
            <v>3198</v>
          </cell>
          <cell r="V98">
            <v>355</v>
          </cell>
          <cell r="W98">
            <v>0</v>
          </cell>
          <cell r="X98">
            <v>0</v>
          </cell>
          <cell r="Y98">
            <v>0</v>
          </cell>
          <cell r="Z98">
            <v>33547.186411889597</v>
          </cell>
          <cell r="AA98">
            <v>7548.1169426751576</v>
          </cell>
          <cell r="AB98">
            <v>838.67966029723993</v>
          </cell>
          <cell r="AC98">
            <v>291702.09766454354</v>
          </cell>
          <cell r="AD98">
            <v>65632.971974522283</v>
          </cell>
          <cell r="AE98">
            <v>7292.5524416135886</v>
          </cell>
          <cell r="AF98">
            <v>0</v>
          </cell>
          <cell r="AG98">
            <v>0</v>
          </cell>
          <cell r="AH98">
            <v>0</v>
          </cell>
          <cell r="AI98">
            <v>0</v>
          </cell>
          <cell r="AJ98">
            <v>0</v>
          </cell>
          <cell r="AK98">
            <v>0</v>
          </cell>
          <cell r="AL98">
            <v>142135</v>
          </cell>
          <cell r="AM98">
            <v>31677</v>
          </cell>
          <cell r="AN98">
            <v>3520</v>
          </cell>
          <cell r="AO98">
            <v>-271396</v>
          </cell>
          <cell r="AP98">
            <v>-217118</v>
          </cell>
          <cell r="AQ98">
            <v>-48852</v>
          </cell>
          <cell r="AR98">
            <v>-5428</v>
          </cell>
          <cell r="AS98">
            <v>-542794</v>
          </cell>
          <cell r="AT98">
            <v>-818029</v>
          </cell>
          <cell r="AU98">
            <v>-654424</v>
          </cell>
          <cell r="AV98">
            <v>-147245</v>
          </cell>
          <cell r="AW98">
            <v>-16361</v>
          </cell>
          <cell r="AX98">
            <v>-1636059</v>
          </cell>
          <cell r="AY98">
            <v>30650531</v>
          </cell>
          <cell r="AZ98">
            <v>1878624.3</v>
          </cell>
          <cell r="BA98">
            <v>638741.46</v>
          </cell>
          <cell r="BB98">
            <v>2262928.33</v>
          </cell>
          <cell r="BC98">
            <v>74295.539999999994</v>
          </cell>
          <cell r="BD98">
            <v>0</v>
          </cell>
          <cell r="BE98">
            <v>0</v>
          </cell>
          <cell r="BF98">
            <v>569441.76</v>
          </cell>
          <cell r="BG98">
            <v>40550.54</v>
          </cell>
          <cell r="BH98">
            <v>0</v>
          </cell>
          <cell r="BI98">
            <v>0</v>
          </cell>
          <cell r="BJ98">
            <v>0</v>
          </cell>
          <cell r="BK98">
            <v>0</v>
          </cell>
          <cell r="BL98">
            <v>0</v>
          </cell>
          <cell r="BM98">
            <v>0</v>
          </cell>
          <cell r="BN98">
            <v>0</v>
          </cell>
          <cell r="BO98">
            <v>0</v>
          </cell>
          <cell r="BP98">
            <v>32870546.699999999</v>
          </cell>
          <cell r="BQ98">
            <v>316693</v>
          </cell>
          <cell r="BR98">
            <v>1696791</v>
          </cell>
          <cell r="BS98">
            <v>569044</v>
          </cell>
        </row>
        <row r="99">
          <cell r="A99">
            <v>92</v>
          </cell>
          <cell r="B99" t="str">
            <v>Eastleigh</v>
          </cell>
          <cell r="C99" t="str">
            <v>E1733</v>
          </cell>
          <cell r="D99">
            <v>151459</v>
          </cell>
          <cell r="G99">
            <v>-77000</v>
          </cell>
          <cell r="H99">
            <v>0</v>
          </cell>
          <cell r="I99">
            <v>151459</v>
          </cell>
          <cell r="J99">
            <v>0</v>
          </cell>
          <cell r="K99">
            <v>0</v>
          </cell>
          <cell r="L99">
            <v>0</v>
          </cell>
          <cell r="M99">
            <v>0</v>
          </cell>
          <cell r="N99">
            <v>0</v>
          </cell>
          <cell r="O99">
            <v>0</v>
          </cell>
          <cell r="P99">
            <v>0</v>
          </cell>
          <cell r="Q99">
            <v>310513</v>
          </cell>
          <cell r="R99">
            <v>69865</v>
          </cell>
          <cell r="S99">
            <v>7763</v>
          </cell>
          <cell r="T99">
            <v>0</v>
          </cell>
          <cell r="U99">
            <v>0</v>
          </cell>
          <cell r="V99">
            <v>0</v>
          </cell>
          <cell r="W99">
            <v>0</v>
          </cell>
          <cell r="X99">
            <v>0</v>
          </cell>
          <cell r="Y99">
            <v>0</v>
          </cell>
          <cell r="Z99">
            <v>40424.62845010616</v>
          </cell>
          <cell r="AA99">
            <v>9095.5414012738838</v>
          </cell>
          <cell r="AB99">
            <v>1010.6157112526539</v>
          </cell>
          <cell r="AC99">
            <v>242547.77070063693</v>
          </cell>
          <cell r="AD99">
            <v>54573.248407643296</v>
          </cell>
          <cell r="AE99">
            <v>6063.6942675159235</v>
          </cell>
          <cell r="AF99">
            <v>0</v>
          </cell>
          <cell r="AG99">
            <v>0</v>
          </cell>
          <cell r="AH99">
            <v>0</v>
          </cell>
          <cell r="AI99">
            <v>0</v>
          </cell>
          <cell r="AJ99">
            <v>0</v>
          </cell>
          <cell r="AK99">
            <v>0</v>
          </cell>
          <cell r="AL99">
            <v>232752</v>
          </cell>
          <cell r="AM99">
            <v>52007</v>
          </cell>
          <cell r="AN99">
            <v>5779</v>
          </cell>
          <cell r="AO99">
            <v>-245857</v>
          </cell>
          <cell r="AP99">
            <v>-196686</v>
          </cell>
          <cell r="AQ99">
            <v>-44254</v>
          </cell>
          <cell r="AR99">
            <v>-4917</v>
          </cell>
          <cell r="AS99">
            <v>-491714</v>
          </cell>
          <cell r="AT99">
            <v>-1566500</v>
          </cell>
          <cell r="AU99">
            <v>-1253200</v>
          </cell>
          <cell r="AV99">
            <v>-281970</v>
          </cell>
          <cell r="AW99">
            <v>-31330</v>
          </cell>
          <cell r="AX99">
            <v>-3133000</v>
          </cell>
          <cell r="AY99">
            <v>50673586</v>
          </cell>
          <cell r="AZ99">
            <v>1496998</v>
          </cell>
          <cell r="BA99">
            <v>1076831</v>
          </cell>
          <cell r="BB99">
            <v>1933607</v>
          </cell>
          <cell r="BC99">
            <v>0</v>
          </cell>
          <cell r="BD99">
            <v>0</v>
          </cell>
          <cell r="BE99">
            <v>10070</v>
          </cell>
          <cell r="BF99">
            <v>2040391</v>
          </cell>
          <cell r="BG99">
            <v>43624</v>
          </cell>
          <cell r="BH99">
            <v>128112</v>
          </cell>
          <cell r="BI99">
            <v>0</v>
          </cell>
          <cell r="BJ99">
            <v>0</v>
          </cell>
          <cell r="BK99">
            <v>0</v>
          </cell>
          <cell r="BL99">
            <v>0</v>
          </cell>
          <cell r="BM99">
            <v>0</v>
          </cell>
          <cell r="BN99">
            <v>0</v>
          </cell>
          <cell r="BO99">
            <v>0</v>
          </cell>
          <cell r="BP99">
            <v>54616607</v>
          </cell>
          <cell r="BQ99">
            <v>213644</v>
          </cell>
          <cell r="BR99">
            <v>1293967</v>
          </cell>
          <cell r="BS99">
            <v>202240</v>
          </cell>
        </row>
        <row r="100">
          <cell r="A100">
            <v>93</v>
          </cell>
          <cell r="B100" t="str">
            <v>Eden</v>
          </cell>
          <cell r="C100" t="str">
            <v>E0935</v>
          </cell>
          <cell r="D100">
            <v>128447</v>
          </cell>
          <cell r="G100">
            <v>94176</v>
          </cell>
          <cell r="H100">
            <v>0</v>
          </cell>
          <cell r="I100">
            <v>128447</v>
          </cell>
          <cell r="J100">
            <v>0</v>
          </cell>
          <cell r="K100">
            <v>0</v>
          </cell>
          <cell r="L100">
            <v>0</v>
          </cell>
          <cell r="M100">
            <v>0</v>
          </cell>
          <cell r="N100">
            <v>0</v>
          </cell>
          <cell r="O100">
            <v>0</v>
          </cell>
          <cell r="P100">
            <v>0</v>
          </cell>
          <cell r="Q100">
            <v>406274</v>
          </cell>
          <cell r="R100">
            <v>101568</v>
          </cell>
          <cell r="S100">
            <v>0</v>
          </cell>
          <cell r="T100">
            <v>3774</v>
          </cell>
          <cell r="U100">
            <v>943</v>
          </cell>
          <cell r="V100">
            <v>0</v>
          </cell>
          <cell r="W100">
            <v>0</v>
          </cell>
          <cell r="X100">
            <v>0</v>
          </cell>
          <cell r="Y100">
            <v>0</v>
          </cell>
          <cell r="Z100">
            <v>28581.085486199579</v>
          </cell>
          <cell r="AA100">
            <v>7145.271371549893</v>
          </cell>
          <cell r="AB100">
            <v>0</v>
          </cell>
          <cell r="AC100">
            <v>139214.29503184717</v>
          </cell>
          <cell r="AD100">
            <v>34803.573757961778</v>
          </cell>
          <cell r="AE100">
            <v>0</v>
          </cell>
          <cell r="AF100">
            <v>0</v>
          </cell>
          <cell r="AG100">
            <v>0</v>
          </cell>
          <cell r="AH100">
            <v>0</v>
          </cell>
          <cell r="AI100">
            <v>0</v>
          </cell>
          <cell r="AJ100">
            <v>0</v>
          </cell>
          <cell r="AK100">
            <v>0</v>
          </cell>
          <cell r="AL100">
            <v>89065</v>
          </cell>
          <cell r="AM100">
            <v>21925</v>
          </cell>
          <cell r="AN100">
            <v>0</v>
          </cell>
          <cell r="AO100">
            <v>-25724</v>
          </cell>
          <cell r="AP100">
            <v>-20579</v>
          </cell>
          <cell r="AQ100">
            <v>-5145</v>
          </cell>
          <cell r="AR100">
            <v>0</v>
          </cell>
          <cell r="AS100">
            <v>-51448</v>
          </cell>
          <cell r="AT100">
            <v>-203199.04</v>
          </cell>
          <cell r="AU100">
            <v>-162560</v>
          </cell>
          <cell r="AV100">
            <v>-40640</v>
          </cell>
          <cell r="AW100">
            <v>0</v>
          </cell>
          <cell r="AX100">
            <v>-406399.04</v>
          </cell>
          <cell r="AY100">
            <v>19995214</v>
          </cell>
          <cell r="AZ100">
            <v>1980171.35</v>
          </cell>
          <cell r="BA100">
            <v>371685.59</v>
          </cell>
          <cell r="BB100">
            <v>1245892.1100000001</v>
          </cell>
          <cell r="BC100">
            <v>72543.42</v>
          </cell>
          <cell r="BD100">
            <v>63245.86</v>
          </cell>
          <cell r="BE100">
            <v>0</v>
          </cell>
          <cell r="BF100">
            <v>415896.48</v>
          </cell>
          <cell r="BG100">
            <v>49889.13</v>
          </cell>
          <cell r="BH100">
            <v>37045.910000000003</v>
          </cell>
          <cell r="BI100">
            <v>2021.25</v>
          </cell>
          <cell r="BJ100">
            <v>38347.269999999997</v>
          </cell>
          <cell r="BK100">
            <v>3388.77</v>
          </cell>
          <cell r="BL100">
            <v>0</v>
          </cell>
          <cell r="BM100">
            <v>0</v>
          </cell>
          <cell r="BN100">
            <v>0</v>
          </cell>
          <cell r="BO100">
            <v>0</v>
          </cell>
          <cell r="BP100">
            <v>20523837.899999999</v>
          </cell>
          <cell r="BQ100">
            <v>22024</v>
          </cell>
          <cell r="BR100">
            <v>555228</v>
          </cell>
          <cell r="BS100">
            <v>71973</v>
          </cell>
        </row>
        <row r="101">
          <cell r="A101">
            <v>94</v>
          </cell>
          <cell r="B101" t="str">
            <v>Elmbridge</v>
          </cell>
          <cell r="C101" t="str">
            <v>E3631</v>
          </cell>
          <cell r="D101">
            <v>183832</v>
          </cell>
          <cell r="G101">
            <v>15795</v>
          </cell>
          <cell r="H101">
            <v>0</v>
          </cell>
          <cell r="I101">
            <v>183832</v>
          </cell>
          <cell r="J101">
            <v>0</v>
          </cell>
          <cell r="K101">
            <v>0</v>
          </cell>
          <cell r="L101">
            <v>0</v>
          </cell>
          <cell r="M101">
            <v>0</v>
          </cell>
          <cell r="N101">
            <v>0</v>
          </cell>
          <cell r="O101">
            <v>0</v>
          </cell>
          <cell r="P101">
            <v>0</v>
          </cell>
          <cell r="Q101">
            <v>359865</v>
          </cell>
          <cell r="R101">
            <v>89966</v>
          </cell>
          <cell r="S101">
            <v>0</v>
          </cell>
          <cell r="T101">
            <v>0</v>
          </cell>
          <cell r="U101">
            <v>0</v>
          </cell>
          <cell r="V101">
            <v>0</v>
          </cell>
          <cell r="W101">
            <v>0</v>
          </cell>
          <cell r="X101">
            <v>0</v>
          </cell>
          <cell r="Y101">
            <v>0</v>
          </cell>
          <cell r="Z101">
            <v>12341.23481953291</v>
          </cell>
          <cell r="AA101">
            <v>3085.3087048832267</v>
          </cell>
          <cell r="AB101">
            <v>0</v>
          </cell>
          <cell r="AC101">
            <v>369736.99193205946</v>
          </cell>
          <cell r="AD101">
            <v>92434.247983014837</v>
          </cell>
          <cell r="AE101">
            <v>0</v>
          </cell>
          <cell r="AF101">
            <v>0</v>
          </cell>
          <cell r="AG101">
            <v>0</v>
          </cell>
          <cell r="AH101">
            <v>0</v>
          </cell>
          <cell r="AI101">
            <v>9422</v>
          </cell>
          <cell r="AJ101">
            <v>2355.5999999999995</v>
          </cell>
          <cell r="AK101">
            <v>0</v>
          </cell>
          <cell r="AL101">
            <v>227386</v>
          </cell>
          <cell r="AM101">
            <v>56359</v>
          </cell>
          <cell r="AN101">
            <v>0</v>
          </cell>
          <cell r="AO101">
            <v>-253500</v>
          </cell>
          <cell r="AP101">
            <v>-202800</v>
          </cell>
          <cell r="AQ101">
            <v>-50700</v>
          </cell>
          <cell r="AR101">
            <v>0</v>
          </cell>
          <cell r="AS101">
            <v>-507000</v>
          </cell>
          <cell r="AT101">
            <v>-534088</v>
          </cell>
          <cell r="AU101">
            <v>-427270</v>
          </cell>
          <cell r="AV101">
            <v>-106818</v>
          </cell>
          <cell r="AW101">
            <v>0</v>
          </cell>
          <cell r="AX101">
            <v>-1068176</v>
          </cell>
          <cell r="AY101">
            <v>51958852</v>
          </cell>
          <cell r="AZ101">
            <v>1784437</v>
          </cell>
          <cell r="BA101">
            <v>1061928</v>
          </cell>
          <cell r="BB101">
            <v>3018065</v>
          </cell>
          <cell r="BC101">
            <v>53091</v>
          </cell>
          <cell r="BD101">
            <v>0</v>
          </cell>
          <cell r="BE101">
            <v>15523</v>
          </cell>
          <cell r="BF101">
            <v>2829277</v>
          </cell>
          <cell r="BG101">
            <v>97576</v>
          </cell>
          <cell r="BH101">
            <v>332656</v>
          </cell>
          <cell r="BI101">
            <v>0</v>
          </cell>
          <cell r="BJ101">
            <v>0</v>
          </cell>
          <cell r="BK101">
            <v>0</v>
          </cell>
          <cell r="BL101">
            <v>0</v>
          </cell>
          <cell r="BM101">
            <v>0</v>
          </cell>
          <cell r="BN101">
            <v>0</v>
          </cell>
          <cell r="BO101">
            <v>0</v>
          </cell>
          <cell r="BP101">
            <v>53593946</v>
          </cell>
          <cell r="BQ101">
            <v>234989</v>
          </cell>
          <cell r="BR101">
            <v>1027025</v>
          </cell>
          <cell r="BS101">
            <v>606593</v>
          </cell>
        </row>
        <row r="102">
          <cell r="A102">
            <v>95</v>
          </cell>
          <cell r="B102" t="str">
            <v>Enfield</v>
          </cell>
          <cell r="C102" t="str">
            <v>E5037</v>
          </cell>
          <cell r="D102">
            <v>350845</v>
          </cell>
          <cell r="G102">
            <v>433655</v>
          </cell>
          <cell r="H102">
            <v>0</v>
          </cell>
          <cell r="I102">
            <v>350845</v>
          </cell>
          <cell r="J102">
            <v>0</v>
          </cell>
          <cell r="K102">
            <v>0</v>
          </cell>
          <cell r="L102">
            <v>0</v>
          </cell>
          <cell r="M102">
            <v>0</v>
          </cell>
          <cell r="N102">
            <v>0</v>
          </cell>
          <cell r="O102">
            <v>0</v>
          </cell>
          <cell r="P102">
            <v>0</v>
          </cell>
          <cell r="Q102">
            <v>564604</v>
          </cell>
          <cell r="R102">
            <v>376402</v>
          </cell>
          <cell r="S102">
            <v>0</v>
          </cell>
          <cell r="T102">
            <v>0</v>
          </cell>
          <cell r="U102">
            <v>0</v>
          </cell>
          <cell r="V102">
            <v>0</v>
          </cell>
          <cell r="W102">
            <v>0</v>
          </cell>
          <cell r="X102">
            <v>0</v>
          </cell>
          <cell r="Y102">
            <v>0</v>
          </cell>
          <cell r="Z102">
            <v>39609.870063694259</v>
          </cell>
          <cell r="AA102">
            <v>26406.580042462843</v>
          </cell>
          <cell r="AB102">
            <v>0</v>
          </cell>
          <cell r="AC102">
            <v>625773.24840764329</v>
          </cell>
          <cell r="AD102">
            <v>417182.16560509556</v>
          </cell>
          <cell r="AE102">
            <v>0</v>
          </cell>
          <cell r="AF102">
            <v>0</v>
          </cell>
          <cell r="AG102">
            <v>0</v>
          </cell>
          <cell r="AH102">
            <v>0</v>
          </cell>
          <cell r="AI102">
            <v>0</v>
          </cell>
          <cell r="AJ102">
            <v>0</v>
          </cell>
          <cell r="AK102">
            <v>0</v>
          </cell>
          <cell r="AL102">
            <v>339620</v>
          </cell>
          <cell r="AM102">
            <v>223931</v>
          </cell>
          <cell r="AN102">
            <v>0</v>
          </cell>
          <cell r="AO102">
            <v>-3454516</v>
          </cell>
          <cell r="AP102">
            <v>-2072709</v>
          </cell>
          <cell r="AQ102">
            <v>-1381807</v>
          </cell>
          <cell r="AR102">
            <v>0</v>
          </cell>
          <cell r="AS102">
            <v>-6909032</v>
          </cell>
          <cell r="AT102">
            <v>-1208612.54</v>
          </cell>
          <cell r="AU102">
            <v>-725167</v>
          </cell>
          <cell r="AV102">
            <v>-483445</v>
          </cell>
          <cell r="AW102">
            <v>0</v>
          </cell>
          <cell r="AX102">
            <v>-2417224.54</v>
          </cell>
          <cell r="AY102">
            <v>103088619</v>
          </cell>
          <cell r="AZ102">
            <v>3654153</v>
          </cell>
          <cell r="BA102">
            <v>1935147</v>
          </cell>
          <cell r="BB102">
            <v>4542199.4400000004</v>
          </cell>
          <cell r="BC102">
            <v>100153</v>
          </cell>
          <cell r="BD102">
            <v>0</v>
          </cell>
          <cell r="BE102">
            <v>79714</v>
          </cell>
          <cell r="BF102">
            <v>3749929</v>
          </cell>
          <cell r="BG102">
            <v>287648.3</v>
          </cell>
          <cell r="BH102">
            <v>191239.36</v>
          </cell>
          <cell r="BI102">
            <v>0</v>
          </cell>
          <cell r="BJ102">
            <v>0</v>
          </cell>
          <cell r="BK102">
            <v>0</v>
          </cell>
          <cell r="BL102">
            <v>0</v>
          </cell>
          <cell r="BM102">
            <v>0</v>
          </cell>
          <cell r="BN102">
            <v>0</v>
          </cell>
          <cell r="BO102">
            <v>0</v>
          </cell>
          <cell r="BP102">
            <v>106397925</v>
          </cell>
          <cell r="BQ102">
            <v>455031</v>
          </cell>
          <cell r="BR102">
            <v>10351355.4</v>
          </cell>
          <cell r="BS102">
            <v>1583172.61</v>
          </cell>
        </row>
        <row r="103">
          <cell r="A103">
            <v>96</v>
          </cell>
          <cell r="B103" t="str">
            <v>Epping Forest</v>
          </cell>
          <cell r="C103" t="str">
            <v>E1537</v>
          </cell>
          <cell r="D103">
            <v>172663</v>
          </cell>
          <cell r="G103">
            <v>145465</v>
          </cell>
          <cell r="H103">
            <v>0</v>
          </cell>
          <cell r="I103">
            <v>172663</v>
          </cell>
          <cell r="J103">
            <v>0</v>
          </cell>
          <cell r="K103">
            <v>0</v>
          </cell>
          <cell r="L103">
            <v>0</v>
          </cell>
          <cell r="M103">
            <v>0</v>
          </cell>
          <cell r="N103">
            <v>0</v>
          </cell>
          <cell r="O103">
            <v>0</v>
          </cell>
          <cell r="P103">
            <v>0</v>
          </cell>
          <cell r="Q103">
            <v>437074</v>
          </cell>
          <cell r="R103">
            <v>98342</v>
          </cell>
          <cell r="S103">
            <v>10927</v>
          </cell>
          <cell r="T103">
            <v>40424</v>
          </cell>
          <cell r="U103">
            <v>9096</v>
          </cell>
          <cell r="V103">
            <v>1011</v>
          </cell>
          <cell r="W103">
            <v>40424</v>
          </cell>
          <cell r="X103">
            <v>9096</v>
          </cell>
          <cell r="Y103">
            <v>1011</v>
          </cell>
          <cell r="Z103">
            <v>14005.92101910828</v>
          </cell>
          <cell r="AA103">
            <v>3151.3322292993621</v>
          </cell>
          <cell r="AB103">
            <v>350.14802547770699</v>
          </cell>
          <cell r="AC103">
            <v>303006.03651804675</v>
          </cell>
          <cell r="AD103">
            <v>68176.358216560504</v>
          </cell>
          <cell r="AE103">
            <v>7575.1509129511687</v>
          </cell>
          <cell r="AF103">
            <v>0</v>
          </cell>
          <cell r="AG103">
            <v>0</v>
          </cell>
          <cell r="AH103">
            <v>0</v>
          </cell>
          <cell r="AI103">
            <v>0</v>
          </cell>
          <cell r="AJ103">
            <v>0</v>
          </cell>
          <cell r="AK103">
            <v>0</v>
          </cell>
          <cell r="AL103">
            <v>145216</v>
          </cell>
          <cell r="AM103">
            <v>32261</v>
          </cell>
          <cell r="AN103">
            <v>3585</v>
          </cell>
          <cell r="AO103">
            <v>-252659</v>
          </cell>
          <cell r="AP103">
            <v>-202128</v>
          </cell>
          <cell r="AQ103">
            <v>-45479</v>
          </cell>
          <cell r="AR103">
            <v>-5053</v>
          </cell>
          <cell r="AS103">
            <v>-505319</v>
          </cell>
          <cell r="AT103">
            <v>-743033</v>
          </cell>
          <cell r="AU103">
            <v>-594427</v>
          </cell>
          <cell r="AV103">
            <v>-133746</v>
          </cell>
          <cell r="AW103">
            <v>-14860</v>
          </cell>
          <cell r="AX103">
            <v>-1486066</v>
          </cell>
          <cell r="AY103">
            <v>30912359</v>
          </cell>
          <cell r="AZ103">
            <v>2231247.44</v>
          </cell>
          <cell r="BA103">
            <v>612056.92000000004</v>
          </cell>
          <cell r="BB103">
            <v>2119105.34</v>
          </cell>
          <cell r="BC103">
            <v>21419.79</v>
          </cell>
          <cell r="BD103">
            <v>8807.7000000000007</v>
          </cell>
          <cell r="BE103">
            <v>6825.76</v>
          </cell>
          <cell r="BF103">
            <v>1176962.5900000001</v>
          </cell>
          <cell r="BG103">
            <v>13436</v>
          </cell>
          <cell r="BH103">
            <v>54785.440000000002</v>
          </cell>
          <cell r="BI103">
            <v>0</v>
          </cell>
          <cell r="BJ103">
            <v>5284.62</v>
          </cell>
          <cell r="BK103">
            <v>11679</v>
          </cell>
          <cell r="BL103">
            <v>0</v>
          </cell>
          <cell r="BM103">
            <v>0</v>
          </cell>
          <cell r="BN103">
            <v>0</v>
          </cell>
          <cell r="BO103">
            <v>0</v>
          </cell>
          <cell r="BP103">
            <v>32979130</v>
          </cell>
          <cell r="BQ103">
            <v>397804.88</v>
          </cell>
          <cell r="BR103">
            <v>1112462.3899999999</v>
          </cell>
          <cell r="BS103">
            <v>340423.19</v>
          </cell>
        </row>
        <row r="104">
          <cell r="A104">
            <v>97</v>
          </cell>
          <cell r="B104" t="str">
            <v>Epsom &amp; Ewell</v>
          </cell>
          <cell r="C104" t="str">
            <v>E3632</v>
          </cell>
          <cell r="D104">
            <v>87279</v>
          </cell>
          <cell r="G104">
            <v>-368886</v>
          </cell>
          <cell r="H104">
            <v>0</v>
          </cell>
          <cell r="I104">
            <v>87279</v>
          </cell>
          <cell r="J104">
            <v>0</v>
          </cell>
          <cell r="K104">
            <v>0</v>
          </cell>
          <cell r="L104">
            <v>0</v>
          </cell>
          <cell r="M104">
            <v>0</v>
          </cell>
          <cell r="N104">
            <v>0</v>
          </cell>
          <cell r="O104">
            <v>0</v>
          </cell>
          <cell r="P104">
            <v>0</v>
          </cell>
          <cell r="Q104">
            <v>193130</v>
          </cell>
          <cell r="R104">
            <v>48282</v>
          </cell>
          <cell r="S104">
            <v>0</v>
          </cell>
          <cell r="T104">
            <v>0</v>
          </cell>
          <cell r="U104">
            <v>0</v>
          </cell>
          <cell r="V104">
            <v>0</v>
          </cell>
          <cell r="W104">
            <v>0</v>
          </cell>
          <cell r="X104">
            <v>0</v>
          </cell>
          <cell r="Y104">
            <v>0</v>
          </cell>
          <cell r="Z104">
            <v>6467.9405520169857</v>
          </cell>
          <cell r="AA104">
            <v>1616.985138004246</v>
          </cell>
          <cell r="AB104">
            <v>0</v>
          </cell>
          <cell r="AC104">
            <v>177868.36518046711</v>
          </cell>
          <cell r="AD104">
            <v>44467.091295116763</v>
          </cell>
          <cell r="AE104">
            <v>0</v>
          </cell>
          <cell r="AF104">
            <v>0</v>
          </cell>
          <cell r="AG104">
            <v>0</v>
          </cell>
          <cell r="AH104">
            <v>0</v>
          </cell>
          <cell r="AI104">
            <v>0</v>
          </cell>
          <cell r="AJ104">
            <v>0</v>
          </cell>
          <cell r="AK104">
            <v>0</v>
          </cell>
          <cell r="AL104">
            <v>96050</v>
          </cell>
          <cell r="AM104">
            <v>23781</v>
          </cell>
          <cell r="AN104">
            <v>0</v>
          </cell>
          <cell r="AO104">
            <v>-44383</v>
          </cell>
          <cell r="AP104">
            <v>-35507</v>
          </cell>
          <cell r="AQ104">
            <v>-8877</v>
          </cell>
          <cell r="AR104">
            <v>0</v>
          </cell>
          <cell r="AS104">
            <v>-88767</v>
          </cell>
          <cell r="AT104">
            <v>-658278</v>
          </cell>
          <cell r="AU104">
            <v>-526622</v>
          </cell>
          <cell r="AV104">
            <v>-131656</v>
          </cell>
          <cell r="AW104">
            <v>0</v>
          </cell>
          <cell r="AX104">
            <v>-1316556</v>
          </cell>
          <cell r="AY104">
            <v>21322412</v>
          </cell>
          <cell r="AZ104">
            <v>956347</v>
          </cell>
          <cell r="BA104">
            <v>477392</v>
          </cell>
          <cell r="BB104">
            <v>2538611</v>
          </cell>
          <cell r="BC104">
            <v>47759</v>
          </cell>
          <cell r="BD104">
            <v>0</v>
          </cell>
          <cell r="BE104">
            <v>2183</v>
          </cell>
          <cell r="BF104">
            <v>1033235</v>
          </cell>
          <cell r="BG104">
            <v>71694</v>
          </cell>
          <cell r="BH104">
            <v>563</v>
          </cell>
          <cell r="BI104">
            <v>8375</v>
          </cell>
          <cell r="BJ104">
            <v>0</v>
          </cell>
          <cell r="BK104">
            <v>0</v>
          </cell>
          <cell r="BL104">
            <v>0</v>
          </cell>
          <cell r="BM104">
            <v>0</v>
          </cell>
          <cell r="BN104">
            <v>0</v>
          </cell>
          <cell r="BO104">
            <v>0</v>
          </cell>
          <cell r="BP104">
            <v>23036483</v>
          </cell>
          <cell r="BQ104">
            <v>225181</v>
          </cell>
          <cell r="BR104">
            <v>350938</v>
          </cell>
          <cell r="BS104">
            <v>98637</v>
          </cell>
        </row>
        <row r="105">
          <cell r="A105">
            <v>98</v>
          </cell>
          <cell r="B105" t="str">
            <v>Erewash</v>
          </cell>
          <cell r="C105" t="str">
            <v>E1036</v>
          </cell>
          <cell r="D105">
            <v>136145</v>
          </cell>
          <cell r="G105">
            <v>-4348</v>
          </cell>
          <cell r="H105">
            <v>0</v>
          </cell>
          <cell r="I105">
            <v>136145</v>
          </cell>
          <cell r="J105">
            <v>0</v>
          </cell>
          <cell r="K105">
            <v>0</v>
          </cell>
          <cell r="L105">
            <v>0</v>
          </cell>
          <cell r="M105">
            <v>0</v>
          </cell>
          <cell r="N105">
            <v>0</v>
          </cell>
          <cell r="O105">
            <v>0</v>
          </cell>
          <cell r="P105">
            <v>0</v>
          </cell>
          <cell r="Q105">
            <v>475504</v>
          </cell>
          <cell r="R105">
            <v>106989</v>
          </cell>
          <cell r="S105">
            <v>11888</v>
          </cell>
          <cell r="T105">
            <v>4042</v>
          </cell>
          <cell r="U105">
            <v>910</v>
          </cell>
          <cell r="V105">
            <v>101</v>
          </cell>
          <cell r="W105">
            <v>4042</v>
          </cell>
          <cell r="X105">
            <v>910</v>
          </cell>
          <cell r="Y105">
            <v>101</v>
          </cell>
          <cell r="Z105">
            <v>20212.31422505308</v>
          </cell>
          <cell r="AA105">
            <v>4547.7707006369419</v>
          </cell>
          <cell r="AB105">
            <v>505.30785562632695</v>
          </cell>
          <cell r="AC105">
            <v>323397.02760084928</v>
          </cell>
          <cell r="AD105">
            <v>72764.331210191071</v>
          </cell>
          <cell r="AE105">
            <v>8084.9256900212313</v>
          </cell>
          <cell r="AF105">
            <v>0</v>
          </cell>
          <cell r="AG105">
            <v>0</v>
          </cell>
          <cell r="AH105">
            <v>0</v>
          </cell>
          <cell r="AI105">
            <v>0</v>
          </cell>
          <cell r="AJ105">
            <v>0</v>
          </cell>
          <cell r="AK105">
            <v>0</v>
          </cell>
          <cell r="AL105">
            <v>102001</v>
          </cell>
          <cell r="AM105">
            <v>22625</v>
          </cell>
          <cell r="AN105">
            <v>2514</v>
          </cell>
          <cell r="AO105">
            <v>-262000</v>
          </cell>
          <cell r="AP105">
            <v>-209600</v>
          </cell>
          <cell r="AQ105">
            <v>-47160</v>
          </cell>
          <cell r="AR105">
            <v>-5240</v>
          </cell>
          <cell r="AS105">
            <v>-524000</v>
          </cell>
          <cell r="AT105">
            <v>-207500</v>
          </cell>
          <cell r="AU105">
            <v>-166000</v>
          </cell>
          <cell r="AV105">
            <v>-37350</v>
          </cell>
          <cell r="AW105">
            <v>-4150</v>
          </cell>
          <cell r="AX105">
            <v>-415000</v>
          </cell>
          <cell r="AY105">
            <v>23469178</v>
          </cell>
          <cell r="AZ105">
            <v>2324851.33</v>
          </cell>
          <cell r="BA105">
            <v>439130.35</v>
          </cell>
          <cell r="BB105">
            <v>1539184.63</v>
          </cell>
          <cell r="BC105">
            <v>81417.36</v>
          </cell>
          <cell r="BD105">
            <v>1518.98</v>
          </cell>
          <cell r="BE105">
            <v>1604.73</v>
          </cell>
          <cell r="BF105">
            <v>771748.45</v>
          </cell>
          <cell r="BG105">
            <v>20062.310000000001</v>
          </cell>
          <cell r="BH105">
            <v>74152.33</v>
          </cell>
          <cell r="BI105">
            <v>0</v>
          </cell>
          <cell r="BJ105">
            <v>1165.72</v>
          </cell>
          <cell r="BK105">
            <v>0</v>
          </cell>
          <cell r="BL105">
            <v>0</v>
          </cell>
          <cell r="BM105">
            <v>0</v>
          </cell>
          <cell r="BN105">
            <v>0</v>
          </cell>
          <cell r="BO105">
            <v>0</v>
          </cell>
          <cell r="BP105">
            <v>24034750.699999999</v>
          </cell>
          <cell r="BQ105">
            <v>0</v>
          </cell>
          <cell r="BR105">
            <v>1199334.9099999999</v>
          </cell>
          <cell r="BS105">
            <v>1014811.64</v>
          </cell>
        </row>
        <row r="106">
          <cell r="A106">
            <v>99</v>
          </cell>
          <cell r="B106" t="str">
            <v>Exeter</v>
          </cell>
          <cell r="C106" t="str">
            <v>E1132</v>
          </cell>
          <cell r="D106">
            <v>224010</v>
          </cell>
          <cell r="G106">
            <v>92080</v>
          </cell>
          <cell r="H106">
            <v>0</v>
          </cell>
          <cell r="I106">
            <v>224010</v>
          </cell>
          <cell r="J106">
            <v>0</v>
          </cell>
          <cell r="K106">
            <v>0</v>
          </cell>
          <cell r="L106">
            <v>0</v>
          </cell>
          <cell r="M106">
            <v>0</v>
          </cell>
          <cell r="N106">
            <v>0</v>
          </cell>
          <cell r="O106">
            <v>0</v>
          </cell>
          <cell r="P106">
            <v>0</v>
          </cell>
          <cell r="Q106">
            <v>403308</v>
          </cell>
          <cell r="R106">
            <v>90744</v>
          </cell>
          <cell r="S106">
            <v>10083</v>
          </cell>
          <cell r="T106">
            <v>0</v>
          </cell>
          <cell r="U106">
            <v>0</v>
          </cell>
          <cell r="V106">
            <v>0</v>
          </cell>
          <cell r="W106">
            <v>30318</v>
          </cell>
          <cell r="X106">
            <v>6822</v>
          </cell>
          <cell r="Y106">
            <v>758</v>
          </cell>
          <cell r="Z106">
            <v>68721.868365180475</v>
          </cell>
          <cell r="AA106">
            <v>15462.420382165603</v>
          </cell>
          <cell r="AB106">
            <v>1718.0467091295118</v>
          </cell>
          <cell r="AC106">
            <v>498839.91507431003</v>
          </cell>
          <cell r="AD106">
            <v>112238.98089171972</v>
          </cell>
          <cell r="AE106">
            <v>12470.997876857749</v>
          </cell>
          <cell r="AF106">
            <v>0</v>
          </cell>
          <cell r="AG106">
            <v>0</v>
          </cell>
          <cell r="AH106">
            <v>0</v>
          </cell>
          <cell r="AI106">
            <v>622</v>
          </cell>
          <cell r="AJ106">
            <v>140.03189999999998</v>
          </cell>
          <cell r="AK106">
            <v>15.559100000000001</v>
          </cell>
          <cell r="AL106">
            <v>326841</v>
          </cell>
          <cell r="AM106">
            <v>73004</v>
          </cell>
          <cell r="AN106">
            <v>8112</v>
          </cell>
          <cell r="AO106">
            <v>-15000</v>
          </cell>
          <cell r="AP106">
            <v>-12000</v>
          </cell>
          <cell r="AQ106">
            <v>-2700</v>
          </cell>
          <cell r="AR106">
            <v>-300</v>
          </cell>
          <cell r="AS106">
            <v>-30000</v>
          </cell>
          <cell r="AT106">
            <v>-1839659</v>
          </cell>
          <cell r="AU106">
            <v>-1471726</v>
          </cell>
          <cell r="AV106">
            <v>-331139</v>
          </cell>
          <cell r="AW106">
            <v>-36793</v>
          </cell>
          <cell r="AX106">
            <v>-3679317</v>
          </cell>
          <cell r="AY106">
            <v>71286640</v>
          </cell>
          <cell r="AZ106">
            <v>1961775.54</v>
          </cell>
          <cell r="BA106">
            <v>1532187</v>
          </cell>
          <cell r="BB106">
            <v>4997666</v>
          </cell>
          <cell r="BC106">
            <v>32585</v>
          </cell>
          <cell r="BD106">
            <v>0</v>
          </cell>
          <cell r="BE106">
            <v>41379.5</v>
          </cell>
          <cell r="BF106">
            <v>2852306.75</v>
          </cell>
          <cell r="BG106">
            <v>150799</v>
          </cell>
          <cell r="BH106">
            <v>358897.5</v>
          </cell>
          <cell r="BI106">
            <v>2861</v>
          </cell>
          <cell r="BJ106">
            <v>0</v>
          </cell>
          <cell r="BK106">
            <v>0</v>
          </cell>
          <cell r="BL106">
            <v>0</v>
          </cell>
          <cell r="BM106">
            <v>0</v>
          </cell>
          <cell r="BN106">
            <v>0</v>
          </cell>
          <cell r="BO106">
            <v>0</v>
          </cell>
          <cell r="BP106">
            <v>75489920.299999997</v>
          </cell>
          <cell r="BQ106">
            <v>366058.23</v>
          </cell>
          <cell r="BR106">
            <v>1451201</v>
          </cell>
          <cell r="BS106">
            <v>1174874.9099999999</v>
          </cell>
        </row>
        <row r="107">
          <cell r="A107">
            <v>100</v>
          </cell>
          <cell r="B107" t="str">
            <v>Fareham</v>
          </cell>
          <cell r="C107" t="str">
            <v>E1734</v>
          </cell>
          <cell r="D107">
            <v>142074</v>
          </cell>
          <cell r="E107">
            <v>97074</v>
          </cell>
          <cell r="G107">
            <v>-170949</v>
          </cell>
          <cell r="H107">
            <v>2710</v>
          </cell>
          <cell r="I107">
            <v>142074</v>
          </cell>
          <cell r="J107">
            <v>0</v>
          </cell>
          <cell r="K107">
            <v>63585</v>
          </cell>
          <cell r="L107">
            <v>0</v>
          </cell>
          <cell r="M107">
            <v>171250</v>
          </cell>
          <cell r="N107">
            <v>171250</v>
          </cell>
          <cell r="O107">
            <v>0</v>
          </cell>
          <cell r="P107">
            <v>0</v>
          </cell>
          <cell r="Q107">
            <v>307362</v>
          </cell>
          <cell r="R107">
            <v>69156</v>
          </cell>
          <cell r="S107">
            <v>7684</v>
          </cell>
          <cell r="T107">
            <v>8085</v>
          </cell>
          <cell r="U107">
            <v>1819</v>
          </cell>
          <cell r="V107">
            <v>202</v>
          </cell>
          <cell r="W107">
            <v>10567</v>
          </cell>
          <cell r="X107">
            <v>2378</v>
          </cell>
          <cell r="Y107">
            <v>264</v>
          </cell>
          <cell r="Z107">
            <v>12099.899787685776</v>
          </cell>
          <cell r="AA107">
            <v>2722.4774522292987</v>
          </cell>
          <cell r="AB107">
            <v>302.49749469214436</v>
          </cell>
          <cell r="AC107">
            <v>216676.00849256903</v>
          </cell>
          <cell r="AD107">
            <v>48752.101910828023</v>
          </cell>
          <cell r="AE107">
            <v>5416.9002123142254</v>
          </cell>
          <cell r="AF107">
            <v>0</v>
          </cell>
          <cell r="AG107">
            <v>0</v>
          </cell>
          <cell r="AH107">
            <v>0</v>
          </cell>
          <cell r="AI107">
            <v>0</v>
          </cell>
          <cell r="AJ107">
            <v>0</v>
          </cell>
          <cell r="AK107">
            <v>0</v>
          </cell>
          <cell r="AL107">
            <v>179344</v>
          </cell>
          <cell r="AM107">
            <v>39452</v>
          </cell>
          <cell r="AN107">
            <v>4384</v>
          </cell>
          <cell r="AO107">
            <v>-210563.49</v>
          </cell>
          <cell r="AP107">
            <v>-168450</v>
          </cell>
          <cell r="AQ107">
            <v>-37901</v>
          </cell>
          <cell r="AR107">
            <v>-4211</v>
          </cell>
          <cell r="AS107">
            <v>-421125.49</v>
          </cell>
          <cell r="AT107">
            <v>-1688710.02</v>
          </cell>
          <cell r="AU107">
            <v>-1350967</v>
          </cell>
          <cell r="AV107">
            <v>-303967</v>
          </cell>
          <cell r="AW107">
            <v>-33774</v>
          </cell>
          <cell r="AX107">
            <v>-3377418.02</v>
          </cell>
          <cell r="AY107">
            <v>36314926</v>
          </cell>
          <cell r="AZ107">
            <v>1517481.01</v>
          </cell>
          <cell r="BA107">
            <v>866676.8</v>
          </cell>
          <cell r="BB107">
            <v>2873598.79</v>
          </cell>
          <cell r="BC107">
            <v>0</v>
          </cell>
          <cell r="BD107">
            <v>0</v>
          </cell>
          <cell r="BE107">
            <v>102005.57</v>
          </cell>
          <cell r="BF107">
            <v>1396173.39</v>
          </cell>
          <cell r="BG107">
            <v>145215.54999999999</v>
          </cell>
          <cell r="BH107">
            <v>329327.95</v>
          </cell>
          <cell r="BI107">
            <v>0</v>
          </cell>
          <cell r="BJ107">
            <v>0</v>
          </cell>
          <cell r="BK107">
            <v>0</v>
          </cell>
          <cell r="BL107">
            <v>86292.83</v>
          </cell>
          <cell r="BM107">
            <v>86292.83</v>
          </cell>
          <cell r="BN107">
            <v>86292.83</v>
          </cell>
          <cell r="BO107">
            <v>0</v>
          </cell>
          <cell r="BP107">
            <v>40644791.399999999</v>
          </cell>
          <cell r="BQ107">
            <v>0</v>
          </cell>
          <cell r="BR107">
            <v>790922.1</v>
          </cell>
          <cell r="BS107">
            <v>368704</v>
          </cell>
        </row>
        <row r="108">
          <cell r="A108">
            <v>101</v>
          </cell>
          <cell r="B108" t="str">
            <v>Fenland</v>
          </cell>
          <cell r="C108" t="str">
            <v>E0533</v>
          </cell>
          <cell r="D108">
            <v>127291</v>
          </cell>
          <cell r="G108">
            <v>243270</v>
          </cell>
          <cell r="H108">
            <v>0</v>
          </cell>
          <cell r="I108">
            <v>127291</v>
          </cell>
          <cell r="J108">
            <v>0</v>
          </cell>
          <cell r="K108">
            <v>0</v>
          </cell>
          <cell r="L108">
            <v>0</v>
          </cell>
          <cell r="M108">
            <v>0</v>
          </cell>
          <cell r="N108">
            <v>0</v>
          </cell>
          <cell r="O108">
            <v>0</v>
          </cell>
          <cell r="P108">
            <v>0</v>
          </cell>
          <cell r="Q108">
            <v>427850</v>
          </cell>
          <cell r="R108">
            <v>96266</v>
          </cell>
          <cell r="S108">
            <v>10696</v>
          </cell>
          <cell r="T108">
            <v>0</v>
          </cell>
          <cell r="U108">
            <v>0</v>
          </cell>
          <cell r="V108">
            <v>0</v>
          </cell>
          <cell r="W108">
            <v>12127</v>
          </cell>
          <cell r="X108">
            <v>2729</v>
          </cell>
          <cell r="Y108">
            <v>303</v>
          </cell>
          <cell r="Z108">
            <v>3476.51804670913</v>
          </cell>
          <cell r="AA108">
            <v>782.21656050955403</v>
          </cell>
          <cell r="AB108">
            <v>86.912951167728238</v>
          </cell>
          <cell r="AC108">
            <v>190771.50233545649</v>
          </cell>
          <cell r="AD108">
            <v>42923.5880254777</v>
          </cell>
          <cell r="AE108">
            <v>4769.2875583864125</v>
          </cell>
          <cell r="AF108">
            <v>0</v>
          </cell>
          <cell r="AG108">
            <v>0</v>
          </cell>
          <cell r="AH108">
            <v>0</v>
          </cell>
          <cell r="AI108">
            <v>0</v>
          </cell>
          <cell r="AJ108">
            <v>0</v>
          </cell>
          <cell r="AK108">
            <v>0</v>
          </cell>
          <cell r="AL108">
            <v>100046</v>
          </cell>
          <cell r="AM108">
            <v>22206</v>
          </cell>
          <cell r="AN108">
            <v>2467</v>
          </cell>
          <cell r="AO108">
            <v>-160546.53</v>
          </cell>
          <cell r="AP108">
            <v>-128438</v>
          </cell>
          <cell r="AQ108">
            <v>-28899</v>
          </cell>
          <cell r="AR108">
            <v>-3211</v>
          </cell>
          <cell r="AS108">
            <v>-321094.53000000003</v>
          </cell>
          <cell r="AT108">
            <v>-507869</v>
          </cell>
          <cell r="AU108">
            <v>-406295</v>
          </cell>
          <cell r="AV108">
            <v>-91416</v>
          </cell>
          <cell r="AW108">
            <v>-10158</v>
          </cell>
          <cell r="AX108">
            <v>-1015738</v>
          </cell>
          <cell r="AY108">
            <v>23323813</v>
          </cell>
          <cell r="AZ108">
            <v>2080173</v>
          </cell>
          <cell r="BA108">
            <v>495806</v>
          </cell>
          <cell r="BB108">
            <v>1719473</v>
          </cell>
          <cell r="BC108">
            <v>27683</v>
          </cell>
          <cell r="BD108">
            <v>32945</v>
          </cell>
          <cell r="BE108">
            <v>0</v>
          </cell>
          <cell r="BF108">
            <v>704171</v>
          </cell>
          <cell r="BG108">
            <v>27972</v>
          </cell>
          <cell r="BH108">
            <v>60993</v>
          </cell>
          <cell r="BI108">
            <v>0</v>
          </cell>
          <cell r="BJ108">
            <v>32945</v>
          </cell>
          <cell r="BK108">
            <v>23833</v>
          </cell>
          <cell r="BL108">
            <v>0</v>
          </cell>
          <cell r="BM108">
            <v>0</v>
          </cell>
          <cell r="BN108">
            <v>0</v>
          </cell>
          <cell r="BO108">
            <v>0</v>
          </cell>
          <cell r="BP108">
            <v>24384637.300000001</v>
          </cell>
          <cell r="BQ108">
            <v>215568.61</v>
          </cell>
          <cell r="BR108">
            <v>657122.53</v>
          </cell>
          <cell r="BS108">
            <v>148032.29999999999</v>
          </cell>
        </row>
        <row r="109">
          <cell r="A109">
            <v>102</v>
          </cell>
          <cell r="B109" t="str">
            <v>Forest Heath</v>
          </cell>
          <cell r="C109" t="str">
            <v>E3532</v>
          </cell>
          <cell r="D109">
            <v>90011</v>
          </cell>
          <cell r="G109">
            <v>11450</v>
          </cell>
          <cell r="H109">
            <v>0</v>
          </cell>
          <cell r="I109">
            <v>90011</v>
          </cell>
          <cell r="J109">
            <v>0</v>
          </cell>
          <cell r="K109">
            <v>40000</v>
          </cell>
          <cell r="L109">
            <v>0</v>
          </cell>
          <cell r="M109">
            <v>0</v>
          </cell>
          <cell r="N109">
            <v>0</v>
          </cell>
          <cell r="O109">
            <v>0</v>
          </cell>
          <cell r="P109">
            <v>0</v>
          </cell>
          <cell r="Q109">
            <v>251448</v>
          </cell>
          <cell r="R109">
            <v>62862</v>
          </cell>
          <cell r="S109">
            <v>0</v>
          </cell>
          <cell r="T109">
            <v>0</v>
          </cell>
          <cell r="U109">
            <v>0</v>
          </cell>
          <cell r="V109">
            <v>0</v>
          </cell>
          <cell r="W109">
            <v>0</v>
          </cell>
          <cell r="X109">
            <v>0</v>
          </cell>
          <cell r="Y109">
            <v>0</v>
          </cell>
          <cell r="Z109">
            <v>11685.547346072188</v>
          </cell>
          <cell r="AA109">
            <v>2921.386836518046</v>
          </cell>
          <cell r="AB109">
            <v>0</v>
          </cell>
          <cell r="AC109">
            <v>120804.95966029725</v>
          </cell>
          <cell r="AD109">
            <v>30201.239915074304</v>
          </cell>
          <cell r="AE109">
            <v>0</v>
          </cell>
          <cell r="AF109">
            <v>0</v>
          </cell>
          <cell r="AG109">
            <v>0</v>
          </cell>
          <cell r="AH109">
            <v>0</v>
          </cell>
          <cell r="AI109">
            <v>0</v>
          </cell>
          <cell r="AJ109">
            <v>0</v>
          </cell>
          <cell r="AK109">
            <v>0</v>
          </cell>
          <cell r="AL109">
            <v>92286</v>
          </cell>
          <cell r="AM109">
            <v>22726</v>
          </cell>
          <cell r="AN109">
            <v>0</v>
          </cell>
          <cell r="AO109">
            <v>-91625.600000000006</v>
          </cell>
          <cell r="AP109">
            <v>-73300</v>
          </cell>
          <cell r="AQ109">
            <v>-18325</v>
          </cell>
          <cell r="AR109">
            <v>0</v>
          </cell>
          <cell r="AS109">
            <v>-183250.6</v>
          </cell>
          <cell r="AT109">
            <v>-200411</v>
          </cell>
          <cell r="AU109">
            <v>-160330</v>
          </cell>
          <cell r="AV109">
            <v>-40082</v>
          </cell>
          <cell r="AW109">
            <v>0</v>
          </cell>
          <cell r="AX109">
            <v>-400823</v>
          </cell>
          <cell r="AY109">
            <v>20670701</v>
          </cell>
          <cell r="AZ109">
            <v>1230221.72</v>
          </cell>
          <cell r="BA109">
            <v>400596.25</v>
          </cell>
          <cell r="BB109">
            <v>939947.12</v>
          </cell>
          <cell r="BC109">
            <v>10360.11</v>
          </cell>
          <cell r="BD109">
            <v>18299.07</v>
          </cell>
          <cell r="BE109">
            <v>50315.87</v>
          </cell>
          <cell r="BF109">
            <v>582903.81000000006</v>
          </cell>
          <cell r="BG109">
            <v>14770.78</v>
          </cell>
          <cell r="BH109">
            <v>607.34</v>
          </cell>
          <cell r="BI109">
            <v>548.36</v>
          </cell>
          <cell r="BJ109">
            <v>3990.91</v>
          </cell>
          <cell r="BK109">
            <v>0</v>
          </cell>
          <cell r="BL109">
            <v>0</v>
          </cell>
          <cell r="BM109">
            <v>0</v>
          </cell>
          <cell r="BN109">
            <v>0</v>
          </cell>
          <cell r="BO109">
            <v>0</v>
          </cell>
          <cell r="BP109">
            <v>21497347.899999999</v>
          </cell>
          <cell r="BQ109">
            <v>106376</v>
          </cell>
          <cell r="BR109">
            <v>602504.47</v>
          </cell>
          <cell r="BS109">
            <v>375296.2</v>
          </cell>
        </row>
        <row r="110">
          <cell r="A110">
            <v>103</v>
          </cell>
          <cell r="B110" t="str">
            <v>Forest of Dean</v>
          </cell>
          <cell r="C110" t="str">
            <v>E1633</v>
          </cell>
          <cell r="D110">
            <v>119688</v>
          </cell>
          <cell r="G110">
            <v>21093</v>
          </cell>
          <cell r="H110">
            <v>0</v>
          </cell>
          <cell r="I110">
            <v>119688</v>
          </cell>
          <cell r="J110">
            <v>0</v>
          </cell>
          <cell r="K110">
            <v>0</v>
          </cell>
          <cell r="L110">
            <v>0</v>
          </cell>
          <cell r="M110">
            <v>0</v>
          </cell>
          <cell r="N110">
            <v>0</v>
          </cell>
          <cell r="O110">
            <v>0</v>
          </cell>
          <cell r="P110">
            <v>0</v>
          </cell>
          <cell r="Q110">
            <v>420925</v>
          </cell>
          <cell r="R110">
            <v>105231</v>
          </cell>
          <cell r="S110">
            <v>0</v>
          </cell>
          <cell r="T110">
            <v>9897</v>
          </cell>
          <cell r="U110">
            <v>2474</v>
          </cell>
          <cell r="V110">
            <v>0</v>
          </cell>
          <cell r="W110">
            <v>0</v>
          </cell>
          <cell r="X110">
            <v>0</v>
          </cell>
          <cell r="Y110">
            <v>0</v>
          </cell>
          <cell r="Z110">
            <v>10771.546496815288</v>
          </cell>
          <cell r="AA110">
            <v>2692.8866242038212</v>
          </cell>
          <cell r="AB110">
            <v>0</v>
          </cell>
          <cell r="AC110">
            <v>110763.48195329087</v>
          </cell>
          <cell r="AD110">
            <v>27690.870488322711</v>
          </cell>
          <cell r="AE110">
            <v>0</v>
          </cell>
          <cell r="AF110">
            <v>0</v>
          </cell>
          <cell r="AG110">
            <v>0</v>
          </cell>
          <cell r="AH110">
            <v>0</v>
          </cell>
          <cell r="AI110">
            <v>0</v>
          </cell>
          <cell r="AJ110">
            <v>0</v>
          </cell>
          <cell r="AK110">
            <v>0</v>
          </cell>
          <cell r="AL110">
            <v>49279</v>
          </cell>
          <cell r="AM110">
            <v>12002</v>
          </cell>
          <cell r="AN110">
            <v>0</v>
          </cell>
          <cell r="AO110">
            <v>-119704</v>
          </cell>
          <cell r="AP110">
            <v>-95763</v>
          </cell>
          <cell r="AQ110">
            <v>-23941</v>
          </cell>
          <cell r="AR110">
            <v>0</v>
          </cell>
          <cell r="AS110">
            <v>-239408</v>
          </cell>
          <cell r="AT110">
            <v>-125591</v>
          </cell>
          <cell r="AU110">
            <v>-100474</v>
          </cell>
          <cell r="AV110">
            <v>-25119</v>
          </cell>
          <cell r="AW110">
            <v>0</v>
          </cell>
          <cell r="AX110">
            <v>-251184</v>
          </cell>
          <cell r="AY110">
            <v>11353002</v>
          </cell>
          <cell r="AZ110">
            <v>2066142.23</v>
          </cell>
          <cell r="BA110">
            <v>214488.95</v>
          </cell>
          <cell r="BB110">
            <v>1434295.69</v>
          </cell>
          <cell r="BC110">
            <v>2778.9</v>
          </cell>
          <cell r="BD110">
            <v>50338.86</v>
          </cell>
          <cell r="BE110">
            <v>77684.27</v>
          </cell>
          <cell r="BF110">
            <v>411876.67</v>
          </cell>
          <cell r="BG110">
            <v>62799.19</v>
          </cell>
          <cell r="BH110">
            <v>67091.240000000005</v>
          </cell>
          <cell r="BI110">
            <v>393.29</v>
          </cell>
          <cell r="BJ110">
            <v>50338.58</v>
          </cell>
          <cell r="BK110">
            <v>0</v>
          </cell>
          <cell r="BL110">
            <v>0</v>
          </cell>
          <cell r="BM110">
            <v>0</v>
          </cell>
          <cell r="BN110">
            <v>0</v>
          </cell>
          <cell r="BO110">
            <v>0</v>
          </cell>
          <cell r="BP110">
            <v>11669091.1</v>
          </cell>
          <cell r="BQ110">
            <v>37362</v>
          </cell>
          <cell r="BR110">
            <v>742343</v>
          </cell>
          <cell r="BS110">
            <v>54436</v>
          </cell>
        </row>
        <row r="111">
          <cell r="A111">
            <v>104</v>
          </cell>
          <cell r="B111" t="str">
            <v>Fylde</v>
          </cell>
          <cell r="C111" t="str">
            <v>E2335</v>
          </cell>
          <cell r="D111">
            <v>111357</v>
          </cell>
          <cell r="E111">
            <v>1956812</v>
          </cell>
          <cell r="F111">
            <v>0</v>
          </cell>
          <cell r="G111">
            <v>75333</v>
          </cell>
          <cell r="H111">
            <v>0</v>
          </cell>
          <cell r="I111">
            <v>111357</v>
          </cell>
          <cell r="J111">
            <v>0</v>
          </cell>
          <cell r="K111">
            <v>0</v>
          </cell>
          <cell r="L111">
            <v>0</v>
          </cell>
          <cell r="M111">
            <v>0</v>
          </cell>
          <cell r="N111">
            <v>0</v>
          </cell>
          <cell r="O111">
            <v>0</v>
          </cell>
          <cell r="P111">
            <v>0</v>
          </cell>
          <cell r="Q111">
            <v>386351</v>
          </cell>
          <cell r="R111">
            <v>86929</v>
          </cell>
          <cell r="S111">
            <v>9659</v>
          </cell>
          <cell r="T111">
            <v>38635</v>
          </cell>
          <cell r="U111">
            <v>8693</v>
          </cell>
          <cell r="V111">
            <v>966</v>
          </cell>
          <cell r="W111">
            <v>20212</v>
          </cell>
          <cell r="X111">
            <v>4548</v>
          </cell>
          <cell r="Y111">
            <v>505</v>
          </cell>
          <cell r="Z111">
            <v>10433.5966029724</v>
          </cell>
          <cell r="AA111">
            <v>2347.5592356687894</v>
          </cell>
          <cell r="AB111">
            <v>260.83991507431</v>
          </cell>
          <cell r="AC111">
            <v>199780.53503184716</v>
          </cell>
          <cell r="AD111">
            <v>44950.620382165602</v>
          </cell>
          <cell r="AE111">
            <v>4994.5133757961785</v>
          </cell>
          <cell r="AF111">
            <v>0</v>
          </cell>
          <cell r="AG111">
            <v>0</v>
          </cell>
          <cell r="AH111">
            <v>0</v>
          </cell>
          <cell r="AI111">
            <v>0</v>
          </cell>
          <cell r="AJ111">
            <v>0</v>
          </cell>
          <cell r="AK111">
            <v>0</v>
          </cell>
          <cell r="AL111">
            <v>98005</v>
          </cell>
          <cell r="AM111">
            <v>21785</v>
          </cell>
          <cell r="AN111">
            <v>2421</v>
          </cell>
          <cell r="AO111">
            <v>-318145</v>
          </cell>
          <cell r="AP111">
            <v>-254516</v>
          </cell>
          <cell r="AQ111">
            <v>-57266</v>
          </cell>
          <cell r="AR111">
            <v>-6363</v>
          </cell>
          <cell r="AS111">
            <v>-636290</v>
          </cell>
          <cell r="AT111">
            <v>-607896</v>
          </cell>
          <cell r="AU111">
            <v>-486316</v>
          </cell>
          <cell r="AV111">
            <v>-109421</v>
          </cell>
          <cell r="AW111">
            <v>-12158</v>
          </cell>
          <cell r="AX111">
            <v>-1215791</v>
          </cell>
          <cell r="AY111">
            <v>23105547</v>
          </cell>
          <cell r="AZ111">
            <v>1870281</v>
          </cell>
          <cell r="BA111">
            <v>454187</v>
          </cell>
          <cell r="BB111">
            <v>1090206</v>
          </cell>
          <cell r="BC111">
            <v>4464</v>
          </cell>
          <cell r="BD111">
            <v>3125</v>
          </cell>
          <cell r="BE111">
            <v>506</v>
          </cell>
          <cell r="BF111">
            <v>626159</v>
          </cell>
          <cell r="BG111">
            <v>55569</v>
          </cell>
          <cell r="BH111">
            <v>22008</v>
          </cell>
          <cell r="BI111">
            <v>682</v>
          </cell>
          <cell r="BJ111">
            <v>2991</v>
          </cell>
          <cell r="BK111">
            <v>4620</v>
          </cell>
          <cell r="BL111">
            <v>0</v>
          </cell>
          <cell r="BM111">
            <v>0</v>
          </cell>
          <cell r="BN111">
            <v>0</v>
          </cell>
          <cell r="BO111">
            <v>0</v>
          </cell>
          <cell r="BP111">
            <v>24643705</v>
          </cell>
          <cell r="BQ111">
            <v>125926</v>
          </cell>
          <cell r="BR111">
            <v>1276326</v>
          </cell>
          <cell r="BS111">
            <v>309345</v>
          </cell>
        </row>
        <row r="112">
          <cell r="A112">
            <v>105</v>
          </cell>
          <cell r="B112" t="str">
            <v>Gateshead</v>
          </cell>
          <cell r="C112" t="str">
            <v>E4501</v>
          </cell>
          <cell r="D112">
            <v>293640</v>
          </cell>
          <cell r="E112">
            <v>1133341</v>
          </cell>
          <cell r="G112">
            <v>87888</v>
          </cell>
          <cell r="H112">
            <v>-31954</v>
          </cell>
          <cell r="I112">
            <v>293640</v>
          </cell>
          <cell r="J112">
            <v>46699</v>
          </cell>
          <cell r="K112">
            <v>0</v>
          </cell>
          <cell r="L112">
            <v>0</v>
          </cell>
          <cell r="M112">
            <v>0</v>
          </cell>
          <cell r="N112">
            <v>0</v>
          </cell>
          <cell r="O112">
            <v>0</v>
          </cell>
          <cell r="P112">
            <v>0</v>
          </cell>
          <cell r="Q112">
            <v>877195</v>
          </cell>
          <cell r="R112">
            <v>0</v>
          </cell>
          <cell r="S112">
            <v>17902</v>
          </cell>
          <cell r="T112">
            <v>44984</v>
          </cell>
          <cell r="U112">
            <v>0</v>
          </cell>
          <cell r="V112">
            <v>918</v>
          </cell>
          <cell r="W112">
            <v>154503</v>
          </cell>
          <cell r="X112">
            <v>0</v>
          </cell>
          <cell r="Y112">
            <v>3153</v>
          </cell>
          <cell r="Z112">
            <v>41276.051974522292</v>
          </cell>
          <cell r="AA112">
            <v>7.306381260800272E-13</v>
          </cell>
          <cell r="AB112">
            <v>842.36840764331214</v>
          </cell>
          <cell r="AC112">
            <v>396161.35881104029</v>
          </cell>
          <cell r="AD112">
            <v>7.0125551980039076E-12</v>
          </cell>
          <cell r="AE112">
            <v>8084.9256900212313</v>
          </cell>
          <cell r="AF112">
            <v>0</v>
          </cell>
          <cell r="AG112">
            <v>0</v>
          </cell>
          <cell r="AH112">
            <v>0</v>
          </cell>
          <cell r="AI112">
            <v>0</v>
          </cell>
          <cell r="AJ112">
            <v>0</v>
          </cell>
          <cell r="AK112">
            <v>0</v>
          </cell>
          <cell r="AL112">
            <v>470719</v>
          </cell>
          <cell r="AM112">
            <v>0</v>
          </cell>
          <cell r="AN112">
            <v>9533</v>
          </cell>
          <cell r="AO112">
            <v>-1582500</v>
          </cell>
          <cell r="AP112">
            <v>-1550850</v>
          </cell>
          <cell r="AQ112">
            <v>0</v>
          </cell>
          <cell r="AR112">
            <v>-31650</v>
          </cell>
          <cell r="AS112">
            <v>-3165000</v>
          </cell>
          <cell r="AT112">
            <v>-1689937</v>
          </cell>
          <cell r="AU112">
            <v>-1656139</v>
          </cell>
          <cell r="AV112">
            <v>0</v>
          </cell>
          <cell r="AW112">
            <v>-33799</v>
          </cell>
          <cell r="AX112">
            <v>-3379875</v>
          </cell>
          <cell r="AY112">
            <v>82395866</v>
          </cell>
          <cell r="AZ112">
            <v>3557565</v>
          </cell>
          <cell r="BA112">
            <v>1731170</v>
          </cell>
          <cell r="BB112">
            <v>3434055</v>
          </cell>
          <cell r="BC112">
            <v>92165</v>
          </cell>
          <cell r="BD112">
            <v>10992</v>
          </cell>
          <cell r="BE112">
            <v>16820</v>
          </cell>
          <cell r="BF112">
            <v>4206971</v>
          </cell>
          <cell r="BG112">
            <v>87345</v>
          </cell>
          <cell r="BH112">
            <v>39732</v>
          </cell>
          <cell r="BI112">
            <v>0</v>
          </cell>
          <cell r="BJ112">
            <v>0</v>
          </cell>
          <cell r="BK112">
            <v>0</v>
          </cell>
          <cell r="BL112">
            <v>0</v>
          </cell>
          <cell r="BM112">
            <v>0</v>
          </cell>
          <cell r="BN112">
            <v>0</v>
          </cell>
          <cell r="BO112">
            <v>0</v>
          </cell>
          <cell r="BP112">
            <v>87772218</v>
          </cell>
          <cell r="BQ112">
            <v>1038956</v>
          </cell>
          <cell r="BR112">
            <v>6654302</v>
          </cell>
          <cell r="BS112">
            <v>2074431</v>
          </cell>
        </row>
        <row r="113">
          <cell r="A113">
            <v>106</v>
          </cell>
          <cell r="B113" t="str">
            <v>Gedling</v>
          </cell>
          <cell r="C113" t="str">
            <v>E3034</v>
          </cell>
          <cell r="D113">
            <v>101805</v>
          </cell>
          <cell r="G113">
            <v>-10336</v>
          </cell>
          <cell r="H113">
            <v>0</v>
          </cell>
          <cell r="I113">
            <v>101805</v>
          </cell>
          <cell r="J113">
            <v>0</v>
          </cell>
          <cell r="K113">
            <v>0</v>
          </cell>
          <cell r="L113">
            <v>0</v>
          </cell>
          <cell r="M113">
            <v>0</v>
          </cell>
          <cell r="N113">
            <v>0</v>
          </cell>
          <cell r="O113">
            <v>0</v>
          </cell>
          <cell r="P113">
            <v>0</v>
          </cell>
          <cell r="Q113">
            <v>316703</v>
          </cell>
          <cell r="R113">
            <v>71258</v>
          </cell>
          <cell r="S113">
            <v>7918</v>
          </cell>
          <cell r="T113">
            <v>0</v>
          </cell>
          <cell r="U113">
            <v>0</v>
          </cell>
          <cell r="V113">
            <v>0</v>
          </cell>
          <cell r="W113">
            <v>0</v>
          </cell>
          <cell r="X113">
            <v>0</v>
          </cell>
          <cell r="Y113">
            <v>0</v>
          </cell>
          <cell r="Z113">
            <v>0</v>
          </cell>
          <cell r="AA113">
            <v>0</v>
          </cell>
          <cell r="AB113">
            <v>0</v>
          </cell>
          <cell r="AC113">
            <v>150587.80467091297</v>
          </cell>
          <cell r="AD113">
            <v>33882.25605095541</v>
          </cell>
          <cell r="AE113">
            <v>3764.6951167728239</v>
          </cell>
          <cell r="AF113">
            <v>0</v>
          </cell>
          <cell r="AG113">
            <v>0</v>
          </cell>
          <cell r="AH113">
            <v>0</v>
          </cell>
          <cell r="AI113">
            <v>0</v>
          </cell>
          <cell r="AJ113">
            <v>0</v>
          </cell>
          <cell r="AK113">
            <v>0</v>
          </cell>
          <cell r="AL113">
            <v>90508</v>
          </cell>
          <cell r="AM113">
            <v>20121</v>
          </cell>
          <cell r="AN113">
            <v>2236</v>
          </cell>
          <cell r="AO113">
            <v>-104343</v>
          </cell>
          <cell r="AP113">
            <v>-83475</v>
          </cell>
          <cell r="AQ113">
            <v>-18782</v>
          </cell>
          <cell r="AR113">
            <v>-2087</v>
          </cell>
          <cell r="AS113">
            <v>-208687</v>
          </cell>
          <cell r="AT113">
            <v>-278061</v>
          </cell>
          <cell r="AU113">
            <v>-222448</v>
          </cell>
          <cell r="AV113">
            <v>-50051</v>
          </cell>
          <cell r="AW113">
            <v>-5561</v>
          </cell>
          <cell r="AX113">
            <v>-556121</v>
          </cell>
          <cell r="AY113">
            <v>19801611</v>
          </cell>
          <cell r="AZ113">
            <v>1535826.94</v>
          </cell>
          <cell r="BA113">
            <v>384544.13</v>
          </cell>
          <cell r="BB113">
            <v>1061950.5</v>
          </cell>
          <cell r="BC113">
            <v>47194.2</v>
          </cell>
          <cell r="BD113">
            <v>1277.5899999999999</v>
          </cell>
          <cell r="BE113">
            <v>0</v>
          </cell>
          <cell r="BF113">
            <v>485397.65</v>
          </cell>
          <cell r="BG113">
            <v>80517.460000000006</v>
          </cell>
          <cell r="BH113">
            <v>43882.26</v>
          </cell>
          <cell r="BI113">
            <v>5675.55</v>
          </cell>
          <cell r="BJ113">
            <v>5984.22</v>
          </cell>
          <cell r="BK113">
            <v>0</v>
          </cell>
          <cell r="BL113">
            <v>0</v>
          </cell>
          <cell r="BM113">
            <v>0</v>
          </cell>
          <cell r="BN113">
            <v>0</v>
          </cell>
          <cell r="BO113">
            <v>0</v>
          </cell>
          <cell r="BP113">
            <v>20809974</v>
          </cell>
          <cell r="BQ113">
            <v>51565</v>
          </cell>
          <cell r="BR113">
            <v>495777.45</v>
          </cell>
          <cell r="BS113">
            <v>-58307.8</v>
          </cell>
        </row>
        <row r="114">
          <cell r="A114">
            <v>107</v>
          </cell>
          <cell r="B114" t="str">
            <v>Gloucester</v>
          </cell>
          <cell r="C114" t="str">
            <v>E1634</v>
          </cell>
          <cell r="D114">
            <v>178775</v>
          </cell>
          <cell r="G114">
            <v>28627</v>
          </cell>
          <cell r="H114">
            <v>0</v>
          </cell>
          <cell r="I114">
            <v>178775</v>
          </cell>
          <cell r="J114">
            <v>0</v>
          </cell>
          <cell r="K114">
            <v>0</v>
          </cell>
          <cell r="L114">
            <v>0</v>
          </cell>
          <cell r="M114">
            <v>0</v>
          </cell>
          <cell r="N114">
            <v>0</v>
          </cell>
          <cell r="O114">
            <v>0</v>
          </cell>
          <cell r="P114">
            <v>0</v>
          </cell>
          <cell r="Q114">
            <v>353248</v>
          </cell>
          <cell r="R114">
            <v>88312</v>
          </cell>
          <cell r="S114">
            <v>0</v>
          </cell>
          <cell r="T114">
            <v>0</v>
          </cell>
          <cell r="U114">
            <v>0</v>
          </cell>
          <cell r="V114">
            <v>0</v>
          </cell>
          <cell r="W114">
            <v>0</v>
          </cell>
          <cell r="X114">
            <v>0</v>
          </cell>
          <cell r="Y114">
            <v>0</v>
          </cell>
          <cell r="Z114">
            <v>63117.397876857751</v>
          </cell>
          <cell r="AA114">
            <v>15779.349469214432</v>
          </cell>
          <cell r="AB114">
            <v>0</v>
          </cell>
          <cell r="AC114">
            <v>208547.82845010617</v>
          </cell>
          <cell r="AD114">
            <v>52136.957112526528</v>
          </cell>
          <cell r="AE114">
            <v>0</v>
          </cell>
          <cell r="AF114">
            <v>0</v>
          </cell>
          <cell r="AG114">
            <v>0</v>
          </cell>
          <cell r="AH114">
            <v>0</v>
          </cell>
          <cell r="AI114">
            <v>0</v>
          </cell>
          <cell r="AJ114">
            <v>0</v>
          </cell>
          <cell r="AK114">
            <v>0</v>
          </cell>
          <cell r="AL114">
            <v>221728</v>
          </cell>
          <cell r="AM114">
            <v>54958</v>
          </cell>
          <cell r="AN114">
            <v>0</v>
          </cell>
          <cell r="AO114">
            <v>-1445209.36</v>
          </cell>
          <cell r="AP114">
            <v>-1156169</v>
          </cell>
          <cell r="AQ114">
            <v>-289042</v>
          </cell>
          <cell r="AR114">
            <v>0</v>
          </cell>
          <cell r="AS114">
            <v>-2890420.36</v>
          </cell>
          <cell r="AT114">
            <v>-541533</v>
          </cell>
          <cell r="AU114">
            <v>-433227</v>
          </cell>
          <cell r="AV114">
            <v>-108306</v>
          </cell>
          <cell r="AW114">
            <v>0</v>
          </cell>
          <cell r="AX114">
            <v>-1083066</v>
          </cell>
          <cell r="AY114">
            <v>49224093</v>
          </cell>
          <cell r="AZ114">
            <v>1710215.24</v>
          </cell>
          <cell r="BA114">
            <v>1005045.28</v>
          </cell>
          <cell r="BB114">
            <v>2852557.13</v>
          </cell>
          <cell r="BC114">
            <v>37746.120000000003</v>
          </cell>
          <cell r="BD114">
            <v>0</v>
          </cell>
          <cell r="BE114">
            <v>62268.46</v>
          </cell>
          <cell r="BF114">
            <v>2147758.5699999998</v>
          </cell>
          <cell r="BG114">
            <v>2284.35</v>
          </cell>
          <cell r="BH114">
            <v>60751.31</v>
          </cell>
          <cell r="BI114">
            <v>0</v>
          </cell>
          <cell r="BJ114">
            <v>0</v>
          </cell>
          <cell r="BK114">
            <v>0</v>
          </cell>
          <cell r="BL114">
            <v>0</v>
          </cell>
          <cell r="BM114">
            <v>0</v>
          </cell>
          <cell r="BN114">
            <v>0</v>
          </cell>
          <cell r="BO114">
            <v>0</v>
          </cell>
          <cell r="BP114">
            <v>51086459.100000001</v>
          </cell>
          <cell r="BQ114">
            <v>35689.54</v>
          </cell>
          <cell r="BR114">
            <v>4207178.4400000004</v>
          </cell>
          <cell r="BS114">
            <v>969667.83</v>
          </cell>
        </row>
        <row r="115">
          <cell r="A115">
            <v>108</v>
          </cell>
          <cell r="B115" t="str">
            <v>Gosport</v>
          </cell>
          <cell r="C115" t="str">
            <v>E1735</v>
          </cell>
          <cell r="D115">
            <v>81548</v>
          </cell>
          <cell r="E115">
            <v>427495</v>
          </cell>
          <cell r="G115">
            <v>24540</v>
          </cell>
          <cell r="H115">
            <v>2357</v>
          </cell>
          <cell r="I115">
            <v>81548</v>
          </cell>
          <cell r="J115">
            <v>0</v>
          </cell>
          <cell r="K115">
            <v>0</v>
          </cell>
          <cell r="L115">
            <v>0</v>
          </cell>
          <cell r="M115">
            <v>132643</v>
          </cell>
          <cell r="N115">
            <v>132643</v>
          </cell>
          <cell r="O115">
            <v>0</v>
          </cell>
          <cell r="P115">
            <v>0</v>
          </cell>
          <cell r="Q115">
            <v>255152</v>
          </cell>
          <cell r="R115">
            <v>57409</v>
          </cell>
          <cell r="S115">
            <v>6379</v>
          </cell>
          <cell r="T115">
            <v>14149</v>
          </cell>
          <cell r="U115">
            <v>3183</v>
          </cell>
          <cell r="V115">
            <v>354</v>
          </cell>
          <cell r="W115">
            <v>19202</v>
          </cell>
          <cell r="X115">
            <v>4320</v>
          </cell>
          <cell r="Y115">
            <v>480</v>
          </cell>
          <cell r="Z115">
            <v>88934.182590233555</v>
          </cell>
          <cell r="AA115">
            <v>20010.191082802543</v>
          </cell>
          <cell r="AB115">
            <v>2223.3545647558385</v>
          </cell>
          <cell r="AC115">
            <v>145528.66242038217</v>
          </cell>
          <cell r="AD115">
            <v>32743.949044585981</v>
          </cell>
          <cell r="AE115">
            <v>3638.2165605095543</v>
          </cell>
          <cell r="AF115">
            <v>0</v>
          </cell>
          <cell r="AG115">
            <v>0</v>
          </cell>
          <cell r="AH115">
            <v>0</v>
          </cell>
          <cell r="AI115">
            <v>0</v>
          </cell>
          <cell r="AJ115">
            <v>0</v>
          </cell>
          <cell r="AK115">
            <v>0</v>
          </cell>
          <cell r="AL115">
            <v>55993</v>
          </cell>
          <cell r="AM115">
            <v>12087</v>
          </cell>
          <cell r="AN115">
            <v>1343</v>
          </cell>
          <cell r="AO115">
            <v>-266250</v>
          </cell>
          <cell r="AP115">
            <v>-213000</v>
          </cell>
          <cell r="AQ115">
            <v>-47925</v>
          </cell>
          <cell r="AR115">
            <v>-5325</v>
          </cell>
          <cell r="AS115">
            <v>-532500</v>
          </cell>
          <cell r="AT115">
            <v>-1631591</v>
          </cell>
          <cell r="AU115">
            <v>-1305273</v>
          </cell>
          <cell r="AV115">
            <v>-293686</v>
          </cell>
          <cell r="AW115">
            <v>-32632</v>
          </cell>
          <cell r="AX115">
            <v>-3263182</v>
          </cell>
          <cell r="AY115">
            <v>11346140</v>
          </cell>
          <cell r="AZ115">
            <v>1267633</v>
          </cell>
          <cell r="BA115">
            <v>289669</v>
          </cell>
          <cell r="BB115">
            <v>1005285</v>
          </cell>
          <cell r="BC115">
            <v>15241</v>
          </cell>
          <cell r="BD115">
            <v>0</v>
          </cell>
          <cell r="BE115">
            <v>0</v>
          </cell>
          <cell r="BF115">
            <v>401090</v>
          </cell>
          <cell r="BG115">
            <v>67717</v>
          </cell>
          <cell r="BH115">
            <v>230165</v>
          </cell>
          <cell r="BI115">
            <v>0</v>
          </cell>
          <cell r="BJ115">
            <v>0</v>
          </cell>
          <cell r="BK115">
            <v>0</v>
          </cell>
          <cell r="BL115">
            <v>75850</v>
          </cell>
          <cell r="BM115">
            <v>75850</v>
          </cell>
          <cell r="BN115">
            <v>110415</v>
          </cell>
          <cell r="BO115">
            <v>0</v>
          </cell>
          <cell r="BP115">
            <v>14873918</v>
          </cell>
          <cell r="BQ115">
            <v>122081</v>
          </cell>
          <cell r="BR115">
            <v>884642</v>
          </cell>
          <cell r="BS115">
            <v>322077</v>
          </cell>
        </row>
        <row r="116">
          <cell r="A116">
            <v>109</v>
          </cell>
          <cell r="B116" t="str">
            <v>Gravesham</v>
          </cell>
          <cell r="C116" t="str">
            <v>E2236</v>
          </cell>
          <cell r="D116">
            <v>97673</v>
          </cell>
          <cell r="G116">
            <v>45379</v>
          </cell>
          <cell r="H116">
            <v>0</v>
          </cell>
          <cell r="I116">
            <v>97673</v>
          </cell>
          <cell r="J116">
            <v>0</v>
          </cell>
          <cell r="K116">
            <v>0</v>
          </cell>
          <cell r="L116">
            <v>0</v>
          </cell>
          <cell r="M116">
            <v>0</v>
          </cell>
          <cell r="N116">
            <v>0</v>
          </cell>
          <cell r="O116">
            <v>0</v>
          </cell>
          <cell r="P116">
            <v>0</v>
          </cell>
          <cell r="Q116">
            <v>288628</v>
          </cell>
          <cell r="R116">
            <v>64941</v>
          </cell>
          <cell r="S116">
            <v>7216</v>
          </cell>
          <cell r="T116">
            <v>0</v>
          </cell>
          <cell r="U116">
            <v>0</v>
          </cell>
          <cell r="V116">
            <v>0</v>
          </cell>
          <cell r="W116">
            <v>0</v>
          </cell>
          <cell r="X116">
            <v>0</v>
          </cell>
          <cell r="Y116">
            <v>0</v>
          </cell>
          <cell r="Z116">
            <v>27084.501061571129</v>
          </cell>
          <cell r="AA116">
            <v>6094.0127388535029</v>
          </cell>
          <cell r="AB116">
            <v>677.11252653927818</v>
          </cell>
          <cell r="AC116">
            <v>171247.61953290872</v>
          </cell>
          <cell r="AD116">
            <v>38530.714394904455</v>
          </cell>
          <cell r="AE116">
            <v>4281.190488322718</v>
          </cell>
          <cell r="AF116">
            <v>0</v>
          </cell>
          <cell r="AG116">
            <v>0</v>
          </cell>
          <cell r="AH116">
            <v>0</v>
          </cell>
          <cell r="AI116">
            <v>0</v>
          </cell>
          <cell r="AJ116">
            <v>0</v>
          </cell>
          <cell r="AK116">
            <v>0</v>
          </cell>
          <cell r="AL116">
            <v>93912</v>
          </cell>
          <cell r="AM116">
            <v>20897</v>
          </cell>
          <cell r="AN116">
            <v>2322</v>
          </cell>
          <cell r="AO116">
            <v>-687643</v>
          </cell>
          <cell r="AP116">
            <v>-542913</v>
          </cell>
          <cell r="AQ116">
            <v>-122156</v>
          </cell>
          <cell r="AR116">
            <v>-13572</v>
          </cell>
          <cell r="AS116">
            <v>-1357284</v>
          </cell>
          <cell r="AT116">
            <v>-272207</v>
          </cell>
          <cell r="AU116">
            <v>-217766</v>
          </cell>
          <cell r="AV116">
            <v>-48997</v>
          </cell>
          <cell r="AW116">
            <v>-5444</v>
          </cell>
          <cell r="AX116">
            <v>-544414</v>
          </cell>
          <cell r="AY116">
            <v>20695181</v>
          </cell>
          <cell r="AZ116">
            <v>1409046</v>
          </cell>
          <cell r="BA116">
            <v>445642</v>
          </cell>
          <cell r="BB116">
            <v>2250958</v>
          </cell>
          <cell r="BC116">
            <v>37218</v>
          </cell>
          <cell r="BD116">
            <v>10206</v>
          </cell>
          <cell r="BE116">
            <v>0</v>
          </cell>
          <cell r="BF116">
            <v>869957</v>
          </cell>
          <cell r="BG116">
            <v>124170</v>
          </cell>
          <cell r="BH116">
            <v>18525</v>
          </cell>
          <cell r="BI116">
            <v>214</v>
          </cell>
          <cell r="BJ116">
            <v>2809</v>
          </cell>
          <cell r="BK116">
            <v>0</v>
          </cell>
          <cell r="BL116">
            <v>0</v>
          </cell>
          <cell r="BM116">
            <v>0</v>
          </cell>
          <cell r="BN116">
            <v>0</v>
          </cell>
          <cell r="BO116">
            <v>0</v>
          </cell>
          <cell r="BP116">
            <v>22162713</v>
          </cell>
          <cell r="BQ116">
            <v>517620.06</v>
          </cell>
          <cell r="BR116">
            <v>1811381.63</v>
          </cell>
          <cell r="BS116">
            <v>230857.91</v>
          </cell>
        </row>
        <row r="117">
          <cell r="A117">
            <v>110</v>
          </cell>
          <cell r="B117" t="str">
            <v>Great Yarmouth</v>
          </cell>
          <cell r="C117" t="str">
            <v>E2633</v>
          </cell>
          <cell r="D117">
            <v>185114</v>
          </cell>
          <cell r="E117">
            <v>272687</v>
          </cell>
          <cell r="G117">
            <v>310422</v>
          </cell>
          <cell r="H117">
            <v>-38429</v>
          </cell>
          <cell r="I117">
            <v>185114</v>
          </cell>
          <cell r="J117">
            <v>0</v>
          </cell>
          <cell r="K117">
            <v>0</v>
          </cell>
          <cell r="L117">
            <v>0</v>
          </cell>
          <cell r="M117">
            <v>268166</v>
          </cell>
          <cell r="N117">
            <v>268166</v>
          </cell>
          <cell r="O117">
            <v>0</v>
          </cell>
          <cell r="P117">
            <v>0</v>
          </cell>
          <cell r="Q117">
            <v>415679</v>
          </cell>
          <cell r="R117">
            <v>103920</v>
          </cell>
          <cell r="S117">
            <v>0</v>
          </cell>
          <cell r="T117">
            <v>8085</v>
          </cell>
          <cell r="U117">
            <v>2021</v>
          </cell>
          <cell r="V117">
            <v>0</v>
          </cell>
          <cell r="W117">
            <v>18191</v>
          </cell>
          <cell r="X117">
            <v>4548</v>
          </cell>
          <cell r="Y117">
            <v>0</v>
          </cell>
          <cell r="Z117">
            <v>10106.15711252654</v>
          </cell>
          <cell r="AA117">
            <v>2526.5392781316341</v>
          </cell>
          <cell r="AB117">
            <v>0</v>
          </cell>
          <cell r="AC117">
            <v>349268.78980891721</v>
          </cell>
          <cell r="AD117">
            <v>87317.197452229273</v>
          </cell>
          <cell r="AE117">
            <v>0</v>
          </cell>
          <cell r="AF117">
            <v>0</v>
          </cell>
          <cell r="AG117">
            <v>0</v>
          </cell>
          <cell r="AH117">
            <v>0</v>
          </cell>
          <cell r="AI117">
            <v>0</v>
          </cell>
          <cell r="AJ117">
            <v>0</v>
          </cell>
          <cell r="AK117">
            <v>0</v>
          </cell>
          <cell r="AL117">
            <v>126776</v>
          </cell>
          <cell r="AM117">
            <v>30425</v>
          </cell>
          <cell r="AN117">
            <v>0</v>
          </cell>
          <cell r="AO117">
            <v>-160077.68</v>
          </cell>
          <cell r="AP117">
            <v>-128062</v>
          </cell>
          <cell r="AQ117">
            <v>-32016</v>
          </cell>
          <cell r="AR117">
            <v>0</v>
          </cell>
          <cell r="AS117">
            <v>-320155.68</v>
          </cell>
          <cell r="AT117">
            <v>-5380524</v>
          </cell>
          <cell r="AU117">
            <v>-4304419</v>
          </cell>
          <cell r="AV117">
            <v>-1076105</v>
          </cell>
          <cell r="AW117">
            <v>0</v>
          </cell>
          <cell r="AX117">
            <v>-10761048</v>
          </cell>
          <cell r="AY117">
            <v>18584885</v>
          </cell>
          <cell r="AZ117">
            <v>2476084.71</v>
          </cell>
          <cell r="BA117">
            <v>548206.98</v>
          </cell>
          <cell r="BB117">
            <v>1523498.5</v>
          </cell>
          <cell r="BC117">
            <v>18840</v>
          </cell>
          <cell r="BD117">
            <v>1492.4</v>
          </cell>
          <cell r="BE117">
            <v>0</v>
          </cell>
          <cell r="BF117">
            <v>1068904.6100000001</v>
          </cell>
          <cell r="BG117">
            <v>105471.56</v>
          </cell>
          <cell r="BH117">
            <v>37157.279999999999</v>
          </cell>
          <cell r="BI117">
            <v>0</v>
          </cell>
          <cell r="BJ117">
            <v>765.37</v>
          </cell>
          <cell r="BK117">
            <v>0</v>
          </cell>
          <cell r="BL117">
            <v>290179</v>
          </cell>
          <cell r="BM117">
            <v>290179</v>
          </cell>
          <cell r="BN117">
            <v>349878</v>
          </cell>
          <cell r="BO117">
            <v>0</v>
          </cell>
          <cell r="BP117">
            <v>29135111.100000001</v>
          </cell>
          <cell r="BQ117">
            <v>93439</v>
          </cell>
          <cell r="BR117">
            <v>945189</v>
          </cell>
          <cell r="BS117">
            <v>359558</v>
          </cell>
        </row>
        <row r="118">
          <cell r="A118">
            <v>111</v>
          </cell>
          <cell r="B118" t="str">
            <v>Greenwich</v>
          </cell>
          <cell r="C118" t="str">
            <v>E5012</v>
          </cell>
          <cell r="D118">
            <v>279481</v>
          </cell>
          <cell r="G118">
            <v>45878</v>
          </cell>
          <cell r="H118">
            <v>0</v>
          </cell>
          <cell r="I118">
            <v>279481</v>
          </cell>
          <cell r="J118">
            <v>0</v>
          </cell>
          <cell r="K118">
            <v>0</v>
          </cell>
          <cell r="L118">
            <v>0</v>
          </cell>
          <cell r="M118">
            <v>0</v>
          </cell>
          <cell r="N118">
            <v>0</v>
          </cell>
          <cell r="O118">
            <v>0</v>
          </cell>
          <cell r="P118">
            <v>0</v>
          </cell>
          <cell r="Q118">
            <v>477001</v>
          </cell>
          <cell r="R118">
            <v>318000</v>
          </cell>
          <cell r="S118">
            <v>0</v>
          </cell>
          <cell r="T118">
            <v>0</v>
          </cell>
          <cell r="U118">
            <v>0</v>
          </cell>
          <cell r="V118">
            <v>0</v>
          </cell>
          <cell r="W118">
            <v>181911</v>
          </cell>
          <cell r="X118">
            <v>121274</v>
          </cell>
          <cell r="Y118">
            <v>0</v>
          </cell>
          <cell r="Z118">
            <v>231994.21401273884</v>
          </cell>
          <cell r="AA118">
            <v>154662.80934182589</v>
          </cell>
          <cell r="AB118">
            <v>0</v>
          </cell>
          <cell r="AC118">
            <v>397171.97452229296</v>
          </cell>
          <cell r="AD118">
            <v>264781.31634819531</v>
          </cell>
          <cell r="AE118">
            <v>0</v>
          </cell>
          <cell r="AF118">
            <v>0</v>
          </cell>
          <cell r="AG118">
            <v>0</v>
          </cell>
          <cell r="AH118">
            <v>0</v>
          </cell>
          <cell r="AI118">
            <v>0</v>
          </cell>
          <cell r="AJ118">
            <v>0</v>
          </cell>
          <cell r="AK118">
            <v>0</v>
          </cell>
          <cell r="AL118">
            <v>216913</v>
          </cell>
          <cell r="AM118">
            <v>142631</v>
          </cell>
          <cell r="AN118">
            <v>0</v>
          </cell>
          <cell r="AO118">
            <v>-1081013</v>
          </cell>
          <cell r="AP118">
            <v>-648608</v>
          </cell>
          <cell r="AQ118">
            <v>-432405</v>
          </cell>
          <cell r="AR118">
            <v>0</v>
          </cell>
          <cell r="AS118">
            <v>-2162026</v>
          </cell>
          <cell r="AT118">
            <v>-2096000</v>
          </cell>
          <cell r="AU118">
            <v>-1257600</v>
          </cell>
          <cell r="AV118">
            <v>-838400</v>
          </cell>
          <cell r="AW118">
            <v>0</v>
          </cell>
          <cell r="AX118">
            <v>-4192000</v>
          </cell>
          <cell r="AY118">
            <v>63456777</v>
          </cell>
          <cell r="AZ118">
            <v>3125252.38</v>
          </cell>
          <cell r="BA118">
            <v>1351925.43</v>
          </cell>
          <cell r="BB118">
            <v>7047343.54</v>
          </cell>
          <cell r="BC118">
            <v>127641.1</v>
          </cell>
          <cell r="BD118">
            <v>0</v>
          </cell>
          <cell r="BE118">
            <v>106534.47</v>
          </cell>
          <cell r="BF118">
            <v>2713627.67</v>
          </cell>
          <cell r="BG118">
            <v>517590.92</v>
          </cell>
          <cell r="BH118">
            <v>57196.89</v>
          </cell>
          <cell r="BI118">
            <v>0</v>
          </cell>
          <cell r="BJ118">
            <v>0</v>
          </cell>
          <cell r="BK118">
            <v>0</v>
          </cell>
          <cell r="BL118">
            <v>0</v>
          </cell>
          <cell r="BM118">
            <v>0</v>
          </cell>
          <cell r="BN118">
            <v>0</v>
          </cell>
          <cell r="BO118">
            <v>0</v>
          </cell>
          <cell r="BP118">
            <v>69286248</v>
          </cell>
          <cell r="BQ118">
            <v>354019.83</v>
          </cell>
          <cell r="BR118">
            <v>2130388</v>
          </cell>
          <cell r="BS118">
            <v>1629653</v>
          </cell>
        </row>
        <row r="119">
          <cell r="A119">
            <v>112</v>
          </cell>
          <cell r="B119" t="str">
            <v>Guildford</v>
          </cell>
          <cell r="C119" t="str">
            <v>E3633</v>
          </cell>
          <cell r="D119">
            <v>238276</v>
          </cell>
          <cell r="G119">
            <v>-365420</v>
          </cell>
          <cell r="H119">
            <v>0</v>
          </cell>
          <cell r="I119">
            <v>238276</v>
          </cell>
          <cell r="J119">
            <v>0</v>
          </cell>
          <cell r="K119">
            <v>0</v>
          </cell>
          <cell r="L119">
            <v>0</v>
          </cell>
          <cell r="M119">
            <v>0</v>
          </cell>
          <cell r="N119">
            <v>0</v>
          </cell>
          <cell r="O119">
            <v>0</v>
          </cell>
          <cell r="P119">
            <v>0</v>
          </cell>
          <cell r="Q119">
            <v>322538</v>
          </cell>
          <cell r="R119">
            <v>80635</v>
          </cell>
          <cell r="S119">
            <v>0</v>
          </cell>
          <cell r="T119">
            <v>6516</v>
          </cell>
          <cell r="U119">
            <v>1629</v>
          </cell>
          <cell r="V119">
            <v>0</v>
          </cell>
          <cell r="W119">
            <v>0</v>
          </cell>
          <cell r="X119">
            <v>0</v>
          </cell>
          <cell r="Y119">
            <v>0</v>
          </cell>
          <cell r="Z119">
            <v>61770.045010615715</v>
          </cell>
          <cell r="AA119">
            <v>15442.511252653925</v>
          </cell>
          <cell r="AB119">
            <v>0</v>
          </cell>
          <cell r="AC119">
            <v>252653.92781316349</v>
          </cell>
          <cell r="AD119">
            <v>63163.481953290859</v>
          </cell>
          <cell r="AE119">
            <v>0</v>
          </cell>
          <cell r="AF119">
            <v>0</v>
          </cell>
          <cell r="AG119">
            <v>0</v>
          </cell>
          <cell r="AH119">
            <v>0</v>
          </cell>
          <cell r="AI119">
            <v>12757</v>
          </cell>
          <cell r="AJ119">
            <v>3189.3189999999991</v>
          </cell>
          <cell r="AK119">
            <v>0</v>
          </cell>
          <cell r="AL119">
            <v>331377</v>
          </cell>
          <cell r="AM119">
            <v>82212</v>
          </cell>
          <cell r="AN119">
            <v>0</v>
          </cell>
          <cell r="AO119">
            <v>-358254</v>
          </cell>
          <cell r="AP119">
            <v>-286604</v>
          </cell>
          <cell r="AQ119">
            <v>-71651</v>
          </cell>
          <cell r="AR119">
            <v>0</v>
          </cell>
          <cell r="AS119">
            <v>-716509</v>
          </cell>
          <cell r="AT119">
            <v>-1950000</v>
          </cell>
          <cell r="AU119">
            <v>-1560000</v>
          </cell>
          <cell r="AV119">
            <v>-390000</v>
          </cell>
          <cell r="AW119">
            <v>0</v>
          </cell>
          <cell r="AX119">
            <v>-3900000</v>
          </cell>
          <cell r="AY119">
            <v>73524074</v>
          </cell>
          <cell r="AZ119">
            <v>1615526</v>
          </cell>
          <cell r="BA119">
            <v>1609612</v>
          </cell>
          <cell r="BB119">
            <v>7211001</v>
          </cell>
          <cell r="BC119">
            <v>68644</v>
          </cell>
          <cell r="BD119">
            <v>20899</v>
          </cell>
          <cell r="BE119">
            <v>54992</v>
          </cell>
          <cell r="BF119">
            <v>2254099</v>
          </cell>
          <cell r="BG119">
            <v>143825</v>
          </cell>
          <cell r="BH119">
            <v>12406</v>
          </cell>
          <cell r="BI119">
            <v>0</v>
          </cell>
          <cell r="BJ119">
            <v>20899</v>
          </cell>
          <cell r="BK119">
            <v>20189</v>
          </cell>
          <cell r="BL119">
            <v>0</v>
          </cell>
          <cell r="BM119">
            <v>0</v>
          </cell>
          <cell r="BN119">
            <v>0</v>
          </cell>
          <cell r="BO119">
            <v>0</v>
          </cell>
          <cell r="BP119">
            <v>78648583</v>
          </cell>
          <cell r="BQ119">
            <v>328171</v>
          </cell>
          <cell r="BR119">
            <v>1113802</v>
          </cell>
          <cell r="BS119">
            <v>2236326</v>
          </cell>
        </row>
        <row r="120">
          <cell r="A120">
            <v>113</v>
          </cell>
          <cell r="B120" t="str">
            <v>Hackney</v>
          </cell>
          <cell r="C120" t="str">
            <v>E5013</v>
          </cell>
          <cell r="D120">
            <v>508126</v>
          </cell>
          <cell r="G120">
            <v>646828</v>
          </cell>
          <cell r="H120">
            <v>0</v>
          </cell>
          <cell r="I120">
            <v>508126</v>
          </cell>
          <cell r="J120">
            <v>0</v>
          </cell>
          <cell r="K120">
            <v>0</v>
          </cell>
          <cell r="L120">
            <v>0</v>
          </cell>
          <cell r="M120">
            <v>0</v>
          </cell>
          <cell r="N120">
            <v>0</v>
          </cell>
          <cell r="O120">
            <v>0</v>
          </cell>
          <cell r="P120">
            <v>0</v>
          </cell>
          <cell r="Q120">
            <v>758917</v>
          </cell>
          <cell r="R120">
            <v>505945</v>
          </cell>
          <cell r="S120">
            <v>0</v>
          </cell>
          <cell r="T120">
            <v>0</v>
          </cell>
          <cell r="U120">
            <v>0</v>
          </cell>
          <cell r="V120">
            <v>0</v>
          </cell>
          <cell r="W120">
            <v>0</v>
          </cell>
          <cell r="X120">
            <v>0</v>
          </cell>
          <cell r="Y120">
            <v>0</v>
          </cell>
          <cell r="Z120">
            <v>24028.419363057325</v>
          </cell>
          <cell r="AA120">
            <v>16018.946242038217</v>
          </cell>
          <cell r="AB120">
            <v>0</v>
          </cell>
          <cell r="AC120">
            <v>766600.94392356684</v>
          </cell>
          <cell r="AD120">
            <v>511067.29594904458</v>
          </cell>
          <cell r="AE120">
            <v>0</v>
          </cell>
          <cell r="AF120">
            <v>0</v>
          </cell>
          <cell r="AG120">
            <v>0</v>
          </cell>
          <cell r="AH120">
            <v>0</v>
          </cell>
          <cell r="AI120">
            <v>0</v>
          </cell>
          <cell r="AJ120">
            <v>0</v>
          </cell>
          <cell r="AK120">
            <v>0</v>
          </cell>
          <cell r="AL120">
            <v>299261</v>
          </cell>
          <cell r="AM120">
            <v>195911</v>
          </cell>
          <cell r="AN120">
            <v>0</v>
          </cell>
          <cell r="AO120">
            <v>-5353521</v>
          </cell>
          <cell r="AP120">
            <v>-3212113</v>
          </cell>
          <cell r="AQ120">
            <v>-2141408</v>
          </cell>
          <cell r="AR120">
            <v>0</v>
          </cell>
          <cell r="AS120">
            <v>-10707042</v>
          </cell>
          <cell r="AT120">
            <v>-1297438</v>
          </cell>
          <cell r="AU120">
            <v>-778463</v>
          </cell>
          <cell r="AV120">
            <v>-518975</v>
          </cell>
          <cell r="AW120">
            <v>0</v>
          </cell>
          <cell r="AX120">
            <v>-2594876</v>
          </cell>
          <cell r="AY120">
            <v>82669820</v>
          </cell>
          <cell r="AZ120">
            <v>4948115.08</v>
          </cell>
          <cell r="BA120">
            <v>1581335.85</v>
          </cell>
          <cell r="BB120">
            <v>10521134.800000001</v>
          </cell>
          <cell r="BC120">
            <v>0</v>
          </cell>
          <cell r="BD120">
            <v>0</v>
          </cell>
          <cell r="BE120">
            <v>19197.37</v>
          </cell>
          <cell r="BF120">
            <v>3119661.89</v>
          </cell>
          <cell r="BG120">
            <v>215584.2</v>
          </cell>
          <cell r="BH120">
            <v>18936.98</v>
          </cell>
          <cell r="BI120">
            <v>0</v>
          </cell>
          <cell r="BJ120">
            <v>0</v>
          </cell>
          <cell r="BK120">
            <v>0</v>
          </cell>
          <cell r="BL120">
            <v>0</v>
          </cell>
          <cell r="BM120">
            <v>0</v>
          </cell>
          <cell r="BN120">
            <v>0</v>
          </cell>
          <cell r="BO120">
            <v>0</v>
          </cell>
          <cell r="BP120">
            <v>87482869</v>
          </cell>
          <cell r="BQ120">
            <v>0</v>
          </cell>
          <cell r="BR120">
            <v>18457659</v>
          </cell>
          <cell r="BS120">
            <v>6355044</v>
          </cell>
        </row>
        <row r="121">
          <cell r="A121">
            <v>114</v>
          </cell>
          <cell r="B121" t="str">
            <v>Halton</v>
          </cell>
          <cell r="C121" t="str">
            <v>E0601</v>
          </cell>
          <cell r="D121">
            <v>167391</v>
          </cell>
          <cell r="E121">
            <v>32629</v>
          </cell>
          <cell r="F121">
            <v>0</v>
          </cell>
          <cell r="G121">
            <v>215000</v>
          </cell>
          <cell r="H121">
            <v>0</v>
          </cell>
          <cell r="I121">
            <v>167391</v>
          </cell>
          <cell r="J121">
            <v>137279</v>
          </cell>
          <cell r="K121">
            <v>0</v>
          </cell>
          <cell r="L121">
            <v>0</v>
          </cell>
          <cell r="M121">
            <v>154402.5</v>
          </cell>
          <cell r="N121">
            <v>154084.5</v>
          </cell>
          <cell r="O121">
            <v>0</v>
          </cell>
          <cell r="P121">
            <v>318</v>
          </cell>
          <cell r="Q121">
            <v>394158</v>
          </cell>
          <cell r="R121">
            <v>0</v>
          </cell>
          <cell r="S121">
            <v>8044</v>
          </cell>
          <cell r="T121">
            <v>139115</v>
          </cell>
          <cell r="U121">
            <v>0</v>
          </cell>
          <cell r="V121">
            <v>2839</v>
          </cell>
          <cell r="W121">
            <v>14856</v>
          </cell>
          <cell r="X121">
            <v>0</v>
          </cell>
          <cell r="Y121">
            <v>303</v>
          </cell>
          <cell r="Z121">
            <v>49520.169851380037</v>
          </cell>
          <cell r="AA121">
            <v>8.7656939975048845E-13</v>
          </cell>
          <cell r="AB121">
            <v>1010.6157112526539</v>
          </cell>
          <cell r="AC121">
            <v>218824.67855626327</v>
          </cell>
          <cell r="AD121">
            <v>3.8734725205574342E-12</v>
          </cell>
          <cell r="AE121">
            <v>4465.8097664543529</v>
          </cell>
          <cell r="AF121">
            <v>0</v>
          </cell>
          <cell r="AG121">
            <v>0</v>
          </cell>
          <cell r="AH121">
            <v>0</v>
          </cell>
          <cell r="AI121">
            <v>0</v>
          </cell>
          <cell r="AJ121">
            <v>0</v>
          </cell>
          <cell r="AK121">
            <v>0</v>
          </cell>
          <cell r="AL121">
            <v>267931</v>
          </cell>
          <cell r="AM121">
            <v>0</v>
          </cell>
          <cell r="AN121">
            <v>5372</v>
          </cell>
          <cell r="AO121">
            <v>-1355526</v>
          </cell>
          <cell r="AP121">
            <v>-1328414</v>
          </cell>
          <cell r="AQ121">
            <v>0</v>
          </cell>
          <cell r="AR121">
            <v>-27110</v>
          </cell>
          <cell r="AS121">
            <v>-2711050</v>
          </cell>
          <cell r="AT121">
            <v>-2400434</v>
          </cell>
          <cell r="AU121">
            <v>-2352426</v>
          </cell>
          <cell r="AV121">
            <v>0</v>
          </cell>
          <cell r="AW121">
            <v>-48009</v>
          </cell>
          <cell r="AX121">
            <v>-4800869</v>
          </cell>
          <cell r="AY121">
            <v>50147373</v>
          </cell>
          <cell r="AZ121">
            <v>1754190.79</v>
          </cell>
          <cell r="BA121">
            <v>1046871.72</v>
          </cell>
          <cell r="BB121">
            <v>1993490.11</v>
          </cell>
          <cell r="BC121">
            <v>56049</v>
          </cell>
          <cell r="BD121">
            <v>1507.2</v>
          </cell>
          <cell r="BE121">
            <v>0</v>
          </cell>
          <cell r="BF121">
            <v>2999716.99</v>
          </cell>
          <cell r="BG121">
            <v>63921.15</v>
          </cell>
          <cell r="BH121">
            <v>250378.55</v>
          </cell>
          <cell r="BI121">
            <v>5463.6</v>
          </cell>
          <cell r="BJ121">
            <v>0</v>
          </cell>
          <cell r="BK121">
            <v>0</v>
          </cell>
          <cell r="BL121">
            <v>164220</v>
          </cell>
          <cell r="BM121">
            <v>164220</v>
          </cell>
          <cell r="BN121">
            <v>133045.35999999999</v>
          </cell>
          <cell r="BO121">
            <v>31175</v>
          </cell>
          <cell r="BP121">
            <v>56947448</v>
          </cell>
          <cell r="BQ121">
            <v>685628</v>
          </cell>
          <cell r="BR121">
            <v>3707733</v>
          </cell>
          <cell r="BS121">
            <v>1171999</v>
          </cell>
        </row>
        <row r="122">
          <cell r="A122">
            <v>115</v>
          </cell>
          <cell r="B122" t="str">
            <v>Hambleton</v>
          </cell>
          <cell r="C122" t="str">
            <v>E2732</v>
          </cell>
          <cell r="D122">
            <v>154459</v>
          </cell>
          <cell r="G122">
            <v>29783</v>
          </cell>
          <cell r="H122">
            <v>0</v>
          </cell>
          <cell r="I122">
            <v>154459</v>
          </cell>
          <cell r="J122">
            <v>0</v>
          </cell>
          <cell r="K122">
            <v>0</v>
          </cell>
          <cell r="L122">
            <v>0</v>
          </cell>
          <cell r="M122">
            <v>0</v>
          </cell>
          <cell r="N122">
            <v>0</v>
          </cell>
          <cell r="O122">
            <v>0</v>
          </cell>
          <cell r="P122">
            <v>0</v>
          </cell>
          <cell r="Q122">
            <v>482070</v>
          </cell>
          <cell r="R122">
            <v>108466</v>
          </cell>
          <cell r="S122">
            <v>12052</v>
          </cell>
          <cell r="T122">
            <v>0</v>
          </cell>
          <cell r="U122">
            <v>0</v>
          </cell>
          <cell r="V122">
            <v>0</v>
          </cell>
          <cell r="W122">
            <v>8085</v>
          </cell>
          <cell r="X122">
            <v>1819</v>
          </cell>
          <cell r="Y122">
            <v>202</v>
          </cell>
          <cell r="Z122">
            <v>8084.9256900212322</v>
          </cell>
          <cell r="AA122">
            <v>1819.1082802547769</v>
          </cell>
          <cell r="AB122">
            <v>202.1231422505308</v>
          </cell>
          <cell r="AC122">
            <v>202123.1422505308</v>
          </cell>
          <cell r="AD122">
            <v>45477.707006369419</v>
          </cell>
          <cell r="AE122">
            <v>5053.07855626327</v>
          </cell>
          <cell r="AF122">
            <v>0</v>
          </cell>
          <cell r="AG122">
            <v>0</v>
          </cell>
          <cell r="AH122">
            <v>0</v>
          </cell>
          <cell r="AI122">
            <v>0</v>
          </cell>
          <cell r="AJ122">
            <v>0</v>
          </cell>
          <cell r="AK122">
            <v>0</v>
          </cell>
          <cell r="AL122">
            <v>113119</v>
          </cell>
          <cell r="AM122">
            <v>25083</v>
          </cell>
          <cell r="AN122">
            <v>2787</v>
          </cell>
          <cell r="AO122">
            <v>-140077</v>
          </cell>
          <cell r="AP122">
            <v>-112062</v>
          </cell>
          <cell r="AQ122">
            <v>-25215</v>
          </cell>
          <cell r="AR122">
            <v>-2802</v>
          </cell>
          <cell r="AS122">
            <v>-280156</v>
          </cell>
          <cell r="AT122">
            <v>-340982</v>
          </cell>
          <cell r="AU122">
            <v>-272785</v>
          </cell>
          <cell r="AV122">
            <v>-61376</v>
          </cell>
          <cell r="AW122">
            <v>-6819</v>
          </cell>
          <cell r="AX122">
            <v>-681962</v>
          </cell>
          <cell r="AY122">
            <v>25302519</v>
          </cell>
          <cell r="AZ122">
            <v>2375282</v>
          </cell>
          <cell r="BA122">
            <v>444861</v>
          </cell>
          <cell r="BB122">
            <v>754950</v>
          </cell>
          <cell r="BC122">
            <v>94613</v>
          </cell>
          <cell r="BD122">
            <v>61137</v>
          </cell>
          <cell r="BE122">
            <v>0</v>
          </cell>
          <cell r="BF122">
            <v>453905</v>
          </cell>
          <cell r="BG122">
            <v>67658</v>
          </cell>
          <cell r="BH122">
            <v>23279</v>
          </cell>
          <cell r="BI122">
            <v>1283</v>
          </cell>
          <cell r="BJ122">
            <v>15096</v>
          </cell>
          <cell r="BK122">
            <v>357</v>
          </cell>
          <cell r="BL122">
            <v>0</v>
          </cell>
          <cell r="BM122">
            <v>0</v>
          </cell>
          <cell r="BN122">
            <v>0</v>
          </cell>
          <cell r="BO122">
            <v>0</v>
          </cell>
          <cell r="BP122">
            <v>26605698</v>
          </cell>
          <cell r="BQ122">
            <v>278123</v>
          </cell>
          <cell r="BR122">
            <v>639472</v>
          </cell>
          <cell r="BS122">
            <v>376061</v>
          </cell>
        </row>
        <row r="123">
          <cell r="A123">
            <v>116</v>
          </cell>
          <cell r="B123" t="str">
            <v>Hammersmith and Fulham</v>
          </cell>
          <cell r="C123" t="str">
            <v>E5014</v>
          </cell>
          <cell r="D123">
            <v>565150</v>
          </cell>
          <cell r="G123">
            <v>-708121</v>
          </cell>
          <cell r="H123">
            <v>0</v>
          </cell>
          <cell r="I123">
            <v>565150</v>
          </cell>
          <cell r="J123">
            <v>0</v>
          </cell>
          <cell r="K123">
            <v>0</v>
          </cell>
          <cell r="L123">
            <v>0</v>
          </cell>
          <cell r="M123">
            <v>0</v>
          </cell>
          <cell r="N123">
            <v>0</v>
          </cell>
          <cell r="O123">
            <v>0</v>
          </cell>
          <cell r="P123">
            <v>0</v>
          </cell>
          <cell r="Q123">
            <v>299200</v>
          </cell>
          <cell r="R123">
            <v>199466</v>
          </cell>
          <cell r="S123">
            <v>0</v>
          </cell>
          <cell r="T123">
            <v>31495</v>
          </cell>
          <cell r="U123">
            <v>20996</v>
          </cell>
          <cell r="V123">
            <v>0</v>
          </cell>
          <cell r="W123">
            <v>126841</v>
          </cell>
          <cell r="X123">
            <v>84561</v>
          </cell>
          <cell r="Y123">
            <v>0</v>
          </cell>
          <cell r="Z123">
            <v>92209.38598726115</v>
          </cell>
          <cell r="AA123">
            <v>61472.923991507436</v>
          </cell>
          <cell r="AB123">
            <v>0</v>
          </cell>
          <cell r="AC123">
            <v>656452.50955414015</v>
          </cell>
          <cell r="AD123">
            <v>437635.00636942679</v>
          </cell>
          <cell r="AE123">
            <v>0</v>
          </cell>
          <cell r="AF123">
            <v>0</v>
          </cell>
          <cell r="AG123">
            <v>0</v>
          </cell>
          <cell r="AH123">
            <v>0</v>
          </cell>
          <cell r="AI123">
            <v>0</v>
          </cell>
          <cell r="AJ123">
            <v>0</v>
          </cell>
          <cell r="AK123">
            <v>0</v>
          </cell>
          <cell r="AL123">
            <v>569743</v>
          </cell>
          <cell r="AM123">
            <v>375829</v>
          </cell>
          <cell r="AN123">
            <v>0</v>
          </cell>
          <cell r="AO123">
            <v>-10168133.4</v>
          </cell>
          <cell r="AP123">
            <v>-6100881</v>
          </cell>
          <cell r="AQ123">
            <v>-4067254</v>
          </cell>
          <cell r="AR123">
            <v>0</v>
          </cell>
          <cell r="AS123">
            <v>-20336268.399999999</v>
          </cell>
          <cell r="AT123">
            <v>-19541702</v>
          </cell>
          <cell r="AU123">
            <v>-11725022</v>
          </cell>
          <cell r="AV123">
            <v>-7816682</v>
          </cell>
          <cell r="AW123">
            <v>0</v>
          </cell>
          <cell r="AX123">
            <v>-39083406</v>
          </cell>
          <cell r="AY123">
            <v>144131401</v>
          </cell>
          <cell r="AZ123">
            <v>2100531</v>
          </cell>
          <cell r="BA123">
            <v>3545966</v>
          </cell>
          <cell r="BB123">
            <v>8019714</v>
          </cell>
          <cell r="BC123">
            <v>0</v>
          </cell>
          <cell r="BD123">
            <v>0</v>
          </cell>
          <cell r="BE123">
            <v>98000</v>
          </cell>
          <cell r="BF123">
            <v>3748852</v>
          </cell>
          <cell r="BG123">
            <v>46801</v>
          </cell>
          <cell r="BH123">
            <v>78776</v>
          </cell>
          <cell r="BI123">
            <v>0</v>
          </cell>
          <cell r="BJ123">
            <v>0</v>
          </cell>
          <cell r="BK123">
            <v>0</v>
          </cell>
          <cell r="BL123">
            <v>0</v>
          </cell>
          <cell r="BM123">
            <v>0</v>
          </cell>
          <cell r="BN123">
            <v>0</v>
          </cell>
          <cell r="BO123">
            <v>0</v>
          </cell>
          <cell r="BP123">
            <v>186249582</v>
          </cell>
          <cell r="BQ123">
            <v>2031150</v>
          </cell>
          <cell r="BR123">
            <v>27588640</v>
          </cell>
          <cell r="BS123">
            <v>14153379</v>
          </cell>
        </row>
        <row r="124">
          <cell r="A124">
            <v>117</v>
          </cell>
          <cell r="B124" t="str">
            <v>Harborough</v>
          </cell>
          <cell r="C124" t="str">
            <v>E2433</v>
          </cell>
          <cell r="D124">
            <v>124037</v>
          </cell>
          <cell r="G124">
            <v>14131</v>
          </cell>
          <cell r="H124">
            <v>0</v>
          </cell>
          <cell r="I124">
            <v>124037</v>
          </cell>
          <cell r="J124">
            <v>0</v>
          </cell>
          <cell r="K124">
            <v>0</v>
          </cell>
          <cell r="L124">
            <v>0</v>
          </cell>
          <cell r="M124">
            <v>0</v>
          </cell>
          <cell r="N124">
            <v>0</v>
          </cell>
          <cell r="O124">
            <v>0</v>
          </cell>
          <cell r="P124">
            <v>0</v>
          </cell>
          <cell r="Q124">
            <v>315344</v>
          </cell>
          <cell r="R124">
            <v>70952</v>
          </cell>
          <cell r="S124">
            <v>7884</v>
          </cell>
          <cell r="T124">
            <v>0</v>
          </cell>
          <cell r="U124">
            <v>0</v>
          </cell>
          <cell r="V124">
            <v>0</v>
          </cell>
          <cell r="W124">
            <v>1812</v>
          </cell>
          <cell r="X124">
            <v>408</v>
          </cell>
          <cell r="Y124">
            <v>45</v>
          </cell>
          <cell r="Z124">
            <v>2021.231422505308</v>
          </cell>
          <cell r="AA124">
            <v>454.77707006369423</v>
          </cell>
          <cell r="AB124">
            <v>50.530785562632701</v>
          </cell>
          <cell r="AC124">
            <v>164067.80127388536</v>
          </cell>
          <cell r="AD124">
            <v>36915.255286624197</v>
          </cell>
          <cell r="AE124">
            <v>4101.6950318471336</v>
          </cell>
          <cell r="AF124">
            <v>0</v>
          </cell>
          <cell r="AG124">
            <v>0</v>
          </cell>
          <cell r="AH124">
            <v>0</v>
          </cell>
          <cell r="AI124">
            <v>0</v>
          </cell>
          <cell r="AJ124">
            <v>0</v>
          </cell>
          <cell r="AK124">
            <v>0</v>
          </cell>
          <cell r="AL124">
            <v>158424</v>
          </cell>
          <cell r="AM124">
            <v>35349</v>
          </cell>
          <cell r="AN124">
            <v>3928</v>
          </cell>
          <cell r="AO124">
            <v>-28776</v>
          </cell>
          <cell r="AP124">
            <v>-23019</v>
          </cell>
          <cell r="AQ124">
            <v>-5179</v>
          </cell>
          <cell r="AR124">
            <v>-575</v>
          </cell>
          <cell r="AS124">
            <v>-57549</v>
          </cell>
          <cell r="AT124">
            <v>-266853</v>
          </cell>
          <cell r="AU124">
            <v>-213483</v>
          </cell>
          <cell r="AV124">
            <v>-48034</v>
          </cell>
          <cell r="AW124">
            <v>-5337</v>
          </cell>
          <cell r="AX124">
            <v>-533707</v>
          </cell>
          <cell r="AY124">
            <v>36271201</v>
          </cell>
          <cell r="AZ124">
            <v>1558148</v>
          </cell>
          <cell r="BA124">
            <v>694386</v>
          </cell>
          <cell r="BB124">
            <v>1496318</v>
          </cell>
          <cell r="BC124">
            <v>38820</v>
          </cell>
          <cell r="BD124">
            <v>31493</v>
          </cell>
          <cell r="BE124">
            <v>646397</v>
          </cell>
          <cell r="BF124">
            <v>817150</v>
          </cell>
          <cell r="BG124">
            <v>21282</v>
          </cell>
          <cell r="BH124">
            <v>34842</v>
          </cell>
          <cell r="BI124">
            <v>9705</v>
          </cell>
          <cell r="BJ124">
            <v>31493</v>
          </cell>
          <cell r="BK124">
            <v>0</v>
          </cell>
          <cell r="BL124">
            <v>0</v>
          </cell>
          <cell r="BM124">
            <v>0</v>
          </cell>
          <cell r="BN124">
            <v>0</v>
          </cell>
          <cell r="BO124">
            <v>0</v>
          </cell>
          <cell r="BP124">
            <v>36553248.200000003</v>
          </cell>
          <cell r="BQ124">
            <v>81497</v>
          </cell>
          <cell r="BR124">
            <v>579711</v>
          </cell>
          <cell r="BS124">
            <v>464205.66</v>
          </cell>
        </row>
        <row r="125">
          <cell r="A125">
            <v>118</v>
          </cell>
          <cell r="B125" t="str">
            <v>Haringey</v>
          </cell>
          <cell r="C125" t="str">
            <v>E5038</v>
          </cell>
          <cell r="D125">
            <v>309403</v>
          </cell>
          <cell r="G125">
            <v>84986</v>
          </cell>
          <cell r="H125">
            <v>0</v>
          </cell>
          <cell r="I125">
            <v>309403</v>
          </cell>
          <cell r="J125">
            <v>0</v>
          </cell>
          <cell r="K125">
            <v>0</v>
          </cell>
          <cell r="L125">
            <v>0</v>
          </cell>
          <cell r="M125">
            <v>0</v>
          </cell>
          <cell r="N125">
            <v>0</v>
          </cell>
          <cell r="O125">
            <v>0</v>
          </cell>
          <cell r="P125">
            <v>0</v>
          </cell>
          <cell r="Q125">
            <v>599503</v>
          </cell>
          <cell r="R125">
            <v>399668</v>
          </cell>
          <cell r="S125">
            <v>0</v>
          </cell>
          <cell r="T125">
            <v>0</v>
          </cell>
          <cell r="U125">
            <v>0</v>
          </cell>
          <cell r="V125">
            <v>0</v>
          </cell>
          <cell r="W125">
            <v>0</v>
          </cell>
          <cell r="X125">
            <v>0</v>
          </cell>
          <cell r="Y125">
            <v>0</v>
          </cell>
          <cell r="Z125">
            <v>0</v>
          </cell>
          <cell r="AA125">
            <v>0</v>
          </cell>
          <cell r="AB125">
            <v>0</v>
          </cell>
          <cell r="AC125">
            <v>649517.15923566883</v>
          </cell>
          <cell r="AD125">
            <v>433011.43949044589</v>
          </cell>
          <cell r="AE125">
            <v>0</v>
          </cell>
          <cell r="AF125">
            <v>0</v>
          </cell>
          <cell r="AG125">
            <v>0</v>
          </cell>
          <cell r="AH125">
            <v>0</v>
          </cell>
          <cell r="AI125">
            <v>0</v>
          </cell>
          <cell r="AJ125">
            <v>0</v>
          </cell>
          <cell r="AK125">
            <v>0</v>
          </cell>
          <cell r="AL125">
            <v>207264</v>
          </cell>
          <cell r="AM125">
            <v>135986</v>
          </cell>
          <cell r="AN125">
            <v>0</v>
          </cell>
          <cell r="AO125">
            <v>-1034999.34</v>
          </cell>
          <cell r="AP125">
            <v>-621001</v>
          </cell>
          <cell r="AQ125">
            <v>-414000</v>
          </cell>
          <cell r="AR125">
            <v>0</v>
          </cell>
          <cell r="AS125">
            <v>-2070000.34</v>
          </cell>
          <cell r="AT125">
            <v>-864588</v>
          </cell>
          <cell r="AU125">
            <v>-518752</v>
          </cell>
          <cell r="AV125">
            <v>-345835</v>
          </cell>
          <cell r="AW125">
            <v>0</v>
          </cell>
          <cell r="AX125">
            <v>-1729175</v>
          </cell>
          <cell r="AY125">
            <v>61434683</v>
          </cell>
          <cell r="AZ125">
            <v>3906001</v>
          </cell>
          <cell r="BA125">
            <v>1090298</v>
          </cell>
          <cell r="BB125">
            <v>4805165</v>
          </cell>
          <cell r="BC125">
            <v>23154</v>
          </cell>
          <cell r="BD125">
            <v>0</v>
          </cell>
          <cell r="BE125">
            <v>29550</v>
          </cell>
          <cell r="BF125">
            <v>1774827</v>
          </cell>
          <cell r="BG125">
            <v>438921</v>
          </cell>
          <cell r="BH125">
            <v>164583</v>
          </cell>
          <cell r="BI125">
            <v>0</v>
          </cell>
          <cell r="BJ125">
            <v>0</v>
          </cell>
          <cell r="BK125">
            <v>0</v>
          </cell>
          <cell r="BL125">
            <v>0</v>
          </cell>
          <cell r="BM125">
            <v>0</v>
          </cell>
          <cell r="BN125">
            <v>0</v>
          </cell>
          <cell r="BO125">
            <v>0</v>
          </cell>
          <cell r="BP125">
            <v>64919683</v>
          </cell>
          <cell r="BQ125">
            <v>1212721</v>
          </cell>
          <cell r="BR125">
            <v>10893746</v>
          </cell>
          <cell r="BS125">
            <v>6941347</v>
          </cell>
        </row>
        <row r="126">
          <cell r="A126">
            <v>119</v>
          </cell>
          <cell r="B126" t="str">
            <v>Harlow</v>
          </cell>
          <cell r="C126" t="str">
            <v>E1538</v>
          </cell>
          <cell r="D126">
            <v>123090</v>
          </cell>
          <cell r="E126">
            <v>2883461</v>
          </cell>
          <cell r="G126">
            <v>-10692</v>
          </cell>
          <cell r="H126">
            <v>0</v>
          </cell>
          <cell r="I126">
            <v>123090</v>
          </cell>
          <cell r="J126">
            <v>0</v>
          </cell>
          <cell r="K126">
            <v>0</v>
          </cell>
          <cell r="L126">
            <v>0</v>
          </cell>
          <cell r="M126">
            <v>0</v>
          </cell>
          <cell r="N126">
            <v>0</v>
          </cell>
          <cell r="O126">
            <v>0</v>
          </cell>
          <cell r="P126">
            <v>0</v>
          </cell>
          <cell r="Q126">
            <v>161758</v>
          </cell>
          <cell r="R126">
            <v>36395</v>
          </cell>
          <cell r="S126">
            <v>4044</v>
          </cell>
          <cell r="T126">
            <v>0</v>
          </cell>
          <cell r="U126">
            <v>0</v>
          </cell>
          <cell r="V126">
            <v>0</v>
          </cell>
          <cell r="W126">
            <v>0</v>
          </cell>
          <cell r="X126">
            <v>0</v>
          </cell>
          <cell r="Y126">
            <v>0</v>
          </cell>
          <cell r="Z126">
            <v>0</v>
          </cell>
          <cell r="AA126">
            <v>0</v>
          </cell>
          <cell r="AB126">
            <v>0</v>
          </cell>
          <cell r="AC126">
            <v>144315.92356687898</v>
          </cell>
          <cell r="AD126">
            <v>32471.082802547764</v>
          </cell>
          <cell r="AE126">
            <v>3607.8980891719748</v>
          </cell>
          <cell r="AF126">
            <v>0</v>
          </cell>
          <cell r="AG126">
            <v>0</v>
          </cell>
          <cell r="AH126">
            <v>0</v>
          </cell>
          <cell r="AI126">
            <v>0</v>
          </cell>
          <cell r="AJ126">
            <v>0</v>
          </cell>
          <cell r="AK126">
            <v>0</v>
          </cell>
          <cell r="AL126">
            <v>183633</v>
          </cell>
          <cell r="AM126">
            <v>41023</v>
          </cell>
          <cell r="AN126">
            <v>4558</v>
          </cell>
          <cell r="AO126">
            <v>-1018750</v>
          </cell>
          <cell r="AP126">
            <v>-815000</v>
          </cell>
          <cell r="AQ126">
            <v>-183375</v>
          </cell>
          <cell r="AR126">
            <v>-20375</v>
          </cell>
          <cell r="AS126">
            <v>-2037500</v>
          </cell>
          <cell r="AT126">
            <v>-2159227</v>
          </cell>
          <cell r="AU126">
            <v>-1727382</v>
          </cell>
          <cell r="AV126">
            <v>-388661</v>
          </cell>
          <cell r="AW126">
            <v>-43184</v>
          </cell>
          <cell r="AX126">
            <v>-4318454</v>
          </cell>
          <cell r="AY126">
            <v>37921193</v>
          </cell>
          <cell r="AZ126">
            <v>778993.11</v>
          </cell>
          <cell r="BA126">
            <v>920625.34</v>
          </cell>
          <cell r="BB126">
            <v>2368856.16</v>
          </cell>
          <cell r="BC126">
            <v>63276.59</v>
          </cell>
          <cell r="BD126">
            <v>0</v>
          </cell>
          <cell r="BE126">
            <v>74256.17</v>
          </cell>
          <cell r="BF126">
            <v>4100198.05</v>
          </cell>
          <cell r="BG126">
            <v>29857.08</v>
          </cell>
          <cell r="BH126">
            <v>3418.8</v>
          </cell>
          <cell r="BI126">
            <v>0</v>
          </cell>
          <cell r="BJ126">
            <v>0</v>
          </cell>
          <cell r="BK126">
            <v>0</v>
          </cell>
          <cell r="BL126">
            <v>12599</v>
          </cell>
          <cell r="BM126">
            <v>12599</v>
          </cell>
          <cell r="BN126">
            <v>0</v>
          </cell>
          <cell r="BO126">
            <v>0</v>
          </cell>
          <cell r="BP126">
            <v>43728315</v>
          </cell>
          <cell r="BQ126">
            <v>297068</v>
          </cell>
          <cell r="BR126">
            <v>2294717</v>
          </cell>
          <cell r="BS126">
            <v>286662</v>
          </cell>
        </row>
        <row r="127">
          <cell r="A127">
            <v>120</v>
          </cell>
          <cell r="B127" t="str">
            <v>Harrogate</v>
          </cell>
          <cell r="C127" t="str">
            <v>E2753</v>
          </cell>
          <cell r="D127">
            <v>285902</v>
          </cell>
          <cell r="G127">
            <v>36735</v>
          </cell>
          <cell r="H127">
            <v>0</v>
          </cell>
          <cell r="I127">
            <v>285902</v>
          </cell>
          <cell r="J127">
            <v>0</v>
          </cell>
          <cell r="K127">
            <v>0</v>
          </cell>
          <cell r="L127">
            <v>0</v>
          </cell>
          <cell r="M127">
            <v>0</v>
          </cell>
          <cell r="N127">
            <v>0</v>
          </cell>
          <cell r="O127">
            <v>0</v>
          </cell>
          <cell r="P127">
            <v>0</v>
          </cell>
          <cell r="Q127">
            <v>874714</v>
          </cell>
          <cell r="R127">
            <v>196811</v>
          </cell>
          <cell r="S127">
            <v>21868</v>
          </cell>
          <cell r="T127">
            <v>5689</v>
          </cell>
          <cell r="U127">
            <v>1280</v>
          </cell>
          <cell r="V127">
            <v>142</v>
          </cell>
          <cell r="W127">
            <v>7793</v>
          </cell>
          <cell r="X127">
            <v>1754</v>
          </cell>
          <cell r="Y127">
            <v>195</v>
          </cell>
          <cell r="Z127">
            <v>22892.062845010616</v>
          </cell>
          <cell r="AA127">
            <v>5150.7141401273875</v>
          </cell>
          <cell r="AB127">
            <v>572.30157112526547</v>
          </cell>
          <cell r="AC127">
            <v>5457.3248407643314</v>
          </cell>
          <cell r="AD127">
            <v>1227.8980891719743</v>
          </cell>
          <cell r="AE127">
            <v>136.43312101910828</v>
          </cell>
          <cell r="AF127">
            <v>0</v>
          </cell>
          <cell r="AG127">
            <v>0</v>
          </cell>
          <cell r="AH127">
            <v>0</v>
          </cell>
          <cell r="AI127">
            <v>0</v>
          </cell>
          <cell r="AJ127">
            <v>0</v>
          </cell>
          <cell r="AK127">
            <v>0</v>
          </cell>
          <cell r="AL127">
            <v>258550</v>
          </cell>
          <cell r="AM127">
            <v>57491</v>
          </cell>
          <cell r="AN127">
            <v>6388</v>
          </cell>
          <cell r="AO127">
            <v>-582705</v>
          </cell>
          <cell r="AP127">
            <v>-466164</v>
          </cell>
          <cell r="AQ127">
            <v>-104886</v>
          </cell>
          <cell r="AR127">
            <v>-11654</v>
          </cell>
          <cell r="AS127">
            <v>-1165409</v>
          </cell>
          <cell r="AT127">
            <v>-868726</v>
          </cell>
          <cell r="AU127">
            <v>-694980</v>
          </cell>
          <cell r="AV127">
            <v>-156370</v>
          </cell>
          <cell r="AW127">
            <v>-17374</v>
          </cell>
          <cell r="AX127">
            <v>-1737450</v>
          </cell>
          <cell r="AY127">
            <v>57706146</v>
          </cell>
          <cell r="AZ127">
            <v>4317699</v>
          </cell>
          <cell r="BA127">
            <v>1228657</v>
          </cell>
          <cell r="BB127">
            <v>2912016</v>
          </cell>
          <cell r="BC127">
            <v>115455</v>
          </cell>
          <cell r="BD127">
            <v>56847</v>
          </cell>
          <cell r="BE127">
            <v>19328</v>
          </cell>
          <cell r="BF127">
            <v>1809542</v>
          </cell>
          <cell r="BG127">
            <v>29841</v>
          </cell>
          <cell r="BH127">
            <v>134614</v>
          </cell>
          <cell r="BI127">
            <v>0</v>
          </cell>
          <cell r="BJ127">
            <v>14080</v>
          </cell>
          <cell r="BK127">
            <v>33005</v>
          </cell>
          <cell r="BL127">
            <v>0</v>
          </cell>
          <cell r="BM127">
            <v>0</v>
          </cell>
          <cell r="BN127">
            <v>0</v>
          </cell>
          <cell r="BO127">
            <v>0</v>
          </cell>
          <cell r="BP127">
            <v>60557573</v>
          </cell>
          <cell r="BQ127">
            <v>285594</v>
          </cell>
          <cell r="BR127">
            <v>1897469</v>
          </cell>
          <cell r="BS127">
            <v>742939</v>
          </cell>
        </row>
        <row r="128">
          <cell r="A128">
            <v>121</v>
          </cell>
          <cell r="B128" t="str">
            <v>Harrow</v>
          </cell>
          <cell r="C128" t="str">
            <v>E5039</v>
          </cell>
          <cell r="D128">
            <v>257701</v>
          </cell>
          <cell r="G128">
            <v>-152489</v>
          </cell>
          <cell r="H128">
            <v>0</v>
          </cell>
          <cell r="I128">
            <v>257701</v>
          </cell>
          <cell r="J128">
            <v>0</v>
          </cell>
          <cell r="K128">
            <v>0</v>
          </cell>
          <cell r="L128">
            <v>0</v>
          </cell>
          <cell r="M128">
            <v>0</v>
          </cell>
          <cell r="N128">
            <v>0</v>
          </cell>
          <cell r="O128">
            <v>0</v>
          </cell>
          <cell r="P128">
            <v>0</v>
          </cell>
          <cell r="Q128">
            <v>435980</v>
          </cell>
          <cell r="R128">
            <v>290653</v>
          </cell>
          <cell r="S128">
            <v>0</v>
          </cell>
          <cell r="T128">
            <v>0</v>
          </cell>
          <cell r="U128">
            <v>0</v>
          </cell>
          <cell r="V128">
            <v>0</v>
          </cell>
          <cell r="W128">
            <v>75796</v>
          </cell>
          <cell r="X128">
            <v>50531</v>
          </cell>
          <cell r="Y128">
            <v>0</v>
          </cell>
          <cell r="Z128">
            <v>75796.178343949039</v>
          </cell>
          <cell r="AA128">
            <v>50530.7855626327</v>
          </cell>
          <cell r="AB128">
            <v>0</v>
          </cell>
          <cell r="AC128">
            <v>227388.53503184713</v>
          </cell>
          <cell r="AD128">
            <v>151592.35668789811</v>
          </cell>
          <cell r="AE128">
            <v>0</v>
          </cell>
          <cell r="AF128">
            <v>0</v>
          </cell>
          <cell r="AG128">
            <v>0</v>
          </cell>
          <cell r="AH128">
            <v>0</v>
          </cell>
          <cell r="AI128">
            <v>0</v>
          </cell>
          <cell r="AJ128">
            <v>0</v>
          </cell>
          <cell r="AK128">
            <v>0</v>
          </cell>
          <cell r="AL128">
            <v>156593</v>
          </cell>
          <cell r="AM128">
            <v>102572</v>
          </cell>
          <cell r="AN128">
            <v>0</v>
          </cell>
          <cell r="AO128">
            <v>-1248273</v>
          </cell>
          <cell r="AP128">
            <v>-748964</v>
          </cell>
          <cell r="AQ128">
            <v>-499309</v>
          </cell>
          <cell r="AR128">
            <v>0</v>
          </cell>
          <cell r="AS128">
            <v>-2496546</v>
          </cell>
          <cell r="AT128">
            <v>-700000</v>
          </cell>
          <cell r="AU128">
            <v>-420000</v>
          </cell>
          <cell r="AV128">
            <v>-280000</v>
          </cell>
          <cell r="AW128">
            <v>0</v>
          </cell>
          <cell r="AX128">
            <v>-1400000</v>
          </cell>
          <cell r="AY128">
            <v>48109395</v>
          </cell>
          <cell r="AZ128">
            <v>2729626</v>
          </cell>
          <cell r="BA128">
            <v>839633</v>
          </cell>
          <cell r="BB128">
            <v>4133162</v>
          </cell>
          <cell r="BC128">
            <v>163277</v>
          </cell>
          <cell r="BD128">
            <v>0</v>
          </cell>
          <cell r="BE128">
            <v>0</v>
          </cell>
          <cell r="BF128">
            <v>1309175</v>
          </cell>
          <cell r="BG128">
            <v>43082</v>
          </cell>
          <cell r="BH128">
            <v>16239</v>
          </cell>
          <cell r="BI128">
            <v>0</v>
          </cell>
          <cell r="BJ128">
            <v>0</v>
          </cell>
          <cell r="BK128">
            <v>0</v>
          </cell>
          <cell r="BL128">
            <v>0</v>
          </cell>
          <cell r="BM128">
            <v>0</v>
          </cell>
          <cell r="BN128">
            <v>0</v>
          </cell>
          <cell r="BO128">
            <v>0</v>
          </cell>
          <cell r="BP128">
            <v>51298363</v>
          </cell>
          <cell r="BQ128">
            <v>1087244</v>
          </cell>
          <cell r="BR128">
            <v>3845514</v>
          </cell>
          <cell r="BS128">
            <v>183926</v>
          </cell>
        </row>
        <row r="129">
          <cell r="A129">
            <v>122</v>
          </cell>
          <cell r="B129" t="str">
            <v>Hart</v>
          </cell>
          <cell r="C129" t="str">
            <v>E1736</v>
          </cell>
          <cell r="D129">
            <v>99703</v>
          </cell>
          <cell r="G129">
            <v>27895</v>
          </cell>
          <cell r="H129">
            <v>0</v>
          </cell>
          <cell r="I129">
            <v>99703</v>
          </cell>
          <cell r="J129">
            <v>0</v>
          </cell>
          <cell r="K129">
            <v>0</v>
          </cell>
          <cell r="L129">
            <v>0</v>
          </cell>
          <cell r="M129">
            <v>0</v>
          </cell>
          <cell r="N129">
            <v>0</v>
          </cell>
          <cell r="O129">
            <v>0</v>
          </cell>
          <cell r="P129">
            <v>0</v>
          </cell>
          <cell r="Q129">
            <v>199102</v>
          </cell>
          <cell r="R129">
            <v>44798</v>
          </cell>
          <cell r="S129">
            <v>4978</v>
          </cell>
          <cell r="T129">
            <v>5414</v>
          </cell>
          <cell r="U129">
            <v>1218</v>
          </cell>
          <cell r="V129">
            <v>135</v>
          </cell>
          <cell r="W129">
            <v>4042</v>
          </cell>
          <cell r="X129">
            <v>910</v>
          </cell>
          <cell r="Y129">
            <v>101</v>
          </cell>
          <cell r="Z129">
            <v>4446.709129511677</v>
          </cell>
          <cell r="AA129">
            <v>1000.5095541401272</v>
          </cell>
          <cell r="AB129">
            <v>111.16772823779193</v>
          </cell>
          <cell r="AC129">
            <v>189591.50743099791</v>
          </cell>
          <cell r="AD129">
            <v>42658.08917197452</v>
          </cell>
          <cell r="AE129">
            <v>4739.787685774947</v>
          </cell>
          <cell r="AF129">
            <v>0</v>
          </cell>
          <cell r="AG129">
            <v>0</v>
          </cell>
          <cell r="AH129">
            <v>0</v>
          </cell>
          <cell r="AI129">
            <v>0</v>
          </cell>
          <cell r="AJ129">
            <v>0</v>
          </cell>
          <cell r="AK129">
            <v>0</v>
          </cell>
          <cell r="AL129">
            <v>124824</v>
          </cell>
          <cell r="AM129">
            <v>27847</v>
          </cell>
          <cell r="AN129">
            <v>3094</v>
          </cell>
          <cell r="AO129">
            <v>-33179324.399999999</v>
          </cell>
          <cell r="AP129">
            <v>-26543461</v>
          </cell>
          <cell r="AQ129">
            <v>-5972279</v>
          </cell>
          <cell r="AR129">
            <v>-663587</v>
          </cell>
          <cell r="AS129">
            <v>-66358651.399999999</v>
          </cell>
          <cell r="AT129">
            <v>-948353.35</v>
          </cell>
          <cell r="AU129">
            <v>-758684</v>
          </cell>
          <cell r="AV129">
            <v>-170704</v>
          </cell>
          <cell r="AW129">
            <v>-18968</v>
          </cell>
          <cell r="AX129">
            <v>-1896709.35</v>
          </cell>
          <cell r="AY129">
            <v>26349053</v>
          </cell>
          <cell r="AZ129">
            <v>992435.19999999995</v>
          </cell>
          <cell r="BA129">
            <v>565682.77</v>
          </cell>
          <cell r="BB129">
            <v>1283003.44</v>
          </cell>
          <cell r="BC129">
            <v>34496.04</v>
          </cell>
          <cell r="BD129">
            <v>2743.58</v>
          </cell>
          <cell r="BE129">
            <v>0</v>
          </cell>
          <cell r="BF129">
            <v>2044859.33</v>
          </cell>
          <cell r="BG129">
            <v>55913.11</v>
          </cell>
          <cell r="BH129">
            <v>21581.18</v>
          </cell>
          <cell r="BI129">
            <v>0</v>
          </cell>
          <cell r="BJ129">
            <v>2743.57</v>
          </cell>
          <cell r="BK129">
            <v>0</v>
          </cell>
          <cell r="BL129">
            <v>0</v>
          </cell>
          <cell r="BM129">
            <v>0</v>
          </cell>
          <cell r="BN129">
            <v>0</v>
          </cell>
          <cell r="BO129">
            <v>0</v>
          </cell>
          <cell r="BP129">
            <v>29141523</v>
          </cell>
          <cell r="BQ129">
            <v>446773.97</v>
          </cell>
          <cell r="BR129">
            <v>1790175.08</v>
          </cell>
          <cell r="BS129">
            <v>508949.35</v>
          </cell>
        </row>
        <row r="130">
          <cell r="A130">
            <v>123</v>
          </cell>
          <cell r="B130" t="str">
            <v>Hartlepool</v>
          </cell>
          <cell r="C130" t="str">
            <v>E0701</v>
          </cell>
          <cell r="D130">
            <v>125321</v>
          </cell>
          <cell r="E130">
            <v>0</v>
          </cell>
          <cell r="G130">
            <v>8073127</v>
          </cell>
          <cell r="H130">
            <v>0</v>
          </cell>
          <cell r="I130">
            <v>125321</v>
          </cell>
          <cell r="J130">
            <v>0</v>
          </cell>
          <cell r="K130">
            <v>0</v>
          </cell>
          <cell r="L130">
            <v>0</v>
          </cell>
          <cell r="M130">
            <v>72798</v>
          </cell>
          <cell r="N130">
            <v>72798</v>
          </cell>
          <cell r="O130">
            <v>0</v>
          </cell>
          <cell r="P130">
            <v>0</v>
          </cell>
          <cell r="Q130">
            <v>453377</v>
          </cell>
          <cell r="R130">
            <v>0</v>
          </cell>
          <cell r="S130">
            <v>9253</v>
          </cell>
          <cell r="T130">
            <v>0</v>
          </cell>
          <cell r="U130">
            <v>0</v>
          </cell>
          <cell r="V130">
            <v>0</v>
          </cell>
          <cell r="W130">
            <v>24760</v>
          </cell>
          <cell r="X130">
            <v>0</v>
          </cell>
          <cell r="Y130">
            <v>505</v>
          </cell>
          <cell r="Z130">
            <v>63530.416305732484</v>
          </cell>
          <cell r="AA130">
            <v>1.1245684143278967E-12</v>
          </cell>
          <cell r="AB130">
            <v>1296.5391082802548</v>
          </cell>
          <cell r="AC130">
            <v>207998.08382165604</v>
          </cell>
          <cell r="AD130">
            <v>3.6818281526899841E-12</v>
          </cell>
          <cell r="AE130">
            <v>4244.8588535031849</v>
          </cell>
          <cell r="AF130">
            <v>0</v>
          </cell>
          <cell r="AG130">
            <v>0</v>
          </cell>
          <cell r="AH130">
            <v>0</v>
          </cell>
          <cell r="AI130">
            <v>0</v>
          </cell>
          <cell r="AJ130">
            <v>0</v>
          </cell>
          <cell r="AK130">
            <v>0</v>
          </cell>
          <cell r="AL130">
            <v>204808</v>
          </cell>
          <cell r="AM130">
            <v>0</v>
          </cell>
          <cell r="AN130">
            <v>4137</v>
          </cell>
          <cell r="AO130">
            <v>-386840</v>
          </cell>
          <cell r="AP130">
            <v>-379103</v>
          </cell>
          <cell r="AQ130">
            <v>0</v>
          </cell>
          <cell r="AR130">
            <v>-7737</v>
          </cell>
          <cell r="AS130">
            <v>-773680</v>
          </cell>
          <cell r="AT130">
            <v>-1981899</v>
          </cell>
          <cell r="AU130">
            <v>-1942262</v>
          </cell>
          <cell r="AV130">
            <v>0</v>
          </cell>
          <cell r="AW130">
            <v>-39638</v>
          </cell>
          <cell r="AX130">
            <v>-3963799</v>
          </cell>
          <cell r="AY130">
            <v>34840447</v>
          </cell>
          <cell r="AZ130">
            <v>1818564</v>
          </cell>
          <cell r="BA130">
            <v>790474</v>
          </cell>
          <cell r="BB130">
            <v>1834595</v>
          </cell>
          <cell r="BC130">
            <v>46129</v>
          </cell>
          <cell r="BD130">
            <v>0</v>
          </cell>
          <cell r="BE130">
            <v>44396</v>
          </cell>
          <cell r="BF130">
            <v>1602256</v>
          </cell>
          <cell r="BG130">
            <v>155381</v>
          </cell>
          <cell r="BH130">
            <v>37761</v>
          </cell>
          <cell r="BI130">
            <v>2896</v>
          </cell>
          <cell r="BJ130">
            <v>413</v>
          </cell>
          <cell r="BK130">
            <v>0</v>
          </cell>
          <cell r="BL130">
            <v>65814</v>
          </cell>
          <cell r="BM130">
            <v>65814</v>
          </cell>
          <cell r="BN130">
            <v>67812</v>
          </cell>
          <cell r="BO130">
            <v>0</v>
          </cell>
          <cell r="BP130">
            <v>30021500</v>
          </cell>
          <cell r="BQ130">
            <v>255892</v>
          </cell>
          <cell r="BR130">
            <v>1414689</v>
          </cell>
          <cell r="BS130">
            <v>538863</v>
          </cell>
        </row>
        <row r="131">
          <cell r="A131">
            <v>124</v>
          </cell>
          <cell r="B131" t="str">
            <v>Hastings</v>
          </cell>
          <cell r="C131" t="str">
            <v>E1433</v>
          </cell>
          <cell r="D131">
            <v>132805</v>
          </cell>
          <cell r="G131">
            <v>96000</v>
          </cell>
          <cell r="H131">
            <v>0</v>
          </cell>
          <cell r="I131">
            <v>132805</v>
          </cell>
          <cell r="J131">
            <v>0</v>
          </cell>
          <cell r="K131">
            <v>0</v>
          </cell>
          <cell r="L131">
            <v>0</v>
          </cell>
          <cell r="M131">
            <v>0</v>
          </cell>
          <cell r="N131">
            <v>0</v>
          </cell>
          <cell r="O131">
            <v>0</v>
          </cell>
          <cell r="P131">
            <v>0</v>
          </cell>
          <cell r="Q131">
            <v>493625</v>
          </cell>
          <cell r="R131">
            <v>111066</v>
          </cell>
          <cell r="S131">
            <v>12341</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90337</v>
          </cell>
          <cell r="AM131">
            <v>20009</v>
          </cell>
          <cell r="AN131">
            <v>2223</v>
          </cell>
          <cell r="AO131">
            <v>-366342</v>
          </cell>
          <cell r="AP131">
            <v>-293074</v>
          </cell>
          <cell r="AQ131">
            <v>-65942</v>
          </cell>
          <cell r="AR131">
            <v>-7326</v>
          </cell>
          <cell r="AS131">
            <v>-732684</v>
          </cell>
          <cell r="AT131">
            <v>-899832</v>
          </cell>
          <cell r="AU131">
            <v>-719865</v>
          </cell>
          <cell r="AV131">
            <v>-161970</v>
          </cell>
          <cell r="AW131">
            <v>-17997</v>
          </cell>
          <cell r="AX131">
            <v>-1799664</v>
          </cell>
          <cell r="AY131">
            <v>19801101</v>
          </cell>
          <cell r="AZ131">
            <v>2208498</v>
          </cell>
          <cell r="BA131">
            <v>397910</v>
          </cell>
          <cell r="BB131">
            <v>2049310</v>
          </cell>
          <cell r="BC131">
            <v>35075</v>
          </cell>
          <cell r="BD131">
            <v>0</v>
          </cell>
          <cell r="BE131">
            <v>0</v>
          </cell>
          <cell r="BF131">
            <v>562552</v>
          </cell>
          <cell r="BG131">
            <v>124047</v>
          </cell>
          <cell r="BH131">
            <v>121834</v>
          </cell>
          <cell r="BI131">
            <v>2249</v>
          </cell>
          <cell r="BJ131">
            <v>0</v>
          </cell>
          <cell r="BK131">
            <v>0</v>
          </cell>
          <cell r="BL131">
            <v>0</v>
          </cell>
          <cell r="BM131">
            <v>0</v>
          </cell>
          <cell r="BN131">
            <v>0</v>
          </cell>
          <cell r="BO131">
            <v>0</v>
          </cell>
          <cell r="BP131">
            <v>21715458</v>
          </cell>
          <cell r="BQ131">
            <v>-5664</v>
          </cell>
          <cell r="BR131">
            <v>1222816</v>
          </cell>
          <cell r="BS131">
            <v>265085</v>
          </cell>
        </row>
        <row r="132">
          <cell r="A132">
            <v>125</v>
          </cell>
          <cell r="B132" t="str">
            <v>Havant</v>
          </cell>
          <cell r="C132" t="str">
            <v>E1737</v>
          </cell>
          <cell r="D132">
            <v>140067</v>
          </cell>
          <cell r="G132">
            <v>26478</v>
          </cell>
          <cell r="H132">
            <v>0</v>
          </cell>
          <cell r="I132">
            <v>140067</v>
          </cell>
          <cell r="J132">
            <v>0</v>
          </cell>
          <cell r="K132">
            <v>0</v>
          </cell>
          <cell r="L132">
            <v>0</v>
          </cell>
          <cell r="M132">
            <v>0</v>
          </cell>
          <cell r="N132">
            <v>0</v>
          </cell>
          <cell r="O132">
            <v>0</v>
          </cell>
          <cell r="P132">
            <v>0</v>
          </cell>
          <cell r="Q132">
            <v>389065</v>
          </cell>
          <cell r="R132">
            <v>87540</v>
          </cell>
          <cell r="S132">
            <v>9727</v>
          </cell>
          <cell r="T132">
            <v>0</v>
          </cell>
          <cell r="U132">
            <v>0</v>
          </cell>
          <cell r="V132">
            <v>0</v>
          </cell>
          <cell r="W132">
            <v>20212</v>
          </cell>
          <cell r="X132">
            <v>4548</v>
          </cell>
          <cell r="Y132">
            <v>505</v>
          </cell>
          <cell r="Z132">
            <v>8489.1719745222927</v>
          </cell>
          <cell r="AA132">
            <v>1910.0636942675155</v>
          </cell>
          <cell r="AB132">
            <v>212.22929936305732</v>
          </cell>
          <cell r="AC132">
            <v>214250.53078556262</v>
          </cell>
          <cell r="AD132">
            <v>48206.369426751575</v>
          </cell>
          <cell r="AE132">
            <v>5356.2632696390656</v>
          </cell>
          <cell r="AF132">
            <v>0</v>
          </cell>
          <cell r="AG132">
            <v>0</v>
          </cell>
          <cell r="AH132">
            <v>0</v>
          </cell>
          <cell r="AI132">
            <v>6833</v>
          </cell>
          <cell r="AJ132">
            <v>1537.4699999999998</v>
          </cell>
          <cell r="AK132">
            <v>170.83</v>
          </cell>
          <cell r="AL132">
            <v>126593</v>
          </cell>
          <cell r="AM132">
            <v>28149</v>
          </cell>
          <cell r="AN132">
            <v>3128</v>
          </cell>
          <cell r="AO132">
            <v>-96233</v>
          </cell>
          <cell r="AP132">
            <v>-76986</v>
          </cell>
          <cell r="AQ132">
            <v>-17321</v>
          </cell>
          <cell r="AR132">
            <v>-1925</v>
          </cell>
          <cell r="AS132">
            <v>-192465</v>
          </cell>
          <cell r="AT132">
            <v>-560556</v>
          </cell>
          <cell r="AU132">
            <v>-448443</v>
          </cell>
          <cell r="AV132">
            <v>-100899</v>
          </cell>
          <cell r="AW132">
            <v>-11211</v>
          </cell>
          <cell r="AX132">
            <v>-1121109</v>
          </cell>
          <cell r="AY132">
            <v>30540816</v>
          </cell>
          <cell r="AZ132">
            <v>1903661</v>
          </cell>
          <cell r="BA132">
            <v>605137</v>
          </cell>
          <cell r="BB132">
            <v>1801641</v>
          </cell>
          <cell r="BC132">
            <v>2157</v>
          </cell>
          <cell r="BD132">
            <v>1884</v>
          </cell>
          <cell r="BE132">
            <v>164517</v>
          </cell>
          <cell r="BF132">
            <v>966035</v>
          </cell>
          <cell r="BG132">
            <v>92257</v>
          </cell>
          <cell r="BH132">
            <v>87365</v>
          </cell>
          <cell r="BI132">
            <v>0</v>
          </cell>
          <cell r="BJ132">
            <v>1884</v>
          </cell>
          <cell r="BK132">
            <v>0</v>
          </cell>
          <cell r="BL132">
            <v>0</v>
          </cell>
          <cell r="BM132">
            <v>0</v>
          </cell>
          <cell r="BN132">
            <v>0</v>
          </cell>
          <cell r="BO132">
            <v>0</v>
          </cell>
          <cell r="BP132">
            <v>31850405</v>
          </cell>
          <cell r="BQ132">
            <v>0</v>
          </cell>
          <cell r="BR132">
            <v>559640</v>
          </cell>
          <cell r="BS132">
            <v>563603</v>
          </cell>
        </row>
        <row r="133">
          <cell r="A133">
            <v>126</v>
          </cell>
          <cell r="B133" t="str">
            <v>Havering</v>
          </cell>
          <cell r="C133" t="str">
            <v>E5040</v>
          </cell>
          <cell r="D133">
            <v>272168</v>
          </cell>
          <cell r="G133">
            <v>53764</v>
          </cell>
          <cell r="H133">
            <v>0</v>
          </cell>
          <cell r="I133">
            <v>272168</v>
          </cell>
          <cell r="J133">
            <v>0</v>
          </cell>
          <cell r="K133">
            <v>0</v>
          </cell>
          <cell r="L133">
            <v>0</v>
          </cell>
          <cell r="M133">
            <v>0</v>
          </cell>
          <cell r="N133">
            <v>0</v>
          </cell>
          <cell r="O133">
            <v>0</v>
          </cell>
          <cell r="P133">
            <v>0</v>
          </cell>
          <cell r="Q133">
            <v>488842</v>
          </cell>
          <cell r="R133">
            <v>325894</v>
          </cell>
          <cell r="S133">
            <v>0</v>
          </cell>
          <cell r="T133">
            <v>5956</v>
          </cell>
          <cell r="U133">
            <v>3971</v>
          </cell>
          <cell r="V133">
            <v>0</v>
          </cell>
          <cell r="W133">
            <v>0</v>
          </cell>
          <cell r="X133">
            <v>0</v>
          </cell>
          <cell r="Y133">
            <v>0</v>
          </cell>
          <cell r="Z133">
            <v>7120.2929936305736</v>
          </cell>
          <cell r="AA133">
            <v>4746.8619957537157</v>
          </cell>
          <cell r="AB133">
            <v>0</v>
          </cell>
          <cell r="AC133">
            <v>448849.27531210188</v>
          </cell>
          <cell r="AD133">
            <v>299232.85020806798</v>
          </cell>
          <cell r="AE133">
            <v>0</v>
          </cell>
          <cell r="AF133">
            <v>0</v>
          </cell>
          <cell r="AG133">
            <v>0</v>
          </cell>
          <cell r="AH133">
            <v>0</v>
          </cell>
          <cell r="AI133">
            <v>0</v>
          </cell>
          <cell r="AJ133">
            <v>0</v>
          </cell>
          <cell r="AK133">
            <v>0</v>
          </cell>
          <cell r="AL133">
            <v>232531</v>
          </cell>
          <cell r="AM133">
            <v>153094</v>
          </cell>
          <cell r="AN133">
            <v>0</v>
          </cell>
          <cell r="AO133">
            <v>-1778283.42</v>
          </cell>
          <cell r="AP133">
            <v>-1066969</v>
          </cell>
          <cell r="AQ133">
            <v>-711313</v>
          </cell>
          <cell r="AR133">
            <v>0</v>
          </cell>
          <cell r="AS133">
            <v>-3556565.42</v>
          </cell>
          <cell r="AT133">
            <v>-2942444.48</v>
          </cell>
          <cell r="AU133">
            <v>-1765467</v>
          </cell>
          <cell r="AV133">
            <v>-1176978</v>
          </cell>
          <cell r="AW133">
            <v>0</v>
          </cell>
          <cell r="AX133">
            <v>-5884889.4800000004</v>
          </cell>
          <cell r="AY133">
            <v>64965565</v>
          </cell>
          <cell r="AZ133">
            <v>3138430.23</v>
          </cell>
          <cell r="BA133">
            <v>1358590.21</v>
          </cell>
          <cell r="BB133">
            <v>4236816.7</v>
          </cell>
          <cell r="BC133">
            <v>315645.36</v>
          </cell>
          <cell r="BD133">
            <v>0</v>
          </cell>
          <cell r="BE133">
            <v>0</v>
          </cell>
          <cell r="BF133">
            <v>3611037.75</v>
          </cell>
          <cell r="BG133">
            <v>143427.6</v>
          </cell>
          <cell r="BH133">
            <v>9772.4</v>
          </cell>
          <cell r="BI133">
            <v>70602.899999999994</v>
          </cell>
          <cell r="BJ133">
            <v>0</v>
          </cell>
          <cell r="BK133">
            <v>0</v>
          </cell>
          <cell r="BL133">
            <v>0</v>
          </cell>
          <cell r="BM133">
            <v>0</v>
          </cell>
          <cell r="BN133">
            <v>0</v>
          </cell>
          <cell r="BO133">
            <v>0</v>
          </cell>
          <cell r="BP133">
            <v>72753269.200000003</v>
          </cell>
          <cell r="BQ133">
            <v>1279132.75</v>
          </cell>
          <cell r="BR133">
            <v>6174694.8499999996</v>
          </cell>
          <cell r="BS133">
            <v>5907277.1200000001</v>
          </cell>
        </row>
        <row r="134">
          <cell r="A134">
            <v>127</v>
          </cell>
          <cell r="B134" t="str">
            <v>Herefordshire</v>
          </cell>
          <cell r="C134" t="str">
            <v>E1801</v>
          </cell>
          <cell r="D134">
            <v>300804</v>
          </cell>
          <cell r="E134">
            <v>230140</v>
          </cell>
          <cell r="G134">
            <v>71420</v>
          </cell>
          <cell r="H134">
            <v>0</v>
          </cell>
          <cell r="I134">
            <v>300804</v>
          </cell>
          <cell r="J134">
            <v>0</v>
          </cell>
          <cell r="K134">
            <v>15600</v>
          </cell>
          <cell r="L134">
            <v>0</v>
          </cell>
          <cell r="M134">
            <v>185100</v>
          </cell>
          <cell r="N134">
            <v>185100</v>
          </cell>
          <cell r="O134">
            <v>0</v>
          </cell>
          <cell r="P134">
            <v>0</v>
          </cell>
          <cell r="Q134">
            <v>1242359</v>
          </cell>
          <cell r="R134">
            <v>0</v>
          </cell>
          <cell r="S134">
            <v>25354</v>
          </cell>
          <cell r="T134">
            <v>0</v>
          </cell>
          <cell r="U134">
            <v>0</v>
          </cell>
          <cell r="V134">
            <v>0</v>
          </cell>
          <cell r="W134">
            <v>149551</v>
          </cell>
          <cell r="X134">
            <v>0</v>
          </cell>
          <cell r="Y134">
            <v>3052</v>
          </cell>
          <cell r="Z134">
            <v>18945.426581740976</v>
          </cell>
          <cell r="AA134">
            <v>3.353579209565419E-13</v>
          </cell>
          <cell r="AB134">
            <v>386.64135881104033</v>
          </cell>
          <cell r="AC134">
            <v>511353.19711252657</v>
          </cell>
          <cell r="AD134">
            <v>9.0515958729275054E-12</v>
          </cell>
          <cell r="AE134">
            <v>10435.779532908706</v>
          </cell>
          <cell r="AF134">
            <v>0</v>
          </cell>
          <cell r="AG134">
            <v>0</v>
          </cell>
          <cell r="AH134">
            <v>0</v>
          </cell>
          <cell r="AI134">
            <v>0</v>
          </cell>
          <cell r="AJ134">
            <v>0</v>
          </cell>
          <cell r="AK134">
            <v>0</v>
          </cell>
          <cell r="AL134">
            <v>251215</v>
          </cell>
          <cell r="AM134">
            <v>0</v>
          </cell>
          <cell r="AN134">
            <v>5018</v>
          </cell>
          <cell r="AO134">
            <v>-142730.42000000001</v>
          </cell>
          <cell r="AP134">
            <v>-139875</v>
          </cell>
          <cell r="AQ134">
            <v>0</v>
          </cell>
          <cell r="AR134">
            <v>-2855</v>
          </cell>
          <cell r="AS134">
            <v>-285460.42</v>
          </cell>
          <cell r="AT134">
            <v>-1063394</v>
          </cell>
          <cell r="AU134">
            <v>-1042127</v>
          </cell>
          <cell r="AV134">
            <v>0</v>
          </cell>
          <cell r="AW134">
            <v>-21268</v>
          </cell>
          <cell r="AX134">
            <v>-2126789</v>
          </cell>
          <cell r="AY134">
            <v>41875081</v>
          </cell>
          <cell r="AZ134">
            <v>4965011.83</v>
          </cell>
          <cell r="BA134">
            <v>857349.94</v>
          </cell>
          <cell r="BB134">
            <v>4043288.77</v>
          </cell>
          <cell r="BC134">
            <v>69583.48</v>
          </cell>
          <cell r="BD134">
            <v>88735.52</v>
          </cell>
          <cell r="BE134">
            <v>4164.22</v>
          </cell>
          <cell r="BF134">
            <v>2026342.98</v>
          </cell>
          <cell r="BG134">
            <v>433388.84</v>
          </cell>
          <cell r="BH134">
            <v>126063</v>
          </cell>
          <cell r="BI134">
            <v>12158.36</v>
          </cell>
          <cell r="BJ134">
            <v>58773.35</v>
          </cell>
          <cell r="BK134">
            <v>0</v>
          </cell>
          <cell r="BL134">
            <v>64227.02</v>
          </cell>
          <cell r="BM134">
            <v>64227.02</v>
          </cell>
          <cell r="BN134">
            <v>60548.37</v>
          </cell>
          <cell r="BO134">
            <v>0</v>
          </cell>
          <cell r="BP134">
            <v>44739735.399999999</v>
          </cell>
          <cell r="BQ134">
            <v>135519</v>
          </cell>
          <cell r="BR134">
            <v>1099986</v>
          </cell>
          <cell r="BS134">
            <v>706627</v>
          </cell>
        </row>
        <row r="135">
          <cell r="A135">
            <v>128</v>
          </cell>
          <cell r="B135" t="str">
            <v>Hertsmere</v>
          </cell>
          <cell r="C135" t="str">
            <v>E1934</v>
          </cell>
          <cell r="D135">
            <v>147906</v>
          </cell>
          <cell r="G135">
            <v>-3826</v>
          </cell>
          <cell r="H135">
            <v>0</v>
          </cell>
          <cell r="I135">
            <v>147906</v>
          </cell>
          <cell r="J135">
            <v>0</v>
          </cell>
          <cell r="K135">
            <v>0</v>
          </cell>
          <cell r="L135">
            <v>0</v>
          </cell>
          <cell r="M135">
            <v>0</v>
          </cell>
          <cell r="N135">
            <v>0</v>
          </cell>
          <cell r="O135">
            <v>0</v>
          </cell>
          <cell r="P135">
            <v>0</v>
          </cell>
          <cell r="Q135">
            <v>293962</v>
          </cell>
          <cell r="R135">
            <v>73491</v>
          </cell>
          <cell r="S135">
            <v>0</v>
          </cell>
          <cell r="T135">
            <v>0</v>
          </cell>
          <cell r="U135">
            <v>0</v>
          </cell>
          <cell r="V135">
            <v>0</v>
          </cell>
          <cell r="W135">
            <v>45275</v>
          </cell>
          <cell r="X135">
            <v>11319</v>
          </cell>
          <cell r="Y135">
            <v>0</v>
          </cell>
          <cell r="Z135">
            <v>32339.702760084929</v>
          </cell>
          <cell r="AA135">
            <v>8084.9256900212304</v>
          </cell>
          <cell r="AB135">
            <v>0</v>
          </cell>
          <cell r="AC135">
            <v>264781.31634819531</v>
          </cell>
          <cell r="AD135">
            <v>66195.329087048813</v>
          </cell>
          <cell r="AE135">
            <v>0</v>
          </cell>
          <cell r="AF135">
            <v>0</v>
          </cell>
          <cell r="AG135">
            <v>0</v>
          </cell>
          <cell r="AH135">
            <v>0</v>
          </cell>
          <cell r="AI135">
            <v>0</v>
          </cell>
          <cell r="AJ135">
            <v>0</v>
          </cell>
          <cell r="AK135">
            <v>0</v>
          </cell>
          <cell r="AL135">
            <v>181138</v>
          </cell>
          <cell r="AM135">
            <v>44892</v>
          </cell>
          <cell r="AN135">
            <v>0</v>
          </cell>
          <cell r="AO135">
            <v>-303191.90999999997</v>
          </cell>
          <cell r="AP135">
            <v>-242553</v>
          </cell>
          <cell r="AQ135">
            <v>-60638</v>
          </cell>
          <cell r="AR135">
            <v>0</v>
          </cell>
          <cell r="AS135">
            <v>-606382.91</v>
          </cell>
          <cell r="AT135">
            <v>-2883815</v>
          </cell>
          <cell r="AU135">
            <v>-2307051</v>
          </cell>
          <cell r="AV135">
            <v>-576762</v>
          </cell>
          <cell r="AW135">
            <v>0</v>
          </cell>
          <cell r="AX135">
            <v>-5767628</v>
          </cell>
          <cell r="AY135">
            <v>37814081</v>
          </cell>
          <cell r="AZ135">
            <v>1459858.33</v>
          </cell>
          <cell r="BA135">
            <v>901941.94</v>
          </cell>
          <cell r="BB135">
            <v>4428903.7699999996</v>
          </cell>
          <cell r="BC135">
            <v>49605.72</v>
          </cell>
          <cell r="BD135">
            <v>0</v>
          </cell>
          <cell r="BE135">
            <v>114981.78</v>
          </cell>
          <cell r="BF135">
            <v>1303146.8899999999</v>
          </cell>
          <cell r="BG135">
            <v>101997.27</v>
          </cell>
          <cell r="BH135">
            <v>38438.879999999997</v>
          </cell>
          <cell r="BI135">
            <v>0</v>
          </cell>
          <cell r="BJ135">
            <v>0</v>
          </cell>
          <cell r="BK135">
            <v>0</v>
          </cell>
          <cell r="BL135">
            <v>0</v>
          </cell>
          <cell r="BM135">
            <v>0</v>
          </cell>
          <cell r="BN135">
            <v>0</v>
          </cell>
          <cell r="BO135">
            <v>0</v>
          </cell>
          <cell r="BP135">
            <v>45003341.5</v>
          </cell>
          <cell r="BQ135">
            <v>686019.42</v>
          </cell>
          <cell r="BR135">
            <v>1630989.17</v>
          </cell>
          <cell r="BS135">
            <v>1324066.1000000001</v>
          </cell>
        </row>
        <row r="136">
          <cell r="A136">
            <v>129</v>
          </cell>
          <cell r="B136" t="str">
            <v>High Peak</v>
          </cell>
          <cell r="C136" t="str">
            <v>E1037</v>
          </cell>
          <cell r="D136">
            <v>134980</v>
          </cell>
          <cell r="G136">
            <v>83298</v>
          </cell>
          <cell r="H136">
            <v>0</v>
          </cell>
          <cell r="I136">
            <v>134980</v>
          </cell>
          <cell r="J136">
            <v>0</v>
          </cell>
          <cell r="K136">
            <v>0</v>
          </cell>
          <cell r="L136">
            <v>0</v>
          </cell>
          <cell r="M136">
            <v>0</v>
          </cell>
          <cell r="N136">
            <v>0</v>
          </cell>
          <cell r="O136">
            <v>0</v>
          </cell>
          <cell r="P136">
            <v>0</v>
          </cell>
          <cell r="Q136">
            <v>488842</v>
          </cell>
          <cell r="R136">
            <v>109990</v>
          </cell>
          <cell r="S136">
            <v>12221</v>
          </cell>
          <cell r="T136">
            <v>0</v>
          </cell>
          <cell r="U136">
            <v>0</v>
          </cell>
          <cell r="V136">
            <v>0</v>
          </cell>
          <cell r="W136">
            <v>0</v>
          </cell>
          <cell r="X136">
            <v>0</v>
          </cell>
          <cell r="Y136">
            <v>0</v>
          </cell>
          <cell r="Z136">
            <v>0</v>
          </cell>
          <cell r="AA136">
            <v>0</v>
          </cell>
          <cell r="AB136">
            <v>0</v>
          </cell>
          <cell r="AC136">
            <v>201805.80891719746</v>
          </cell>
          <cell r="AD136">
            <v>45406.307006369418</v>
          </cell>
          <cell r="AE136">
            <v>5045.1452229299366</v>
          </cell>
          <cell r="AF136">
            <v>0</v>
          </cell>
          <cell r="AG136">
            <v>0</v>
          </cell>
          <cell r="AH136">
            <v>0</v>
          </cell>
          <cell r="AI136">
            <v>0</v>
          </cell>
          <cell r="AJ136">
            <v>0</v>
          </cell>
          <cell r="AK136">
            <v>0</v>
          </cell>
          <cell r="AL136">
            <v>103784</v>
          </cell>
          <cell r="AM136">
            <v>23029</v>
          </cell>
          <cell r="AN136">
            <v>2559</v>
          </cell>
          <cell r="AO136">
            <v>-315167</v>
          </cell>
          <cell r="AP136">
            <v>-252135</v>
          </cell>
          <cell r="AQ136">
            <v>-56731</v>
          </cell>
          <cell r="AR136">
            <v>-6304</v>
          </cell>
          <cell r="AS136">
            <v>-630337</v>
          </cell>
          <cell r="AT136">
            <v>-145418</v>
          </cell>
          <cell r="AU136">
            <v>-116334</v>
          </cell>
          <cell r="AV136">
            <v>-26175</v>
          </cell>
          <cell r="AW136">
            <v>-2909</v>
          </cell>
          <cell r="AX136">
            <v>-290836</v>
          </cell>
          <cell r="AY136">
            <v>22677323</v>
          </cell>
          <cell r="AZ136">
            <v>2407139</v>
          </cell>
          <cell r="BA136">
            <v>429371</v>
          </cell>
          <cell r="BB136">
            <v>902574</v>
          </cell>
          <cell r="BC136">
            <v>68345</v>
          </cell>
          <cell r="BD136">
            <v>15401</v>
          </cell>
          <cell r="BE136">
            <v>5429</v>
          </cell>
          <cell r="BF136">
            <v>600475</v>
          </cell>
          <cell r="BG136">
            <v>24693</v>
          </cell>
          <cell r="BH136">
            <v>143525</v>
          </cell>
          <cell r="BI136">
            <v>5633</v>
          </cell>
          <cell r="BJ136">
            <v>4331</v>
          </cell>
          <cell r="BK136">
            <v>0</v>
          </cell>
          <cell r="BL136">
            <v>0</v>
          </cell>
          <cell r="BM136">
            <v>0</v>
          </cell>
          <cell r="BN136">
            <v>0</v>
          </cell>
          <cell r="BO136">
            <v>0</v>
          </cell>
          <cell r="BP136">
            <v>23226284</v>
          </cell>
          <cell r="BQ136">
            <v>83407</v>
          </cell>
          <cell r="BR136">
            <v>992368</v>
          </cell>
          <cell r="BS136">
            <v>226934</v>
          </cell>
        </row>
        <row r="137">
          <cell r="A137">
            <v>130</v>
          </cell>
          <cell r="B137" t="str">
            <v>Hillingdon</v>
          </cell>
          <cell r="C137" t="str">
            <v>E5041</v>
          </cell>
          <cell r="D137">
            <v>595739</v>
          </cell>
          <cell r="G137">
            <v>0</v>
          </cell>
          <cell r="H137">
            <v>0</v>
          </cell>
          <cell r="I137">
            <v>595739</v>
          </cell>
          <cell r="J137">
            <v>0</v>
          </cell>
          <cell r="K137">
            <v>0</v>
          </cell>
          <cell r="L137">
            <v>0</v>
          </cell>
          <cell r="M137">
            <v>0</v>
          </cell>
          <cell r="N137">
            <v>0</v>
          </cell>
          <cell r="O137">
            <v>0</v>
          </cell>
          <cell r="P137">
            <v>0</v>
          </cell>
          <cell r="Q137">
            <v>394140</v>
          </cell>
          <cell r="R137">
            <v>262760</v>
          </cell>
          <cell r="S137">
            <v>0</v>
          </cell>
          <cell r="T137">
            <v>47903</v>
          </cell>
          <cell r="U137">
            <v>31936</v>
          </cell>
          <cell r="V137">
            <v>0</v>
          </cell>
          <cell r="W137">
            <v>0</v>
          </cell>
          <cell r="X137">
            <v>0</v>
          </cell>
          <cell r="Y137">
            <v>0</v>
          </cell>
          <cell r="Z137">
            <v>30318.471337579613</v>
          </cell>
          <cell r="AA137">
            <v>20212.31422505308</v>
          </cell>
          <cell r="AB137">
            <v>0</v>
          </cell>
          <cell r="AC137">
            <v>363821.65605095535</v>
          </cell>
          <cell r="AD137">
            <v>242547.77070063693</v>
          </cell>
          <cell r="AE137">
            <v>0</v>
          </cell>
          <cell r="AF137">
            <v>0</v>
          </cell>
          <cell r="AG137">
            <v>0</v>
          </cell>
          <cell r="AH137">
            <v>0</v>
          </cell>
          <cell r="AI137">
            <v>0</v>
          </cell>
          <cell r="AJ137">
            <v>0</v>
          </cell>
          <cell r="AK137">
            <v>0</v>
          </cell>
          <cell r="AL137">
            <v>1126119</v>
          </cell>
          <cell r="AM137">
            <v>746530</v>
          </cell>
          <cell r="AN137">
            <v>0</v>
          </cell>
          <cell r="AO137">
            <v>-1581594</v>
          </cell>
          <cell r="AP137">
            <v>-948956</v>
          </cell>
          <cell r="AQ137">
            <v>-632637</v>
          </cell>
          <cell r="AR137">
            <v>0</v>
          </cell>
          <cell r="AS137">
            <v>-3163187</v>
          </cell>
          <cell r="AT137">
            <v>-2147526</v>
          </cell>
          <cell r="AU137">
            <v>-1288516</v>
          </cell>
          <cell r="AV137">
            <v>-859010</v>
          </cell>
          <cell r="AW137">
            <v>0</v>
          </cell>
          <cell r="AX137">
            <v>-4295052</v>
          </cell>
          <cell r="AY137">
            <v>330006590</v>
          </cell>
          <cell r="AZ137">
            <v>2943614</v>
          </cell>
          <cell r="BA137">
            <v>6581055</v>
          </cell>
          <cell r="BB137">
            <v>7033831</v>
          </cell>
          <cell r="BC137">
            <v>45288</v>
          </cell>
          <cell r="BD137">
            <v>0</v>
          </cell>
          <cell r="BE137">
            <v>213188</v>
          </cell>
          <cell r="BF137">
            <v>12436389</v>
          </cell>
          <cell r="BG137">
            <v>207629</v>
          </cell>
          <cell r="BH137">
            <v>18128</v>
          </cell>
          <cell r="BI137">
            <v>0</v>
          </cell>
          <cell r="BJ137">
            <v>0</v>
          </cell>
          <cell r="BK137">
            <v>0</v>
          </cell>
          <cell r="BL137">
            <v>0</v>
          </cell>
          <cell r="BM137">
            <v>0</v>
          </cell>
          <cell r="BN137">
            <v>0</v>
          </cell>
          <cell r="BO137">
            <v>0</v>
          </cell>
          <cell r="BP137">
            <v>336268418</v>
          </cell>
          <cell r="BQ137">
            <v>2110016</v>
          </cell>
          <cell r="BR137">
            <v>5939066</v>
          </cell>
          <cell r="BS137">
            <v>14923562</v>
          </cell>
        </row>
        <row r="138">
          <cell r="A138">
            <v>131</v>
          </cell>
          <cell r="B138" t="str">
            <v>Hinckley and Bosworth</v>
          </cell>
          <cell r="C138" t="str">
            <v>E2434</v>
          </cell>
          <cell r="D138">
            <v>124663</v>
          </cell>
          <cell r="E138">
            <v>890435</v>
          </cell>
          <cell r="G138">
            <v>11586</v>
          </cell>
          <cell r="H138">
            <v>0</v>
          </cell>
          <cell r="I138">
            <v>124663</v>
          </cell>
          <cell r="J138">
            <v>950243</v>
          </cell>
          <cell r="K138">
            <v>0</v>
          </cell>
          <cell r="L138">
            <v>0</v>
          </cell>
          <cell r="M138">
            <v>0</v>
          </cell>
          <cell r="N138">
            <v>0</v>
          </cell>
          <cell r="O138">
            <v>0</v>
          </cell>
          <cell r="P138">
            <v>0</v>
          </cell>
          <cell r="Q138">
            <v>438075</v>
          </cell>
          <cell r="R138">
            <v>98567</v>
          </cell>
          <cell r="S138">
            <v>10952</v>
          </cell>
          <cell r="T138">
            <v>0</v>
          </cell>
          <cell r="U138">
            <v>0</v>
          </cell>
          <cell r="V138">
            <v>0</v>
          </cell>
          <cell r="W138">
            <v>0</v>
          </cell>
          <cell r="X138">
            <v>0</v>
          </cell>
          <cell r="Y138">
            <v>0</v>
          </cell>
          <cell r="Z138">
            <v>13294.851804670914</v>
          </cell>
          <cell r="AA138">
            <v>2991.341656050955</v>
          </cell>
          <cell r="AB138">
            <v>332.37129511677284</v>
          </cell>
          <cell r="AC138">
            <v>173069.55753715499</v>
          </cell>
          <cell r="AD138">
            <v>38940.650445859865</v>
          </cell>
          <cell r="AE138">
            <v>4326.7389384288745</v>
          </cell>
          <cell r="AF138">
            <v>0</v>
          </cell>
          <cell r="AG138">
            <v>0</v>
          </cell>
          <cell r="AH138">
            <v>0</v>
          </cell>
          <cell r="AI138">
            <v>0</v>
          </cell>
          <cell r="AJ138">
            <v>0</v>
          </cell>
          <cell r="AK138">
            <v>0</v>
          </cell>
          <cell r="AL138">
            <v>127399</v>
          </cell>
          <cell r="AM138">
            <v>26097</v>
          </cell>
          <cell r="AN138">
            <v>2900</v>
          </cell>
          <cell r="AO138">
            <v>-16429</v>
          </cell>
          <cell r="AP138">
            <v>-13145</v>
          </cell>
          <cell r="AQ138">
            <v>-2958</v>
          </cell>
          <cell r="AR138">
            <v>-329</v>
          </cell>
          <cell r="AS138">
            <v>-32861</v>
          </cell>
          <cell r="AT138">
            <v>-269046</v>
          </cell>
          <cell r="AU138">
            <v>-215238</v>
          </cell>
          <cell r="AV138">
            <v>-48429</v>
          </cell>
          <cell r="AW138">
            <v>-5381</v>
          </cell>
          <cell r="AX138">
            <v>-538094</v>
          </cell>
          <cell r="AY138">
            <v>27128008</v>
          </cell>
          <cell r="AZ138">
            <v>2120491</v>
          </cell>
          <cell r="BA138">
            <v>535694.41</v>
          </cell>
          <cell r="BB138">
            <v>1643190</v>
          </cell>
          <cell r="BC138">
            <v>5878</v>
          </cell>
          <cell r="BD138">
            <v>8277</v>
          </cell>
          <cell r="BE138">
            <v>153823.07999999999</v>
          </cell>
          <cell r="BF138">
            <v>558730</v>
          </cell>
          <cell r="BG138">
            <v>69757</v>
          </cell>
          <cell r="BH138">
            <v>83268</v>
          </cell>
          <cell r="BI138">
            <v>1469.52</v>
          </cell>
          <cell r="BJ138">
            <v>0</v>
          </cell>
          <cell r="BK138">
            <v>0</v>
          </cell>
          <cell r="BL138">
            <v>0</v>
          </cell>
          <cell r="BM138">
            <v>0</v>
          </cell>
          <cell r="BN138">
            <v>0</v>
          </cell>
          <cell r="BO138">
            <v>0</v>
          </cell>
          <cell r="BP138">
            <v>28020844</v>
          </cell>
          <cell r="BQ138">
            <v>111668</v>
          </cell>
          <cell r="BR138">
            <v>750261</v>
          </cell>
          <cell r="BS138">
            <v>528783</v>
          </cell>
        </row>
        <row r="139">
          <cell r="A139">
            <v>132</v>
          </cell>
          <cell r="B139" t="str">
            <v>Horsham</v>
          </cell>
          <cell r="C139" t="str">
            <v>E3835</v>
          </cell>
          <cell r="D139">
            <v>178215</v>
          </cell>
          <cell r="G139">
            <v>534</v>
          </cell>
          <cell r="H139">
            <v>0</v>
          </cell>
          <cell r="I139">
            <v>178215</v>
          </cell>
          <cell r="J139">
            <v>0</v>
          </cell>
          <cell r="K139">
            <v>0</v>
          </cell>
          <cell r="L139">
            <v>0</v>
          </cell>
          <cell r="M139">
            <v>0</v>
          </cell>
          <cell r="N139">
            <v>0</v>
          </cell>
          <cell r="O139">
            <v>0</v>
          </cell>
          <cell r="P139">
            <v>0</v>
          </cell>
          <cell r="Q139">
            <v>482534</v>
          </cell>
          <cell r="R139">
            <v>120633</v>
          </cell>
          <cell r="S139">
            <v>0</v>
          </cell>
          <cell r="T139">
            <v>9748</v>
          </cell>
          <cell r="U139">
            <v>2437</v>
          </cell>
          <cell r="V139">
            <v>0</v>
          </cell>
          <cell r="W139">
            <v>3758</v>
          </cell>
          <cell r="X139">
            <v>939</v>
          </cell>
          <cell r="Y139">
            <v>0</v>
          </cell>
          <cell r="Z139">
            <v>24265.736186836519</v>
          </cell>
          <cell r="AA139">
            <v>6066.4340467091279</v>
          </cell>
          <cell r="AB139">
            <v>0</v>
          </cell>
          <cell r="AC139">
            <v>293232.41644161358</v>
          </cell>
          <cell r="AD139">
            <v>73308.104110403379</v>
          </cell>
          <cell r="AE139">
            <v>0</v>
          </cell>
          <cell r="AF139">
            <v>5982</v>
          </cell>
          <cell r="AG139">
            <v>0</v>
          </cell>
          <cell r="AH139">
            <v>0</v>
          </cell>
          <cell r="AI139">
            <v>0</v>
          </cell>
          <cell r="AJ139">
            <v>0</v>
          </cell>
          <cell r="AK139">
            <v>0</v>
          </cell>
          <cell r="AL139">
            <v>167257</v>
          </cell>
          <cell r="AM139">
            <v>41341</v>
          </cell>
          <cell r="AN139">
            <v>0</v>
          </cell>
          <cell r="AO139">
            <v>-486375</v>
          </cell>
          <cell r="AP139">
            <v>-389100</v>
          </cell>
          <cell r="AQ139">
            <v>-97275</v>
          </cell>
          <cell r="AR139">
            <v>0</v>
          </cell>
          <cell r="AS139">
            <v>-972750</v>
          </cell>
          <cell r="AT139">
            <v>-1337108</v>
          </cell>
          <cell r="AU139">
            <v>-1069686</v>
          </cell>
          <cell r="AV139">
            <v>-267421</v>
          </cell>
          <cell r="AW139">
            <v>0</v>
          </cell>
          <cell r="AX139">
            <v>-2674215</v>
          </cell>
          <cell r="AY139">
            <v>37212103</v>
          </cell>
          <cell r="AZ139">
            <v>2438772</v>
          </cell>
          <cell r="BA139">
            <v>743920</v>
          </cell>
          <cell r="BB139">
            <v>2653103</v>
          </cell>
          <cell r="BC139">
            <v>49474</v>
          </cell>
          <cell r="BD139">
            <v>18422</v>
          </cell>
          <cell r="BE139">
            <v>23497</v>
          </cell>
          <cell r="BF139">
            <v>873230</v>
          </cell>
          <cell r="BG139">
            <v>69645</v>
          </cell>
          <cell r="BH139">
            <v>436042</v>
          </cell>
          <cell r="BI139">
            <v>3318</v>
          </cell>
          <cell r="BJ139">
            <v>4121</v>
          </cell>
          <cell r="BK139">
            <v>0</v>
          </cell>
          <cell r="BL139">
            <v>0</v>
          </cell>
          <cell r="BM139">
            <v>0</v>
          </cell>
          <cell r="BN139">
            <v>0</v>
          </cell>
          <cell r="BO139">
            <v>0</v>
          </cell>
          <cell r="BP139">
            <v>40641497</v>
          </cell>
          <cell r="BQ139">
            <v>343947</v>
          </cell>
          <cell r="BR139">
            <v>2449773</v>
          </cell>
          <cell r="BS139">
            <v>916864</v>
          </cell>
        </row>
        <row r="140">
          <cell r="A140">
            <v>133</v>
          </cell>
          <cell r="B140" t="str">
            <v>Hounslow</v>
          </cell>
          <cell r="C140" t="str">
            <v>E5042</v>
          </cell>
          <cell r="D140">
            <v>398763</v>
          </cell>
          <cell r="G140">
            <v>460351</v>
          </cell>
          <cell r="H140">
            <v>0</v>
          </cell>
          <cell r="I140">
            <v>398763</v>
          </cell>
          <cell r="J140">
            <v>0</v>
          </cell>
          <cell r="K140">
            <v>0</v>
          </cell>
          <cell r="L140">
            <v>0</v>
          </cell>
          <cell r="M140">
            <v>0</v>
          </cell>
          <cell r="N140">
            <v>0</v>
          </cell>
          <cell r="O140">
            <v>0</v>
          </cell>
          <cell r="P140">
            <v>0</v>
          </cell>
          <cell r="Q140">
            <v>380839</v>
          </cell>
          <cell r="R140">
            <v>253892</v>
          </cell>
          <cell r="S140">
            <v>0</v>
          </cell>
          <cell r="T140">
            <v>0</v>
          </cell>
          <cell r="U140">
            <v>0</v>
          </cell>
          <cell r="V140">
            <v>0</v>
          </cell>
          <cell r="W140">
            <v>0</v>
          </cell>
          <cell r="X140">
            <v>0</v>
          </cell>
          <cell r="Y140">
            <v>0</v>
          </cell>
          <cell r="Z140">
            <v>12826.532484076432</v>
          </cell>
          <cell r="AA140">
            <v>8551.0216560509562</v>
          </cell>
          <cell r="AB140">
            <v>0</v>
          </cell>
          <cell r="AC140">
            <v>151592.35668789808</v>
          </cell>
          <cell r="AD140">
            <v>101061.5711252654</v>
          </cell>
          <cell r="AE140">
            <v>0</v>
          </cell>
          <cell r="AF140">
            <v>0</v>
          </cell>
          <cell r="AG140">
            <v>0</v>
          </cell>
          <cell r="AH140">
            <v>0</v>
          </cell>
          <cell r="AI140">
            <v>0</v>
          </cell>
          <cell r="AJ140">
            <v>0</v>
          </cell>
          <cell r="AK140">
            <v>0</v>
          </cell>
          <cell r="AL140">
            <v>484667</v>
          </cell>
          <cell r="AM140">
            <v>320289</v>
          </cell>
          <cell r="AN140">
            <v>0</v>
          </cell>
          <cell r="AO140">
            <v>-1150000</v>
          </cell>
          <cell r="AP140">
            <v>-690000</v>
          </cell>
          <cell r="AQ140">
            <v>-460000</v>
          </cell>
          <cell r="AR140">
            <v>0</v>
          </cell>
          <cell r="AS140">
            <v>-2300000</v>
          </cell>
          <cell r="AT140">
            <v>-6500000</v>
          </cell>
          <cell r="AU140">
            <v>-3900000</v>
          </cell>
          <cell r="AV140">
            <v>-2600000</v>
          </cell>
          <cell r="AW140">
            <v>0</v>
          </cell>
          <cell r="AX140">
            <v>-13000000</v>
          </cell>
          <cell r="AY140">
            <v>133333198</v>
          </cell>
          <cell r="AZ140">
            <v>2535697.4500000002</v>
          </cell>
          <cell r="BA140">
            <v>2901434.69</v>
          </cell>
          <cell r="BB140">
            <v>4727487.54</v>
          </cell>
          <cell r="BC140">
            <v>41108.879999999997</v>
          </cell>
          <cell r="BD140">
            <v>0</v>
          </cell>
          <cell r="BE140">
            <v>2500.4</v>
          </cell>
          <cell r="BF140">
            <v>5360342.07</v>
          </cell>
          <cell r="BG140">
            <v>304456.56</v>
          </cell>
          <cell r="BH140">
            <v>486311.1</v>
          </cell>
          <cell r="BI140">
            <v>1460.1</v>
          </cell>
          <cell r="BJ140">
            <v>0</v>
          </cell>
          <cell r="BK140">
            <v>0</v>
          </cell>
          <cell r="BL140">
            <v>0</v>
          </cell>
          <cell r="BM140">
            <v>0</v>
          </cell>
          <cell r="BN140">
            <v>0</v>
          </cell>
          <cell r="BO140">
            <v>0</v>
          </cell>
          <cell r="BP140">
            <v>148124774</v>
          </cell>
          <cell r="BQ140">
            <v>304466.07</v>
          </cell>
          <cell r="BR140">
            <v>9311964.2699999996</v>
          </cell>
          <cell r="BS140">
            <v>11044993.300000001</v>
          </cell>
        </row>
        <row r="141">
          <cell r="A141">
            <v>134</v>
          </cell>
          <cell r="B141" t="str">
            <v>Huntingdonshire</v>
          </cell>
          <cell r="C141" t="str">
            <v>E0551</v>
          </cell>
          <cell r="D141">
            <v>221615</v>
          </cell>
          <cell r="E141">
            <v>624861</v>
          </cell>
          <cell r="G141">
            <v>81147</v>
          </cell>
          <cell r="H141">
            <v>2524</v>
          </cell>
          <cell r="I141">
            <v>221615</v>
          </cell>
          <cell r="J141">
            <v>43945</v>
          </cell>
          <cell r="K141">
            <v>195210</v>
          </cell>
          <cell r="L141">
            <v>0</v>
          </cell>
          <cell r="M141">
            <v>625479</v>
          </cell>
          <cell r="N141">
            <v>625479</v>
          </cell>
          <cell r="O141">
            <v>0</v>
          </cell>
          <cell r="P141">
            <v>0</v>
          </cell>
          <cell r="Q141">
            <v>542728</v>
          </cell>
          <cell r="R141">
            <v>122114</v>
          </cell>
          <cell r="S141">
            <v>13568</v>
          </cell>
          <cell r="T141">
            <v>20212</v>
          </cell>
          <cell r="U141">
            <v>4548</v>
          </cell>
          <cell r="V141">
            <v>505</v>
          </cell>
          <cell r="W141">
            <v>8085</v>
          </cell>
          <cell r="X141">
            <v>1819</v>
          </cell>
          <cell r="Y141">
            <v>202</v>
          </cell>
          <cell r="Z141">
            <v>10106.15711252654</v>
          </cell>
          <cell r="AA141">
            <v>2273.885350318471</v>
          </cell>
          <cell r="AB141">
            <v>252.65392781316348</v>
          </cell>
          <cell r="AC141">
            <v>20212.31422505308</v>
          </cell>
          <cell r="AD141">
            <v>4547.7707006369419</v>
          </cell>
          <cell r="AE141">
            <v>505.30785562632695</v>
          </cell>
          <cell r="AF141">
            <v>0</v>
          </cell>
          <cell r="AG141">
            <v>0</v>
          </cell>
          <cell r="AH141">
            <v>0</v>
          </cell>
          <cell r="AI141">
            <v>0</v>
          </cell>
          <cell r="AJ141">
            <v>0</v>
          </cell>
          <cell r="AK141">
            <v>0</v>
          </cell>
          <cell r="AL141">
            <v>258250</v>
          </cell>
          <cell r="AM141">
            <v>55512</v>
          </cell>
          <cell r="AN141">
            <v>6168</v>
          </cell>
          <cell r="AO141">
            <v>34500</v>
          </cell>
          <cell r="AP141">
            <v>27600</v>
          </cell>
          <cell r="AQ141">
            <v>6210</v>
          </cell>
          <cell r="AR141">
            <v>690</v>
          </cell>
          <cell r="AS141">
            <v>69000</v>
          </cell>
          <cell r="AT141">
            <v>-2567500</v>
          </cell>
          <cell r="AU141">
            <v>-2054000</v>
          </cell>
          <cell r="AV141">
            <v>-462150</v>
          </cell>
          <cell r="AW141">
            <v>-51350</v>
          </cell>
          <cell r="AX141">
            <v>-5135000</v>
          </cell>
          <cell r="AY141">
            <v>50024859</v>
          </cell>
          <cell r="AZ141">
            <v>2703469</v>
          </cell>
          <cell r="BA141">
            <v>1089194</v>
          </cell>
          <cell r="BB141">
            <v>2457042</v>
          </cell>
          <cell r="BC141">
            <v>183943</v>
          </cell>
          <cell r="BD141">
            <v>46917</v>
          </cell>
          <cell r="BE141">
            <v>93048</v>
          </cell>
          <cell r="BF141">
            <v>2858519</v>
          </cell>
          <cell r="BG141">
            <v>452</v>
          </cell>
          <cell r="BH141">
            <v>61951</v>
          </cell>
          <cell r="BI141">
            <v>0</v>
          </cell>
          <cell r="BJ141">
            <v>23355</v>
          </cell>
          <cell r="BK141">
            <v>389</v>
          </cell>
          <cell r="BL141">
            <v>478674</v>
          </cell>
          <cell r="BM141">
            <v>478674</v>
          </cell>
          <cell r="BN141">
            <v>512193</v>
          </cell>
          <cell r="BO141">
            <v>0</v>
          </cell>
          <cell r="BP141">
            <v>55773581</v>
          </cell>
          <cell r="BQ141">
            <v>262543</v>
          </cell>
          <cell r="BR141">
            <v>965989</v>
          </cell>
          <cell r="BS141">
            <v>164545</v>
          </cell>
        </row>
        <row r="142">
          <cell r="A142">
            <v>135</v>
          </cell>
          <cell r="B142" t="str">
            <v>Hyndburn</v>
          </cell>
          <cell r="C142" t="str">
            <v>E2336</v>
          </cell>
          <cell r="D142">
            <v>132514</v>
          </cell>
          <cell r="G142">
            <v>76348</v>
          </cell>
          <cell r="H142">
            <v>0</v>
          </cell>
          <cell r="I142">
            <v>132514</v>
          </cell>
          <cell r="J142">
            <v>0</v>
          </cell>
          <cell r="K142">
            <v>0</v>
          </cell>
          <cell r="L142">
            <v>0</v>
          </cell>
          <cell r="M142">
            <v>0</v>
          </cell>
          <cell r="N142">
            <v>0</v>
          </cell>
          <cell r="O142">
            <v>0</v>
          </cell>
          <cell r="P142">
            <v>0</v>
          </cell>
          <cell r="Q142">
            <v>448164</v>
          </cell>
          <cell r="R142">
            <v>100837</v>
          </cell>
          <cell r="S142">
            <v>11204</v>
          </cell>
          <cell r="T142">
            <v>0</v>
          </cell>
          <cell r="U142">
            <v>0</v>
          </cell>
          <cell r="V142">
            <v>0</v>
          </cell>
          <cell r="W142">
            <v>0</v>
          </cell>
          <cell r="X142">
            <v>0</v>
          </cell>
          <cell r="Y142">
            <v>0</v>
          </cell>
          <cell r="Z142">
            <v>26691.977919320594</v>
          </cell>
          <cell r="AA142">
            <v>6005.6950318471327</v>
          </cell>
          <cell r="AB142">
            <v>667.29944798301483</v>
          </cell>
          <cell r="AC142">
            <v>149961.55036942675</v>
          </cell>
          <cell r="AD142">
            <v>33741.34883312101</v>
          </cell>
          <cell r="AE142">
            <v>3749.0387592356687</v>
          </cell>
          <cell r="AF142">
            <v>0</v>
          </cell>
          <cell r="AG142">
            <v>0</v>
          </cell>
          <cell r="AH142">
            <v>0</v>
          </cell>
          <cell r="AI142">
            <v>0</v>
          </cell>
          <cell r="AJ142">
            <v>0</v>
          </cell>
          <cell r="AK142">
            <v>0</v>
          </cell>
          <cell r="AL142">
            <v>88927</v>
          </cell>
          <cell r="AM142">
            <v>19692</v>
          </cell>
          <cell r="AN142">
            <v>2188</v>
          </cell>
          <cell r="AO142">
            <v>-1165946</v>
          </cell>
          <cell r="AP142">
            <v>-932757</v>
          </cell>
          <cell r="AQ142">
            <v>-209870</v>
          </cell>
          <cell r="AR142">
            <v>-23319</v>
          </cell>
          <cell r="AS142">
            <v>-2331892</v>
          </cell>
          <cell r="AT142">
            <v>-493896.26</v>
          </cell>
          <cell r="AU142">
            <v>-395117</v>
          </cell>
          <cell r="AV142">
            <v>-88902</v>
          </cell>
          <cell r="AW142">
            <v>-9878</v>
          </cell>
          <cell r="AX142">
            <v>-987793.26</v>
          </cell>
          <cell r="AY142">
            <v>19282028</v>
          </cell>
          <cell r="AZ142">
            <v>2191598</v>
          </cell>
          <cell r="BA142">
            <v>433287</v>
          </cell>
          <cell r="BB142">
            <v>1151975.6499999999</v>
          </cell>
          <cell r="BC142">
            <v>35304.35</v>
          </cell>
          <cell r="BD142">
            <v>0</v>
          </cell>
          <cell r="BE142">
            <v>113267</v>
          </cell>
          <cell r="BF142">
            <v>2279093</v>
          </cell>
          <cell r="BG142">
            <v>106881</v>
          </cell>
          <cell r="BH142">
            <v>111111</v>
          </cell>
          <cell r="BI142">
            <v>0</v>
          </cell>
          <cell r="BJ142">
            <v>0</v>
          </cell>
          <cell r="BK142">
            <v>0</v>
          </cell>
          <cell r="BL142">
            <v>0</v>
          </cell>
          <cell r="BM142">
            <v>0</v>
          </cell>
          <cell r="BN142">
            <v>0</v>
          </cell>
          <cell r="BO142">
            <v>0</v>
          </cell>
          <cell r="BP142">
            <v>20899070.600000001</v>
          </cell>
          <cell r="BQ142">
            <v>228093</v>
          </cell>
          <cell r="BR142">
            <v>3831488</v>
          </cell>
          <cell r="BS142">
            <v>959377.25</v>
          </cell>
        </row>
        <row r="143">
          <cell r="A143">
            <v>136</v>
          </cell>
          <cell r="B143" t="str">
            <v>Ipswich</v>
          </cell>
          <cell r="C143" t="str">
            <v>E3533</v>
          </cell>
          <cell r="D143">
            <v>193509</v>
          </cell>
          <cell r="G143">
            <v>80310</v>
          </cell>
          <cell r="H143">
            <v>0</v>
          </cell>
          <cell r="I143">
            <v>193509</v>
          </cell>
          <cell r="J143">
            <v>0</v>
          </cell>
          <cell r="K143">
            <v>0</v>
          </cell>
          <cell r="L143">
            <v>0</v>
          </cell>
          <cell r="M143">
            <v>0</v>
          </cell>
          <cell r="N143">
            <v>0</v>
          </cell>
          <cell r="O143">
            <v>0</v>
          </cell>
          <cell r="P143">
            <v>0</v>
          </cell>
          <cell r="Q143">
            <v>435262</v>
          </cell>
          <cell r="R143">
            <v>108815</v>
          </cell>
          <cell r="S143">
            <v>0</v>
          </cell>
          <cell r="T143">
            <v>8793</v>
          </cell>
          <cell r="U143">
            <v>2198</v>
          </cell>
          <cell r="V143">
            <v>0</v>
          </cell>
          <cell r="W143">
            <v>0</v>
          </cell>
          <cell r="X143">
            <v>0</v>
          </cell>
          <cell r="Y143">
            <v>0</v>
          </cell>
          <cell r="Z143">
            <v>60636.942675159233</v>
          </cell>
          <cell r="AA143">
            <v>15159.235668789805</v>
          </cell>
          <cell r="AB143">
            <v>0</v>
          </cell>
          <cell r="AC143">
            <v>121273.88535031847</v>
          </cell>
          <cell r="AD143">
            <v>30318.471337579609</v>
          </cell>
          <cell r="AE143">
            <v>0</v>
          </cell>
          <cell r="AF143">
            <v>0</v>
          </cell>
          <cell r="AG143">
            <v>0</v>
          </cell>
          <cell r="AH143">
            <v>0</v>
          </cell>
          <cell r="AI143">
            <v>0</v>
          </cell>
          <cell r="AJ143">
            <v>0</v>
          </cell>
          <cell r="AK143">
            <v>0</v>
          </cell>
          <cell r="AL143">
            <v>239173</v>
          </cell>
          <cell r="AM143">
            <v>59280</v>
          </cell>
          <cell r="AN143">
            <v>0</v>
          </cell>
          <cell r="AO143">
            <v>-515050</v>
          </cell>
          <cell r="AP143">
            <v>-412040</v>
          </cell>
          <cell r="AQ143">
            <v>-103011</v>
          </cell>
          <cell r="AR143">
            <v>0</v>
          </cell>
          <cell r="AS143">
            <v>-1030101</v>
          </cell>
          <cell r="AT143">
            <v>-980773</v>
          </cell>
          <cell r="AU143">
            <v>-784618</v>
          </cell>
          <cell r="AV143">
            <v>-196155</v>
          </cell>
          <cell r="AW143">
            <v>0</v>
          </cell>
          <cell r="AX143">
            <v>-1961546</v>
          </cell>
          <cell r="AY143">
            <v>52490416</v>
          </cell>
          <cell r="AZ143">
            <v>2146435.3199999998</v>
          </cell>
          <cell r="BA143">
            <v>1060850.49</v>
          </cell>
          <cell r="BB143">
            <v>3026839.99</v>
          </cell>
          <cell r="BC143">
            <v>89068.3</v>
          </cell>
          <cell r="BD143">
            <v>0</v>
          </cell>
          <cell r="BE143">
            <v>32093.8</v>
          </cell>
          <cell r="BF143">
            <v>2077346.22</v>
          </cell>
          <cell r="BG143">
            <v>102995.69</v>
          </cell>
          <cell r="BH143">
            <v>55559.19</v>
          </cell>
          <cell r="BI143">
            <v>0</v>
          </cell>
          <cell r="BJ143">
            <v>0</v>
          </cell>
          <cell r="BK143">
            <v>0</v>
          </cell>
          <cell r="BL143">
            <v>0</v>
          </cell>
          <cell r="BM143">
            <v>0</v>
          </cell>
          <cell r="BN143">
            <v>0</v>
          </cell>
          <cell r="BO143">
            <v>0</v>
          </cell>
          <cell r="BP143">
            <v>55243786.399999999</v>
          </cell>
          <cell r="BQ143">
            <v>630551.49</v>
          </cell>
          <cell r="BR143">
            <v>2117158.13</v>
          </cell>
          <cell r="BS143">
            <v>43795.88</v>
          </cell>
        </row>
        <row r="144">
          <cell r="A144">
            <v>137</v>
          </cell>
          <cell r="B144" t="str">
            <v>Isle of Wight Council</v>
          </cell>
          <cell r="C144" t="str">
            <v>E2101</v>
          </cell>
          <cell r="D144">
            <v>251556</v>
          </cell>
          <cell r="G144">
            <v>17809</v>
          </cell>
          <cell r="H144">
            <v>0</v>
          </cell>
          <cell r="I144">
            <v>251556</v>
          </cell>
          <cell r="J144">
            <v>0</v>
          </cell>
          <cell r="K144">
            <v>62832</v>
          </cell>
          <cell r="L144">
            <v>0</v>
          </cell>
          <cell r="M144">
            <v>0</v>
          </cell>
          <cell r="N144">
            <v>0</v>
          </cell>
          <cell r="O144">
            <v>0</v>
          </cell>
          <cell r="P144">
            <v>0</v>
          </cell>
          <cell r="Q144">
            <v>1086676</v>
          </cell>
          <cell r="R144">
            <v>0</v>
          </cell>
          <cell r="S144">
            <v>0</v>
          </cell>
          <cell r="T144">
            <v>6064</v>
          </cell>
          <cell r="U144">
            <v>0</v>
          </cell>
          <cell r="V144">
            <v>0</v>
          </cell>
          <cell r="W144">
            <v>2527</v>
          </cell>
          <cell r="X144">
            <v>0</v>
          </cell>
          <cell r="Y144">
            <v>0</v>
          </cell>
          <cell r="Z144">
            <v>50530.785562632693</v>
          </cell>
          <cell r="AA144">
            <v>0</v>
          </cell>
          <cell r="AB144">
            <v>0</v>
          </cell>
          <cell r="AC144">
            <v>512887.47346072184</v>
          </cell>
          <cell r="AD144">
            <v>0</v>
          </cell>
          <cell r="AE144">
            <v>0</v>
          </cell>
          <cell r="AF144">
            <v>18151</v>
          </cell>
          <cell r="AG144">
            <v>0</v>
          </cell>
          <cell r="AH144">
            <v>0</v>
          </cell>
          <cell r="AI144">
            <v>16952</v>
          </cell>
          <cell r="AJ144">
            <v>0</v>
          </cell>
          <cell r="AK144">
            <v>0</v>
          </cell>
          <cell r="AL144">
            <v>185407</v>
          </cell>
          <cell r="AM144">
            <v>0</v>
          </cell>
          <cell r="AN144">
            <v>0</v>
          </cell>
          <cell r="AO144">
            <v>-228292</v>
          </cell>
          <cell r="AP144">
            <v>-228294</v>
          </cell>
          <cell r="AQ144">
            <v>0</v>
          </cell>
          <cell r="AR144">
            <v>0</v>
          </cell>
          <cell r="AS144">
            <v>-456586</v>
          </cell>
          <cell r="AT144">
            <v>-1578221</v>
          </cell>
          <cell r="AU144">
            <v>-1578223</v>
          </cell>
          <cell r="AV144">
            <v>0</v>
          </cell>
          <cell r="AW144">
            <v>0</v>
          </cell>
          <cell r="AX144">
            <v>-3156444</v>
          </cell>
          <cell r="AY144">
            <v>30499497</v>
          </cell>
          <cell r="AZ144">
            <v>4313088</v>
          </cell>
          <cell r="BA144">
            <v>615710</v>
          </cell>
          <cell r="BB144">
            <v>2188437</v>
          </cell>
          <cell r="BC144">
            <v>84818</v>
          </cell>
          <cell r="BD144">
            <v>13081</v>
          </cell>
          <cell r="BE144">
            <v>29681</v>
          </cell>
          <cell r="BF144">
            <v>928636</v>
          </cell>
          <cell r="BG144">
            <v>69926</v>
          </cell>
          <cell r="BH144">
            <v>46079</v>
          </cell>
          <cell r="BI144">
            <v>894.9</v>
          </cell>
          <cell r="BJ144">
            <v>11935</v>
          </cell>
          <cell r="BK144">
            <v>0</v>
          </cell>
          <cell r="BL144">
            <v>0</v>
          </cell>
          <cell r="BM144">
            <v>0</v>
          </cell>
          <cell r="BN144">
            <v>0</v>
          </cell>
          <cell r="BO144">
            <v>0</v>
          </cell>
          <cell r="BP144">
            <v>34210049.700000003</v>
          </cell>
          <cell r="BQ144">
            <v>152927</v>
          </cell>
          <cell r="BR144">
            <v>1510017</v>
          </cell>
          <cell r="BS144">
            <v>513693</v>
          </cell>
        </row>
        <row r="145">
          <cell r="A145">
            <v>138</v>
          </cell>
          <cell r="B145" t="str">
            <v>Isles of Scilly</v>
          </cell>
          <cell r="C145" t="str">
            <v>E4001</v>
          </cell>
          <cell r="D145">
            <v>25335</v>
          </cell>
          <cell r="G145">
            <v>14309</v>
          </cell>
          <cell r="H145">
            <v>0</v>
          </cell>
          <cell r="I145">
            <v>25335</v>
          </cell>
          <cell r="J145">
            <v>0</v>
          </cell>
          <cell r="K145">
            <v>0</v>
          </cell>
          <cell r="L145">
            <v>0</v>
          </cell>
          <cell r="M145">
            <v>0</v>
          </cell>
          <cell r="N145">
            <v>0</v>
          </cell>
          <cell r="O145">
            <v>0</v>
          </cell>
          <cell r="P145">
            <v>0</v>
          </cell>
          <cell r="Q145">
            <v>75451</v>
          </cell>
          <cell r="R145">
            <v>0</v>
          </cell>
          <cell r="S145">
            <v>0</v>
          </cell>
          <cell r="T145">
            <v>0</v>
          </cell>
          <cell r="U145">
            <v>0</v>
          </cell>
          <cell r="V145">
            <v>0</v>
          </cell>
          <cell r="W145">
            <v>0</v>
          </cell>
          <cell r="X145">
            <v>0</v>
          </cell>
          <cell r="Y145">
            <v>0</v>
          </cell>
          <cell r="Z145">
            <v>0</v>
          </cell>
          <cell r="AA145">
            <v>0</v>
          </cell>
          <cell r="AB145">
            <v>0</v>
          </cell>
          <cell r="AC145">
            <v>22233.545647558385</v>
          </cell>
          <cell r="AD145">
            <v>0</v>
          </cell>
          <cell r="AE145">
            <v>0</v>
          </cell>
          <cell r="AF145">
            <v>5020</v>
          </cell>
          <cell r="AG145">
            <v>0</v>
          </cell>
          <cell r="AH145">
            <v>0</v>
          </cell>
          <cell r="AI145">
            <v>2896</v>
          </cell>
          <cell r="AJ145">
            <v>0</v>
          </cell>
          <cell r="AK145">
            <v>0</v>
          </cell>
          <cell r="AL145">
            <v>8674</v>
          </cell>
          <cell r="AM145">
            <v>0</v>
          </cell>
          <cell r="AN145">
            <v>0</v>
          </cell>
          <cell r="AO145">
            <v>-20402</v>
          </cell>
          <cell r="AP145">
            <v>-20402</v>
          </cell>
          <cell r="AQ145">
            <v>0</v>
          </cell>
          <cell r="AR145">
            <v>0</v>
          </cell>
          <cell r="AS145">
            <v>-40804</v>
          </cell>
          <cell r="AT145">
            <v>-27500</v>
          </cell>
          <cell r="AU145">
            <v>-27500</v>
          </cell>
          <cell r="AV145">
            <v>0</v>
          </cell>
          <cell r="AW145">
            <v>0</v>
          </cell>
          <cell r="AX145">
            <v>-55000</v>
          </cell>
          <cell r="AY145">
            <v>1420357</v>
          </cell>
          <cell r="AZ145">
            <v>299196</v>
          </cell>
          <cell r="BA145">
            <v>20044</v>
          </cell>
          <cell r="BB145">
            <v>15101</v>
          </cell>
          <cell r="BC145">
            <v>6227</v>
          </cell>
          <cell r="BD145">
            <v>1523</v>
          </cell>
          <cell r="BE145">
            <v>3314</v>
          </cell>
          <cell r="BF145">
            <v>13529</v>
          </cell>
          <cell r="BG145">
            <v>2336</v>
          </cell>
          <cell r="BH145">
            <v>5005</v>
          </cell>
          <cell r="BI145">
            <v>1371</v>
          </cell>
          <cell r="BJ145">
            <v>1061</v>
          </cell>
          <cell r="BK145">
            <v>0</v>
          </cell>
          <cell r="BL145">
            <v>0</v>
          </cell>
          <cell r="BM145">
            <v>0</v>
          </cell>
          <cell r="BN145">
            <v>0</v>
          </cell>
          <cell r="BO145">
            <v>0</v>
          </cell>
          <cell r="BP145">
            <v>1499641</v>
          </cell>
          <cell r="BQ145">
            <v>0</v>
          </cell>
          <cell r="BR145">
            <v>232437</v>
          </cell>
          <cell r="BS145">
            <v>31096</v>
          </cell>
        </row>
        <row r="146">
          <cell r="A146">
            <v>139</v>
          </cell>
          <cell r="B146" t="str">
            <v>Islington</v>
          </cell>
          <cell r="C146" t="str">
            <v>E5015</v>
          </cell>
          <cell r="D146">
            <v>647463</v>
          </cell>
          <cell r="G146">
            <v>197923</v>
          </cell>
          <cell r="H146">
            <v>0</v>
          </cell>
          <cell r="I146">
            <v>647463</v>
          </cell>
          <cell r="J146">
            <v>0</v>
          </cell>
          <cell r="K146">
            <v>0</v>
          </cell>
          <cell r="L146">
            <v>0</v>
          </cell>
          <cell r="M146">
            <v>0</v>
          </cell>
          <cell r="N146">
            <v>0</v>
          </cell>
          <cell r="O146">
            <v>0</v>
          </cell>
          <cell r="P146">
            <v>0</v>
          </cell>
          <cell r="Q146">
            <v>469242</v>
          </cell>
          <cell r="R146">
            <v>312828</v>
          </cell>
          <cell r="S146">
            <v>0</v>
          </cell>
          <cell r="T146">
            <v>3032</v>
          </cell>
          <cell r="U146">
            <v>2021</v>
          </cell>
          <cell r="V146">
            <v>0</v>
          </cell>
          <cell r="W146">
            <v>30319</v>
          </cell>
          <cell r="X146">
            <v>20212</v>
          </cell>
          <cell r="Y146">
            <v>0</v>
          </cell>
          <cell r="Z146">
            <v>78467.235668789799</v>
          </cell>
          <cell r="AA146">
            <v>52311.490445859876</v>
          </cell>
          <cell r="AB146">
            <v>0</v>
          </cell>
          <cell r="AC146">
            <v>212380.89171974521</v>
          </cell>
          <cell r="AD146">
            <v>141587.26114649684</v>
          </cell>
          <cell r="AE146">
            <v>0</v>
          </cell>
          <cell r="AF146">
            <v>0</v>
          </cell>
          <cell r="AG146">
            <v>0</v>
          </cell>
          <cell r="AH146">
            <v>0</v>
          </cell>
          <cell r="AI146">
            <v>0</v>
          </cell>
          <cell r="AJ146">
            <v>0</v>
          </cell>
          <cell r="AK146">
            <v>0</v>
          </cell>
          <cell r="AL146">
            <v>603275</v>
          </cell>
          <cell r="AM146">
            <v>397601</v>
          </cell>
          <cell r="AN146">
            <v>0</v>
          </cell>
          <cell r="AO146">
            <v>-8542063.5999999996</v>
          </cell>
          <cell r="AP146">
            <v>-5125238</v>
          </cell>
          <cell r="AQ146">
            <v>-3416825</v>
          </cell>
          <cell r="AR146">
            <v>0</v>
          </cell>
          <cell r="AS146">
            <v>-17084126.600000001</v>
          </cell>
          <cell r="AT146">
            <v>-3766796.05</v>
          </cell>
          <cell r="AU146">
            <v>-2260077</v>
          </cell>
          <cell r="AV146">
            <v>-1506718</v>
          </cell>
          <cell r="AW146">
            <v>0</v>
          </cell>
          <cell r="AX146">
            <v>-7533591.0499999998</v>
          </cell>
          <cell r="AY146">
            <v>177672402</v>
          </cell>
          <cell r="AZ146">
            <v>2921100.66</v>
          </cell>
          <cell r="BA146">
            <v>3802266.25</v>
          </cell>
          <cell r="BB146">
            <v>18821000.100000001</v>
          </cell>
          <cell r="BC146">
            <v>0</v>
          </cell>
          <cell r="BD146">
            <v>0</v>
          </cell>
          <cell r="BE146">
            <v>102128.77</v>
          </cell>
          <cell r="BF146">
            <v>5756297.5099999998</v>
          </cell>
          <cell r="BG146">
            <v>614643.23</v>
          </cell>
          <cell r="BH146">
            <v>282265.11</v>
          </cell>
          <cell r="BI146">
            <v>0</v>
          </cell>
          <cell r="BJ146">
            <v>0</v>
          </cell>
          <cell r="BK146">
            <v>0</v>
          </cell>
          <cell r="BL146">
            <v>0</v>
          </cell>
          <cell r="BM146">
            <v>0</v>
          </cell>
          <cell r="BN146">
            <v>0</v>
          </cell>
          <cell r="BO146">
            <v>0</v>
          </cell>
          <cell r="BP146">
            <v>189671108</v>
          </cell>
          <cell r="BQ146">
            <v>3069676.95</v>
          </cell>
          <cell r="BR146">
            <v>23022717.899999999</v>
          </cell>
          <cell r="BS146">
            <v>-16511225</v>
          </cell>
        </row>
        <row r="147">
          <cell r="A147">
            <v>140</v>
          </cell>
          <cell r="B147" t="str">
            <v>Kensington and Chelsea</v>
          </cell>
          <cell r="C147" t="str">
            <v>E5016</v>
          </cell>
          <cell r="D147">
            <v>616397</v>
          </cell>
          <cell r="G147">
            <v>357860</v>
          </cell>
          <cell r="H147">
            <v>0</v>
          </cell>
          <cell r="I147">
            <v>616397</v>
          </cell>
          <cell r="J147">
            <v>0</v>
          </cell>
          <cell r="K147">
            <v>0</v>
          </cell>
          <cell r="L147">
            <v>0</v>
          </cell>
          <cell r="M147">
            <v>0</v>
          </cell>
          <cell r="N147">
            <v>0</v>
          </cell>
          <cell r="O147">
            <v>0</v>
          </cell>
          <cell r="P147">
            <v>0</v>
          </cell>
          <cell r="Q147">
            <v>216778</v>
          </cell>
          <cell r="R147">
            <v>144519</v>
          </cell>
          <cell r="S147">
            <v>0</v>
          </cell>
          <cell r="T147">
            <v>0</v>
          </cell>
          <cell r="U147">
            <v>0</v>
          </cell>
          <cell r="V147">
            <v>0</v>
          </cell>
          <cell r="W147">
            <v>18191</v>
          </cell>
          <cell r="X147">
            <v>12127</v>
          </cell>
          <cell r="Y147">
            <v>0</v>
          </cell>
          <cell r="Z147">
            <v>121273.88535031845</v>
          </cell>
          <cell r="AA147">
            <v>80849.25690021232</v>
          </cell>
          <cell r="AB147">
            <v>0</v>
          </cell>
          <cell r="AC147">
            <v>532089.17197452229</v>
          </cell>
          <cell r="AD147">
            <v>354726.11464968155</v>
          </cell>
          <cell r="AE147">
            <v>0</v>
          </cell>
          <cell r="AF147">
            <v>0</v>
          </cell>
          <cell r="AG147">
            <v>0</v>
          </cell>
          <cell r="AH147">
            <v>0</v>
          </cell>
          <cell r="AI147">
            <v>0</v>
          </cell>
          <cell r="AJ147">
            <v>0</v>
          </cell>
          <cell r="AK147">
            <v>0</v>
          </cell>
          <cell r="AL147">
            <v>859386</v>
          </cell>
          <cell r="AM147">
            <v>568561</v>
          </cell>
          <cell r="AN147">
            <v>0</v>
          </cell>
          <cell r="AO147">
            <v>-474406</v>
          </cell>
          <cell r="AP147">
            <v>-284644</v>
          </cell>
          <cell r="AQ147">
            <v>-189762</v>
          </cell>
          <cell r="AR147">
            <v>0</v>
          </cell>
          <cell r="AS147">
            <v>-948812</v>
          </cell>
          <cell r="AT147">
            <v>-6179853</v>
          </cell>
          <cell r="AU147">
            <v>-3707912</v>
          </cell>
          <cell r="AV147">
            <v>-2471941</v>
          </cell>
          <cell r="AW147">
            <v>0</v>
          </cell>
          <cell r="AX147">
            <v>-12359706</v>
          </cell>
          <cell r="AY147">
            <v>261822282</v>
          </cell>
          <cell r="AZ147">
            <v>1390065</v>
          </cell>
          <cell r="BA147">
            <v>5574854</v>
          </cell>
          <cell r="BB147">
            <v>15869001</v>
          </cell>
          <cell r="BC147">
            <v>0</v>
          </cell>
          <cell r="BD147">
            <v>0</v>
          </cell>
          <cell r="BE147">
            <v>58876</v>
          </cell>
          <cell r="BF147">
            <v>8391416</v>
          </cell>
          <cell r="BG147">
            <v>91758</v>
          </cell>
          <cell r="BH147">
            <v>70896</v>
          </cell>
          <cell r="BI147">
            <v>0</v>
          </cell>
          <cell r="BJ147">
            <v>0</v>
          </cell>
          <cell r="BK147">
            <v>0</v>
          </cell>
          <cell r="BL147">
            <v>0</v>
          </cell>
          <cell r="BM147">
            <v>0</v>
          </cell>
          <cell r="BN147">
            <v>0</v>
          </cell>
          <cell r="BO147">
            <v>0</v>
          </cell>
          <cell r="BP147">
            <v>277839645</v>
          </cell>
          <cell r="BQ147">
            <v>1045308</v>
          </cell>
          <cell r="BR147">
            <v>9210633</v>
          </cell>
          <cell r="BS147">
            <v>7744596</v>
          </cell>
        </row>
        <row r="148">
          <cell r="A148">
            <v>141</v>
          </cell>
          <cell r="B148" t="str">
            <v>Kettering</v>
          </cell>
          <cell r="C148" t="str">
            <v>E2834</v>
          </cell>
          <cell r="D148">
            <v>110664</v>
          </cell>
          <cell r="G148">
            <v>-51057</v>
          </cell>
          <cell r="H148">
            <v>0</v>
          </cell>
          <cell r="I148">
            <v>110664</v>
          </cell>
          <cell r="J148">
            <v>0</v>
          </cell>
          <cell r="K148">
            <v>0</v>
          </cell>
          <cell r="L148">
            <v>0</v>
          </cell>
          <cell r="M148">
            <v>0</v>
          </cell>
          <cell r="N148">
            <v>0</v>
          </cell>
          <cell r="O148">
            <v>0</v>
          </cell>
          <cell r="P148">
            <v>0</v>
          </cell>
          <cell r="Q148">
            <v>309263</v>
          </cell>
          <cell r="R148">
            <v>77316</v>
          </cell>
          <cell r="S148">
            <v>0</v>
          </cell>
          <cell r="T148">
            <v>12623</v>
          </cell>
          <cell r="U148">
            <v>3156</v>
          </cell>
          <cell r="V148">
            <v>0</v>
          </cell>
          <cell r="W148">
            <v>0</v>
          </cell>
          <cell r="X148">
            <v>0</v>
          </cell>
          <cell r="Y148">
            <v>0</v>
          </cell>
          <cell r="Z148">
            <v>36382.165605095543</v>
          </cell>
          <cell r="AA148">
            <v>9095.5414012738838</v>
          </cell>
          <cell r="AB148">
            <v>0</v>
          </cell>
          <cell r="AC148">
            <v>165740.97664543526</v>
          </cell>
          <cell r="AD148">
            <v>41435.244161358802</v>
          </cell>
          <cell r="AE148">
            <v>0</v>
          </cell>
          <cell r="AF148">
            <v>0</v>
          </cell>
          <cell r="AG148">
            <v>0</v>
          </cell>
          <cell r="AH148">
            <v>0</v>
          </cell>
          <cell r="AI148">
            <v>0</v>
          </cell>
          <cell r="AJ148">
            <v>0</v>
          </cell>
          <cell r="AK148">
            <v>0</v>
          </cell>
          <cell r="AL148">
            <v>130661</v>
          </cell>
          <cell r="AM148">
            <v>32372</v>
          </cell>
          <cell r="AN148">
            <v>0</v>
          </cell>
          <cell r="AO148">
            <v>-106748</v>
          </cell>
          <cell r="AP148">
            <v>-85398</v>
          </cell>
          <cell r="AQ148">
            <v>-21349</v>
          </cell>
          <cell r="AR148">
            <v>0</v>
          </cell>
          <cell r="AS148">
            <v>-213495</v>
          </cell>
          <cell r="AT148">
            <v>-574211</v>
          </cell>
          <cell r="AU148">
            <v>-459368</v>
          </cell>
          <cell r="AV148">
            <v>-114842</v>
          </cell>
          <cell r="AW148">
            <v>0</v>
          </cell>
          <cell r="AX148">
            <v>-1148421</v>
          </cell>
          <cell r="AY148">
            <v>29397887</v>
          </cell>
          <cell r="AZ148">
            <v>1493984</v>
          </cell>
          <cell r="BA148">
            <v>601058</v>
          </cell>
          <cell r="BB148">
            <v>2451279</v>
          </cell>
          <cell r="BC148">
            <v>67183</v>
          </cell>
          <cell r="BD148">
            <v>10956</v>
          </cell>
          <cell r="BE148">
            <v>0</v>
          </cell>
          <cell r="BF148">
            <v>377914</v>
          </cell>
          <cell r="BG148">
            <v>17172</v>
          </cell>
          <cell r="BH148">
            <v>33233</v>
          </cell>
          <cell r="BI148">
            <v>2475</v>
          </cell>
          <cell r="BJ148">
            <v>2409</v>
          </cell>
          <cell r="BK148">
            <v>0</v>
          </cell>
          <cell r="BL148">
            <v>0</v>
          </cell>
          <cell r="BM148">
            <v>0</v>
          </cell>
          <cell r="BN148">
            <v>0</v>
          </cell>
          <cell r="BO148">
            <v>0</v>
          </cell>
          <cell r="BP148">
            <v>31075137</v>
          </cell>
          <cell r="BQ148">
            <v>129889</v>
          </cell>
          <cell r="BR148">
            <v>557455</v>
          </cell>
          <cell r="BS148">
            <v>380626</v>
          </cell>
        </row>
        <row r="149">
          <cell r="A149">
            <v>142</v>
          </cell>
          <cell r="B149" t="str">
            <v>Kings Lynn and West Norfolk</v>
          </cell>
          <cell r="C149" t="str">
            <v>E2634</v>
          </cell>
          <cell r="D149">
            <v>217818</v>
          </cell>
          <cell r="G149">
            <v>219374</v>
          </cell>
          <cell r="H149">
            <v>0</v>
          </cell>
          <cell r="I149">
            <v>217818</v>
          </cell>
          <cell r="J149">
            <v>0</v>
          </cell>
          <cell r="K149">
            <v>506100</v>
          </cell>
          <cell r="L149">
            <v>0</v>
          </cell>
          <cell r="M149">
            <v>0</v>
          </cell>
          <cell r="N149">
            <v>0</v>
          </cell>
          <cell r="O149">
            <v>0</v>
          </cell>
          <cell r="P149">
            <v>0</v>
          </cell>
          <cell r="Q149">
            <v>629452</v>
          </cell>
          <cell r="R149">
            <v>157363</v>
          </cell>
          <cell r="S149">
            <v>0</v>
          </cell>
          <cell r="T149">
            <v>4851</v>
          </cell>
          <cell r="U149">
            <v>1213</v>
          </cell>
          <cell r="V149">
            <v>0</v>
          </cell>
          <cell r="W149">
            <v>40425</v>
          </cell>
          <cell r="X149">
            <v>10106</v>
          </cell>
          <cell r="Y149">
            <v>0</v>
          </cell>
          <cell r="Z149">
            <v>111167.72823779195</v>
          </cell>
          <cell r="AA149">
            <v>27791.93205944798</v>
          </cell>
          <cell r="AB149">
            <v>0</v>
          </cell>
          <cell r="AC149">
            <v>515414.01273885352</v>
          </cell>
          <cell r="AD149">
            <v>128853.50318471335</v>
          </cell>
          <cell r="AE149">
            <v>0</v>
          </cell>
          <cell r="AF149">
            <v>0</v>
          </cell>
          <cell r="AG149">
            <v>0</v>
          </cell>
          <cell r="AH149">
            <v>0</v>
          </cell>
          <cell r="AI149">
            <v>0</v>
          </cell>
          <cell r="AJ149">
            <v>0</v>
          </cell>
          <cell r="AK149">
            <v>0</v>
          </cell>
          <cell r="AL149">
            <v>176532</v>
          </cell>
          <cell r="AM149">
            <v>42212</v>
          </cell>
          <cell r="AN149">
            <v>0</v>
          </cell>
          <cell r="AO149">
            <v>-227124</v>
          </cell>
          <cell r="AP149">
            <v>-181699</v>
          </cell>
          <cell r="AQ149">
            <v>-45425</v>
          </cell>
          <cell r="AR149">
            <v>0</v>
          </cell>
          <cell r="AS149">
            <v>-454248</v>
          </cell>
          <cell r="AT149">
            <v>-4302277.66</v>
          </cell>
          <cell r="AU149">
            <v>-3441822</v>
          </cell>
          <cell r="AV149">
            <v>-860456</v>
          </cell>
          <cell r="AW149">
            <v>0</v>
          </cell>
          <cell r="AX149">
            <v>-8604555.6600000001</v>
          </cell>
          <cell r="AY149">
            <v>34480387</v>
          </cell>
          <cell r="AZ149">
            <v>3079238</v>
          </cell>
          <cell r="BA149">
            <v>819845</v>
          </cell>
          <cell r="BB149">
            <v>2043324</v>
          </cell>
          <cell r="BC149">
            <v>22802</v>
          </cell>
          <cell r="BD149">
            <v>74776</v>
          </cell>
          <cell r="BE149">
            <v>10980</v>
          </cell>
          <cell r="BF149">
            <v>1359194</v>
          </cell>
          <cell r="BG149">
            <v>93790</v>
          </cell>
          <cell r="BH149">
            <v>52840</v>
          </cell>
          <cell r="BI149">
            <v>0</v>
          </cell>
          <cell r="BJ149">
            <v>31869</v>
          </cell>
          <cell r="BK149">
            <v>26403</v>
          </cell>
          <cell r="BL149">
            <v>0</v>
          </cell>
          <cell r="BM149">
            <v>0</v>
          </cell>
          <cell r="BN149">
            <v>0</v>
          </cell>
          <cell r="BO149">
            <v>0</v>
          </cell>
          <cell r="BP149">
            <v>43519063</v>
          </cell>
          <cell r="BQ149">
            <v>421606</v>
          </cell>
          <cell r="BR149">
            <v>1176155</v>
          </cell>
          <cell r="BS149">
            <v>364956</v>
          </cell>
        </row>
        <row r="150">
          <cell r="A150">
            <v>143</v>
          </cell>
          <cell r="B150" t="str">
            <v>Kingston upon Hull</v>
          </cell>
          <cell r="C150" t="str">
            <v>E2002</v>
          </cell>
          <cell r="D150">
            <v>372932</v>
          </cell>
          <cell r="E150">
            <v>0</v>
          </cell>
          <cell r="F150">
            <v>157485</v>
          </cell>
          <cell r="G150">
            <v>-333977</v>
          </cell>
          <cell r="H150">
            <v>0</v>
          </cell>
          <cell r="I150">
            <v>372932</v>
          </cell>
          <cell r="J150">
            <v>34383</v>
          </cell>
          <cell r="K150">
            <v>0</v>
          </cell>
          <cell r="L150">
            <v>0</v>
          </cell>
          <cell r="M150">
            <v>0</v>
          </cell>
          <cell r="N150">
            <v>0</v>
          </cell>
          <cell r="O150">
            <v>0</v>
          </cell>
          <cell r="P150">
            <v>0</v>
          </cell>
          <cell r="Q150">
            <v>1288484</v>
          </cell>
          <cell r="R150">
            <v>0</v>
          </cell>
          <cell r="S150">
            <v>26296</v>
          </cell>
          <cell r="T150">
            <v>57494</v>
          </cell>
          <cell r="U150">
            <v>0</v>
          </cell>
          <cell r="V150">
            <v>1173</v>
          </cell>
          <cell r="W150">
            <v>74280</v>
          </cell>
          <cell r="X150">
            <v>0</v>
          </cell>
          <cell r="Y150">
            <v>1516</v>
          </cell>
          <cell r="Z150">
            <v>198080.67940552015</v>
          </cell>
          <cell r="AA150">
            <v>3.5062775990019538E-12</v>
          </cell>
          <cell r="AB150">
            <v>4042.4628450106156</v>
          </cell>
          <cell r="AC150">
            <v>580871.59235668788</v>
          </cell>
          <cell r="AD150">
            <v>1.0282159059073229E-11</v>
          </cell>
          <cell r="AE150">
            <v>11854.52229299363</v>
          </cell>
          <cell r="AF150">
            <v>157147</v>
          </cell>
          <cell r="AG150">
            <v>0</v>
          </cell>
          <cell r="AH150">
            <v>0</v>
          </cell>
          <cell r="AI150">
            <v>75341</v>
          </cell>
          <cell r="AJ150">
            <v>1.3336384947770785E-12</v>
          </cell>
          <cell r="AK150">
            <v>1537.5805</v>
          </cell>
          <cell r="AL150">
            <v>443660</v>
          </cell>
          <cell r="AM150">
            <v>0</v>
          </cell>
          <cell r="AN150">
            <v>8962</v>
          </cell>
          <cell r="AO150">
            <v>-663528</v>
          </cell>
          <cell r="AP150">
            <v>-650257</v>
          </cell>
          <cell r="AQ150">
            <v>0</v>
          </cell>
          <cell r="AR150">
            <v>-13270</v>
          </cell>
          <cell r="AS150">
            <v>-1327055</v>
          </cell>
          <cell r="AT150">
            <v>-2500000</v>
          </cell>
          <cell r="AU150">
            <v>-2450000</v>
          </cell>
          <cell r="AV150">
            <v>0</v>
          </cell>
          <cell r="AW150">
            <v>-50000</v>
          </cell>
          <cell r="AX150">
            <v>-5000000</v>
          </cell>
          <cell r="AY150">
            <v>81497820</v>
          </cell>
          <cell r="AZ150">
            <v>5207245</v>
          </cell>
          <cell r="BA150">
            <v>1761728</v>
          </cell>
          <cell r="BB150">
            <v>5589432</v>
          </cell>
          <cell r="BC150">
            <v>24285</v>
          </cell>
          <cell r="BD150">
            <v>0</v>
          </cell>
          <cell r="BE150">
            <v>16251</v>
          </cell>
          <cell r="BF150">
            <v>4064418</v>
          </cell>
          <cell r="BG150">
            <v>5630</v>
          </cell>
          <cell r="BH150">
            <v>6953</v>
          </cell>
          <cell r="BI150">
            <v>0</v>
          </cell>
          <cell r="BJ150">
            <v>0</v>
          </cell>
          <cell r="BK150">
            <v>0</v>
          </cell>
          <cell r="BL150">
            <v>0</v>
          </cell>
          <cell r="BM150">
            <v>0</v>
          </cell>
          <cell r="BN150">
            <v>0</v>
          </cell>
          <cell r="BO150">
            <v>0</v>
          </cell>
          <cell r="BP150">
            <v>91064938.599999994</v>
          </cell>
          <cell r="BQ150">
            <v>1018797</v>
          </cell>
          <cell r="BR150">
            <v>6487576</v>
          </cell>
          <cell r="BS150">
            <v>678415</v>
          </cell>
        </row>
        <row r="151">
          <cell r="A151">
            <v>144</v>
          </cell>
          <cell r="B151" t="str">
            <v>Kingston upon Thames</v>
          </cell>
          <cell r="C151" t="str">
            <v>E5043</v>
          </cell>
          <cell r="D151">
            <v>257133</v>
          </cell>
          <cell r="G151">
            <v>2272</v>
          </cell>
          <cell r="H151">
            <v>0</v>
          </cell>
          <cell r="I151">
            <v>257133</v>
          </cell>
          <cell r="J151">
            <v>0</v>
          </cell>
          <cell r="K151">
            <v>0</v>
          </cell>
          <cell r="L151">
            <v>0</v>
          </cell>
          <cell r="M151">
            <v>0</v>
          </cell>
          <cell r="N151">
            <v>0</v>
          </cell>
          <cell r="O151">
            <v>0</v>
          </cell>
          <cell r="P151">
            <v>0</v>
          </cell>
          <cell r="Q151">
            <v>338757</v>
          </cell>
          <cell r="R151">
            <v>225838</v>
          </cell>
          <cell r="S151">
            <v>0</v>
          </cell>
          <cell r="T151">
            <v>15159</v>
          </cell>
          <cell r="U151">
            <v>10106</v>
          </cell>
          <cell r="V151">
            <v>0</v>
          </cell>
          <cell r="W151">
            <v>30319</v>
          </cell>
          <cell r="X151">
            <v>20212</v>
          </cell>
          <cell r="Y151">
            <v>0</v>
          </cell>
          <cell r="Z151">
            <v>90955.414012738838</v>
          </cell>
          <cell r="AA151">
            <v>60636.942675159233</v>
          </cell>
          <cell r="AB151">
            <v>0</v>
          </cell>
          <cell r="AC151">
            <v>272866.24203821656</v>
          </cell>
          <cell r="AD151">
            <v>181910.82802547771</v>
          </cell>
          <cell r="AE151">
            <v>0</v>
          </cell>
          <cell r="AF151">
            <v>0</v>
          </cell>
          <cell r="AG151">
            <v>0</v>
          </cell>
          <cell r="AH151">
            <v>0</v>
          </cell>
          <cell r="AI151">
            <v>23220</v>
          </cell>
          <cell r="AJ151">
            <v>15480</v>
          </cell>
          <cell r="AK151">
            <v>0</v>
          </cell>
          <cell r="AL151">
            <v>263073</v>
          </cell>
          <cell r="AM151">
            <v>173562</v>
          </cell>
          <cell r="AN151">
            <v>0</v>
          </cell>
          <cell r="AO151">
            <v>-1808151.5</v>
          </cell>
          <cell r="AP151">
            <v>-1084890.8999999999</v>
          </cell>
          <cell r="AQ151">
            <v>-723260.60000000009</v>
          </cell>
          <cell r="AR151">
            <v>0</v>
          </cell>
          <cell r="AS151">
            <v>-3616303</v>
          </cell>
          <cell r="AT151">
            <v>-1886600</v>
          </cell>
          <cell r="AU151">
            <v>-1131961</v>
          </cell>
          <cell r="AV151">
            <v>-754641</v>
          </cell>
          <cell r="AW151">
            <v>0</v>
          </cell>
          <cell r="AX151">
            <v>-3773202</v>
          </cell>
          <cell r="AY151">
            <v>76097914</v>
          </cell>
          <cell r="AZ151">
            <v>2292187.38</v>
          </cell>
          <cell r="BA151">
            <v>1576838.35</v>
          </cell>
          <cell r="BB151">
            <v>5537819.0999999996</v>
          </cell>
          <cell r="BC151">
            <v>66279.12</v>
          </cell>
          <cell r="BD151">
            <v>0</v>
          </cell>
          <cell r="BE151">
            <v>28927.79</v>
          </cell>
          <cell r="BF151">
            <v>2972844.72</v>
          </cell>
          <cell r="BG151">
            <v>39820.71</v>
          </cell>
          <cell r="BH151">
            <v>384031.14</v>
          </cell>
          <cell r="BI151">
            <v>0</v>
          </cell>
          <cell r="BJ151">
            <v>0</v>
          </cell>
          <cell r="BK151">
            <v>0</v>
          </cell>
          <cell r="BL151">
            <v>0</v>
          </cell>
          <cell r="BM151">
            <v>0</v>
          </cell>
          <cell r="BN151">
            <v>0</v>
          </cell>
          <cell r="BO151">
            <v>0</v>
          </cell>
          <cell r="BP151">
            <v>81847112.700000003</v>
          </cell>
          <cell r="BQ151">
            <v>82955.55</v>
          </cell>
          <cell r="BR151">
            <v>3949203</v>
          </cell>
          <cell r="BS151">
            <v>793000</v>
          </cell>
        </row>
        <row r="152">
          <cell r="A152">
            <v>145</v>
          </cell>
          <cell r="B152" t="str">
            <v>Kirklees</v>
          </cell>
          <cell r="C152" t="str">
            <v>E4703</v>
          </cell>
          <cell r="D152">
            <v>613307</v>
          </cell>
          <cell r="G152">
            <v>258040</v>
          </cell>
          <cell r="H152">
            <v>0</v>
          </cell>
          <cell r="I152">
            <v>613307</v>
          </cell>
          <cell r="J152">
            <v>0</v>
          </cell>
          <cell r="K152">
            <v>0</v>
          </cell>
          <cell r="L152">
            <v>0</v>
          </cell>
          <cell r="M152">
            <v>0</v>
          </cell>
          <cell r="N152">
            <v>0</v>
          </cell>
          <cell r="O152">
            <v>0</v>
          </cell>
          <cell r="P152">
            <v>0</v>
          </cell>
          <cell r="Q152">
            <v>2821435</v>
          </cell>
          <cell r="R152">
            <v>0</v>
          </cell>
          <cell r="S152">
            <v>57580</v>
          </cell>
          <cell r="T152">
            <v>69972</v>
          </cell>
          <cell r="U152">
            <v>0</v>
          </cell>
          <cell r="V152">
            <v>1428</v>
          </cell>
          <cell r="W152">
            <v>22391</v>
          </cell>
          <cell r="X152">
            <v>0</v>
          </cell>
          <cell r="Y152">
            <v>457</v>
          </cell>
          <cell r="Z152">
            <v>104958</v>
          </cell>
          <cell r="AA152">
            <v>1.8578888427711604E-12</v>
          </cell>
          <cell r="AB152">
            <v>2142</v>
          </cell>
          <cell r="AC152">
            <v>495201.69851380045</v>
          </cell>
          <cell r="AD152">
            <v>8.7656939975048855E-12</v>
          </cell>
          <cell r="AE152">
            <v>10106.15711252654</v>
          </cell>
          <cell r="AF152">
            <v>0</v>
          </cell>
          <cell r="AG152">
            <v>0</v>
          </cell>
          <cell r="AH152">
            <v>0</v>
          </cell>
          <cell r="AI152">
            <v>0</v>
          </cell>
          <cell r="AJ152">
            <v>0</v>
          </cell>
          <cell r="AK152">
            <v>0</v>
          </cell>
          <cell r="AL152">
            <v>547690</v>
          </cell>
          <cell r="AM152">
            <v>0</v>
          </cell>
          <cell r="AN152">
            <v>11044</v>
          </cell>
          <cell r="AO152">
            <v>-1724108</v>
          </cell>
          <cell r="AP152">
            <v>-1689626</v>
          </cell>
          <cell r="AQ152">
            <v>0</v>
          </cell>
          <cell r="AR152">
            <v>-34482</v>
          </cell>
          <cell r="AS152">
            <v>-3448216</v>
          </cell>
          <cell r="AT152">
            <v>-3662067</v>
          </cell>
          <cell r="AU152">
            <v>-3588825</v>
          </cell>
          <cell r="AV152">
            <v>0</v>
          </cell>
          <cell r="AW152">
            <v>-73241</v>
          </cell>
          <cell r="AX152">
            <v>-7324133</v>
          </cell>
          <cell r="AY152">
            <v>94360781</v>
          </cell>
          <cell r="AZ152">
            <v>11250232</v>
          </cell>
          <cell r="BA152">
            <v>2042345</v>
          </cell>
          <cell r="BB152">
            <v>5988085</v>
          </cell>
          <cell r="BC152">
            <v>160311</v>
          </cell>
          <cell r="BD152">
            <v>4004</v>
          </cell>
          <cell r="BE152">
            <v>37903</v>
          </cell>
          <cell r="BF152">
            <v>6599855</v>
          </cell>
          <cell r="BG152">
            <v>230071</v>
          </cell>
          <cell r="BH152">
            <v>107398</v>
          </cell>
          <cell r="BI152">
            <v>1130</v>
          </cell>
          <cell r="BJ152">
            <v>2773</v>
          </cell>
          <cell r="BK152">
            <v>116573</v>
          </cell>
          <cell r="BL152">
            <v>0</v>
          </cell>
          <cell r="BM152">
            <v>0</v>
          </cell>
          <cell r="BN152">
            <v>0</v>
          </cell>
          <cell r="BO152">
            <v>0</v>
          </cell>
          <cell r="BP152">
            <v>104645504</v>
          </cell>
          <cell r="BQ152">
            <v>890105</v>
          </cell>
          <cell r="BR152">
            <v>5928119</v>
          </cell>
          <cell r="BS152">
            <v>2210998</v>
          </cell>
        </row>
        <row r="153">
          <cell r="A153">
            <v>146</v>
          </cell>
          <cell r="B153" t="str">
            <v>Knowsley</v>
          </cell>
          <cell r="C153" t="str">
            <v>E4301</v>
          </cell>
          <cell r="D153">
            <v>139232</v>
          </cell>
          <cell r="G153">
            <v>1114</v>
          </cell>
          <cell r="H153">
            <v>0</v>
          </cell>
          <cell r="I153">
            <v>139232</v>
          </cell>
          <cell r="J153">
            <v>0</v>
          </cell>
          <cell r="K153">
            <v>0</v>
          </cell>
          <cell r="L153">
            <v>0</v>
          </cell>
          <cell r="M153">
            <v>0</v>
          </cell>
          <cell r="N153">
            <v>0</v>
          </cell>
          <cell r="O153">
            <v>0</v>
          </cell>
          <cell r="P153">
            <v>0</v>
          </cell>
          <cell r="Q153">
            <v>416688</v>
          </cell>
          <cell r="R153">
            <v>0</v>
          </cell>
          <cell r="S153">
            <v>8504</v>
          </cell>
          <cell r="T153">
            <v>0</v>
          </cell>
          <cell r="U153">
            <v>0</v>
          </cell>
          <cell r="V153">
            <v>0</v>
          </cell>
          <cell r="W153">
            <v>0</v>
          </cell>
          <cell r="X153">
            <v>0</v>
          </cell>
          <cell r="Y153">
            <v>0</v>
          </cell>
          <cell r="Z153">
            <v>0</v>
          </cell>
          <cell r="AA153">
            <v>0</v>
          </cell>
          <cell r="AB153">
            <v>0</v>
          </cell>
          <cell r="AC153">
            <v>247600.84925690023</v>
          </cell>
          <cell r="AD153">
            <v>4.3828469987524427E-12</v>
          </cell>
          <cell r="AE153">
            <v>5053.07855626327</v>
          </cell>
          <cell r="AF153">
            <v>0</v>
          </cell>
          <cell r="AG153">
            <v>0</v>
          </cell>
          <cell r="AH153">
            <v>0</v>
          </cell>
          <cell r="AI153">
            <v>0</v>
          </cell>
          <cell r="AJ153">
            <v>0</v>
          </cell>
          <cell r="AK153">
            <v>0</v>
          </cell>
          <cell r="AL153">
            <v>208091</v>
          </cell>
          <cell r="AM153">
            <v>0</v>
          </cell>
          <cell r="AN153">
            <v>4217</v>
          </cell>
          <cell r="AO153">
            <v>-479286</v>
          </cell>
          <cell r="AP153">
            <v>-469700</v>
          </cell>
          <cell r="AQ153">
            <v>0</v>
          </cell>
          <cell r="AR153">
            <v>-9586</v>
          </cell>
          <cell r="AS153">
            <v>-958572</v>
          </cell>
          <cell r="AT153">
            <v>-6521948.5</v>
          </cell>
          <cell r="AU153">
            <v>-6391510</v>
          </cell>
          <cell r="AV153">
            <v>0</v>
          </cell>
          <cell r="AW153">
            <v>-130439</v>
          </cell>
          <cell r="AX153">
            <v>-13043897.42</v>
          </cell>
          <cell r="AY153">
            <v>25717488</v>
          </cell>
          <cell r="AZ153">
            <v>1653305.85</v>
          </cell>
          <cell r="BA153">
            <v>821998.26</v>
          </cell>
          <cell r="BB153">
            <v>2060379.35</v>
          </cell>
          <cell r="BC153">
            <v>15034.32</v>
          </cell>
          <cell r="BD153">
            <v>0</v>
          </cell>
          <cell r="BE153">
            <v>1740.64</v>
          </cell>
          <cell r="BF153">
            <v>1999193.58</v>
          </cell>
          <cell r="BG153">
            <v>208380.57</v>
          </cell>
          <cell r="BH153">
            <v>40819.58</v>
          </cell>
          <cell r="BI153">
            <v>0</v>
          </cell>
          <cell r="BJ153">
            <v>0</v>
          </cell>
          <cell r="BK153">
            <v>0</v>
          </cell>
          <cell r="BL153">
            <v>0</v>
          </cell>
          <cell r="BM153">
            <v>0</v>
          </cell>
          <cell r="BN153">
            <v>0</v>
          </cell>
          <cell r="BO153">
            <v>0</v>
          </cell>
          <cell r="BP153">
            <v>40521286</v>
          </cell>
          <cell r="BQ153">
            <v>151756.70000000001</v>
          </cell>
          <cell r="BR153">
            <v>3490151</v>
          </cell>
          <cell r="BS153">
            <v>1864361</v>
          </cell>
        </row>
        <row r="154">
          <cell r="A154">
            <v>147</v>
          </cell>
          <cell r="B154" t="str">
            <v>Lambeth</v>
          </cell>
          <cell r="C154" t="str">
            <v>E5017</v>
          </cell>
          <cell r="D154">
            <v>481327</v>
          </cell>
          <cell r="G154">
            <v>376398</v>
          </cell>
          <cell r="H154">
            <v>0</v>
          </cell>
          <cell r="I154">
            <v>481327</v>
          </cell>
          <cell r="J154">
            <v>0</v>
          </cell>
          <cell r="K154">
            <v>0</v>
          </cell>
          <cell r="L154">
            <v>0</v>
          </cell>
          <cell r="M154">
            <v>0</v>
          </cell>
          <cell r="N154">
            <v>0</v>
          </cell>
          <cell r="O154">
            <v>0</v>
          </cell>
          <cell r="P154">
            <v>0</v>
          </cell>
          <cell r="Q154">
            <v>795370</v>
          </cell>
          <cell r="R154">
            <v>530246</v>
          </cell>
          <cell r="S154">
            <v>0</v>
          </cell>
          <cell r="T154">
            <v>0</v>
          </cell>
          <cell r="U154">
            <v>0</v>
          </cell>
          <cell r="V154">
            <v>0</v>
          </cell>
          <cell r="W154">
            <v>60119</v>
          </cell>
          <cell r="X154">
            <v>40079</v>
          </cell>
          <cell r="Y154">
            <v>0</v>
          </cell>
          <cell r="Z154">
            <v>0</v>
          </cell>
          <cell r="AA154">
            <v>0</v>
          </cell>
          <cell r="AB154">
            <v>0</v>
          </cell>
          <cell r="AC154">
            <v>891666.24203821656</v>
          </cell>
          <cell r="AD154">
            <v>594444.16135881108</v>
          </cell>
          <cell r="AE154">
            <v>0</v>
          </cell>
          <cell r="AF154">
            <v>0</v>
          </cell>
          <cell r="AG154">
            <v>0</v>
          </cell>
          <cell r="AH154">
            <v>0</v>
          </cell>
          <cell r="AI154">
            <v>0</v>
          </cell>
          <cell r="AJ154">
            <v>0</v>
          </cell>
          <cell r="AK154">
            <v>0</v>
          </cell>
          <cell r="AL154">
            <v>390546</v>
          </cell>
          <cell r="AM154">
            <v>256958</v>
          </cell>
          <cell r="AN154">
            <v>0</v>
          </cell>
          <cell r="AO154">
            <v>-1763976</v>
          </cell>
          <cell r="AP154">
            <v>-1058386</v>
          </cell>
          <cell r="AQ154">
            <v>-705590</v>
          </cell>
          <cell r="AR154">
            <v>0</v>
          </cell>
          <cell r="AS154">
            <v>-3527952</v>
          </cell>
          <cell r="AT154">
            <v>-6428737</v>
          </cell>
          <cell r="AU154">
            <v>-3857242</v>
          </cell>
          <cell r="AV154">
            <v>-2571494</v>
          </cell>
          <cell r="AW154">
            <v>0</v>
          </cell>
          <cell r="AX154">
            <v>-12857473</v>
          </cell>
          <cell r="AY154">
            <v>108517234</v>
          </cell>
          <cell r="AZ154">
            <v>5164930</v>
          </cell>
          <cell r="BA154">
            <v>2408343</v>
          </cell>
          <cell r="BB154">
            <v>14793631</v>
          </cell>
          <cell r="BC154">
            <v>7442</v>
          </cell>
          <cell r="BD154">
            <v>0</v>
          </cell>
          <cell r="BE154">
            <v>57070</v>
          </cell>
          <cell r="BF154">
            <v>2955604</v>
          </cell>
          <cell r="BG154">
            <v>210169</v>
          </cell>
          <cell r="BH154">
            <v>339981</v>
          </cell>
          <cell r="BI154">
            <v>0</v>
          </cell>
          <cell r="BJ154">
            <v>0</v>
          </cell>
          <cell r="BK154">
            <v>0</v>
          </cell>
          <cell r="BL154">
            <v>0</v>
          </cell>
          <cell r="BM154">
            <v>0</v>
          </cell>
          <cell r="BN154">
            <v>0</v>
          </cell>
          <cell r="BO154">
            <v>0</v>
          </cell>
          <cell r="BP154">
            <v>123138502</v>
          </cell>
          <cell r="BQ154">
            <v>1239379</v>
          </cell>
          <cell r="BR154">
            <v>6426462</v>
          </cell>
          <cell r="BS154">
            <v>6595823</v>
          </cell>
        </row>
        <row r="155">
          <cell r="A155">
            <v>148</v>
          </cell>
          <cell r="B155" t="str">
            <v>Lancaster</v>
          </cell>
          <cell r="C155" t="str">
            <v>E2337</v>
          </cell>
          <cell r="D155">
            <v>228713</v>
          </cell>
          <cell r="G155">
            <v>16952043</v>
          </cell>
          <cell r="H155">
            <v>0</v>
          </cell>
          <cell r="I155">
            <v>228713</v>
          </cell>
          <cell r="J155">
            <v>0</v>
          </cell>
          <cell r="K155">
            <v>0</v>
          </cell>
          <cell r="L155">
            <v>0</v>
          </cell>
          <cell r="M155">
            <v>0</v>
          </cell>
          <cell r="N155">
            <v>0</v>
          </cell>
          <cell r="O155">
            <v>0</v>
          </cell>
          <cell r="P155">
            <v>0</v>
          </cell>
          <cell r="Q155">
            <v>648098</v>
          </cell>
          <cell r="R155">
            <v>145822</v>
          </cell>
          <cell r="S155">
            <v>16202</v>
          </cell>
          <cell r="T155">
            <v>0</v>
          </cell>
          <cell r="U155">
            <v>0</v>
          </cell>
          <cell r="V155">
            <v>0</v>
          </cell>
          <cell r="W155">
            <v>0</v>
          </cell>
          <cell r="X155">
            <v>0</v>
          </cell>
          <cell r="Y155">
            <v>0</v>
          </cell>
          <cell r="Z155">
            <v>14252.91549893843</v>
          </cell>
          <cell r="AA155">
            <v>3206.905987261146</v>
          </cell>
          <cell r="AB155">
            <v>356.32288747346075</v>
          </cell>
          <cell r="AC155">
            <v>265686.01953290869</v>
          </cell>
          <cell r="AD155">
            <v>59779.35439490444</v>
          </cell>
          <cell r="AE155">
            <v>6642.1504883227171</v>
          </cell>
          <cell r="AF155">
            <v>10336</v>
          </cell>
          <cell r="AG155">
            <v>0</v>
          </cell>
          <cell r="AH155">
            <v>0</v>
          </cell>
          <cell r="AI155">
            <v>4146</v>
          </cell>
          <cell r="AJ155">
            <v>932.95709999999985</v>
          </cell>
          <cell r="AK155">
            <v>103.6619</v>
          </cell>
          <cell r="AL155">
            <v>271190</v>
          </cell>
          <cell r="AM155">
            <v>60472</v>
          </cell>
          <cell r="AN155">
            <v>6719</v>
          </cell>
          <cell r="AO155">
            <v>-129235</v>
          </cell>
          <cell r="AP155">
            <v>-103388</v>
          </cell>
          <cell r="AQ155">
            <v>-23262</v>
          </cell>
          <cell r="AR155">
            <v>-2585</v>
          </cell>
          <cell r="AS155">
            <v>-258470</v>
          </cell>
          <cell r="AT155">
            <v>-4521151</v>
          </cell>
          <cell r="AU155">
            <v>-3616920</v>
          </cell>
          <cell r="AV155">
            <v>-813807</v>
          </cell>
          <cell r="AW155">
            <v>-90423</v>
          </cell>
          <cell r="AX155">
            <v>-9042301</v>
          </cell>
          <cell r="AY155">
            <v>58567708</v>
          </cell>
          <cell r="AZ155">
            <v>3105157</v>
          </cell>
          <cell r="BA155">
            <v>1315697</v>
          </cell>
          <cell r="BB155">
            <v>3246985</v>
          </cell>
          <cell r="BC155">
            <v>27450</v>
          </cell>
          <cell r="BD155">
            <v>29154</v>
          </cell>
          <cell r="BE155">
            <v>6636</v>
          </cell>
          <cell r="BF155">
            <v>1273581</v>
          </cell>
          <cell r="BG155">
            <v>100966</v>
          </cell>
          <cell r="BH155">
            <v>25656</v>
          </cell>
          <cell r="BI155">
            <v>1154</v>
          </cell>
          <cell r="BJ155">
            <v>3721</v>
          </cell>
          <cell r="BK155">
            <v>0</v>
          </cell>
          <cell r="BL155">
            <v>0</v>
          </cell>
          <cell r="BM155">
            <v>0</v>
          </cell>
          <cell r="BN155">
            <v>0</v>
          </cell>
          <cell r="BO155">
            <v>0</v>
          </cell>
          <cell r="BP155">
            <v>48690463</v>
          </cell>
          <cell r="BQ155">
            <v>55308</v>
          </cell>
          <cell r="BR155">
            <v>1370626.28</v>
          </cell>
          <cell r="BS155">
            <v>-644627</v>
          </cell>
        </row>
        <row r="156">
          <cell r="A156">
            <v>149</v>
          </cell>
          <cell r="B156" t="str">
            <v>Leeds</v>
          </cell>
          <cell r="C156" t="str">
            <v>E4704</v>
          </cell>
          <cell r="D156">
            <v>1235172</v>
          </cell>
          <cell r="E156">
            <v>922611</v>
          </cell>
          <cell r="F156">
            <v>0</v>
          </cell>
          <cell r="G156">
            <v>484945</v>
          </cell>
          <cell r="H156">
            <v>0</v>
          </cell>
          <cell r="I156">
            <v>1235172</v>
          </cell>
          <cell r="J156">
            <v>0</v>
          </cell>
          <cell r="K156">
            <v>0</v>
          </cell>
          <cell r="L156">
            <v>0</v>
          </cell>
          <cell r="M156">
            <v>220000</v>
          </cell>
          <cell r="N156">
            <v>220000</v>
          </cell>
          <cell r="O156">
            <v>0</v>
          </cell>
          <cell r="P156">
            <v>0</v>
          </cell>
          <cell r="Q156">
            <v>3807996</v>
          </cell>
          <cell r="R156">
            <v>0</v>
          </cell>
          <cell r="S156">
            <v>77714</v>
          </cell>
          <cell r="T156">
            <v>4952</v>
          </cell>
          <cell r="U156">
            <v>0</v>
          </cell>
          <cell r="V156">
            <v>101</v>
          </cell>
          <cell r="W156">
            <v>99041</v>
          </cell>
          <cell r="X156">
            <v>0</v>
          </cell>
          <cell r="Y156">
            <v>2021</v>
          </cell>
          <cell r="Z156">
            <v>99040.339702760073</v>
          </cell>
          <cell r="AA156">
            <v>1.7531387995009769E-12</v>
          </cell>
          <cell r="AB156">
            <v>2021.2314225053078</v>
          </cell>
          <cell r="AC156">
            <v>1485605.0955414013</v>
          </cell>
          <cell r="AD156">
            <v>2.6297081992514656E-11</v>
          </cell>
          <cell r="AE156">
            <v>30318.47133757962</v>
          </cell>
          <cell r="AF156">
            <v>0</v>
          </cell>
          <cell r="AG156">
            <v>0</v>
          </cell>
          <cell r="AH156">
            <v>0</v>
          </cell>
          <cell r="AI156">
            <v>0</v>
          </cell>
          <cell r="AJ156">
            <v>0</v>
          </cell>
          <cell r="AK156">
            <v>0</v>
          </cell>
          <cell r="AL156">
            <v>1950905</v>
          </cell>
          <cell r="AM156">
            <v>0</v>
          </cell>
          <cell r="AN156">
            <v>39499</v>
          </cell>
          <cell r="AO156">
            <v>-2650000</v>
          </cell>
          <cell r="AP156">
            <v>-2597000</v>
          </cell>
          <cell r="AQ156">
            <v>0</v>
          </cell>
          <cell r="AR156">
            <v>-53000</v>
          </cell>
          <cell r="AS156">
            <v>-5300000</v>
          </cell>
          <cell r="AT156">
            <v>-11547633</v>
          </cell>
          <cell r="AU156">
            <v>-11316680</v>
          </cell>
          <cell r="AV156">
            <v>0</v>
          </cell>
          <cell r="AW156">
            <v>-230952</v>
          </cell>
          <cell r="AX156">
            <v>-23095265</v>
          </cell>
          <cell r="AY156">
            <v>339707903</v>
          </cell>
          <cell r="AZ156">
            <v>15140153</v>
          </cell>
          <cell r="BA156">
            <v>7501287</v>
          </cell>
          <cell r="BB156">
            <v>21651716</v>
          </cell>
          <cell r="BC156">
            <v>293368</v>
          </cell>
          <cell r="BD156">
            <v>10880</v>
          </cell>
          <cell r="BE156">
            <v>312423</v>
          </cell>
          <cell r="BF156">
            <v>22874019</v>
          </cell>
          <cell r="BG156">
            <v>48848</v>
          </cell>
          <cell r="BH156">
            <v>434734</v>
          </cell>
          <cell r="BI156">
            <v>20064</v>
          </cell>
          <cell r="BJ156">
            <v>6123</v>
          </cell>
          <cell r="BK156">
            <v>7860.21</v>
          </cell>
          <cell r="BL156">
            <v>165000</v>
          </cell>
          <cell r="BM156">
            <v>165000</v>
          </cell>
          <cell r="BN156">
            <v>274990</v>
          </cell>
          <cell r="BO156">
            <v>0</v>
          </cell>
          <cell r="BP156">
            <v>369214816</v>
          </cell>
          <cell r="BQ156">
            <v>3248107</v>
          </cell>
          <cell r="BR156">
            <v>13787750.300000001</v>
          </cell>
          <cell r="BS156">
            <v>7141181.0899999999</v>
          </cell>
        </row>
        <row r="157">
          <cell r="A157">
            <v>150</v>
          </cell>
          <cell r="B157" t="str">
            <v>Leicester</v>
          </cell>
          <cell r="C157" t="str">
            <v>E2401</v>
          </cell>
          <cell r="D157">
            <v>489707</v>
          </cell>
          <cell r="G157">
            <v>-25708</v>
          </cell>
          <cell r="H157">
            <v>0</v>
          </cell>
          <cell r="I157">
            <v>489707</v>
          </cell>
          <cell r="J157">
            <v>0</v>
          </cell>
          <cell r="K157">
            <v>0</v>
          </cell>
          <cell r="L157">
            <v>0</v>
          </cell>
          <cell r="M157">
            <v>0</v>
          </cell>
          <cell r="N157">
            <v>0</v>
          </cell>
          <cell r="O157">
            <v>0</v>
          </cell>
          <cell r="P157">
            <v>0</v>
          </cell>
          <cell r="Q157">
            <v>1927961</v>
          </cell>
          <cell r="R157">
            <v>0</v>
          </cell>
          <cell r="S157">
            <v>39346</v>
          </cell>
          <cell r="T157">
            <v>29712</v>
          </cell>
          <cell r="U157">
            <v>0</v>
          </cell>
          <cell r="V157">
            <v>606</v>
          </cell>
          <cell r="W157">
            <v>59424</v>
          </cell>
          <cell r="X157">
            <v>0</v>
          </cell>
          <cell r="Y157">
            <v>1213</v>
          </cell>
          <cell r="Z157">
            <v>188414.34225053078</v>
          </cell>
          <cell r="AA157">
            <v>3.3351712521706586E-12</v>
          </cell>
          <cell r="AB157">
            <v>3845.1906581740977</v>
          </cell>
          <cell r="AC157">
            <v>866602.97239915072</v>
          </cell>
          <cell r="AD157">
            <v>1.533996449563355E-11</v>
          </cell>
          <cell r="AE157">
            <v>17685.774946921443</v>
          </cell>
          <cell r="AF157">
            <v>0</v>
          </cell>
          <cell r="AG157">
            <v>0</v>
          </cell>
          <cell r="AH157">
            <v>0</v>
          </cell>
          <cell r="AI157">
            <v>0</v>
          </cell>
          <cell r="AJ157">
            <v>0</v>
          </cell>
          <cell r="AK157">
            <v>0</v>
          </cell>
          <cell r="AL157">
            <v>531798</v>
          </cell>
          <cell r="AM157">
            <v>0</v>
          </cell>
          <cell r="AN157">
            <v>10747</v>
          </cell>
          <cell r="AO157">
            <v>-1422142</v>
          </cell>
          <cell r="AP157">
            <v>-1393699</v>
          </cell>
          <cell r="AQ157">
            <v>0</v>
          </cell>
          <cell r="AR157">
            <v>-28442</v>
          </cell>
          <cell r="AS157">
            <v>-2844283</v>
          </cell>
          <cell r="AT157">
            <v>-3625296</v>
          </cell>
          <cell r="AU157">
            <v>-3552791</v>
          </cell>
          <cell r="AV157">
            <v>0</v>
          </cell>
          <cell r="AW157">
            <v>-72506</v>
          </cell>
          <cell r="AX157">
            <v>-7250593</v>
          </cell>
          <cell r="AY157">
            <v>90675309</v>
          </cell>
          <cell r="AZ157">
            <v>7804500</v>
          </cell>
          <cell r="BA157">
            <v>1947003</v>
          </cell>
          <cell r="BB157">
            <v>7459006</v>
          </cell>
          <cell r="BC157">
            <v>41392</v>
          </cell>
          <cell r="BD157">
            <v>0</v>
          </cell>
          <cell r="BE157">
            <v>73033</v>
          </cell>
          <cell r="BF157">
            <v>4770187</v>
          </cell>
          <cell r="BG157">
            <v>327022</v>
          </cell>
          <cell r="BH157">
            <v>156997</v>
          </cell>
          <cell r="BI157">
            <v>0</v>
          </cell>
          <cell r="BJ157">
            <v>0</v>
          </cell>
          <cell r="BK157">
            <v>0</v>
          </cell>
          <cell r="BL157">
            <v>0</v>
          </cell>
          <cell r="BM157">
            <v>0</v>
          </cell>
          <cell r="BN157">
            <v>0</v>
          </cell>
          <cell r="BO157">
            <v>0</v>
          </cell>
          <cell r="BP157">
            <v>100496322</v>
          </cell>
          <cell r="BQ157">
            <v>1020621</v>
          </cell>
          <cell r="BR157">
            <v>7395633</v>
          </cell>
          <cell r="BS157">
            <v>1303306</v>
          </cell>
        </row>
        <row r="158">
          <cell r="A158">
            <v>151</v>
          </cell>
          <cell r="B158" t="str">
            <v>Lewes</v>
          </cell>
          <cell r="C158" t="str">
            <v>E1435</v>
          </cell>
          <cell r="D158">
            <v>128644</v>
          </cell>
          <cell r="G158">
            <v>74458</v>
          </cell>
          <cell r="H158">
            <v>0</v>
          </cell>
          <cell r="I158">
            <v>128644</v>
          </cell>
          <cell r="J158">
            <v>0</v>
          </cell>
          <cell r="K158">
            <v>0</v>
          </cell>
          <cell r="L158">
            <v>0</v>
          </cell>
          <cell r="M158">
            <v>0</v>
          </cell>
          <cell r="N158">
            <v>0</v>
          </cell>
          <cell r="O158">
            <v>0</v>
          </cell>
          <cell r="P158">
            <v>0</v>
          </cell>
          <cell r="Q158">
            <v>429734</v>
          </cell>
          <cell r="R158">
            <v>96690</v>
          </cell>
          <cell r="S158">
            <v>10743</v>
          </cell>
          <cell r="T158">
            <v>0</v>
          </cell>
          <cell r="U158">
            <v>0</v>
          </cell>
          <cell r="V158">
            <v>0</v>
          </cell>
          <cell r="W158">
            <v>0</v>
          </cell>
          <cell r="X158">
            <v>0</v>
          </cell>
          <cell r="Y158">
            <v>0</v>
          </cell>
          <cell r="Z158">
            <v>0</v>
          </cell>
          <cell r="AA158">
            <v>0</v>
          </cell>
          <cell r="AB158">
            <v>0</v>
          </cell>
          <cell r="AC158">
            <v>328247.98301486205</v>
          </cell>
          <cell r="AD158">
            <v>73855.796178343939</v>
          </cell>
          <cell r="AE158">
            <v>8206.199575371551</v>
          </cell>
          <cell r="AF158">
            <v>35742</v>
          </cell>
          <cell r="AG158">
            <v>0</v>
          </cell>
          <cell r="AH158">
            <v>0</v>
          </cell>
          <cell r="AI158">
            <v>14938</v>
          </cell>
          <cell r="AJ158">
            <v>3361.0499999999993</v>
          </cell>
          <cell r="AK158">
            <v>373.45</v>
          </cell>
          <cell r="AL158">
            <v>100547</v>
          </cell>
          <cell r="AM158">
            <v>22316</v>
          </cell>
          <cell r="AN158">
            <v>2480</v>
          </cell>
          <cell r="AO158">
            <v>-94771</v>
          </cell>
          <cell r="AP158">
            <v>-75816</v>
          </cell>
          <cell r="AQ158">
            <v>-17059</v>
          </cell>
          <cell r="AR158">
            <v>-1895</v>
          </cell>
          <cell r="AS158">
            <v>-189541</v>
          </cell>
          <cell r="AT158">
            <v>-521113</v>
          </cell>
          <cell r="AU158">
            <v>-416890</v>
          </cell>
          <cell r="AV158">
            <v>-93800</v>
          </cell>
          <cell r="AW158">
            <v>-10422</v>
          </cell>
          <cell r="AX158">
            <v>-1042225</v>
          </cell>
          <cell r="AY158">
            <v>22534915</v>
          </cell>
          <cell r="AZ158">
            <v>2093869</v>
          </cell>
          <cell r="BA158">
            <v>446303</v>
          </cell>
          <cell r="BB158">
            <v>1917322</v>
          </cell>
          <cell r="BC158">
            <v>82378</v>
          </cell>
          <cell r="BD158">
            <v>11610</v>
          </cell>
          <cell r="BE158">
            <v>19147</v>
          </cell>
          <cell r="BF158">
            <v>815910</v>
          </cell>
          <cell r="BG158">
            <v>156452</v>
          </cell>
          <cell r="BH158">
            <v>13975</v>
          </cell>
          <cell r="BI158">
            <v>518</v>
          </cell>
          <cell r="BJ158">
            <v>0</v>
          </cell>
          <cell r="BK158">
            <v>0</v>
          </cell>
          <cell r="BL158">
            <v>0</v>
          </cell>
          <cell r="BM158">
            <v>0</v>
          </cell>
          <cell r="BN158">
            <v>0</v>
          </cell>
          <cell r="BO158">
            <v>0</v>
          </cell>
          <cell r="BP158">
            <v>23873157</v>
          </cell>
          <cell r="BQ158">
            <v>0</v>
          </cell>
          <cell r="BR158">
            <v>793549</v>
          </cell>
          <cell r="BS158">
            <v>119045</v>
          </cell>
        </row>
        <row r="159">
          <cell r="A159">
            <v>152</v>
          </cell>
          <cell r="B159" t="str">
            <v>Lewisham</v>
          </cell>
          <cell r="C159" t="str">
            <v>E5018</v>
          </cell>
          <cell r="D159">
            <v>306394</v>
          </cell>
          <cell r="G159">
            <v>87829</v>
          </cell>
          <cell r="H159">
            <v>0</v>
          </cell>
          <cell r="I159">
            <v>306394</v>
          </cell>
          <cell r="J159">
            <v>0</v>
          </cell>
          <cell r="K159">
            <v>0</v>
          </cell>
          <cell r="L159">
            <v>0</v>
          </cell>
          <cell r="M159">
            <v>0</v>
          </cell>
          <cell r="N159">
            <v>0</v>
          </cell>
          <cell r="O159">
            <v>0</v>
          </cell>
          <cell r="P159">
            <v>0</v>
          </cell>
          <cell r="Q159">
            <v>693032</v>
          </cell>
          <cell r="R159">
            <v>462022</v>
          </cell>
          <cell r="S159">
            <v>0</v>
          </cell>
          <cell r="T159">
            <v>0</v>
          </cell>
          <cell r="U159">
            <v>0</v>
          </cell>
          <cell r="V159">
            <v>0</v>
          </cell>
          <cell r="W159">
            <v>0</v>
          </cell>
          <cell r="X159">
            <v>0</v>
          </cell>
          <cell r="Y159">
            <v>0</v>
          </cell>
          <cell r="Z159">
            <v>24092.097248407641</v>
          </cell>
          <cell r="AA159">
            <v>16061.398165605096</v>
          </cell>
          <cell r="AB159">
            <v>0</v>
          </cell>
          <cell r="AC159">
            <v>479065.45515923569</v>
          </cell>
          <cell r="AD159">
            <v>319376.97010615718</v>
          </cell>
          <cell r="AE159">
            <v>0</v>
          </cell>
          <cell r="AF159">
            <v>0</v>
          </cell>
          <cell r="AG159">
            <v>0</v>
          </cell>
          <cell r="AH159">
            <v>0</v>
          </cell>
          <cell r="AI159">
            <v>0</v>
          </cell>
          <cell r="AJ159">
            <v>0</v>
          </cell>
          <cell r="AK159">
            <v>0</v>
          </cell>
          <cell r="AL159">
            <v>150568</v>
          </cell>
          <cell r="AM159">
            <v>98186</v>
          </cell>
          <cell r="AN159">
            <v>0</v>
          </cell>
          <cell r="AO159">
            <v>-1277476.54</v>
          </cell>
          <cell r="AP159">
            <v>-766487</v>
          </cell>
          <cell r="AQ159">
            <v>-510991</v>
          </cell>
          <cell r="AR159">
            <v>0</v>
          </cell>
          <cell r="AS159">
            <v>-2554954.54</v>
          </cell>
          <cell r="AT159">
            <v>-1124215</v>
          </cell>
          <cell r="AU159">
            <v>-674530</v>
          </cell>
          <cell r="AV159">
            <v>-449686</v>
          </cell>
          <cell r="AW159">
            <v>0</v>
          </cell>
          <cell r="AX159">
            <v>-2248431</v>
          </cell>
          <cell r="AY159">
            <v>47776577</v>
          </cell>
          <cell r="AZ159">
            <v>4589828</v>
          </cell>
          <cell r="BA159">
            <v>931424</v>
          </cell>
          <cell r="BB159">
            <v>5815240</v>
          </cell>
          <cell r="BC159">
            <v>0</v>
          </cell>
          <cell r="BD159">
            <v>0</v>
          </cell>
          <cell r="BE159">
            <v>0</v>
          </cell>
          <cell r="BF159">
            <v>1747094</v>
          </cell>
          <cell r="BG159">
            <v>253452</v>
          </cell>
          <cell r="BH159">
            <v>39940</v>
          </cell>
          <cell r="BI159">
            <v>0</v>
          </cell>
          <cell r="BJ159">
            <v>0</v>
          </cell>
          <cell r="BK159">
            <v>0</v>
          </cell>
          <cell r="BL159">
            <v>0</v>
          </cell>
          <cell r="BM159">
            <v>0</v>
          </cell>
          <cell r="BN159">
            <v>0</v>
          </cell>
          <cell r="BO159">
            <v>0</v>
          </cell>
          <cell r="BP159">
            <v>51461019</v>
          </cell>
          <cell r="BQ159">
            <v>482659</v>
          </cell>
          <cell r="BR159">
            <v>4580133</v>
          </cell>
          <cell r="BS159">
            <v>3677031</v>
          </cell>
        </row>
        <row r="160">
          <cell r="A160">
            <v>153</v>
          </cell>
          <cell r="B160" t="str">
            <v>Lichfield</v>
          </cell>
          <cell r="C160" t="str">
            <v>E3433</v>
          </cell>
          <cell r="D160">
            <v>124697</v>
          </cell>
          <cell r="G160">
            <v>67350</v>
          </cell>
          <cell r="H160">
            <v>0</v>
          </cell>
          <cell r="I160">
            <v>124697</v>
          </cell>
          <cell r="J160">
            <v>0</v>
          </cell>
          <cell r="K160">
            <v>0</v>
          </cell>
          <cell r="L160">
            <v>0</v>
          </cell>
          <cell r="M160">
            <v>0</v>
          </cell>
          <cell r="N160">
            <v>0</v>
          </cell>
          <cell r="O160">
            <v>0</v>
          </cell>
          <cell r="P160">
            <v>0</v>
          </cell>
          <cell r="Q160">
            <v>313108</v>
          </cell>
          <cell r="R160">
            <v>70449</v>
          </cell>
          <cell r="S160">
            <v>7828</v>
          </cell>
          <cell r="T160">
            <v>0</v>
          </cell>
          <cell r="U160">
            <v>0</v>
          </cell>
          <cell r="V160">
            <v>0</v>
          </cell>
          <cell r="W160">
            <v>0</v>
          </cell>
          <cell r="X160">
            <v>0</v>
          </cell>
          <cell r="Y160">
            <v>0</v>
          </cell>
          <cell r="Z160">
            <v>321881.91252653929</v>
          </cell>
          <cell r="AA160">
            <v>72423.430318471321</v>
          </cell>
          <cell r="AB160">
            <v>8047.0478131634827</v>
          </cell>
          <cell r="AC160">
            <v>217080.25477707005</v>
          </cell>
          <cell r="AD160">
            <v>48843.057324840753</v>
          </cell>
          <cell r="AE160">
            <v>5427.006369426751</v>
          </cell>
          <cell r="AF160">
            <v>0</v>
          </cell>
          <cell r="AG160">
            <v>0</v>
          </cell>
          <cell r="AH160">
            <v>0</v>
          </cell>
          <cell r="AI160">
            <v>0</v>
          </cell>
          <cell r="AJ160">
            <v>0</v>
          </cell>
          <cell r="AK160">
            <v>0</v>
          </cell>
          <cell r="AL160">
            <v>134191</v>
          </cell>
          <cell r="AM160">
            <v>29895</v>
          </cell>
          <cell r="AN160">
            <v>3322</v>
          </cell>
          <cell r="AO160">
            <v>-88527.6</v>
          </cell>
          <cell r="AP160">
            <v>-70823</v>
          </cell>
          <cell r="AQ160">
            <v>-15935</v>
          </cell>
          <cell r="AR160">
            <v>-1771</v>
          </cell>
          <cell r="AS160">
            <v>-177056.6</v>
          </cell>
          <cell r="AT160">
            <v>-802202</v>
          </cell>
          <cell r="AU160">
            <v>-641761</v>
          </cell>
          <cell r="AV160">
            <v>-144396</v>
          </cell>
          <cell r="AW160">
            <v>-16044</v>
          </cell>
          <cell r="AX160">
            <v>-1604403</v>
          </cell>
          <cell r="AY160">
            <v>30522592</v>
          </cell>
          <cell r="AZ160">
            <v>1548071.86</v>
          </cell>
          <cell r="BA160">
            <v>627144.26</v>
          </cell>
          <cell r="BB160">
            <v>984033.01</v>
          </cell>
          <cell r="BC160">
            <v>55143.46</v>
          </cell>
          <cell r="BD160">
            <v>6281.98</v>
          </cell>
          <cell r="BE160">
            <v>563101</v>
          </cell>
          <cell r="BF160">
            <v>1667039</v>
          </cell>
          <cell r="BG160">
            <v>31829</v>
          </cell>
          <cell r="BH160">
            <v>37278</v>
          </cell>
          <cell r="BI160">
            <v>0</v>
          </cell>
          <cell r="BJ160">
            <v>3768</v>
          </cell>
          <cell r="BK160">
            <v>0</v>
          </cell>
          <cell r="BL160">
            <v>0</v>
          </cell>
          <cell r="BM160">
            <v>0</v>
          </cell>
          <cell r="BN160">
            <v>0</v>
          </cell>
          <cell r="BO160">
            <v>0</v>
          </cell>
          <cell r="BP160">
            <v>32314860</v>
          </cell>
          <cell r="BQ160">
            <v>0</v>
          </cell>
          <cell r="BR160">
            <v>823640.58</v>
          </cell>
          <cell r="BS160">
            <v>703411.57</v>
          </cell>
        </row>
        <row r="161">
          <cell r="A161">
            <v>154</v>
          </cell>
          <cell r="B161" t="str">
            <v>Lincoln</v>
          </cell>
          <cell r="C161" t="str">
            <v>E2533</v>
          </cell>
          <cell r="D161">
            <v>150379</v>
          </cell>
          <cell r="G161">
            <v>-5083</v>
          </cell>
          <cell r="H161">
            <v>0</v>
          </cell>
          <cell r="I161">
            <v>150379</v>
          </cell>
          <cell r="J161">
            <v>0</v>
          </cell>
          <cell r="K161">
            <v>0</v>
          </cell>
          <cell r="L161">
            <v>0</v>
          </cell>
          <cell r="M161">
            <v>0</v>
          </cell>
          <cell r="N161">
            <v>0</v>
          </cell>
          <cell r="O161">
            <v>0</v>
          </cell>
          <cell r="P161">
            <v>0</v>
          </cell>
          <cell r="Q161">
            <v>356694</v>
          </cell>
          <cell r="R161">
            <v>89174</v>
          </cell>
          <cell r="S161">
            <v>0</v>
          </cell>
          <cell r="T161">
            <v>4042</v>
          </cell>
          <cell r="U161">
            <v>1011</v>
          </cell>
          <cell r="V161">
            <v>0</v>
          </cell>
          <cell r="W161">
            <v>36382</v>
          </cell>
          <cell r="X161">
            <v>9096</v>
          </cell>
          <cell r="Y161">
            <v>0</v>
          </cell>
          <cell r="Z161">
            <v>63062.420382165612</v>
          </cell>
          <cell r="AA161">
            <v>15765.605095541398</v>
          </cell>
          <cell r="AB161">
            <v>0</v>
          </cell>
          <cell r="AC161">
            <v>303184.71337579621</v>
          </cell>
          <cell r="AD161">
            <v>75796.178343949025</v>
          </cell>
          <cell r="AE161">
            <v>0</v>
          </cell>
          <cell r="AF161">
            <v>0</v>
          </cell>
          <cell r="AG161">
            <v>0</v>
          </cell>
          <cell r="AH161">
            <v>0</v>
          </cell>
          <cell r="AI161">
            <v>0</v>
          </cell>
          <cell r="AJ161">
            <v>0</v>
          </cell>
          <cell r="AK161">
            <v>0</v>
          </cell>
          <cell r="AL161">
            <v>175363</v>
          </cell>
          <cell r="AM161">
            <v>43442</v>
          </cell>
          <cell r="AN161">
            <v>0</v>
          </cell>
          <cell r="AO161">
            <v>-195748</v>
          </cell>
          <cell r="AP161">
            <v>-156599</v>
          </cell>
          <cell r="AQ161">
            <v>-39150</v>
          </cell>
          <cell r="AR161">
            <v>0</v>
          </cell>
          <cell r="AS161">
            <v>-391497</v>
          </cell>
          <cell r="AT161">
            <v>-1138739</v>
          </cell>
          <cell r="AU161">
            <v>-910990</v>
          </cell>
          <cell r="AV161">
            <v>-227747</v>
          </cell>
          <cell r="AW161">
            <v>0</v>
          </cell>
          <cell r="AX161">
            <v>-2277476</v>
          </cell>
          <cell r="AY161">
            <v>37960647</v>
          </cell>
          <cell r="AZ161">
            <v>1760897</v>
          </cell>
          <cell r="BA161">
            <v>809151</v>
          </cell>
          <cell r="BB161">
            <v>3644057</v>
          </cell>
          <cell r="BC161">
            <v>74739</v>
          </cell>
          <cell r="BD161">
            <v>0</v>
          </cell>
          <cell r="BE161">
            <v>1904</v>
          </cell>
          <cell r="BF161">
            <v>1529310</v>
          </cell>
          <cell r="BG161">
            <v>33525</v>
          </cell>
          <cell r="BH161">
            <v>289</v>
          </cell>
          <cell r="BI161">
            <v>3631</v>
          </cell>
          <cell r="BJ161">
            <v>0</v>
          </cell>
          <cell r="BK161">
            <v>0</v>
          </cell>
          <cell r="BL161">
            <v>0</v>
          </cell>
          <cell r="BM161">
            <v>0</v>
          </cell>
          <cell r="BN161">
            <v>0</v>
          </cell>
          <cell r="BO161">
            <v>0</v>
          </cell>
          <cell r="BP161">
            <v>40938983</v>
          </cell>
          <cell r="BQ161">
            <v>215431</v>
          </cell>
          <cell r="BR161">
            <v>988035</v>
          </cell>
          <cell r="BS161">
            <v>960880</v>
          </cell>
        </row>
        <row r="162">
          <cell r="A162">
            <v>155</v>
          </cell>
          <cell r="B162" t="str">
            <v>Liverpool</v>
          </cell>
          <cell r="C162" t="str">
            <v>E4302</v>
          </cell>
          <cell r="D162">
            <v>768610</v>
          </cell>
          <cell r="E162">
            <v>3594668</v>
          </cell>
          <cell r="F162">
            <v>30797953</v>
          </cell>
          <cell r="G162">
            <v>123047</v>
          </cell>
          <cell r="H162">
            <v>47968</v>
          </cell>
          <cell r="I162">
            <v>768610</v>
          </cell>
          <cell r="J162">
            <v>0</v>
          </cell>
          <cell r="K162">
            <v>0</v>
          </cell>
          <cell r="L162">
            <v>0</v>
          </cell>
          <cell r="M162">
            <v>0</v>
          </cell>
          <cell r="N162">
            <v>0</v>
          </cell>
          <cell r="O162">
            <v>0</v>
          </cell>
          <cell r="P162">
            <v>0</v>
          </cell>
          <cell r="Q162">
            <v>1816863</v>
          </cell>
          <cell r="R162">
            <v>0</v>
          </cell>
          <cell r="S162">
            <v>37079</v>
          </cell>
          <cell r="T162">
            <v>191249</v>
          </cell>
          <cell r="U162">
            <v>0</v>
          </cell>
          <cell r="V162">
            <v>3903</v>
          </cell>
          <cell r="W162">
            <v>198081</v>
          </cell>
          <cell r="X162">
            <v>0</v>
          </cell>
          <cell r="Y162">
            <v>4042</v>
          </cell>
          <cell r="Z162">
            <v>36808.837452229302</v>
          </cell>
          <cell r="AA162">
            <v>6.515628005285356E-13</v>
          </cell>
          <cell r="AB162">
            <v>751.20076433121028</v>
          </cell>
          <cell r="AC162">
            <v>1139804.7590658173</v>
          </cell>
          <cell r="AD162">
            <v>2.0175980342668998E-11</v>
          </cell>
          <cell r="AE162">
            <v>23261.321613588108</v>
          </cell>
          <cell r="AF162">
            <v>0</v>
          </cell>
          <cell r="AG162">
            <v>0</v>
          </cell>
          <cell r="AH162">
            <v>0</v>
          </cell>
          <cell r="AI162">
            <v>0</v>
          </cell>
          <cell r="AJ162">
            <v>0</v>
          </cell>
          <cell r="AK162">
            <v>0</v>
          </cell>
          <cell r="AL162">
            <v>1000940</v>
          </cell>
          <cell r="AM162">
            <v>0</v>
          </cell>
          <cell r="AN162">
            <v>20261</v>
          </cell>
          <cell r="AO162">
            <v>-24832146</v>
          </cell>
          <cell r="AP162">
            <v>-24304843</v>
          </cell>
          <cell r="AQ162">
            <v>0</v>
          </cell>
          <cell r="AR162">
            <v>-464731</v>
          </cell>
          <cell r="AS162">
            <v>-49601720</v>
          </cell>
          <cell r="AT162">
            <v>-7582755</v>
          </cell>
          <cell r="AU162">
            <v>-7431099</v>
          </cell>
          <cell r="AV162">
            <v>0</v>
          </cell>
          <cell r="AW162">
            <v>-151655</v>
          </cell>
          <cell r="AX162">
            <v>-15165509</v>
          </cell>
          <cell r="AY162">
            <v>169830209</v>
          </cell>
          <cell r="AZ162">
            <v>7723487</v>
          </cell>
          <cell r="BA162">
            <v>4164919</v>
          </cell>
          <cell r="BB162">
            <v>15598589</v>
          </cell>
          <cell r="BC162">
            <v>0</v>
          </cell>
          <cell r="BD162">
            <v>0</v>
          </cell>
          <cell r="BE162">
            <v>73873</v>
          </cell>
          <cell r="BF162">
            <v>20322624</v>
          </cell>
          <cell r="BG162">
            <v>37596</v>
          </cell>
          <cell r="BH162">
            <v>99452.5</v>
          </cell>
          <cell r="BI162">
            <v>0</v>
          </cell>
          <cell r="BJ162">
            <v>0</v>
          </cell>
          <cell r="BK162">
            <v>0</v>
          </cell>
          <cell r="BL162">
            <v>0</v>
          </cell>
          <cell r="BM162">
            <v>0</v>
          </cell>
          <cell r="BN162">
            <v>0</v>
          </cell>
          <cell r="BO162">
            <v>0</v>
          </cell>
          <cell r="BP162">
            <v>191105450</v>
          </cell>
          <cell r="BQ162">
            <v>28857</v>
          </cell>
          <cell r="BR162">
            <v>63249820</v>
          </cell>
          <cell r="BS162">
            <v>11088641</v>
          </cell>
        </row>
        <row r="163">
          <cell r="A163">
            <v>156</v>
          </cell>
          <cell r="B163" t="str">
            <v>Luton</v>
          </cell>
          <cell r="C163" t="str">
            <v>E0201</v>
          </cell>
          <cell r="D163">
            <v>259109</v>
          </cell>
          <cell r="G163">
            <v>-207724</v>
          </cell>
          <cell r="H163">
            <v>0</v>
          </cell>
          <cell r="I163">
            <v>259109</v>
          </cell>
          <cell r="J163">
            <v>0</v>
          </cell>
          <cell r="K163">
            <v>0</v>
          </cell>
          <cell r="L163">
            <v>0</v>
          </cell>
          <cell r="M163">
            <v>0</v>
          </cell>
          <cell r="N163">
            <v>0</v>
          </cell>
          <cell r="O163">
            <v>0</v>
          </cell>
          <cell r="P163">
            <v>0</v>
          </cell>
          <cell r="Q163">
            <v>631919</v>
          </cell>
          <cell r="R163">
            <v>0</v>
          </cell>
          <cell r="S163">
            <v>12896</v>
          </cell>
          <cell r="T163">
            <v>0</v>
          </cell>
          <cell r="U163">
            <v>0</v>
          </cell>
          <cell r="V163">
            <v>0</v>
          </cell>
          <cell r="W163">
            <v>0</v>
          </cell>
          <cell r="X163">
            <v>0</v>
          </cell>
          <cell r="Y163">
            <v>0</v>
          </cell>
          <cell r="Z163">
            <v>14938.254437367304</v>
          </cell>
          <cell r="AA163">
            <v>2.6442592512873239E-13</v>
          </cell>
          <cell r="AB163">
            <v>304.86233545647559</v>
          </cell>
          <cell r="AC163">
            <v>509793.71782760078</v>
          </cell>
          <cell r="AD163">
            <v>9.0239911247044405E-12</v>
          </cell>
          <cell r="AE163">
            <v>10403.953425053078</v>
          </cell>
          <cell r="AF163">
            <v>0</v>
          </cell>
          <cell r="AG163">
            <v>0</v>
          </cell>
          <cell r="AH163">
            <v>0</v>
          </cell>
          <cell r="AI163">
            <v>0</v>
          </cell>
          <cell r="AJ163">
            <v>0</v>
          </cell>
          <cell r="AK163">
            <v>0</v>
          </cell>
          <cell r="AL163">
            <v>315116</v>
          </cell>
          <cell r="AM163">
            <v>0</v>
          </cell>
          <cell r="AN163">
            <v>6375</v>
          </cell>
          <cell r="AO163">
            <v>235500</v>
          </cell>
          <cell r="AP163">
            <v>230790</v>
          </cell>
          <cell r="AQ163">
            <v>0</v>
          </cell>
          <cell r="AR163">
            <v>4710</v>
          </cell>
          <cell r="AS163">
            <v>471000</v>
          </cell>
          <cell r="AT163">
            <v>-1934382.89</v>
          </cell>
          <cell r="AU163">
            <v>-1895695</v>
          </cell>
          <cell r="AV163">
            <v>0</v>
          </cell>
          <cell r="AW163">
            <v>-38688</v>
          </cell>
          <cell r="AX163">
            <v>-3868765.89</v>
          </cell>
          <cell r="AY163">
            <v>62254417</v>
          </cell>
          <cell r="AZ163">
            <v>2602700.2599999998</v>
          </cell>
          <cell r="BA163">
            <v>1349644.42</v>
          </cell>
          <cell r="BB163">
            <v>4721405.8</v>
          </cell>
          <cell r="BC163">
            <v>39234.69</v>
          </cell>
          <cell r="BD163">
            <v>0</v>
          </cell>
          <cell r="BE163">
            <v>54929.89</v>
          </cell>
          <cell r="BF163">
            <v>2753992.99</v>
          </cell>
          <cell r="BG163">
            <v>127884.32</v>
          </cell>
          <cell r="BH163">
            <v>62981.54</v>
          </cell>
          <cell r="BI163">
            <v>0</v>
          </cell>
          <cell r="BJ163">
            <v>0</v>
          </cell>
          <cell r="BK163">
            <v>0</v>
          </cell>
          <cell r="BL163">
            <v>394.29</v>
          </cell>
          <cell r="BM163">
            <v>394.29</v>
          </cell>
          <cell r="BN163">
            <v>0</v>
          </cell>
          <cell r="BO163">
            <v>0</v>
          </cell>
          <cell r="BP163">
            <v>68709095.400000006</v>
          </cell>
          <cell r="BQ163">
            <v>3464523.33</v>
          </cell>
          <cell r="BR163">
            <v>10091918.5</v>
          </cell>
          <cell r="BS163">
            <v>1663950.99</v>
          </cell>
        </row>
        <row r="164">
          <cell r="A164">
            <v>157</v>
          </cell>
          <cell r="B164" t="str">
            <v>Maidstone</v>
          </cell>
          <cell r="C164" t="str">
            <v>E2237</v>
          </cell>
          <cell r="D164">
            <v>208056</v>
          </cell>
          <cell r="G164">
            <v>-20373</v>
          </cell>
          <cell r="H164">
            <v>0</v>
          </cell>
          <cell r="I164">
            <v>208056</v>
          </cell>
          <cell r="J164">
            <v>0</v>
          </cell>
          <cell r="K164">
            <v>0</v>
          </cell>
          <cell r="L164">
            <v>0</v>
          </cell>
          <cell r="M164">
            <v>0</v>
          </cell>
          <cell r="N164">
            <v>0</v>
          </cell>
          <cell r="O164">
            <v>0</v>
          </cell>
          <cell r="P164">
            <v>0</v>
          </cell>
          <cell r="Q164">
            <v>626794</v>
          </cell>
          <cell r="R164">
            <v>141029</v>
          </cell>
          <cell r="S164">
            <v>15670</v>
          </cell>
          <cell r="T164">
            <v>40575</v>
          </cell>
          <cell r="U164">
            <v>9129</v>
          </cell>
          <cell r="V164">
            <v>1014</v>
          </cell>
          <cell r="W164">
            <v>3638</v>
          </cell>
          <cell r="X164">
            <v>819</v>
          </cell>
          <cell r="Y164">
            <v>91</v>
          </cell>
          <cell r="Z164">
            <v>67735.103184713385</v>
          </cell>
          <cell r="AA164">
            <v>15240.398216560507</v>
          </cell>
          <cell r="AB164">
            <v>1693.3775796178345</v>
          </cell>
          <cell r="AC164">
            <v>217727.04883227177</v>
          </cell>
          <cell r="AD164">
            <v>48988.58598726114</v>
          </cell>
          <cell r="AE164">
            <v>5443.1762208067939</v>
          </cell>
          <cell r="AF164">
            <v>0</v>
          </cell>
          <cell r="AG164">
            <v>0</v>
          </cell>
          <cell r="AH164">
            <v>0</v>
          </cell>
          <cell r="AI164">
            <v>12708</v>
          </cell>
          <cell r="AJ164">
            <v>2859.3314999999993</v>
          </cell>
          <cell r="AK164">
            <v>317.70350000000002</v>
          </cell>
          <cell r="AL164">
            <v>237628</v>
          </cell>
          <cell r="AM164">
            <v>52969</v>
          </cell>
          <cell r="AN164">
            <v>5885</v>
          </cell>
          <cell r="AO164">
            <v>-775040</v>
          </cell>
          <cell r="AP164">
            <v>-620032</v>
          </cell>
          <cell r="AQ164">
            <v>-139507</v>
          </cell>
          <cell r="AR164">
            <v>-15501</v>
          </cell>
          <cell r="AS164">
            <v>-1550080</v>
          </cell>
          <cell r="AT164">
            <v>-1438920</v>
          </cell>
          <cell r="AU164">
            <v>-1151136</v>
          </cell>
          <cell r="AV164">
            <v>-259005</v>
          </cell>
          <cell r="AW164">
            <v>-28779</v>
          </cell>
          <cell r="AX164">
            <v>-2877840</v>
          </cell>
          <cell r="AY164">
            <v>53091238</v>
          </cell>
          <cell r="AZ164">
            <v>2193901.12</v>
          </cell>
          <cell r="BA164">
            <v>1107025.8799999999</v>
          </cell>
          <cell r="BB164">
            <v>3626717.26</v>
          </cell>
          <cell r="BC164">
            <v>86911.58</v>
          </cell>
          <cell r="BD164">
            <v>5304.63</v>
          </cell>
          <cell r="BE164">
            <v>46986.239999999998</v>
          </cell>
          <cell r="BF164">
            <v>2692269.8</v>
          </cell>
          <cell r="BG164">
            <v>114039</v>
          </cell>
          <cell r="BH164">
            <v>8748.1</v>
          </cell>
          <cell r="BI164">
            <v>4316</v>
          </cell>
          <cell r="BJ164">
            <v>3285.22</v>
          </cell>
          <cell r="BK164">
            <v>0</v>
          </cell>
          <cell r="BL164">
            <v>0</v>
          </cell>
          <cell r="BM164">
            <v>0</v>
          </cell>
          <cell r="BN164">
            <v>0</v>
          </cell>
          <cell r="BO164">
            <v>0</v>
          </cell>
          <cell r="BP164">
            <v>56190623</v>
          </cell>
          <cell r="BQ164">
            <v>467896</v>
          </cell>
          <cell r="BR164">
            <v>2956398</v>
          </cell>
          <cell r="BS164">
            <v>601870</v>
          </cell>
        </row>
        <row r="165">
          <cell r="A165">
            <v>158</v>
          </cell>
          <cell r="B165" t="str">
            <v>Maldon</v>
          </cell>
          <cell r="C165" t="str">
            <v>E1539</v>
          </cell>
          <cell r="D165">
            <v>92245</v>
          </cell>
          <cell r="G165">
            <v>28187</v>
          </cell>
          <cell r="H165">
            <v>0</v>
          </cell>
          <cell r="I165">
            <v>92245</v>
          </cell>
          <cell r="J165">
            <v>0</v>
          </cell>
          <cell r="K165">
            <v>399920</v>
          </cell>
          <cell r="L165">
            <v>0</v>
          </cell>
          <cell r="M165">
            <v>0</v>
          </cell>
          <cell r="N165">
            <v>0</v>
          </cell>
          <cell r="O165">
            <v>0</v>
          </cell>
          <cell r="P165">
            <v>0</v>
          </cell>
          <cell r="Q165">
            <v>341959</v>
          </cell>
          <cell r="R165">
            <v>76941</v>
          </cell>
          <cell r="S165">
            <v>8549</v>
          </cell>
          <cell r="T165">
            <v>6064</v>
          </cell>
          <cell r="U165">
            <v>1364</v>
          </cell>
          <cell r="V165">
            <v>152</v>
          </cell>
          <cell r="W165">
            <v>0</v>
          </cell>
          <cell r="X165">
            <v>0</v>
          </cell>
          <cell r="Y165">
            <v>0</v>
          </cell>
          <cell r="Z165">
            <v>2085.6440254777071</v>
          </cell>
          <cell r="AA165">
            <v>469.26990573248401</v>
          </cell>
          <cell r="AB165">
            <v>52.141100636942674</v>
          </cell>
          <cell r="AC165">
            <v>127349.95359660297</v>
          </cell>
          <cell r="AD165">
            <v>28653.739559235662</v>
          </cell>
          <cell r="AE165">
            <v>3183.7488399150743</v>
          </cell>
          <cell r="AF165">
            <v>0</v>
          </cell>
          <cell r="AG165">
            <v>0</v>
          </cell>
          <cell r="AH165">
            <v>0</v>
          </cell>
          <cell r="AI165">
            <v>0</v>
          </cell>
          <cell r="AJ165">
            <v>0</v>
          </cell>
          <cell r="AK165">
            <v>0</v>
          </cell>
          <cell r="AL165">
            <v>60703</v>
          </cell>
          <cell r="AM165">
            <v>12483</v>
          </cell>
          <cell r="AN165">
            <v>1387</v>
          </cell>
          <cell r="AO165">
            <v>34940</v>
          </cell>
          <cell r="AP165">
            <v>27952</v>
          </cell>
          <cell r="AQ165">
            <v>6289</v>
          </cell>
          <cell r="AR165">
            <v>699</v>
          </cell>
          <cell r="AS165">
            <v>69880</v>
          </cell>
          <cell r="AT165">
            <v>-135254</v>
          </cell>
          <cell r="AU165">
            <v>-108203</v>
          </cell>
          <cell r="AV165">
            <v>-24345</v>
          </cell>
          <cell r="AW165">
            <v>-2705</v>
          </cell>
          <cell r="AX165">
            <v>-270507</v>
          </cell>
          <cell r="AY165">
            <v>12939667</v>
          </cell>
          <cell r="AZ165">
            <v>1697274.46</v>
          </cell>
          <cell r="BA165">
            <v>226263</v>
          </cell>
          <cell r="BB165">
            <v>759122.27</v>
          </cell>
          <cell r="BC165">
            <v>24241.86</v>
          </cell>
          <cell r="BD165">
            <v>14879.18</v>
          </cell>
          <cell r="BE165">
            <v>0</v>
          </cell>
          <cell r="BF165">
            <v>408424.17</v>
          </cell>
          <cell r="BG165">
            <v>33518.69</v>
          </cell>
          <cell r="BH165">
            <v>12946.64</v>
          </cell>
          <cell r="BI165">
            <v>165.9</v>
          </cell>
          <cell r="BJ165">
            <v>818.62</v>
          </cell>
          <cell r="BK165">
            <v>0</v>
          </cell>
          <cell r="BL165">
            <v>0</v>
          </cell>
          <cell r="BM165">
            <v>0</v>
          </cell>
          <cell r="BN165">
            <v>0</v>
          </cell>
          <cell r="BO165">
            <v>0</v>
          </cell>
          <cell r="BP165">
            <v>13340097</v>
          </cell>
          <cell r="BQ165">
            <v>0</v>
          </cell>
          <cell r="BR165">
            <v>601399</v>
          </cell>
          <cell r="BS165">
            <v>297608.19</v>
          </cell>
        </row>
        <row r="166">
          <cell r="A166">
            <v>159</v>
          </cell>
          <cell r="B166" t="str">
            <v>Malvern Hills</v>
          </cell>
          <cell r="C166" t="str">
            <v>E1851</v>
          </cell>
          <cell r="D166">
            <v>107874</v>
          </cell>
          <cell r="G166">
            <v>47439</v>
          </cell>
          <cell r="H166">
            <v>0</v>
          </cell>
          <cell r="I166">
            <v>107874</v>
          </cell>
          <cell r="J166">
            <v>0</v>
          </cell>
          <cell r="K166">
            <v>0</v>
          </cell>
          <cell r="L166">
            <v>0</v>
          </cell>
          <cell r="M166">
            <v>0</v>
          </cell>
          <cell r="N166">
            <v>0</v>
          </cell>
          <cell r="O166">
            <v>0</v>
          </cell>
          <cell r="P166">
            <v>0</v>
          </cell>
          <cell r="Q166">
            <v>384699</v>
          </cell>
          <cell r="R166">
            <v>86558</v>
          </cell>
          <cell r="S166">
            <v>9618</v>
          </cell>
          <cell r="T166">
            <v>0</v>
          </cell>
          <cell r="U166">
            <v>0</v>
          </cell>
          <cell r="V166">
            <v>0</v>
          </cell>
          <cell r="W166">
            <v>0</v>
          </cell>
          <cell r="X166">
            <v>0</v>
          </cell>
          <cell r="Y166">
            <v>0</v>
          </cell>
          <cell r="Z166">
            <v>1726.5358811040342</v>
          </cell>
          <cell r="AA166">
            <v>388.47057324840756</v>
          </cell>
          <cell r="AB166">
            <v>43.163397027600851</v>
          </cell>
          <cell r="AC166">
            <v>134080.40764331209</v>
          </cell>
          <cell r="AD166">
            <v>30168.091719745218</v>
          </cell>
          <cell r="AE166">
            <v>3352.0101910828025</v>
          </cell>
          <cell r="AF166">
            <v>13865</v>
          </cell>
          <cell r="AG166">
            <v>0</v>
          </cell>
          <cell r="AH166">
            <v>0</v>
          </cell>
          <cell r="AI166">
            <v>10193</v>
          </cell>
          <cell r="AJ166">
            <v>2293.4699999999993</v>
          </cell>
          <cell r="AK166">
            <v>254.83</v>
          </cell>
          <cell r="AL166">
            <v>65240</v>
          </cell>
          <cell r="AM166">
            <v>14421</v>
          </cell>
          <cell r="AN166">
            <v>1602</v>
          </cell>
          <cell r="AO166">
            <v>0</v>
          </cell>
          <cell r="AP166">
            <v>0</v>
          </cell>
          <cell r="AQ166">
            <v>0</v>
          </cell>
          <cell r="AR166">
            <v>0</v>
          </cell>
          <cell r="AS166">
            <v>0</v>
          </cell>
          <cell r="AT166">
            <v>-300265</v>
          </cell>
          <cell r="AU166">
            <v>-240213</v>
          </cell>
          <cell r="AV166">
            <v>-54048</v>
          </cell>
          <cell r="AW166">
            <v>-6005</v>
          </cell>
          <cell r="AX166">
            <v>-600531</v>
          </cell>
          <cell r="AY166">
            <v>13799418</v>
          </cell>
          <cell r="AZ166">
            <v>1884369</v>
          </cell>
          <cell r="BA166">
            <v>281728</v>
          </cell>
          <cell r="BB166">
            <v>1617731</v>
          </cell>
          <cell r="BC166">
            <v>41373</v>
          </cell>
          <cell r="BD166">
            <v>56743</v>
          </cell>
          <cell r="BE166">
            <v>17753</v>
          </cell>
          <cell r="BF166">
            <v>365241</v>
          </cell>
          <cell r="BG166">
            <v>89597</v>
          </cell>
          <cell r="BH166">
            <v>54723</v>
          </cell>
          <cell r="BI166">
            <v>10256</v>
          </cell>
          <cell r="BJ166">
            <v>34707</v>
          </cell>
          <cell r="BK166">
            <v>30827</v>
          </cell>
          <cell r="BL166">
            <v>0</v>
          </cell>
          <cell r="BM166">
            <v>0</v>
          </cell>
          <cell r="BN166">
            <v>0</v>
          </cell>
          <cell r="BO166">
            <v>0</v>
          </cell>
          <cell r="BP166">
            <v>14624439</v>
          </cell>
          <cell r="BQ166">
            <v>96384</v>
          </cell>
          <cell r="BR166">
            <v>326329</v>
          </cell>
          <cell r="BS166">
            <v>138352</v>
          </cell>
        </row>
        <row r="167">
          <cell r="A167">
            <v>160</v>
          </cell>
          <cell r="B167" t="str">
            <v>Manchester</v>
          </cell>
          <cell r="C167" t="str">
            <v>E4203</v>
          </cell>
          <cell r="D167">
            <v>1109516</v>
          </cell>
          <cell r="E167">
            <v>5922128</v>
          </cell>
          <cell r="G167">
            <v>467453</v>
          </cell>
          <cell r="H167">
            <v>233</v>
          </cell>
          <cell r="I167">
            <v>1109516</v>
          </cell>
          <cell r="J167">
            <v>0</v>
          </cell>
          <cell r="K167">
            <v>0</v>
          </cell>
          <cell r="L167">
            <v>0</v>
          </cell>
          <cell r="M167">
            <v>0</v>
          </cell>
          <cell r="N167">
            <v>0</v>
          </cell>
          <cell r="O167">
            <v>0</v>
          </cell>
          <cell r="P167">
            <v>0</v>
          </cell>
          <cell r="Q167">
            <v>2256268</v>
          </cell>
          <cell r="R167">
            <v>0</v>
          </cell>
          <cell r="S167">
            <v>46046</v>
          </cell>
          <cell r="T167">
            <v>0</v>
          </cell>
          <cell r="U167">
            <v>0</v>
          </cell>
          <cell r="V167">
            <v>0</v>
          </cell>
          <cell r="W167">
            <v>0</v>
          </cell>
          <cell r="X167">
            <v>0</v>
          </cell>
          <cell r="Y167">
            <v>0</v>
          </cell>
          <cell r="Z167">
            <v>0</v>
          </cell>
          <cell r="AA167">
            <v>0</v>
          </cell>
          <cell r="AB167">
            <v>0</v>
          </cell>
          <cell r="AC167">
            <v>1629017.9834394904</v>
          </cell>
          <cell r="AD167">
            <v>2.8835670802662057E-11</v>
          </cell>
          <cell r="AE167">
            <v>33245.264968152864</v>
          </cell>
          <cell r="AF167">
            <v>0</v>
          </cell>
          <cell r="AG167">
            <v>0</v>
          </cell>
          <cell r="AH167">
            <v>0</v>
          </cell>
          <cell r="AI167">
            <v>0</v>
          </cell>
          <cell r="AJ167">
            <v>0</v>
          </cell>
          <cell r="AK167">
            <v>0</v>
          </cell>
          <cell r="AL167">
            <v>1623935</v>
          </cell>
          <cell r="AM167">
            <v>0</v>
          </cell>
          <cell r="AN167">
            <v>32901</v>
          </cell>
          <cell r="AO167">
            <v>610872</v>
          </cell>
          <cell r="AP167">
            <v>598654</v>
          </cell>
          <cell r="AQ167">
            <v>0</v>
          </cell>
          <cell r="AR167">
            <v>12217</v>
          </cell>
          <cell r="AS167">
            <v>1221743</v>
          </cell>
          <cell r="AT167">
            <v>-55757721</v>
          </cell>
          <cell r="AU167">
            <v>-54642566</v>
          </cell>
          <cell r="AV167">
            <v>0</v>
          </cell>
          <cell r="AW167">
            <v>-1115155</v>
          </cell>
          <cell r="AX167">
            <v>-111515442</v>
          </cell>
          <cell r="AY167">
            <v>198700242</v>
          </cell>
          <cell r="AZ167">
            <v>9051773</v>
          </cell>
          <cell r="BA167">
            <v>6974180</v>
          </cell>
          <cell r="BB167">
            <v>23955626</v>
          </cell>
          <cell r="BC167">
            <v>105496</v>
          </cell>
          <cell r="BD167">
            <v>0</v>
          </cell>
          <cell r="BE167">
            <v>26228</v>
          </cell>
          <cell r="BF167">
            <v>31173431</v>
          </cell>
          <cell r="BG167">
            <v>703349</v>
          </cell>
          <cell r="BH167">
            <v>543914</v>
          </cell>
          <cell r="BI167">
            <v>0</v>
          </cell>
          <cell r="BJ167">
            <v>0</v>
          </cell>
          <cell r="BK167">
            <v>0</v>
          </cell>
          <cell r="BL167">
            <v>303999</v>
          </cell>
          <cell r="BM167">
            <v>303999</v>
          </cell>
          <cell r="BN167">
            <v>302645</v>
          </cell>
          <cell r="BO167">
            <v>0</v>
          </cell>
          <cell r="BP167">
            <v>318763055</v>
          </cell>
          <cell r="BQ167">
            <v>4946462</v>
          </cell>
          <cell r="BR167">
            <v>18471889</v>
          </cell>
          <cell r="BS167">
            <v>9293126</v>
          </cell>
        </row>
        <row r="168">
          <cell r="A168">
            <v>161</v>
          </cell>
          <cell r="B168" t="str">
            <v>Mansfield</v>
          </cell>
          <cell r="C168" t="str">
            <v>E3035</v>
          </cell>
          <cell r="D168">
            <v>128485</v>
          </cell>
          <cell r="G168">
            <v>-18723</v>
          </cell>
          <cell r="H168">
            <v>0</v>
          </cell>
          <cell r="I168">
            <v>128485</v>
          </cell>
          <cell r="J168">
            <v>0</v>
          </cell>
          <cell r="K168">
            <v>0</v>
          </cell>
          <cell r="L168">
            <v>0</v>
          </cell>
          <cell r="M168">
            <v>0</v>
          </cell>
          <cell r="N168">
            <v>0</v>
          </cell>
          <cell r="O168">
            <v>0</v>
          </cell>
          <cell r="P168">
            <v>0</v>
          </cell>
          <cell r="Q168">
            <v>324847</v>
          </cell>
          <cell r="R168">
            <v>73091</v>
          </cell>
          <cell r="S168">
            <v>8121</v>
          </cell>
          <cell r="T168">
            <v>0</v>
          </cell>
          <cell r="U168">
            <v>0</v>
          </cell>
          <cell r="V168">
            <v>0</v>
          </cell>
          <cell r="W168">
            <v>20212</v>
          </cell>
          <cell r="X168">
            <v>4548</v>
          </cell>
          <cell r="Y168">
            <v>505</v>
          </cell>
          <cell r="Z168">
            <v>0</v>
          </cell>
          <cell r="AA168">
            <v>0</v>
          </cell>
          <cell r="AB168">
            <v>0</v>
          </cell>
          <cell r="AC168">
            <v>184740.55201698514</v>
          </cell>
          <cell r="AD168">
            <v>41566.624203821651</v>
          </cell>
          <cell r="AE168">
            <v>4618.5138004246282</v>
          </cell>
          <cell r="AF168">
            <v>0</v>
          </cell>
          <cell r="AG168">
            <v>0</v>
          </cell>
          <cell r="AH168">
            <v>0</v>
          </cell>
          <cell r="AI168">
            <v>0</v>
          </cell>
          <cell r="AJ168">
            <v>0</v>
          </cell>
          <cell r="AK168">
            <v>0</v>
          </cell>
          <cell r="AL168">
            <v>123245</v>
          </cell>
          <cell r="AM168">
            <v>27423</v>
          </cell>
          <cell r="AN168">
            <v>3047</v>
          </cell>
          <cell r="AO168">
            <v>-321586</v>
          </cell>
          <cell r="AP168">
            <v>-257268</v>
          </cell>
          <cell r="AQ168">
            <v>-57885</v>
          </cell>
          <cell r="AR168">
            <v>-6431</v>
          </cell>
          <cell r="AS168">
            <v>-643170</v>
          </cell>
          <cell r="AT168">
            <v>-685293</v>
          </cell>
          <cell r="AU168">
            <v>-548236</v>
          </cell>
          <cell r="AV168">
            <v>-123353</v>
          </cell>
          <cell r="AW168">
            <v>-13706</v>
          </cell>
          <cell r="AX168">
            <v>-1370588</v>
          </cell>
          <cell r="AY168">
            <v>26364177</v>
          </cell>
          <cell r="AZ168">
            <v>1606596</v>
          </cell>
          <cell r="BA168">
            <v>554595</v>
          </cell>
          <cell r="BB168">
            <v>1881539</v>
          </cell>
          <cell r="BC168">
            <v>15072</v>
          </cell>
          <cell r="BD168">
            <v>0</v>
          </cell>
          <cell r="BE168">
            <v>17685</v>
          </cell>
          <cell r="BF168">
            <v>1130181</v>
          </cell>
          <cell r="BG168">
            <v>7710</v>
          </cell>
          <cell r="BH168">
            <v>83591</v>
          </cell>
          <cell r="BI168">
            <v>0</v>
          </cell>
          <cell r="BJ168">
            <v>0</v>
          </cell>
          <cell r="BK168">
            <v>0</v>
          </cell>
          <cell r="BL168">
            <v>0</v>
          </cell>
          <cell r="BM168">
            <v>0</v>
          </cell>
          <cell r="BN168">
            <v>0</v>
          </cell>
          <cell r="BO168">
            <v>0</v>
          </cell>
          <cell r="BP168">
            <v>28335096</v>
          </cell>
          <cell r="BQ168">
            <v>481957</v>
          </cell>
          <cell r="BR168">
            <v>625822</v>
          </cell>
          <cell r="BS168">
            <v>40313</v>
          </cell>
        </row>
        <row r="169">
          <cell r="A169">
            <v>162</v>
          </cell>
          <cell r="B169" t="str">
            <v>Medway</v>
          </cell>
          <cell r="C169" t="str">
            <v>E2201</v>
          </cell>
          <cell r="D169">
            <v>288985</v>
          </cell>
          <cell r="G169">
            <v>1013065</v>
          </cell>
          <cell r="H169">
            <v>0</v>
          </cell>
          <cell r="I169">
            <v>288985</v>
          </cell>
          <cell r="J169">
            <v>0</v>
          </cell>
          <cell r="K169">
            <v>0</v>
          </cell>
          <cell r="L169">
            <v>0</v>
          </cell>
          <cell r="M169">
            <v>0</v>
          </cell>
          <cell r="N169">
            <v>0</v>
          </cell>
          <cell r="O169">
            <v>0</v>
          </cell>
          <cell r="P169">
            <v>0</v>
          </cell>
          <cell r="Q169">
            <v>897882</v>
          </cell>
          <cell r="R169">
            <v>0</v>
          </cell>
          <cell r="S169">
            <v>18324</v>
          </cell>
          <cell r="T169">
            <v>0</v>
          </cell>
          <cell r="U169">
            <v>0</v>
          </cell>
          <cell r="V169">
            <v>0</v>
          </cell>
          <cell r="W169">
            <v>0</v>
          </cell>
          <cell r="X169">
            <v>0</v>
          </cell>
          <cell r="Y169">
            <v>0</v>
          </cell>
          <cell r="Z169">
            <v>315544.00789808918</v>
          </cell>
          <cell r="AA169">
            <v>5.5855265122921054E-12</v>
          </cell>
          <cell r="AB169">
            <v>6439.6736305732493</v>
          </cell>
          <cell r="AC169">
            <v>511246.23354564753</v>
          </cell>
          <cell r="AD169">
            <v>9.0497024830240436E-12</v>
          </cell>
          <cell r="AE169">
            <v>10433.596602972399</v>
          </cell>
          <cell r="AF169">
            <v>0</v>
          </cell>
          <cell r="AG169">
            <v>0</v>
          </cell>
          <cell r="AH169">
            <v>0</v>
          </cell>
          <cell r="AI169">
            <v>0</v>
          </cell>
          <cell r="AJ169">
            <v>0</v>
          </cell>
          <cell r="AK169">
            <v>0</v>
          </cell>
          <cell r="AL169">
            <v>450338</v>
          </cell>
          <cell r="AM169">
            <v>0</v>
          </cell>
          <cell r="AN169">
            <v>9128</v>
          </cell>
          <cell r="AO169">
            <v>-1266470</v>
          </cell>
          <cell r="AP169">
            <v>-1241142</v>
          </cell>
          <cell r="AQ169">
            <v>0</v>
          </cell>
          <cell r="AR169">
            <v>-25330</v>
          </cell>
          <cell r="AS169">
            <v>-2532942</v>
          </cell>
          <cell r="AT169">
            <v>-4618173</v>
          </cell>
          <cell r="AU169">
            <v>-4525812</v>
          </cell>
          <cell r="AV169">
            <v>0</v>
          </cell>
          <cell r="AW169">
            <v>-92364</v>
          </cell>
          <cell r="AX169">
            <v>-9236349</v>
          </cell>
          <cell r="AY169">
            <v>77182873</v>
          </cell>
          <cell r="AZ169">
            <v>3630405</v>
          </cell>
          <cell r="BA169">
            <v>1878175</v>
          </cell>
          <cell r="BB169">
            <v>6456361</v>
          </cell>
          <cell r="BC169">
            <v>103520</v>
          </cell>
          <cell r="BD169">
            <v>6082</v>
          </cell>
          <cell r="BE169">
            <v>3482</v>
          </cell>
          <cell r="BF169">
            <v>3278244</v>
          </cell>
          <cell r="BG169">
            <v>305280</v>
          </cell>
          <cell r="BH169">
            <v>189742</v>
          </cell>
          <cell r="BI169">
            <v>24467</v>
          </cell>
          <cell r="BJ169">
            <v>2310</v>
          </cell>
          <cell r="BK169">
            <v>0</v>
          </cell>
          <cell r="BL169">
            <v>0</v>
          </cell>
          <cell r="BM169">
            <v>0</v>
          </cell>
          <cell r="BN169">
            <v>0</v>
          </cell>
          <cell r="BO169">
            <v>0</v>
          </cell>
          <cell r="BP169">
            <v>86241874</v>
          </cell>
          <cell r="BQ169">
            <v>960629</v>
          </cell>
          <cell r="BR169">
            <v>5199355</v>
          </cell>
          <cell r="BS169">
            <v>1312370</v>
          </cell>
        </row>
        <row r="170">
          <cell r="A170">
            <v>163</v>
          </cell>
          <cell r="B170" t="str">
            <v>Melton</v>
          </cell>
          <cell r="C170" t="str">
            <v>E2436</v>
          </cell>
          <cell r="D170">
            <v>61448</v>
          </cell>
          <cell r="G170">
            <v>40264</v>
          </cell>
          <cell r="H170">
            <v>0</v>
          </cell>
          <cell r="I170">
            <v>61448</v>
          </cell>
          <cell r="J170">
            <v>0</v>
          </cell>
          <cell r="K170">
            <v>0</v>
          </cell>
          <cell r="L170">
            <v>0</v>
          </cell>
          <cell r="M170">
            <v>0</v>
          </cell>
          <cell r="N170">
            <v>0</v>
          </cell>
          <cell r="O170">
            <v>0</v>
          </cell>
          <cell r="P170">
            <v>0</v>
          </cell>
          <cell r="Q170">
            <v>241278</v>
          </cell>
          <cell r="R170">
            <v>54287</v>
          </cell>
          <cell r="S170">
            <v>6032</v>
          </cell>
          <cell r="T170">
            <v>3670</v>
          </cell>
          <cell r="U170">
            <v>826</v>
          </cell>
          <cell r="V170">
            <v>92</v>
          </cell>
          <cell r="W170">
            <v>404</v>
          </cell>
          <cell r="X170">
            <v>91</v>
          </cell>
          <cell r="Y170">
            <v>10</v>
          </cell>
          <cell r="Z170">
            <v>2385.0530785562637</v>
          </cell>
          <cell r="AA170">
            <v>536.63694267515916</v>
          </cell>
          <cell r="AB170">
            <v>59.626326963906585</v>
          </cell>
          <cell r="AC170">
            <v>121273.88535031847</v>
          </cell>
          <cell r="AD170">
            <v>27286.624203821648</v>
          </cell>
          <cell r="AE170">
            <v>3031.8471337579617</v>
          </cell>
          <cell r="AF170">
            <v>0</v>
          </cell>
          <cell r="AG170">
            <v>0</v>
          </cell>
          <cell r="AH170">
            <v>0</v>
          </cell>
          <cell r="AI170">
            <v>0</v>
          </cell>
          <cell r="AJ170">
            <v>0</v>
          </cell>
          <cell r="AK170">
            <v>0</v>
          </cell>
          <cell r="AL170">
            <v>53261</v>
          </cell>
          <cell r="AM170">
            <v>11837</v>
          </cell>
          <cell r="AN170">
            <v>1315</v>
          </cell>
          <cell r="AO170">
            <v>-80451</v>
          </cell>
          <cell r="AP170">
            <v>-64361</v>
          </cell>
          <cell r="AQ170">
            <v>-14481</v>
          </cell>
          <cell r="AR170">
            <v>-1609</v>
          </cell>
          <cell r="AS170">
            <v>-160902</v>
          </cell>
          <cell r="AT170">
            <v>-195865</v>
          </cell>
          <cell r="AU170">
            <v>-156690</v>
          </cell>
          <cell r="AV170">
            <v>-35255</v>
          </cell>
          <cell r="AW170">
            <v>-3917</v>
          </cell>
          <cell r="AX170">
            <v>-391727</v>
          </cell>
          <cell r="AY170">
            <v>12174595</v>
          </cell>
          <cell r="AZ170">
            <v>1007684</v>
          </cell>
          <cell r="BA170">
            <v>246205</v>
          </cell>
          <cell r="BB170">
            <v>860650</v>
          </cell>
          <cell r="BC170">
            <v>35127</v>
          </cell>
          <cell r="BD170">
            <v>23847</v>
          </cell>
          <cell r="BE170">
            <v>12073</v>
          </cell>
          <cell r="BF170">
            <v>413163</v>
          </cell>
          <cell r="BG170">
            <v>13714</v>
          </cell>
          <cell r="BH170">
            <v>14413</v>
          </cell>
          <cell r="BI170">
            <v>94</v>
          </cell>
          <cell r="BJ170">
            <v>6369</v>
          </cell>
          <cell r="BK170">
            <v>1167</v>
          </cell>
          <cell r="BL170">
            <v>0</v>
          </cell>
          <cell r="BM170">
            <v>0</v>
          </cell>
          <cell r="BN170">
            <v>0</v>
          </cell>
          <cell r="BO170">
            <v>0</v>
          </cell>
          <cell r="BP170">
            <v>12674338.6</v>
          </cell>
          <cell r="BQ170">
            <v>37137</v>
          </cell>
          <cell r="BR170">
            <v>809219</v>
          </cell>
          <cell r="BS170">
            <v>469574.69</v>
          </cell>
        </row>
        <row r="171">
          <cell r="A171">
            <v>164</v>
          </cell>
          <cell r="B171" t="str">
            <v>Mendip</v>
          </cell>
          <cell r="C171" t="str">
            <v>E3331</v>
          </cell>
          <cell r="D171">
            <v>164793</v>
          </cell>
          <cell r="G171">
            <v>97322</v>
          </cell>
          <cell r="H171">
            <v>0</v>
          </cell>
          <cell r="I171">
            <v>164793</v>
          </cell>
          <cell r="J171">
            <v>0</v>
          </cell>
          <cell r="K171">
            <v>0</v>
          </cell>
          <cell r="L171">
            <v>0</v>
          </cell>
          <cell r="M171">
            <v>0</v>
          </cell>
          <cell r="N171">
            <v>0</v>
          </cell>
          <cell r="O171">
            <v>0</v>
          </cell>
          <cell r="P171">
            <v>0</v>
          </cell>
          <cell r="Q171">
            <v>580674</v>
          </cell>
          <cell r="R171">
            <v>130652</v>
          </cell>
          <cell r="S171">
            <v>14517</v>
          </cell>
          <cell r="T171">
            <v>0</v>
          </cell>
          <cell r="U171">
            <v>0</v>
          </cell>
          <cell r="V171">
            <v>0</v>
          </cell>
          <cell r="W171">
            <v>0</v>
          </cell>
          <cell r="X171">
            <v>0</v>
          </cell>
          <cell r="Y171">
            <v>0</v>
          </cell>
          <cell r="Z171">
            <v>0</v>
          </cell>
          <cell r="AA171">
            <v>0</v>
          </cell>
          <cell r="AB171">
            <v>0</v>
          </cell>
          <cell r="AC171">
            <v>221149.80212314229</v>
          </cell>
          <cell r="AD171">
            <v>49758.705477707001</v>
          </cell>
          <cell r="AE171">
            <v>5528.7450530785563</v>
          </cell>
          <cell r="AF171">
            <v>0</v>
          </cell>
          <cell r="AG171">
            <v>0</v>
          </cell>
          <cell r="AH171">
            <v>0</v>
          </cell>
          <cell r="AI171">
            <v>0</v>
          </cell>
          <cell r="AJ171">
            <v>0</v>
          </cell>
          <cell r="AK171">
            <v>0</v>
          </cell>
          <cell r="AL171">
            <v>141948</v>
          </cell>
          <cell r="AM171">
            <v>31545</v>
          </cell>
          <cell r="AN171">
            <v>3505</v>
          </cell>
          <cell r="AO171">
            <v>-427852</v>
          </cell>
          <cell r="AP171">
            <v>-342282</v>
          </cell>
          <cell r="AQ171">
            <v>-77013</v>
          </cell>
          <cell r="AR171">
            <v>-8557</v>
          </cell>
          <cell r="AS171">
            <v>-855704</v>
          </cell>
          <cell r="AT171">
            <v>-850000</v>
          </cell>
          <cell r="AU171">
            <v>-680000</v>
          </cell>
          <cell r="AV171">
            <v>-153000</v>
          </cell>
          <cell r="AW171">
            <v>-17000</v>
          </cell>
          <cell r="AX171">
            <v>-1700000</v>
          </cell>
          <cell r="AY171">
            <v>30718170</v>
          </cell>
          <cell r="AZ171">
            <v>2842547</v>
          </cell>
          <cell r="BA171">
            <v>617946</v>
          </cell>
          <cell r="BB171">
            <v>2730414</v>
          </cell>
          <cell r="BC171">
            <v>78413</v>
          </cell>
          <cell r="BD171">
            <v>41006</v>
          </cell>
          <cell r="BE171">
            <v>0</v>
          </cell>
          <cell r="BF171">
            <v>956054</v>
          </cell>
          <cell r="BG171">
            <v>38665</v>
          </cell>
          <cell r="BH171">
            <v>21937</v>
          </cell>
          <cell r="BI171">
            <v>2651</v>
          </cell>
          <cell r="BJ171">
            <v>23051</v>
          </cell>
          <cell r="BK171">
            <v>19566</v>
          </cell>
          <cell r="BL171">
            <v>0</v>
          </cell>
          <cell r="BM171">
            <v>0</v>
          </cell>
          <cell r="BN171">
            <v>0</v>
          </cell>
          <cell r="BO171">
            <v>0</v>
          </cell>
          <cell r="BP171">
            <v>33204008</v>
          </cell>
          <cell r="BQ171">
            <v>165866</v>
          </cell>
          <cell r="BR171">
            <v>1192918</v>
          </cell>
          <cell r="BS171">
            <v>668394</v>
          </cell>
        </row>
        <row r="172">
          <cell r="A172">
            <v>165</v>
          </cell>
          <cell r="B172" t="str">
            <v>Merton</v>
          </cell>
          <cell r="C172" t="str">
            <v>E5044</v>
          </cell>
          <cell r="D172">
            <v>280951</v>
          </cell>
          <cell r="G172">
            <v>35684</v>
          </cell>
          <cell r="H172">
            <v>0</v>
          </cell>
          <cell r="I172">
            <v>280951</v>
          </cell>
          <cell r="J172">
            <v>0</v>
          </cell>
          <cell r="K172">
            <v>0</v>
          </cell>
          <cell r="L172">
            <v>0</v>
          </cell>
          <cell r="M172">
            <v>0</v>
          </cell>
          <cell r="N172">
            <v>0</v>
          </cell>
          <cell r="O172">
            <v>0</v>
          </cell>
          <cell r="P172">
            <v>0</v>
          </cell>
          <cell r="Q172">
            <v>400119</v>
          </cell>
          <cell r="R172">
            <v>266746</v>
          </cell>
          <cell r="S172">
            <v>0</v>
          </cell>
          <cell r="T172">
            <v>16331</v>
          </cell>
          <cell r="U172">
            <v>10888</v>
          </cell>
          <cell r="V172">
            <v>0</v>
          </cell>
          <cell r="W172">
            <v>0</v>
          </cell>
          <cell r="X172">
            <v>0</v>
          </cell>
          <cell r="Y172">
            <v>0</v>
          </cell>
          <cell r="Z172">
            <v>31363.245859872608</v>
          </cell>
          <cell r="AA172">
            <v>20908.830573248408</v>
          </cell>
          <cell r="AB172">
            <v>0</v>
          </cell>
          <cell r="AC172">
            <v>398384.71337579616</v>
          </cell>
          <cell r="AD172">
            <v>265589.80891719746</v>
          </cell>
          <cell r="AE172">
            <v>0</v>
          </cell>
          <cell r="AF172">
            <v>0</v>
          </cell>
          <cell r="AG172">
            <v>0</v>
          </cell>
          <cell r="AH172">
            <v>0</v>
          </cell>
          <cell r="AI172">
            <v>0</v>
          </cell>
          <cell r="AJ172">
            <v>0</v>
          </cell>
          <cell r="AK172">
            <v>0</v>
          </cell>
          <cell r="AL172">
            <v>271332</v>
          </cell>
          <cell r="AM172">
            <v>178900</v>
          </cell>
          <cell r="AN172">
            <v>0</v>
          </cell>
          <cell r="AO172">
            <v>-1477000</v>
          </cell>
          <cell r="AP172">
            <v>-886200</v>
          </cell>
          <cell r="AQ172">
            <v>-590800</v>
          </cell>
          <cell r="AR172">
            <v>0</v>
          </cell>
          <cell r="AS172">
            <v>-2954000</v>
          </cell>
          <cell r="AT172">
            <v>-2739720</v>
          </cell>
          <cell r="AU172">
            <v>-1643832</v>
          </cell>
          <cell r="AV172">
            <v>-1095888</v>
          </cell>
          <cell r="AW172">
            <v>0</v>
          </cell>
          <cell r="AX172">
            <v>-5479440</v>
          </cell>
          <cell r="AY172">
            <v>79131855</v>
          </cell>
          <cell r="AZ172">
            <v>2671907.9500000002</v>
          </cell>
          <cell r="BA172">
            <v>1580653.77</v>
          </cell>
          <cell r="BB172">
            <v>4888912.17</v>
          </cell>
          <cell r="BC172">
            <v>95839.08</v>
          </cell>
          <cell r="BD172">
            <v>0</v>
          </cell>
          <cell r="BE172">
            <v>4439.43</v>
          </cell>
          <cell r="BF172">
            <v>1927468.5</v>
          </cell>
          <cell r="BG172">
            <v>447530.63</v>
          </cell>
          <cell r="BH172">
            <v>94505.17</v>
          </cell>
          <cell r="BI172">
            <v>183.69</v>
          </cell>
          <cell r="BJ172">
            <v>0</v>
          </cell>
          <cell r="BK172">
            <v>0</v>
          </cell>
          <cell r="BL172">
            <v>0</v>
          </cell>
          <cell r="BM172">
            <v>0</v>
          </cell>
          <cell r="BN172">
            <v>0</v>
          </cell>
          <cell r="BO172">
            <v>0</v>
          </cell>
          <cell r="BP172">
            <v>83768757.599999994</v>
          </cell>
          <cell r="BQ172">
            <v>252221</v>
          </cell>
          <cell r="BR172">
            <v>2250369</v>
          </cell>
          <cell r="BS172">
            <v>1816799</v>
          </cell>
        </row>
        <row r="173">
          <cell r="A173">
            <v>166</v>
          </cell>
          <cell r="B173" t="str">
            <v>Mid Devon</v>
          </cell>
          <cell r="C173" t="str">
            <v>E1133</v>
          </cell>
          <cell r="D173">
            <v>106197</v>
          </cell>
          <cell r="G173">
            <v>84370</v>
          </cell>
          <cell r="H173">
            <v>0</v>
          </cell>
          <cell r="I173">
            <v>106197</v>
          </cell>
          <cell r="J173">
            <v>0</v>
          </cell>
          <cell r="K173">
            <v>42000</v>
          </cell>
          <cell r="L173">
            <v>0</v>
          </cell>
          <cell r="M173">
            <v>0</v>
          </cell>
          <cell r="N173">
            <v>0</v>
          </cell>
          <cell r="O173">
            <v>0</v>
          </cell>
          <cell r="P173">
            <v>0</v>
          </cell>
          <cell r="Q173">
            <v>393430</v>
          </cell>
          <cell r="R173">
            <v>88522</v>
          </cell>
          <cell r="S173">
            <v>9836</v>
          </cell>
          <cell r="T173">
            <v>1617</v>
          </cell>
          <cell r="U173">
            <v>364</v>
          </cell>
          <cell r="V173">
            <v>40</v>
          </cell>
          <cell r="W173">
            <v>4042</v>
          </cell>
          <cell r="X173">
            <v>910</v>
          </cell>
          <cell r="Y173">
            <v>101</v>
          </cell>
          <cell r="Z173">
            <v>6063.6942675159235</v>
          </cell>
          <cell r="AA173">
            <v>1364.3312101910824</v>
          </cell>
          <cell r="AB173">
            <v>151.59235668789808</v>
          </cell>
          <cell r="AC173">
            <v>121273.88535031847</v>
          </cell>
          <cell r="AD173">
            <v>27286.624203821648</v>
          </cell>
          <cell r="AE173">
            <v>3031.8471337579617</v>
          </cell>
          <cell r="AF173">
            <v>0</v>
          </cell>
          <cell r="AG173">
            <v>0</v>
          </cell>
          <cell r="AH173">
            <v>0</v>
          </cell>
          <cell r="AI173">
            <v>0</v>
          </cell>
          <cell r="AJ173">
            <v>0</v>
          </cell>
          <cell r="AK173">
            <v>0</v>
          </cell>
          <cell r="AL173">
            <v>63078</v>
          </cell>
          <cell r="AM173">
            <v>13838</v>
          </cell>
          <cell r="AN173">
            <v>1538</v>
          </cell>
          <cell r="AO173">
            <v>-94853</v>
          </cell>
          <cell r="AP173">
            <v>-75883</v>
          </cell>
          <cell r="AQ173">
            <v>-17074</v>
          </cell>
          <cell r="AR173">
            <v>-1898</v>
          </cell>
          <cell r="AS173">
            <v>-189708</v>
          </cell>
          <cell r="AT173">
            <v>-7500</v>
          </cell>
          <cell r="AU173">
            <v>-6000</v>
          </cell>
          <cell r="AV173">
            <v>-1350</v>
          </cell>
          <cell r="AW173">
            <v>-150</v>
          </cell>
          <cell r="AX173">
            <v>-15000</v>
          </cell>
          <cell r="AY173">
            <v>14329694</v>
          </cell>
          <cell r="AZ173">
            <v>1853639</v>
          </cell>
          <cell r="BA173">
            <v>301312</v>
          </cell>
          <cell r="BB173">
            <v>1151702</v>
          </cell>
          <cell r="BC173">
            <v>23903</v>
          </cell>
          <cell r="BD173">
            <v>23903</v>
          </cell>
          <cell r="BE173">
            <v>17190</v>
          </cell>
          <cell r="BF173">
            <v>555741</v>
          </cell>
          <cell r="BG173">
            <v>47349</v>
          </cell>
          <cell r="BH173">
            <v>14220</v>
          </cell>
          <cell r="BI173">
            <v>2929</v>
          </cell>
          <cell r="BJ173">
            <v>7382</v>
          </cell>
          <cell r="BK173">
            <v>0</v>
          </cell>
          <cell r="BL173">
            <v>12</v>
          </cell>
          <cell r="BM173">
            <v>12</v>
          </cell>
          <cell r="BN173">
            <v>0</v>
          </cell>
          <cell r="BO173">
            <v>0</v>
          </cell>
          <cell r="BP173">
            <v>14532870.300000001</v>
          </cell>
          <cell r="BQ173">
            <v>92920</v>
          </cell>
          <cell r="BR173">
            <v>394800</v>
          </cell>
          <cell r="BS173">
            <v>-262861.64</v>
          </cell>
        </row>
        <row r="174">
          <cell r="A174">
            <v>167</v>
          </cell>
          <cell r="B174" t="str">
            <v>Mid Suffolk</v>
          </cell>
          <cell r="C174" t="str">
            <v>E3534</v>
          </cell>
          <cell r="D174">
            <v>128904</v>
          </cell>
          <cell r="G174">
            <v>33821</v>
          </cell>
          <cell r="H174">
            <v>0</v>
          </cell>
          <cell r="I174">
            <v>128904</v>
          </cell>
          <cell r="J174">
            <v>0</v>
          </cell>
          <cell r="K174">
            <v>51092</v>
          </cell>
          <cell r="L174">
            <v>0</v>
          </cell>
          <cell r="M174">
            <v>0</v>
          </cell>
          <cell r="N174">
            <v>0</v>
          </cell>
          <cell r="O174">
            <v>0</v>
          </cell>
          <cell r="P174">
            <v>0</v>
          </cell>
          <cell r="Q174">
            <v>360202</v>
          </cell>
          <cell r="R174">
            <v>90051</v>
          </cell>
          <cell r="S174">
            <v>0</v>
          </cell>
          <cell r="T174">
            <v>7277</v>
          </cell>
          <cell r="U174">
            <v>1819</v>
          </cell>
          <cell r="V174">
            <v>0</v>
          </cell>
          <cell r="W174">
            <v>0</v>
          </cell>
          <cell r="X174">
            <v>0</v>
          </cell>
          <cell r="Y174">
            <v>0</v>
          </cell>
          <cell r="Z174">
            <v>4931.4004246284503</v>
          </cell>
          <cell r="AA174">
            <v>1232.8501061571124</v>
          </cell>
          <cell r="AB174">
            <v>0</v>
          </cell>
          <cell r="AC174">
            <v>40424.62845010616</v>
          </cell>
          <cell r="AD174">
            <v>10106.157112526536</v>
          </cell>
          <cell r="AE174">
            <v>0</v>
          </cell>
          <cell r="AF174">
            <v>0</v>
          </cell>
          <cell r="AG174">
            <v>0</v>
          </cell>
          <cell r="AH174">
            <v>0</v>
          </cell>
          <cell r="AI174">
            <v>0</v>
          </cell>
          <cell r="AJ174">
            <v>0</v>
          </cell>
          <cell r="AK174">
            <v>0</v>
          </cell>
          <cell r="AL174">
            <v>92680</v>
          </cell>
          <cell r="AM174">
            <v>22692</v>
          </cell>
          <cell r="AN174">
            <v>0</v>
          </cell>
          <cell r="AO174">
            <v>-135421</v>
          </cell>
          <cell r="AP174">
            <v>-108337</v>
          </cell>
          <cell r="AQ174">
            <v>-27084</v>
          </cell>
          <cell r="AR174">
            <v>0</v>
          </cell>
          <cell r="AS174">
            <v>-270842</v>
          </cell>
          <cell r="AT174">
            <v>-468009</v>
          </cell>
          <cell r="AU174">
            <v>-374407</v>
          </cell>
          <cell r="AV174">
            <v>-93602</v>
          </cell>
          <cell r="AW174">
            <v>0</v>
          </cell>
          <cell r="AX174">
            <v>-936018</v>
          </cell>
          <cell r="AY174">
            <v>19733964</v>
          </cell>
          <cell r="AZ174">
            <v>1794707.73</v>
          </cell>
          <cell r="BA174">
            <v>381824.49</v>
          </cell>
          <cell r="BB174">
            <v>861766.91</v>
          </cell>
          <cell r="BC174">
            <v>36329.17</v>
          </cell>
          <cell r="BD174">
            <v>94075.01</v>
          </cell>
          <cell r="BE174">
            <v>0</v>
          </cell>
          <cell r="BF174">
            <v>683998.61</v>
          </cell>
          <cell r="BG174">
            <v>155260.79999999999</v>
          </cell>
          <cell r="BH174">
            <v>88039.51</v>
          </cell>
          <cell r="BI174">
            <v>6482.38</v>
          </cell>
          <cell r="BJ174">
            <v>94074.7</v>
          </cell>
          <cell r="BK174">
            <v>78765.8</v>
          </cell>
          <cell r="BL174">
            <v>0</v>
          </cell>
          <cell r="BM174">
            <v>0</v>
          </cell>
          <cell r="BN174">
            <v>0</v>
          </cell>
          <cell r="BO174">
            <v>0</v>
          </cell>
          <cell r="BP174">
            <v>21040678.199999999</v>
          </cell>
          <cell r="BQ174">
            <v>95339.49</v>
          </cell>
          <cell r="BR174">
            <v>1070848.32</v>
          </cell>
          <cell r="BS174">
            <v>45074.68</v>
          </cell>
        </row>
        <row r="175">
          <cell r="A175">
            <v>168</v>
          </cell>
          <cell r="B175" t="str">
            <v>Mid Sussex</v>
          </cell>
          <cell r="C175" t="str">
            <v>E3836</v>
          </cell>
          <cell r="D175">
            <v>171742</v>
          </cell>
          <cell r="G175">
            <v>47971</v>
          </cell>
          <cell r="H175">
            <v>0</v>
          </cell>
          <cell r="I175">
            <v>171742</v>
          </cell>
          <cell r="J175">
            <v>0</v>
          </cell>
          <cell r="K175">
            <v>0</v>
          </cell>
          <cell r="L175">
            <v>0</v>
          </cell>
          <cell r="M175">
            <v>0</v>
          </cell>
          <cell r="N175">
            <v>0</v>
          </cell>
          <cell r="O175">
            <v>0</v>
          </cell>
          <cell r="P175">
            <v>0</v>
          </cell>
          <cell r="Q175">
            <v>429034</v>
          </cell>
          <cell r="R175">
            <v>107259</v>
          </cell>
          <cell r="S175">
            <v>0</v>
          </cell>
          <cell r="T175">
            <v>8562</v>
          </cell>
          <cell r="U175">
            <v>2140</v>
          </cell>
          <cell r="V175">
            <v>0</v>
          </cell>
          <cell r="W175">
            <v>4807</v>
          </cell>
          <cell r="X175">
            <v>1202</v>
          </cell>
          <cell r="Y175">
            <v>0</v>
          </cell>
          <cell r="Z175">
            <v>4923.1376305732483</v>
          </cell>
          <cell r="AA175">
            <v>1230.7844076433119</v>
          </cell>
          <cell r="AB175">
            <v>0</v>
          </cell>
          <cell r="AC175">
            <v>330058.72339702764</v>
          </cell>
          <cell r="AD175">
            <v>82514.680849256882</v>
          </cell>
          <cell r="AE175">
            <v>0</v>
          </cell>
          <cell r="AF175">
            <v>0</v>
          </cell>
          <cell r="AG175">
            <v>0</v>
          </cell>
          <cell r="AH175">
            <v>0</v>
          </cell>
          <cell r="AI175">
            <v>0</v>
          </cell>
          <cell r="AJ175">
            <v>0</v>
          </cell>
          <cell r="AK175">
            <v>0</v>
          </cell>
          <cell r="AL175">
            <v>178996</v>
          </cell>
          <cell r="AM175">
            <v>44293</v>
          </cell>
          <cell r="AN175">
            <v>0</v>
          </cell>
          <cell r="AO175">
            <v>-790307</v>
          </cell>
          <cell r="AP175">
            <v>-632247</v>
          </cell>
          <cell r="AQ175">
            <v>-158062</v>
          </cell>
          <cell r="AR175">
            <v>0</v>
          </cell>
          <cell r="AS175">
            <v>-1580616</v>
          </cell>
          <cell r="AT175">
            <v>-692395</v>
          </cell>
          <cell r="AU175">
            <v>-553916</v>
          </cell>
          <cell r="AV175">
            <v>-138479</v>
          </cell>
          <cell r="AW175">
            <v>0</v>
          </cell>
          <cell r="AX175">
            <v>-1384790</v>
          </cell>
          <cell r="AY175">
            <v>39822219</v>
          </cell>
          <cell r="AZ175">
            <v>2178707</v>
          </cell>
          <cell r="BA175">
            <v>800288</v>
          </cell>
          <cell r="BB175">
            <v>3902528</v>
          </cell>
          <cell r="BC175">
            <v>57349</v>
          </cell>
          <cell r="BD175">
            <v>5280</v>
          </cell>
          <cell r="BE175">
            <v>52096</v>
          </cell>
          <cell r="BF175">
            <v>1164049</v>
          </cell>
          <cell r="BG175">
            <v>79673</v>
          </cell>
          <cell r="BH175">
            <v>35661</v>
          </cell>
          <cell r="BI175">
            <v>4385</v>
          </cell>
          <cell r="BJ175">
            <v>5280</v>
          </cell>
          <cell r="BK175">
            <v>0</v>
          </cell>
          <cell r="BL175">
            <v>0</v>
          </cell>
          <cell r="BM175">
            <v>0</v>
          </cell>
          <cell r="BN175">
            <v>0</v>
          </cell>
          <cell r="BO175">
            <v>0</v>
          </cell>
          <cell r="BP175">
            <v>41850376</v>
          </cell>
          <cell r="BQ175">
            <v>366979</v>
          </cell>
          <cell r="BR175">
            <v>1994035</v>
          </cell>
          <cell r="BS175">
            <v>1572042</v>
          </cell>
        </row>
        <row r="176">
          <cell r="A176">
            <v>169</v>
          </cell>
          <cell r="B176" t="str">
            <v>Middlesbrough</v>
          </cell>
          <cell r="C176" t="str">
            <v>E0702</v>
          </cell>
          <cell r="D176">
            <v>177799</v>
          </cell>
          <cell r="E176">
            <v>0</v>
          </cell>
          <cell r="G176">
            <v>3093</v>
          </cell>
          <cell r="H176">
            <v>0</v>
          </cell>
          <cell r="I176">
            <v>177799</v>
          </cell>
          <cell r="J176">
            <v>0</v>
          </cell>
          <cell r="K176">
            <v>0</v>
          </cell>
          <cell r="L176">
            <v>0</v>
          </cell>
          <cell r="M176">
            <v>0</v>
          </cell>
          <cell r="N176">
            <v>0</v>
          </cell>
          <cell r="O176">
            <v>0</v>
          </cell>
          <cell r="P176">
            <v>0</v>
          </cell>
          <cell r="Q176">
            <v>594242</v>
          </cell>
          <cell r="R176">
            <v>0</v>
          </cell>
          <cell r="S176">
            <v>12127</v>
          </cell>
          <cell r="T176">
            <v>0</v>
          </cell>
          <cell r="U176">
            <v>0</v>
          </cell>
          <cell r="V176">
            <v>0</v>
          </cell>
          <cell r="W176">
            <v>8</v>
          </cell>
          <cell r="X176">
            <v>0</v>
          </cell>
          <cell r="Y176">
            <v>0</v>
          </cell>
          <cell r="Z176">
            <v>45927.189359660297</v>
          </cell>
          <cell r="AA176">
            <v>8.1296911803913198E-13</v>
          </cell>
          <cell r="AB176">
            <v>937.28957876857748</v>
          </cell>
          <cell r="AC176">
            <v>198080.67940552015</v>
          </cell>
          <cell r="AD176">
            <v>3.5062775990019538E-12</v>
          </cell>
          <cell r="AE176">
            <v>4042.4628450106156</v>
          </cell>
          <cell r="AF176">
            <v>0</v>
          </cell>
          <cell r="AG176">
            <v>0</v>
          </cell>
          <cell r="AH176">
            <v>0</v>
          </cell>
          <cell r="AI176">
            <v>0</v>
          </cell>
          <cell r="AJ176">
            <v>0</v>
          </cell>
          <cell r="AK176">
            <v>0</v>
          </cell>
          <cell r="AL176">
            <v>203556</v>
          </cell>
          <cell r="AM176">
            <v>0</v>
          </cell>
          <cell r="AN176">
            <v>4116</v>
          </cell>
          <cell r="AO176">
            <v>-2312882</v>
          </cell>
          <cell r="AP176">
            <v>-2266624</v>
          </cell>
          <cell r="AQ176">
            <v>0</v>
          </cell>
          <cell r="AR176">
            <v>-46258</v>
          </cell>
          <cell r="AS176">
            <v>-4625764</v>
          </cell>
          <cell r="AT176">
            <v>-2250000</v>
          </cell>
          <cell r="AU176">
            <v>-2205000</v>
          </cell>
          <cell r="AV176">
            <v>0</v>
          </cell>
          <cell r="AW176">
            <v>-45000</v>
          </cell>
          <cell r="AX176">
            <v>-4500000</v>
          </cell>
          <cell r="AY176">
            <v>35126569</v>
          </cell>
          <cell r="AZ176">
            <v>2220338.4900000002</v>
          </cell>
          <cell r="BA176">
            <v>861250.54</v>
          </cell>
          <cell r="BB176">
            <v>4448862.5199999996</v>
          </cell>
          <cell r="BC176">
            <v>31383.84</v>
          </cell>
          <cell r="BD176">
            <v>0</v>
          </cell>
          <cell r="BE176">
            <v>3174.49</v>
          </cell>
          <cell r="BF176">
            <v>3003972.45</v>
          </cell>
          <cell r="BG176">
            <v>5062.4799999999996</v>
          </cell>
          <cell r="BH176">
            <v>43856.25</v>
          </cell>
          <cell r="BI176">
            <v>7505.4</v>
          </cell>
          <cell r="BJ176">
            <v>0</v>
          </cell>
          <cell r="BK176">
            <v>0</v>
          </cell>
          <cell r="BL176">
            <v>0</v>
          </cell>
          <cell r="BM176">
            <v>0</v>
          </cell>
          <cell r="BN176">
            <v>0</v>
          </cell>
          <cell r="BO176">
            <v>0</v>
          </cell>
          <cell r="BP176">
            <v>41093581</v>
          </cell>
          <cell r="BQ176">
            <v>466091</v>
          </cell>
          <cell r="BR176">
            <v>6767589.9900000002</v>
          </cell>
          <cell r="BS176">
            <v>1329907.24</v>
          </cell>
        </row>
        <row r="177">
          <cell r="A177">
            <v>170</v>
          </cell>
          <cell r="B177" t="str">
            <v>Milton Keynes</v>
          </cell>
          <cell r="C177" t="str">
            <v>E0401</v>
          </cell>
          <cell r="D177">
            <v>374347</v>
          </cell>
          <cell r="G177">
            <v>-1041000</v>
          </cell>
          <cell r="H177">
            <v>0</v>
          </cell>
          <cell r="I177">
            <v>374347</v>
          </cell>
          <cell r="J177">
            <v>0</v>
          </cell>
          <cell r="K177">
            <v>0</v>
          </cell>
          <cell r="L177">
            <v>0</v>
          </cell>
          <cell r="M177">
            <v>0</v>
          </cell>
          <cell r="N177">
            <v>0</v>
          </cell>
          <cell r="O177">
            <v>0</v>
          </cell>
          <cell r="P177">
            <v>0</v>
          </cell>
          <cell r="Q177">
            <v>757659</v>
          </cell>
          <cell r="R177">
            <v>0</v>
          </cell>
          <cell r="S177">
            <v>15462</v>
          </cell>
          <cell r="T177">
            <v>74280</v>
          </cell>
          <cell r="U177">
            <v>0</v>
          </cell>
          <cell r="V177">
            <v>1516</v>
          </cell>
          <cell r="W177">
            <v>49520</v>
          </cell>
          <cell r="X177">
            <v>0</v>
          </cell>
          <cell r="Y177">
            <v>1011</v>
          </cell>
          <cell r="Z177">
            <v>247600.84925690023</v>
          </cell>
          <cell r="AA177">
            <v>4.3828469987524427E-12</v>
          </cell>
          <cell r="AB177">
            <v>5053.07855626327</v>
          </cell>
          <cell r="AC177">
            <v>834414.86199575372</v>
          </cell>
          <cell r="AD177">
            <v>1.4770194385795732E-11</v>
          </cell>
          <cell r="AE177">
            <v>17028.87473460722</v>
          </cell>
          <cell r="AF177">
            <v>0</v>
          </cell>
          <cell r="AG177">
            <v>0</v>
          </cell>
          <cell r="AH177">
            <v>0</v>
          </cell>
          <cell r="AI177">
            <v>0</v>
          </cell>
          <cell r="AJ177">
            <v>0</v>
          </cell>
          <cell r="AK177">
            <v>0</v>
          </cell>
          <cell r="AL177">
            <v>738321</v>
          </cell>
          <cell r="AM177">
            <v>0</v>
          </cell>
          <cell r="AN177">
            <v>14987</v>
          </cell>
          <cell r="AO177">
            <v>-2080000</v>
          </cell>
          <cell r="AP177">
            <v>-2038400</v>
          </cell>
          <cell r="AQ177">
            <v>0</v>
          </cell>
          <cell r="AR177">
            <v>-41600</v>
          </cell>
          <cell r="AS177">
            <v>-4160000</v>
          </cell>
          <cell r="AT177">
            <v>-11600000</v>
          </cell>
          <cell r="AU177">
            <v>-11368000</v>
          </cell>
          <cell r="AV177">
            <v>0</v>
          </cell>
          <cell r="AW177">
            <v>-232000</v>
          </cell>
          <cell r="AX177">
            <v>-23200000</v>
          </cell>
          <cell r="AY177">
            <v>121854817</v>
          </cell>
          <cell r="AZ177">
            <v>2994068</v>
          </cell>
          <cell r="BA177">
            <v>3016411</v>
          </cell>
          <cell r="BB177">
            <v>7713349</v>
          </cell>
          <cell r="BC177">
            <v>55964</v>
          </cell>
          <cell r="BD177">
            <v>12523</v>
          </cell>
          <cell r="BE177">
            <v>55701</v>
          </cell>
          <cell r="BF177">
            <v>5325112</v>
          </cell>
          <cell r="BG177">
            <v>442395</v>
          </cell>
          <cell r="BH177">
            <v>0</v>
          </cell>
          <cell r="BI177">
            <v>14008</v>
          </cell>
          <cell r="BJ177">
            <v>0</v>
          </cell>
          <cell r="BK177">
            <v>0</v>
          </cell>
          <cell r="BL177">
            <v>35471</v>
          </cell>
          <cell r="BM177">
            <v>35471</v>
          </cell>
          <cell r="BN177">
            <v>0</v>
          </cell>
          <cell r="BO177">
            <v>0</v>
          </cell>
          <cell r="BP177">
            <v>149612595</v>
          </cell>
          <cell r="BQ177">
            <v>1148351</v>
          </cell>
          <cell r="BR177">
            <v>894722</v>
          </cell>
          <cell r="BS177">
            <v>1975705</v>
          </cell>
        </row>
        <row r="178">
          <cell r="A178">
            <v>171</v>
          </cell>
          <cell r="B178" t="str">
            <v>Mole Valley</v>
          </cell>
          <cell r="C178" t="str">
            <v>E3634</v>
          </cell>
          <cell r="D178">
            <v>151470</v>
          </cell>
          <cell r="G178">
            <v>10513</v>
          </cell>
          <cell r="H178">
            <v>0</v>
          </cell>
          <cell r="I178">
            <v>151470</v>
          </cell>
          <cell r="J178">
            <v>0</v>
          </cell>
          <cell r="K178">
            <v>0</v>
          </cell>
          <cell r="L178">
            <v>0</v>
          </cell>
          <cell r="M178">
            <v>0</v>
          </cell>
          <cell r="N178">
            <v>0</v>
          </cell>
          <cell r="O178">
            <v>0</v>
          </cell>
          <cell r="P178">
            <v>0</v>
          </cell>
          <cell r="Q178">
            <v>341038</v>
          </cell>
          <cell r="R178">
            <v>85259</v>
          </cell>
          <cell r="S178">
            <v>0</v>
          </cell>
          <cell r="T178">
            <v>0</v>
          </cell>
          <cell r="U178">
            <v>0</v>
          </cell>
          <cell r="V178">
            <v>0</v>
          </cell>
          <cell r="W178">
            <v>121274</v>
          </cell>
          <cell r="X178">
            <v>30318</v>
          </cell>
          <cell r="Y178">
            <v>0</v>
          </cell>
          <cell r="Z178">
            <v>16169.851380042464</v>
          </cell>
          <cell r="AA178">
            <v>4042.4628450106152</v>
          </cell>
          <cell r="AB178">
            <v>0</v>
          </cell>
          <cell r="AC178">
            <v>199293.41825902337</v>
          </cell>
          <cell r="AD178">
            <v>49823.354564755828</v>
          </cell>
          <cell r="AE178">
            <v>0</v>
          </cell>
          <cell r="AF178">
            <v>0</v>
          </cell>
          <cell r="AG178">
            <v>0</v>
          </cell>
          <cell r="AH178">
            <v>0</v>
          </cell>
          <cell r="AI178">
            <v>8819</v>
          </cell>
          <cell r="AJ178">
            <v>2204.7679999999996</v>
          </cell>
          <cell r="AK178">
            <v>0</v>
          </cell>
          <cell r="AL178">
            <v>152633</v>
          </cell>
          <cell r="AM178">
            <v>37756</v>
          </cell>
          <cell r="AN178">
            <v>0</v>
          </cell>
          <cell r="AO178">
            <v>-162500</v>
          </cell>
          <cell r="AP178">
            <v>-130000</v>
          </cell>
          <cell r="AQ178">
            <v>-32500</v>
          </cell>
          <cell r="AR178">
            <v>0</v>
          </cell>
          <cell r="AS178">
            <v>-325000</v>
          </cell>
          <cell r="AT178">
            <v>-829524</v>
          </cell>
          <cell r="AU178">
            <v>-663619</v>
          </cell>
          <cell r="AV178">
            <v>-165904</v>
          </cell>
          <cell r="AW178">
            <v>0</v>
          </cell>
          <cell r="AX178">
            <v>-1659047</v>
          </cell>
          <cell r="AY178">
            <v>34550039</v>
          </cell>
          <cell r="AZ178">
            <v>1682806.3</v>
          </cell>
          <cell r="BA178">
            <v>691617.98</v>
          </cell>
          <cell r="BB178">
            <v>1955923.26</v>
          </cell>
          <cell r="BC178">
            <v>32451.89</v>
          </cell>
          <cell r="BD178">
            <v>11162.7</v>
          </cell>
          <cell r="BE178">
            <v>55936.27</v>
          </cell>
          <cell r="BF178">
            <v>966466.47</v>
          </cell>
          <cell r="BG178">
            <v>21085.93</v>
          </cell>
          <cell r="BH178">
            <v>10105.76</v>
          </cell>
          <cell r="BI178">
            <v>1705.93</v>
          </cell>
          <cell r="BJ178">
            <v>9867.4500000000007</v>
          </cell>
          <cell r="BK178">
            <v>27109.81</v>
          </cell>
          <cell r="BL178">
            <v>0</v>
          </cell>
          <cell r="BM178">
            <v>0</v>
          </cell>
          <cell r="BN178">
            <v>0</v>
          </cell>
          <cell r="BO178">
            <v>0</v>
          </cell>
          <cell r="BP178">
            <v>36637536.200000003</v>
          </cell>
          <cell r="BQ178">
            <v>90701.27</v>
          </cell>
          <cell r="BR178">
            <v>1148428.55</v>
          </cell>
          <cell r="BS178">
            <v>2540731</v>
          </cell>
        </row>
        <row r="179">
          <cell r="A179">
            <v>172</v>
          </cell>
          <cell r="B179" t="str">
            <v>New Forest</v>
          </cell>
          <cell r="C179" t="str">
            <v>E1738</v>
          </cell>
          <cell r="D179">
            <v>285799</v>
          </cell>
          <cell r="G179">
            <v>274700</v>
          </cell>
          <cell r="H179">
            <v>0</v>
          </cell>
          <cell r="I179">
            <v>285799</v>
          </cell>
          <cell r="J179">
            <v>0</v>
          </cell>
          <cell r="K179">
            <v>10000</v>
          </cell>
          <cell r="L179">
            <v>0</v>
          </cell>
          <cell r="M179">
            <v>0</v>
          </cell>
          <cell r="N179">
            <v>0</v>
          </cell>
          <cell r="O179">
            <v>0</v>
          </cell>
          <cell r="P179">
            <v>0</v>
          </cell>
          <cell r="Q179">
            <v>816025</v>
          </cell>
          <cell r="R179">
            <v>183606</v>
          </cell>
          <cell r="S179">
            <v>20401</v>
          </cell>
          <cell r="T179">
            <v>12127</v>
          </cell>
          <cell r="U179">
            <v>2729</v>
          </cell>
          <cell r="V179">
            <v>303</v>
          </cell>
          <cell r="W179">
            <v>40424</v>
          </cell>
          <cell r="X179">
            <v>9096</v>
          </cell>
          <cell r="Y179">
            <v>1011</v>
          </cell>
          <cell r="Z179">
            <v>39619.369851380041</v>
          </cell>
          <cell r="AA179">
            <v>8914.3582165605076</v>
          </cell>
          <cell r="AB179">
            <v>990.48424628450095</v>
          </cell>
          <cell r="AC179">
            <v>470068.09002123144</v>
          </cell>
          <cell r="AD179">
            <v>105765.32025477705</v>
          </cell>
          <cell r="AE179">
            <v>11751.702250530785</v>
          </cell>
          <cell r="AF179">
            <v>14701</v>
          </cell>
          <cell r="AG179">
            <v>0</v>
          </cell>
          <cell r="AH179">
            <v>0</v>
          </cell>
          <cell r="AI179">
            <v>10870</v>
          </cell>
          <cell r="AJ179">
            <v>2445.8228999999997</v>
          </cell>
          <cell r="AK179">
            <v>271.75810000000001</v>
          </cell>
          <cell r="AL179">
            <v>263754</v>
          </cell>
          <cell r="AM179">
            <v>58638</v>
          </cell>
          <cell r="AN179">
            <v>6515</v>
          </cell>
          <cell r="AO179">
            <v>-252780</v>
          </cell>
          <cell r="AP179">
            <v>-202224</v>
          </cell>
          <cell r="AQ179">
            <v>-45500</v>
          </cell>
          <cell r="AR179">
            <v>-5056</v>
          </cell>
          <cell r="AS179">
            <v>-505560</v>
          </cell>
          <cell r="AT179">
            <v>-3574748</v>
          </cell>
          <cell r="AU179">
            <v>-2859798</v>
          </cell>
          <cell r="AV179">
            <v>-643454</v>
          </cell>
          <cell r="AW179">
            <v>-71495</v>
          </cell>
          <cell r="AX179">
            <v>-7149495</v>
          </cell>
          <cell r="AY179">
            <v>55725985</v>
          </cell>
          <cell r="AZ179">
            <v>3995061</v>
          </cell>
          <cell r="BA179">
            <v>1188390</v>
          </cell>
          <cell r="BB179">
            <v>3068843</v>
          </cell>
          <cell r="BC179">
            <v>125948</v>
          </cell>
          <cell r="BD179">
            <v>19000</v>
          </cell>
          <cell r="BE179">
            <v>298968</v>
          </cell>
          <cell r="BF179">
            <v>1529461</v>
          </cell>
          <cell r="BG179">
            <v>94285</v>
          </cell>
          <cell r="BH179">
            <v>82592</v>
          </cell>
          <cell r="BI179">
            <v>0</v>
          </cell>
          <cell r="BJ179">
            <v>9048</v>
          </cell>
          <cell r="BK179">
            <v>5198</v>
          </cell>
          <cell r="BL179">
            <v>0</v>
          </cell>
          <cell r="BM179">
            <v>0</v>
          </cell>
          <cell r="BN179">
            <v>0</v>
          </cell>
          <cell r="BO179">
            <v>0</v>
          </cell>
          <cell r="BP179">
            <v>62326206</v>
          </cell>
          <cell r="BQ179">
            <v>270273</v>
          </cell>
          <cell r="BR179">
            <v>1570508</v>
          </cell>
          <cell r="BS179">
            <v>234700</v>
          </cell>
        </row>
        <row r="180">
          <cell r="A180">
            <v>173</v>
          </cell>
          <cell r="B180" t="str">
            <v>Newark and Sherwood</v>
          </cell>
          <cell r="C180" t="str">
            <v>E3036</v>
          </cell>
          <cell r="D180">
            <v>164612</v>
          </cell>
          <cell r="G180">
            <v>4319</v>
          </cell>
          <cell r="H180">
            <v>0</v>
          </cell>
          <cell r="I180">
            <v>164612</v>
          </cell>
          <cell r="J180">
            <v>0</v>
          </cell>
          <cell r="K180">
            <v>0</v>
          </cell>
          <cell r="L180">
            <v>0</v>
          </cell>
          <cell r="M180">
            <v>0</v>
          </cell>
          <cell r="N180">
            <v>0</v>
          </cell>
          <cell r="O180">
            <v>0</v>
          </cell>
          <cell r="P180">
            <v>0</v>
          </cell>
          <cell r="Q180">
            <v>461412</v>
          </cell>
          <cell r="R180">
            <v>103818</v>
          </cell>
          <cell r="S180">
            <v>11535</v>
          </cell>
          <cell r="T180">
            <v>0</v>
          </cell>
          <cell r="U180">
            <v>0</v>
          </cell>
          <cell r="V180">
            <v>0</v>
          </cell>
          <cell r="W180">
            <v>0</v>
          </cell>
          <cell r="X180">
            <v>0</v>
          </cell>
          <cell r="Y180">
            <v>0</v>
          </cell>
          <cell r="Z180">
            <v>24254.777070063694</v>
          </cell>
          <cell r="AA180">
            <v>5457.3248407643296</v>
          </cell>
          <cell r="AB180">
            <v>606.3694267515923</v>
          </cell>
          <cell r="AC180">
            <v>202123.1422505308</v>
          </cell>
          <cell r="AD180">
            <v>45477.707006369419</v>
          </cell>
          <cell r="AE180">
            <v>5053.07855626327</v>
          </cell>
          <cell r="AF180">
            <v>0</v>
          </cell>
          <cell r="AG180">
            <v>0</v>
          </cell>
          <cell r="AH180">
            <v>0</v>
          </cell>
          <cell r="AI180">
            <v>0</v>
          </cell>
          <cell r="AJ180">
            <v>0</v>
          </cell>
          <cell r="AK180">
            <v>0</v>
          </cell>
          <cell r="AL180">
            <v>164678</v>
          </cell>
          <cell r="AM180">
            <v>36659</v>
          </cell>
          <cell r="AN180">
            <v>4073</v>
          </cell>
          <cell r="AO180">
            <v>-224468</v>
          </cell>
          <cell r="AP180">
            <v>-179574</v>
          </cell>
          <cell r="AQ180">
            <v>-40404</v>
          </cell>
          <cell r="AR180">
            <v>-4489</v>
          </cell>
          <cell r="AS180">
            <v>-448935</v>
          </cell>
          <cell r="AT180">
            <v>-833322</v>
          </cell>
          <cell r="AU180">
            <v>-666658</v>
          </cell>
          <cell r="AV180">
            <v>-149998</v>
          </cell>
          <cell r="AW180">
            <v>-16666</v>
          </cell>
          <cell r="AX180">
            <v>-1666644</v>
          </cell>
          <cell r="AY180">
            <v>36402924</v>
          </cell>
          <cell r="AZ180">
            <v>2267208</v>
          </cell>
          <cell r="BA180">
            <v>710246</v>
          </cell>
          <cell r="BB180">
            <v>1480052</v>
          </cell>
          <cell r="BC180">
            <v>84108</v>
          </cell>
          <cell r="BD180">
            <v>25437</v>
          </cell>
          <cell r="BE180">
            <v>11056</v>
          </cell>
          <cell r="BF180">
            <v>946661</v>
          </cell>
          <cell r="BG180">
            <v>44971</v>
          </cell>
          <cell r="BH180">
            <v>25157</v>
          </cell>
          <cell r="BI180">
            <v>0</v>
          </cell>
          <cell r="BJ180">
            <v>4585</v>
          </cell>
          <cell r="BK180">
            <v>0</v>
          </cell>
          <cell r="BL180">
            <v>0</v>
          </cell>
          <cell r="BM180">
            <v>0</v>
          </cell>
          <cell r="BN180">
            <v>0</v>
          </cell>
          <cell r="BO180">
            <v>0</v>
          </cell>
          <cell r="BP180">
            <v>38799401</v>
          </cell>
          <cell r="BQ180">
            <v>0</v>
          </cell>
          <cell r="BR180">
            <v>1340757</v>
          </cell>
          <cell r="BS180">
            <v>241758</v>
          </cell>
        </row>
        <row r="181">
          <cell r="A181">
            <v>174</v>
          </cell>
          <cell r="B181" t="str">
            <v>Newcastle-upon-Tyne</v>
          </cell>
          <cell r="C181" t="str">
            <v>E4502</v>
          </cell>
          <cell r="D181">
            <v>464180</v>
          </cell>
          <cell r="G181">
            <v>109438</v>
          </cell>
          <cell r="H181">
            <v>-82</v>
          </cell>
          <cell r="I181">
            <v>464180</v>
          </cell>
          <cell r="J181">
            <v>1429402</v>
          </cell>
          <cell r="K181">
            <v>0</v>
          </cell>
          <cell r="L181">
            <v>0</v>
          </cell>
          <cell r="M181">
            <v>0</v>
          </cell>
          <cell r="N181">
            <v>0</v>
          </cell>
          <cell r="O181">
            <v>0</v>
          </cell>
          <cell r="P181">
            <v>0</v>
          </cell>
          <cell r="Q181">
            <v>1095757</v>
          </cell>
          <cell r="R181">
            <v>0</v>
          </cell>
          <cell r="S181">
            <v>22362</v>
          </cell>
          <cell r="T181">
            <v>49520</v>
          </cell>
          <cell r="U181">
            <v>0</v>
          </cell>
          <cell r="V181">
            <v>1011</v>
          </cell>
          <cell r="W181">
            <v>338172</v>
          </cell>
          <cell r="X181">
            <v>0</v>
          </cell>
          <cell r="Y181">
            <v>6901</v>
          </cell>
          <cell r="Z181">
            <v>328286.04280254774</v>
          </cell>
          <cell r="AA181">
            <v>5.8110765845419039E-12</v>
          </cell>
          <cell r="AB181">
            <v>6699.7151592356686</v>
          </cell>
          <cell r="AC181">
            <v>600178.02097664541</v>
          </cell>
          <cell r="AD181">
            <v>1.0623907170953953E-11</v>
          </cell>
          <cell r="AE181">
            <v>12248.531040339703</v>
          </cell>
          <cell r="AF181">
            <v>0</v>
          </cell>
          <cell r="AG181">
            <v>0</v>
          </cell>
          <cell r="AH181">
            <v>0</v>
          </cell>
          <cell r="AI181">
            <v>0</v>
          </cell>
          <cell r="AJ181">
            <v>0</v>
          </cell>
          <cell r="AK181">
            <v>0</v>
          </cell>
          <cell r="AL181">
            <v>794904</v>
          </cell>
          <cell r="AM181">
            <v>0</v>
          </cell>
          <cell r="AN181">
            <v>15812</v>
          </cell>
          <cell r="AO181">
            <v>-563782</v>
          </cell>
          <cell r="AP181">
            <v>-552506</v>
          </cell>
          <cell r="AQ181">
            <v>0</v>
          </cell>
          <cell r="AR181">
            <v>-11276</v>
          </cell>
          <cell r="AS181">
            <v>-1127564</v>
          </cell>
          <cell r="AT181">
            <v>-8298263</v>
          </cell>
          <cell r="AU181">
            <v>-8132297</v>
          </cell>
          <cell r="AV181">
            <v>0</v>
          </cell>
          <cell r="AW181">
            <v>-165965</v>
          </cell>
          <cell r="AX181">
            <v>-16596525</v>
          </cell>
          <cell r="AY181">
            <v>128491245</v>
          </cell>
          <cell r="AZ181">
            <v>4527973</v>
          </cell>
          <cell r="BA181">
            <v>3081279</v>
          </cell>
          <cell r="BB181">
            <v>12111979</v>
          </cell>
          <cell r="BC181">
            <v>122009</v>
          </cell>
          <cell r="BD181">
            <v>2107.73</v>
          </cell>
          <cell r="BE181">
            <v>86824</v>
          </cell>
          <cell r="BF181">
            <v>9798825</v>
          </cell>
          <cell r="BG181">
            <v>247591</v>
          </cell>
          <cell r="BH181">
            <v>426740</v>
          </cell>
          <cell r="BI181">
            <v>19960</v>
          </cell>
          <cell r="BJ181">
            <v>0</v>
          </cell>
          <cell r="BK181">
            <v>0</v>
          </cell>
          <cell r="BL181">
            <v>0</v>
          </cell>
          <cell r="BM181">
            <v>0</v>
          </cell>
          <cell r="BN181">
            <v>0</v>
          </cell>
          <cell r="BO181">
            <v>0</v>
          </cell>
          <cell r="BP181">
            <v>148829722</v>
          </cell>
          <cell r="BQ181">
            <v>648839</v>
          </cell>
          <cell r="BR181">
            <v>8309817</v>
          </cell>
          <cell r="BS181">
            <v>6476341</v>
          </cell>
        </row>
        <row r="182">
          <cell r="A182">
            <v>175</v>
          </cell>
          <cell r="B182" t="str">
            <v>Newcastle-under-Lyme</v>
          </cell>
          <cell r="C182" t="str">
            <v>E3434</v>
          </cell>
          <cell r="D182">
            <v>141625</v>
          </cell>
          <cell r="E182">
            <v>67868</v>
          </cell>
          <cell r="F182">
            <v>5860013</v>
          </cell>
          <cell r="G182">
            <v>20057</v>
          </cell>
          <cell r="H182">
            <v>0</v>
          </cell>
          <cell r="I182">
            <v>141625</v>
          </cell>
          <cell r="J182">
            <v>0</v>
          </cell>
          <cell r="K182">
            <v>0</v>
          </cell>
          <cell r="L182">
            <v>0</v>
          </cell>
          <cell r="M182">
            <v>0</v>
          </cell>
          <cell r="N182">
            <v>0</v>
          </cell>
          <cell r="O182">
            <v>0</v>
          </cell>
          <cell r="P182">
            <v>0</v>
          </cell>
          <cell r="Q182">
            <v>417486</v>
          </cell>
          <cell r="R182">
            <v>93934</v>
          </cell>
          <cell r="S182">
            <v>10437</v>
          </cell>
          <cell r="T182">
            <v>3581</v>
          </cell>
          <cell r="U182">
            <v>806</v>
          </cell>
          <cell r="V182">
            <v>90</v>
          </cell>
          <cell r="W182">
            <v>0</v>
          </cell>
          <cell r="X182">
            <v>0</v>
          </cell>
          <cell r="Y182">
            <v>0</v>
          </cell>
          <cell r="Z182">
            <v>6467.9405520169857</v>
          </cell>
          <cell r="AA182">
            <v>1455.2866242038212</v>
          </cell>
          <cell r="AB182">
            <v>161.69851380042462</v>
          </cell>
          <cell r="AC182">
            <v>181910.82802547771</v>
          </cell>
          <cell r="AD182">
            <v>40929.936305732474</v>
          </cell>
          <cell r="AE182">
            <v>4547.7707006369428</v>
          </cell>
          <cell r="AF182">
            <v>0</v>
          </cell>
          <cell r="AG182">
            <v>0</v>
          </cell>
          <cell r="AH182">
            <v>0</v>
          </cell>
          <cell r="AI182">
            <v>0</v>
          </cell>
          <cell r="AJ182">
            <v>0</v>
          </cell>
          <cell r="AK182">
            <v>0</v>
          </cell>
          <cell r="AL182">
            <v>139876</v>
          </cell>
          <cell r="AM182">
            <v>31134</v>
          </cell>
          <cell r="AN182">
            <v>3459</v>
          </cell>
          <cell r="AO182">
            <v>-466084.5</v>
          </cell>
          <cell r="AP182">
            <v>-372867.60000000003</v>
          </cell>
          <cell r="AQ182">
            <v>-83895.209999999992</v>
          </cell>
          <cell r="AR182">
            <v>-9321.69</v>
          </cell>
          <cell r="AS182">
            <v>-932169</v>
          </cell>
          <cell r="AT182">
            <v>-260000</v>
          </cell>
          <cell r="AU182">
            <v>-208000</v>
          </cell>
          <cell r="AV182">
            <v>-46800</v>
          </cell>
          <cell r="AW182">
            <v>-5200</v>
          </cell>
          <cell r="AX182">
            <v>-520000</v>
          </cell>
          <cell r="AY182">
            <v>32294760</v>
          </cell>
          <cell r="AZ182">
            <v>2057450.85</v>
          </cell>
          <cell r="BA182">
            <v>635780.61</v>
          </cell>
          <cell r="BB182">
            <v>2295257.89</v>
          </cell>
          <cell r="BC182">
            <v>14111.16</v>
          </cell>
          <cell r="BD182">
            <v>15202.21</v>
          </cell>
          <cell r="BE182">
            <v>334308.57</v>
          </cell>
          <cell r="BF182">
            <v>1047886.2</v>
          </cell>
          <cell r="BG182">
            <v>24564.54</v>
          </cell>
          <cell r="BH182">
            <v>73637.320000000007</v>
          </cell>
          <cell r="BI182">
            <v>0</v>
          </cell>
          <cell r="BJ182">
            <v>0</v>
          </cell>
          <cell r="BK182">
            <v>0</v>
          </cell>
          <cell r="BL182">
            <v>0</v>
          </cell>
          <cell r="BM182">
            <v>0</v>
          </cell>
          <cell r="BN182">
            <v>0</v>
          </cell>
          <cell r="BO182">
            <v>0</v>
          </cell>
          <cell r="BP182">
            <v>33091008</v>
          </cell>
          <cell r="BQ182">
            <v>207228</v>
          </cell>
          <cell r="BR182">
            <v>2521056</v>
          </cell>
          <cell r="BS182">
            <v>350042</v>
          </cell>
        </row>
        <row r="183">
          <cell r="A183">
            <v>176</v>
          </cell>
          <cell r="B183" t="str">
            <v>Newham</v>
          </cell>
          <cell r="C183" t="str">
            <v>E5045</v>
          </cell>
          <cell r="D183">
            <v>376969</v>
          </cell>
          <cell r="E183">
            <v>235256</v>
          </cell>
          <cell r="G183">
            <v>523830</v>
          </cell>
          <cell r="H183">
            <v>278</v>
          </cell>
          <cell r="I183">
            <v>376969</v>
          </cell>
          <cell r="J183">
            <v>309030.5</v>
          </cell>
          <cell r="K183">
            <v>0</v>
          </cell>
          <cell r="L183">
            <v>0</v>
          </cell>
          <cell r="M183">
            <v>0</v>
          </cell>
          <cell r="N183">
            <v>0</v>
          </cell>
          <cell r="O183">
            <v>0</v>
          </cell>
          <cell r="P183">
            <v>0</v>
          </cell>
          <cell r="Q183">
            <v>548641</v>
          </cell>
          <cell r="R183">
            <v>365761</v>
          </cell>
          <cell r="S183">
            <v>0</v>
          </cell>
          <cell r="T183">
            <v>172209</v>
          </cell>
          <cell r="U183">
            <v>114806</v>
          </cell>
          <cell r="V183">
            <v>0</v>
          </cell>
          <cell r="W183">
            <v>0</v>
          </cell>
          <cell r="X183">
            <v>0</v>
          </cell>
          <cell r="Y183">
            <v>0</v>
          </cell>
          <cell r="Z183">
            <v>0</v>
          </cell>
          <cell r="AA183">
            <v>0</v>
          </cell>
          <cell r="AB183">
            <v>0</v>
          </cell>
          <cell r="AC183">
            <v>836183.43949044577</v>
          </cell>
          <cell r="AD183">
            <v>557455.62632696389</v>
          </cell>
          <cell r="AE183">
            <v>0</v>
          </cell>
          <cell r="AF183">
            <v>0</v>
          </cell>
          <cell r="AG183">
            <v>0</v>
          </cell>
          <cell r="AH183">
            <v>0</v>
          </cell>
          <cell r="AI183">
            <v>0</v>
          </cell>
          <cell r="AJ183">
            <v>0</v>
          </cell>
          <cell r="AK183">
            <v>0</v>
          </cell>
          <cell r="AL183">
            <v>418897</v>
          </cell>
          <cell r="AM183">
            <v>274409</v>
          </cell>
          <cell r="AN183">
            <v>0</v>
          </cell>
          <cell r="AO183">
            <v>-1430265</v>
          </cell>
          <cell r="AP183">
            <v>-858159</v>
          </cell>
          <cell r="AQ183">
            <v>-572105</v>
          </cell>
          <cell r="AR183">
            <v>0</v>
          </cell>
          <cell r="AS183">
            <v>-2860529</v>
          </cell>
          <cell r="AT183">
            <v>-3134706</v>
          </cell>
          <cell r="AU183">
            <v>-1880823</v>
          </cell>
          <cell r="AV183">
            <v>-1253883</v>
          </cell>
          <cell r="AW183">
            <v>0</v>
          </cell>
          <cell r="AX183">
            <v>-6269412</v>
          </cell>
          <cell r="AY183">
            <v>119152128</v>
          </cell>
          <cell r="AZ183">
            <v>4153834</v>
          </cell>
          <cell r="BA183">
            <v>2450281</v>
          </cell>
          <cell r="BB183">
            <v>7096097</v>
          </cell>
          <cell r="BC183">
            <v>0</v>
          </cell>
          <cell r="BD183">
            <v>0</v>
          </cell>
          <cell r="BE183">
            <v>124729</v>
          </cell>
          <cell r="BF183">
            <v>5380016</v>
          </cell>
          <cell r="BG183">
            <v>0</v>
          </cell>
          <cell r="BH183">
            <v>0</v>
          </cell>
          <cell r="BI183">
            <v>0</v>
          </cell>
          <cell r="BJ183">
            <v>0</v>
          </cell>
          <cell r="BK183">
            <v>0</v>
          </cell>
          <cell r="BL183">
            <v>101389</v>
          </cell>
          <cell r="BM183">
            <v>101389</v>
          </cell>
          <cell r="BN183">
            <v>101389</v>
          </cell>
          <cell r="BO183">
            <v>0</v>
          </cell>
          <cell r="BP183">
            <v>126941201</v>
          </cell>
          <cell r="BQ183">
            <v>890086</v>
          </cell>
          <cell r="BR183">
            <v>5732251</v>
          </cell>
          <cell r="BS183">
            <v>6271248</v>
          </cell>
        </row>
        <row r="184">
          <cell r="A184">
            <v>177</v>
          </cell>
          <cell r="B184" t="str">
            <v>North Devon</v>
          </cell>
          <cell r="C184" t="str">
            <v>E1134</v>
          </cell>
          <cell r="D184">
            <v>201488</v>
          </cell>
          <cell r="G184">
            <v>115222</v>
          </cell>
          <cell r="H184">
            <v>0</v>
          </cell>
          <cell r="I184">
            <v>201488</v>
          </cell>
          <cell r="J184">
            <v>0</v>
          </cell>
          <cell r="K184">
            <v>25000</v>
          </cell>
          <cell r="L184">
            <v>0</v>
          </cell>
          <cell r="M184">
            <v>0</v>
          </cell>
          <cell r="N184">
            <v>0</v>
          </cell>
          <cell r="O184">
            <v>0</v>
          </cell>
          <cell r="P184">
            <v>0</v>
          </cell>
          <cell r="Q184">
            <v>758282</v>
          </cell>
          <cell r="R184">
            <v>170614</v>
          </cell>
          <cell r="S184">
            <v>18957</v>
          </cell>
          <cell r="T184">
            <v>14957</v>
          </cell>
          <cell r="U184">
            <v>3365</v>
          </cell>
          <cell r="V184">
            <v>374</v>
          </cell>
          <cell r="W184">
            <v>0</v>
          </cell>
          <cell r="X184">
            <v>0</v>
          </cell>
          <cell r="Y184">
            <v>0</v>
          </cell>
          <cell r="Z184">
            <v>0</v>
          </cell>
          <cell r="AA184">
            <v>0</v>
          </cell>
          <cell r="AB184">
            <v>0</v>
          </cell>
          <cell r="AC184">
            <v>299984.69978768582</v>
          </cell>
          <cell r="AD184">
            <v>67496.557452229288</v>
          </cell>
          <cell r="AE184">
            <v>7499.6174946921446</v>
          </cell>
          <cell r="AF184">
            <v>0</v>
          </cell>
          <cell r="AG184">
            <v>0</v>
          </cell>
          <cell r="AH184">
            <v>0</v>
          </cell>
          <cell r="AI184">
            <v>0</v>
          </cell>
          <cell r="AJ184">
            <v>0</v>
          </cell>
          <cell r="AK184">
            <v>0</v>
          </cell>
          <cell r="AL184">
            <v>136328</v>
          </cell>
          <cell r="AM184">
            <v>30133</v>
          </cell>
          <cell r="AN184">
            <v>3348</v>
          </cell>
          <cell r="AO184">
            <v>-378920</v>
          </cell>
          <cell r="AP184">
            <v>-303136</v>
          </cell>
          <cell r="AQ184">
            <v>-68206</v>
          </cell>
          <cell r="AR184">
            <v>-7578</v>
          </cell>
          <cell r="AS184">
            <v>-757840</v>
          </cell>
          <cell r="AT184">
            <v>-430553</v>
          </cell>
          <cell r="AU184">
            <v>-344442</v>
          </cell>
          <cell r="AV184">
            <v>-77499</v>
          </cell>
          <cell r="AW184">
            <v>-8611</v>
          </cell>
          <cell r="AX184">
            <v>-861105</v>
          </cell>
          <cell r="AY184">
            <v>30124701</v>
          </cell>
          <cell r="AZ184">
            <v>3745940</v>
          </cell>
          <cell r="BA184">
            <v>571690</v>
          </cell>
          <cell r="BB184">
            <v>1915697</v>
          </cell>
          <cell r="BC184">
            <v>121190</v>
          </cell>
          <cell r="BD184">
            <v>35200</v>
          </cell>
          <cell r="BE184">
            <v>1359</v>
          </cell>
          <cell r="BF184">
            <v>880278</v>
          </cell>
          <cell r="BG184">
            <v>109141</v>
          </cell>
          <cell r="BH184">
            <v>149197</v>
          </cell>
          <cell r="BI184">
            <v>9487</v>
          </cell>
          <cell r="BJ184">
            <v>14219</v>
          </cell>
          <cell r="BK184">
            <v>9727</v>
          </cell>
          <cell r="BL184">
            <v>0</v>
          </cell>
          <cell r="BM184">
            <v>0</v>
          </cell>
          <cell r="BN184">
            <v>0</v>
          </cell>
          <cell r="BO184">
            <v>0</v>
          </cell>
          <cell r="BP184">
            <v>31426686</v>
          </cell>
          <cell r="BQ184">
            <v>178118</v>
          </cell>
          <cell r="BR184">
            <v>1451198</v>
          </cell>
          <cell r="BS184">
            <v>881570</v>
          </cell>
        </row>
        <row r="185">
          <cell r="A185">
            <v>178</v>
          </cell>
          <cell r="B185" t="str">
            <v>North Dorset</v>
          </cell>
          <cell r="C185" t="str">
            <v>E1234</v>
          </cell>
          <cell r="D185">
            <v>92308</v>
          </cell>
          <cell r="G185">
            <v>61452</v>
          </cell>
          <cell r="H185">
            <v>0</v>
          </cell>
          <cell r="I185">
            <v>92308</v>
          </cell>
          <cell r="J185">
            <v>0</v>
          </cell>
          <cell r="K185">
            <v>0</v>
          </cell>
          <cell r="L185">
            <v>0</v>
          </cell>
          <cell r="M185">
            <v>0</v>
          </cell>
          <cell r="N185">
            <v>0</v>
          </cell>
          <cell r="O185">
            <v>0</v>
          </cell>
          <cell r="P185">
            <v>0</v>
          </cell>
          <cell r="Q185">
            <v>336727</v>
          </cell>
          <cell r="R185">
            <v>75764</v>
          </cell>
          <cell r="S185">
            <v>8418</v>
          </cell>
          <cell r="T185">
            <v>0</v>
          </cell>
          <cell r="U185">
            <v>0</v>
          </cell>
          <cell r="V185">
            <v>0</v>
          </cell>
          <cell r="W185">
            <v>0</v>
          </cell>
          <cell r="X185">
            <v>0</v>
          </cell>
          <cell r="Y185">
            <v>0</v>
          </cell>
          <cell r="Z185">
            <v>6875.8250530785563</v>
          </cell>
          <cell r="AA185">
            <v>1547.0606369426748</v>
          </cell>
          <cell r="AB185">
            <v>171.89562632696391</v>
          </cell>
          <cell r="AC185">
            <v>162702.66157112527</v>
          </cell>
          <cell r="AD185">
            <v>36608.098853503179</v>
          </cell>
          <cell r="AE185">
            <v>4067.5665392781316</v>
          </cell>
          <cell r="AF185">
            <v>0</v>
          </cell>
          <cell r="AG185">
            <v>0</v>
          </cell>
          <cell r="AH185">
            <v>0</v>
          </cell>
          <cell r="AI185">
            <v>0</v>
          </cell>
          <cell r="AJ185">
            <v>0</v>
          </cell>
          <cell r="AK185">
            <v>0</v>
          </cell>
          <cell r="AL185">
            <v>56385</v>
          </cell>
          <cell r="AM185">
            <v>12466</v>
          </cell>
          <cell r="AN185">
            <v>1385</v>
          </cell>
          <cell r="AO185">
            <v>-133914</v>
          </cell>
          <cell r="AP185">
            <v>-107131</v>
          </cell>
          <cell r="AQ185">
            <v>-24105</v>
          </cell>
          <cell r="AR185">
            <v>-2679</v>
          </cell>
          <cell r="AS185">
            <v>-267829</v>
          </cell>
          <cell r="AT185">
            <v>-215732</v>
          </cell>
          <cell r="AU185">
            <v>-172586</v>
          </cell>
          <cell r="AV185">
            <v>-38832</v>
          </cell>
          <cell r="AW185">
            <v>-4315</v>
          </cell>
          <cell r="AX185">
            <v>-431465</v>
          </cell>
          <cell r="AY185">
            <v>12589147</v>
          </cell>
          <cell r="AZ185">
            <v>1641159</v>
          </cell>
          <cell r="BA185">
            <v>256431</v>
          </cell>
          <cell r="BB185">
            <v>2397096</v>
          </cell>
          <cell r="BC185">
            <v>0</v>
          </cell>
          <cell r="BD185">
            <v>37708</v>
          </cell>
          <cell r="BE185">
            <v>0</v>
          </cell>
          <cell r="BF185">
            <v>354388</v>
          </cell>
          <cell r="BG185">
            <v>30783</v>
          </cell>
          <cell r="BH185">
            <v>14299</v>
          </cell>
          <cell r="BI185">
            <v>0</v>
          </cell>
          <cell r="BJ185">
            <v>4157</v>
          </cell>
          <cell r="BK185">
            <v>0</v>
          </cell>
          <cell r="BL185">
            <v>0</v>
          </cell>
          <cell r="BM185">
            <v>0</v>
          </cell>
          <cell r="BN185">
            <v>0</v>
          </cell>
          <cell r="BO185">
            <v>0</v>
          </cell>
          <cell r="BP185">
            <v>13207643</v>
          </cell>
          <cell r="BQ185">
            <v>-12703</v>
          </cell>
          <cell r="BR185">
            <v>427872</v>
          </cell>
          <cell r="BS185">
            <v>154460</v>
          </cell>
        </row>
        <row r="186">
          <cell r="A186">
            <v>179</v>
          </cell>
          <cell r="B186" t="str">
            <v>North East Derbyshire</v>
          </cell>
          <cell r="C186" t="str">
            <v>E1038</v>
          </cell>
          <cell r="D186">
            <v>97897</v>
          </cell>
          <cell r="G186">
            <v>36051</v>
          </cell>
          <cell r="H186">
            <v>0</v>
          </cell>
          <cell r="I186">
            <v>97897</v>
          </cell>
          <cell r="J186">
            <v>0</v>
          </cell>
          <cell r="K186">
            <v>0</v>
          </cell>
          <cell r="L186">
            <v>0</v>
          </cell>
          <cell r="M186">
            <v>0</v>
          </cell>
          <cell r="N186">
            <v>0</v>
          </cell>
          <cell r="O186">
            <v>0</v>
          </cell>
          <cell r="P186">
            <v>0</v>
          </cell>
          <cell r="Q186">
            <v>322260</v>
          </cell>
          <cell r="R186">
            <v>72508</v>
          </cell>
          <cell r="S186">
            <v>8056</v>
          </cell>
          <cell r="T186">
            <v>0</v>
          </cell>
          <cell r="U186">
            <v>0</v>
          </cell>
          <cell r="V186">
            <v>0</v>
          </cell>
          <cell r="W186">
            <v>0</v>
          </cell>
          <cell r="X186">
            <v>0</v>
          </cell>
          <cell r="Y186">
            <v>0</v>
          </cell>
          <cell r="Z186">
            <v>0</v>
          </cell>
          <cell r="AA186">
            <v>0</v>
          </cell>
          <cell r="AB186">
            <v>0</v>
          </cell>
          <cell r="AC186">
            <v>109509.9142250531</v>
          </cell>
          <cell r="AD186">
            <v>24639.730700636941</v>
          </cell>
          <cell r="AE186">
            <v>2737.7478556263272</v>
          </cell>
          <cell r="AF186">
            <v>0</v>
          </cell>
          <cell r="AG186">
            <v>0</v>
          </cell>
          <cell r="AH186">
            <v>0</v>
          </cell>
          <cell r="AI186">
            <v>0</v>
          </cell>
          <cell r="AJ186">
            <v>0</v>
          </cell>
          <cell r="AK186">
            <v>0</v>
          </cell>
          <cell r="AL186">
            <v>66156</v>
          </cell>
          <cell r="AM186">
            <v>14651</v>
          </cell>
          <cell r="AN186">
            <v>1628</v>
          </cell>
          <cell r="AO186">
            <v>-68510</v>
          </cell>
          <cell r="AP186">
            <v>-54809</v>
          </cell>
          <cell r="AQ186">
            <v>-12332</v>
          </cell>
          <cell r="AR186">
            <v>-1370</v>
          </cell>
          <cell r="AS186">
            <v>-137021</v>
          </cell>
          <cell r="AT186">
            <v>-389608.24</v>
          </cell>
          <cell r="AU186">
            <v>-311686</v>
          </cell>
          <cell r="AV186">
            <v>-70130</v>
          </cell>
          <cell r="AW186">
            <v>-7792</v>
          </cell>
          <cell r="AX186">
            <v>-779216.24</v>
          </cell>
          <cell r="AY186">
            <v>14474620</v>
          </cell>
          <cell r="AZ186">
            <v>1562410.82</v>
          </cell>
          <cell r="BA186">
            <v>270719.14</v>
          </cell>
          <cell r="BB186">
            <v>449086.97</v>
          </cell>
          <cell r="BC186">
            <v>9777.9599999999991</v>
          </cell>
          <cell r="BD186">
            <v>5027.24</v>
          </cell>
          <cell r="BE186">
            <v>230036.58</v>
          </cell>
          <cell r="BF186">
            <v>594859.86</v>
          </cell>
          <cell r="BG186">
            <v>24334.2</v>
          </cell>
          <cell r="BH186">
            <v>17019.759999999998</v>
          </cell>
          <cell r="BI186">
            <v>216.66</v>
          </cell>
          <cell r="BJ186">
            <v>1206.93</v>
          </cell>
          <cell r="BK186">
            <v>0</v>
          </cell>
          <cell r="BL186">
            <v>0</v>
          </cell>
          <cell r="BM186">
            <v>0</v>
          </cell>
          <cell r="BN186">
            <v>0</v>
          </cell>
          <cell r="BO186">
            <v>0</v>
          </cell>
          <cell r="BP186">
            <v>15481604</v>
          </cell>
          <cell r="BQ186">
            <v>192848.17</v>
          </cell>
          <cell r="BR186">
            <v>602639</v>
          </cell>
          <cell r="BS186">
            <v>751706.82</v>
          </cell>
        </row>
        <row r="187">
          <cell r="A187">
            <v>180</v>
          </cell>
          <cell r="B187" t="str">
            <v>North East Lincolnshire</v>
          </cell>
          <cell r="C187" t="str">
            <v>E2003</v>
          </cell>
          <cell r="D187">
            <v>239474</v>
          </cell>
          <cell r="E187">
            <v>0</v>
          </cell>
          <cell r="G187">
            <v>-17659</v>
          </cell>
          <cell r="H187">
            <v>0</v>
          </cell>
          <cell r="I187">
            <v>239474</v>
          </cell>
          <cell r="J187">
            <v>0</v>
          </cell>
          <cell r="K187">
            <v>0</v>
          </cell>
          <cell r="L187">
            <v>0</v>
          </cell>
          <cell r="M187">
            <v>0</v>
          </cell>
          <cell r="N187">
            <v>0</v>
          </cell>
          <cell r="O187">
            <v>0</v>
          </cell>
          <cell r="P187">
            <v>0</v>
          </cell>
          <cell r="Q187">
            <v>764839</v>
          </cell>
          <cell r="R187">
            <v>0</v>
          </cell>
          <cell r="S187">
            <v>15609</v>
          </cell>
          <cell r="T187">
            <v>14361</v>
          </cell>
          <cell r="U187">
            <v>0</v>
          </cell>
          <cell r="V187">
            <v>293</v>
          </cell>
          <cell r="W187">
            <v>0</v>
          </cell>
          <cell r="X187">
            <v>0</v>
          </cell>
          <cell r="Y187">
            <v>0</v>
          </cell>
          <cell r="Z187">
            <v>34168.917197452225</v>
          </cell>
          <cell r="AA187">
            <v>6.0483288582783703E-13</v>
          </cell>
          <cell r="AB187">
            <v>697.32484076433116</v>
          </cell>
          <cell r="AC187">
            <v>359516.4331210191</v>
          </cell>
          <cell r="AD187">
            <v>6.3638938421885466E-12</v>
          </cell>
          <cell r="AE187">
            <v>7337.0700636942674</v>
          </cell>
          <cell r="AF187">
            <v>917932</v>
          </cell>
          <cell r="AG187">
            <v>0</v>
          </cell>
          <cell r="AH187">
            <v>0</v>
          </cell>
          <cell r="AI187">
            <v>449787</v>
          </cell>
          <cell r="AJ187">
            <v>7.9617909487517124E-12</v>
          </cell>
          <cell r="AK187">
            <v>9179.32</v>
          </cell>
          <cell r="AL187">
            <v>343552</v>
          </cell>
          <cell r="AM187">
            <v>0</v>
          </cell>
          <cell r="AN187">
            <v>6959</v>
          </cell>
          <cell r="AO187">
            <v>-1392717</v>
          </cell>
          <cell r="AP187">
            <v>-1364862</v>
          </cell>
          <cell r="AQ187">
            <v>0</v>
          </cell>
          <cell r="AR187">
            <v>-27854</v>
          </cell>
          <cell r="AS187">
            <v>-2785433</v>
          </cell>
          <cell r="AT187">
            <v>-2045817</v>
          </cell>
          <cell r="AU187">
            <v>-2004900</v>
          </cell>
          <cell r="AV187">
            <v>0</v>
          </cell>
          <cell r="AW187">
            <v>-40917</v>
          </cell>
          <cell r="AX187">
            <v>-4091634</v>
          </cell>
          <cell r="AY187">
            <v>59897745</v>
          </cell>
          <cell r="AZ187">
            <v>3048929</v>
          </cell>
          <cell r="BA187">
            <v>1189624</v>
          </cell>
          <cell r="BB187">
            <v>2654107</v>
          </cell>
          <cell r="BC187">
            <v>87455</v>
          </cell>
          <cell r="BD187">
            <v>565</v>
          </cell>
          <cell r="BE187">
            <v>136495</v>
          </cell>
          <cell r="BF187">
            <v>2166144</v>
          </cell>
          <cell r="BG187">
            <v>39579</v>
          </cell>
          <cell r="BH187">
            <v>436846</v>
          </cell>
          <cell r="BI187">
            <v>2714</v>
          </cell>
          <cell r="BJ187">
            <v>565</v>
          </cell>
          <cell r="BK187">
            <v>0</v>
          </cell>
          <cell r="BL187">
            <v>0</v>
          </cell>
          <cell r="BM187">
            <v>0</v>
          </cell>
          <cell r="BN187">
            <v>0</v>
          </cell>
          <cell r="BO187">
            <v>0</v>
          </cell>
          <cell r="BP187">
            <v>64530873</v>
          </cell>
          <cell r="BQ187">
            <v>652310</v>
          </cell>
          <cell r="BR187">
            <v>7167107</v>
          </cell>
          <cell r="BS187">
            <v>622906.98</v>
          </cell>
        </row>
        <row r="188">
          <cell r="A188">
            <v>181</v>
          </cell>
          <cell r="B188" t="str">
            <v>North Hertfordshire</v>
          </cell>
          <cell r="C188" t="str">
            <v>E1935</v>
          </cell>
          <cell r="D188">
            <v>180795</v>
          </cell>
          <cell r="G188">
            <v>77000</v>
          </cell>
          <cell r="H188">
            <v>0</v>
          </cell>
          <cell r="I188">
            <v>180795</v>
          </cell>
          <cell r="J188">
            <v>0</v>
          </cell>
          <cell r="K188">
            <v>0</v>
          </cell>
          <cell r="L188">
            <v>0</v>
          </cell>
          <cell r="M188">
            <v>0</v>
          </cell>
          <cell r="N188">
            <v>0</v>
          </cell>
          <cell r="O188">
            <v>0</v>
          </cell>
          <cell r="P188">
            <v>0</v>
          </cell>
          <cell r="Q188">
            <v>478603</v>
          </cell>
          <cell r="R188">
            <v>119651</v>
          </cell>
          <cell r="S188">
            <v>0</v>
          </cell>
          <cell r="T188">
            <v>0</v>
          </cell>
          <cell r="U188">
            <v>0</v>
          </cell>
          <cell r="V188">
            <v>0</v>
          </cell>
          <cell r="W188">
            <v>0</v>
          </cell>
          <cell r="X188">
            <v>0</v>
          </cell>
          <cell r="Y188">
            <v>0</v>
          </cell>
          <cell r="Z188">
            <v>20212.31422505308</v>
          </cell>
          <cell r="AA188">
            <v>5053.0785562632682</v>
          </cell>
          <cell r="AB188">
            <v>0</v>
          </cell>
          <cell r="AC188">
            <v>242547.77070063693</v>
          </cell>
          <cell r="AD188">
            <v>60636.942675159218</v>
          </cell>
          <cell r="AE188">
            <v>0</v>
          </cell>
          <cell r="AF188">
            <v>0</v>
          </cell>
          <cell r="AG188">
            <v>0</v>
          </cell>
          <cell r="AH188">
            <v>0</v>
          </cell>
          <cell r="AI188">
            <v>436</v>
          </cell>
          <cell r="AJ188">
            <v>108.99999999999997</v>
          </cell>
          <cell r="AK188">
            <v>0</v>
          </cell>
          <cell r="AL188">
            <v>161425</v>
          </cell>
          <cell r="AM188">
            <v>39877</v>
          </cell>
          <cell r="AN188">
            <v>0</v>
          </cell>
          <cell r="AO188">
            <v>-135246</v>
          </cell>
          <cell r="AP188">
            <v>-108197</v>
          </cell>
          <cell r="AQ188">
            <v>-27049</v>
          </cell>
          <cell r="AR188">
            <v>0</v>
          </cell>
          <cell r="AS188">
            <v>-270492</v>
          </cell>
          <cell r="AT188">
            <v>-670252</v>
          </cell>
          <cell r="AU188">
            <v>-536202</v>
          </cell>
          <cell r="AV188">
            <v>-134050</v>
          </cell>
          <cell r="AW188">
            <v>0</v>
          </cell>
          <cell r="AX188">
            <v>-1340504</v>
          </cell>
          <cell r="AY188">
            <v>35153916</v>
          </cell>
          <cell r="AZ188">
            <v>2223924</v>
          </cell>
          <cell r="BA188">
            <v>701803</v>
          </cell>
          <cell r="BB188">
            <v>2408916</v>
          </cell>
          <cell r="BC188">
            <v>125386</v>
          </cell>
          <cell r="BD188">
            <v>11732</v>
          </cell>
          <cell r="BE188">
            <v>15114</v>
          </cell>
          <cell r="BF188">
            <v>1807412</v>
          </cell>
          <cell r="BG188">
            <v>169843</v>
          </cell>
          <cell r="BH188">
            <v>100439</v>
          </cell>
          <cell r="BI188">
            <v>14847</v>
          </cell>
          <cell r="BJ188">
            <v>9286</v>
          </cell>
          <cell r="BK188">
            <v>10846</v>
          </cell>
          <cell r="BL188">
            <v>0</v>
          </cell>
          <cell r="BM188">
            <v>0</v>
          </cell>
          <cell r="BN188">
            <v>0</v>
          </cell>
          <cell r="BO188">
            <v>0</v>
          </cell>
          <cell r="BP188">
            <v>37682429</v>
          </cell>
          <cell r="BQ188">
            <v>381612</v>
          </cell>
          <cell r="BR188">
            <v>2135620</v>
          </cell>
          <cell r="BS188">
            <v>607026</v>
          </cell>
        </row>
        <row r="189">
          <cell r="A189">
            <v>182</v>
          </cell>
          <cell r="B189" t="str">
            <v>North Kesteven</v>
          </cell>
          <cell r="C189" t="str">
            <v>E2534</v>
          </cell>
          <cell r="D189">
            <v>122926</v>
          </cell>
          <cell r="G189">
            <v>19391</v>
          </cell>
          <cell r="H189">
            <v>0</v>
          </cell>
          <cell r="I189">
            <v>122926</v>
          </cell>
          <cell r="J189">
            <v>0</v>
          </cell>
          <cell r="K189">
            <v>300000</v>
          </cell>
          <cell r="L189">
            <v>0</v>
          </cell>
          <cell r="M189">
            <v>0</v>
          </cell>
          <cell r="N189">
            <v>0</v>
          </cell>
          <cell r="O189">
            <v>0</v>
          </cell>
          <cell r="P189">
            <v>0</v>
          </cell>
          <cell r="Q189">
            <v>432434</v>
          </cell>
          <cell r="R189">
            <v>108108</v>
          </cell>
          <cell r="S189">
            <v>0</v>
          </cell>
          <cell r="T189">
            <v>2022</v>
          </cell>
          <cell r="U189">
            <v>505</v>
          </cell>
          <cell r="V189">
            <v>0</v>
          </cell>
          <cell r="W189">
            <v>20212</v>
          </cell>
          <cell r="X189">
            <v>5053</v>
          </cell>
          <cell r="Y189">
            <v>0</v>
          </cell>
          <cell r="Z189">
            <v>14552.866242038217</v>
          </cell>
          <cell r="AA189">
            <v>3638.2165605095533</v>
          </cell>
          <cell r="AB189">
            <v>0</v>
          </cell>
          <cell r="AC189">
            <v>161698.51380042464</v>
          </cell>
          <cell r="AD189">
            <v>40424.628450106145</v>
          </cell>
          <cell r="AE189">
            <v>0</v>
          </cell>
          <cell r="AF189">
            <v>0</v>
          </cell>
          <cell r="AG189">
            <v>0</v>
          </cell>
          <cell r="AH189">
            <v>0</v>
          </cell>
          <cell r="AI189">
            <v>0</v>
          </cell>
          <cell r="AJ189">
            <v>0</v>
          </cell>
          <cell r="AK189">
            <v>0</v>
          </cell>
          <cell r="AL189">
            <v>100843</v>
          </cell>
          <cell r="AM189">
            <v>24088</v>
          </cell>
          <cell r="AN189">
            <v>0</v>
          </cell>
          <cell r="AO189">
            <v>-97500</v>
          </cell>
          <cell r="AP189">
            <v>-78000</v>
          </cell>
          <cell r="AQ189">
            <v>-19500</v>
          </cell>
          <cell r="AR189">
            <v>0</v>
          </cell>
          <cell r="AS189">
            <v>-195000</v>
          </cell>
          <cell r="AT189">
            <v>-439526</v>
          </cell>
          <cell r="AU189">
            <v>-351621</v>
          </cell>
          <cell r="AV189">
            <v>-87905</v>
          </cell>
          <cell r="AW189">
            <v>0</v>
          </cell>
          <cell r="AX189">
            <v>-879052</v>
          </cell>
          <cell r="AY189">
            <v>21725651</v>
          </cell>
          <cell r="AZ189">
            <v>2103031.04</v>
          </cell>
          <cell r="BA189">
            <v>395129.3</v>
          </cell>
          <cell r="BB189">
            <v>1518378.92</v>
          </cell>
          <cell r="BC189">
            <v>43200.12</v>
          </cell>
          <cell r="BD189">
            <v>47878.27</v>
          </cell>
          <cell r="BE189">
            <v>11352.39</v>
          </cell>
          <cell r="BF189">
            <v>742369.48</v>
          </cell>
          <cell r="BG189">
            <v>62929.32</v>
          </cell>
          <cell r="BH189">
            <v>2632.02</v>
          </cell>
          <cell r="BI189">
            <v>0</v>
          </cell>
          <cell r="BJ189">
            <v>9922.4</v>
          </cell>
          <cell r="BK189">
            <v>0</v>
          </cell>
          <cell r="BL189">
            <v>0</v>
          </cell>
          <cell r="BM189">
            <v>0</v>
          </cell>
          <cell r="BN189">
            <v>0</v>
          </cell>
          <cell r="BO189">
            <v>0</v>
          </cell>
          <cell r="BP189">
            <v>22750134.399999999</v>
          </cell>
          <cell r="BQ189">
            <v>24267.19</v>
          </cell>
          <cell r="BR189">
            <v>493793</v>
          </cell>
          <cell r="BS189">
            <v>411853.98</v>
          </cell>
        </row>
        <row r="190">
          <cell r="A190">
            <v>183</v>
          </cell>
          <cell r="B190" t="str">
            <v>North Lincolnshire</v>
          </cell>
          <cell r="C190" t="str">
            <v>E2004</v>
          </cell>
          <cell r="D190">
            <v>252128</v>
          </cell>
          <cell r="E190">
            <v>957044</v>
          </cell>
          <cell r="G190">
            <v>398427</v>
          </cell>
          <cell r="H190">
            <v>0</v>
          </cell>
          <cell r="I190">
            <v>252128</v>
          </cell>
          <cell r="J190">
            <v>0</v>
          </cell>
          <cell r="K190">
            <v>832660</v>
          </cell>
          <cell r="L190">
            <v>0</v>
          </cell>
          <cell r="M190">
            <v>0</v>
          </cell>
          <cell r="N190">
            <v>0</v>
          </cell>
          <cell r="O190">
            <v>0</v>
          </cell>
          <cell r="P190">
            <v>0</v>
          </cell>
          <cell r="Q190">
            <v>798205</v>
          </cell>
          <cell r="R190">
            <v>0</v>
          </cell>
          <cell r="S190">
            <v>16290</v>
          </cell>
          <cell r="T190">
            <v>24760</v>
          </cell>
          <cell r="U190">
            <v>0</v>
          </cell>
          <cell r="V190">
            <v>505</v>
          </cell>
          <cell r="W190">
            <v>0</v>
          </cell>
          <cell r="X190">
            <v>0</v>
          </cell>
          <cell r="Y190">
            <v>0</v>
          </cell>
          <cell r="Z190">
            <v>46053.757961783442</v>
          </cell>
          <cell r="AA190">
            <v>8.1520954176795434E-13</v>
          </cell>
          <cell r="AB190">
            <v>939.87261146496826</v>
          </cell>
          <cell r="AC190">
            <v>328318.72611464967</v>
          </cell>
          <cell r="AD190">
            <v>5.8116551203457385E-12</v>
          </cell>
          <cell r="AE190">
            <v>6700.382165605095</v>
          </cell>
          <cell r="AF190">
            <v>0</v>
          </cell>
          <cell r="AG190">
            <v>0</v>
          </cell>
          <cell r="AH190">
            <v>0</v>
          </cell>
          <cell r="AI190">
            <v>32043</v>
          </cell>
          <cell r="AJ190">
            <v>5.6719386132275673E-13</v>
          </cell>
          <cell r="AK190">
            <v>653.93000000000006</v>
          </cell>
          <cell r="AL190">
            <v>443477</v>
          </cell>
          <cell r="AM190">
            <v>0</v>
          </cell>
          <cell r="AN190">
            <v>8816</v>
          </cell>
          <cell r="AO190">
            <v>-296050</v>
          </cell>
          <cell r="AP190">
            <v>-290129</v>
          </cell>
          <cell r="AQ190">
            <v>0</v>
          </cell>
          <cell r="AR190">
            <v>-5921</v>
          </cell>
          <cell r="AS190">
            <v>-592100</v>
          </cell>
          <cell r="AT190">
            <v>-4542036</v>
          </cell>
          <cell r="AU190">
            <v>-4451195</v>
          </cell>
          <cell r="AV190">
            <v>0</v>
          </cell>
          <cell r="AW190">
            <v>-90840</v>
          </cell>
          <cell r="AX190">
            <v>-9084071</v>
          </cell>
          <cell r="AY190">
            <v>81136166</v>
          </cell>
          <cell r="AZ190">
            <v>3198887</v>
          </cell>
          <cell r="BA190">
            <v>1749955</v>
          </cell>
          <cell r="BB190">
            <v>1883587</v>
          </cell>
          <cell r="BC190">
            <v>33898</v>
          </cell>
          <cell r="BD190">
            <v>23815</v>
          </cell>
          <cell r="BE190">
            <v>17632</v>
          </cell>
          <cell r="BF190">
            <v>3435773</v>
          </cell>
          <cell r="BG190">
            <v>70640</v>
          </cell>
          <cell r="BH190">
            <v>60133</v>
          </cell>
          <cell r="BI190">
            <v>3843</v>
          </cell>
          <cell r="BJ190">
            <v>21611</v>
          </cell>
          <cell r="BK190">
            <v>4960</v>
          </cell>
          <cell r="BL190">
            <v>0</v>
          </cell>
          <cell r="BM190">
            <v>0</v>
          </cell>
          <cell r="BN190">
            <v>0</v>
          </cell>
          <cell r="BO190">
            <v>0</v>
          </cell>
          <cell r="BP190">
            <v>87970309</v>
          </cell>
          <cell r="BQ190">
            <v>366892</v>
          </cell>
          <cell r="BR190">
            <v>4195467</v>
          </cell>
          <cell r="BS190">
            <v>1132545</v>
          </cell>
        </row>
        <row r="191">
          <cell r="A191">
            <v>184</v>
          </cell>
          <cell r="B191" t="str">
            <v>North Norfolk</v>
          </cell>
          <cell r="C191" t="str">
            <v>E2635</v>
          </cell>
          <cell r="D191">
            <v>233476</v>
          </cell>
          <cell r="G191">
            <v>179360</v>
          </cell>
          <cell r="H191">
            <v>0</v>
          </cell>
          <cell r="I191">
            <v>233476</v>
          </cell>
          <cell r="J191">
            <v>0</v>
          </cell>
          <cell r="K191">
            <v>46012</v>
          </cell>
          <cell r="L191">
            <v>0</v>
          </cell>
          <cell r="M191">
            <v>0</v>
          </cell>
          <cell r="N191">
            <v>0</v>
          </cell>
          <cell r="O191">
            <v>0</v>
          </cell>
          <cell r="P191">
            <v>0</v>
          </cell>
          <cell r="Q191">
            <v>697189</v>
          </cell>
          <cell r="R191">
            <v>174297</v>
          </cell>
          <cell r="S191">
            <v>0</v>
          </cell>
          <cell r="T191">
            <v>8894</v>
          </cell>
          <cell r="U191">
            <v>2223</v>
          </cell>
          <cell r="V191">
            <v>0</v>
          </cell>
          <cell r="W191">
            <v>2022</v>
          </cell>
          <cell r="X191">
            <v>505</v>
          </cell>
          <cell r="Y191">
            <v>0</v>
          </cell>
          <cell r="Z191">
            <v>30318.471337579616</v>
          </cell>
          <cell r="AA191">
            <v>7579.6178343949023</v>
          </cell>
          <cell r="AB191">
            <v>0</v>
          </cell>
          <cell r="AC191">
            <v>362608.91719745222</v>
          </cell>
          <cell r="AD191">
            <v>90652.229299363025</v>
          </cell>
          <cell r="AE191">
            <v>0</v>
          </cell>
          <cell r="AF191">
            <v>0</v>
          </cell>
          <cell r="AG191">
            <v>0</v>
          </cell>
          <cell r="AH191">
            <v>0</v>
          </cell>
          <cell r="AI191">
            <v>0</v>
          </cell>
          <cell r="AJ191">
            <v>0</v>
          </cell>
          <cell r="AK191">
            <v>0</v>
          </cell>
          <cell r="AL191">
            <v>106196</v>
          </cell>
          <cell r="AM191">
            <v>25807</v>
          </cell>
          <cell r="AN191">
            <v>0</v>
          </cell>
          <cell r="AO191">
            <v>-100960</v>
          </cell>
          <cell r="AP191">
            <v>-80768</v>
          </cell>
          <cell r="AQ191">
            <v>-20192</v>
          </cell>
          <cell r="AR191">
            <v>0</v>
          </cell>
          <cell r="AS191">
            <v>-201920</v>
          </cell>
          <cell r="AT191">
            <v>-225053</v>
          </cell>
          <cell r="AU191">
            <v>-180041</v>
          </cell>
          <cell r="AV191">
            <v>-45010</v>
          </cell>
          <cell r="AW191">
            <v>0</v>
          </cell>
          <cell r="AX191">
            <v>-450104</v>
          </cell>
          <cell r="AY191">
            <v>23321410</v>
          </cell>
          <cell r="AZ191">
            <v>3960525.41</v>
          </cell>
          <cell r="BA191">
            <v>400162.43</v>
          </cell>
          <cell r="BB191">
            <v>1329566.58</v>
          </cell>
          <cell r="BC191">
            <v>57179.41</v>
          </cell>
          <cell r="BD191">
            <v>96366.93</v>
          </cell>
          <cell r="BE191">
            <v>2236.63</v>
          </cell>
          <cell r="BF191">
            <v>450816.22</v>
          </cell>
          <cell r="BG191">
            <v>20495.900000000001</v>
          </cell>
          <cell r="BH191">
            <v>177178.8</v>
          </cell>
          <cell r="BI191">
            <v>0</v>
          </cell>
          <cell r="BJ191">
            <v>12905.72</v>
          </cell>
          <cell r="BK191">
            <v>0</v>
          </cell>
          <cell r="BL191">
            <v>0</v>
          </cell>
          <cell r="BM191">
            <v>0</v>
          </cell>
          <cell r="BN191">
            <v>0</v>
          </cell>
          <cell r="BO191">
            <v>0</v>
          </cell>
          <cell r="BP191">
            <v>23910537.100000001</v>
          </cell>
          <cell r="BQ191">
            <v>86893</v>
          </cell>
          <cell r="BR191">
            <v>359621</v>
          </cell>
          <cell r="BS191">
            <v>400184</v>
          </cell>
        </row>
        <row r="192">
          <cell r="A192">
            <v>185</v>
          </cell>
          <cell r="B192" t="str">
            <v>North Somerset</v>
          </cell>
          <cell r="C192" t="str">
            <v>E0104</v>
          </cell>
          <cell r="D192">
            <v>258158</v>
          </cell>
          <cell r="E192">
            <v>194973</v>
          </cell>
          <cell r="G192">
            <v>104805</v>
          </cell>
          <cell r="H192">
            <v>385</v>
          </cell>
          <cell r="I192">
            <v>258158</v>
          </cell>
          <cell r="J192">
            <v>135355</v>
          </cell>
          <cell r="K192">
            <v>0</v>
          </cell>
          <cell r="L192">
            <v>0</v>
          </cell>
          <cell r="M192">
            <v>0</v>
          </cell>
          <cell r="N192">
            <v>0</v>
          </cell>
          <cell r="O192">
            <v>0</v>
          </cell>
          <cell r="P192">
            <v>0</v>
          </cell>
          <cell r="Q192">
            <v>866825</v>
          </cell>
          <cell r="R192">
            <v>0</v>
          </cell>
          <cell r="S192">
            <v>17690</v>
          </cell>
          <cell r="T192">
            <v>90715</v>
          </cell>
          <cell r="U192">
            <v>0</v>
          </cell>
          <cell r="V192">
            <v>1851</v>
          </cell>
          <cell r="W192">
            <v>90364</v>
          </cell>
          <cell r="X192">
            <v>0</v>
          </cell>
          <cell r="Y192">
            <v>1844</v>
          </cell>
          <cell r="Z192">
            <v>12480.568407643312</v>
          </cell>
          <cell r="AA192">
            <v>2.2092178581911561E-13</v>
          </cell>
          <cell r="AB192">
            <v>254.70547770700637</v>
          </cell>
          <cell r="AC192">
            <v>466660.25341825903</v>
          </cell>
          <cell r="AD192">
            <v>8.2604744582646943E-12</v>
          </cell>
          <cell r="AE192">
            <v>9523.6786411889607</v>
          </cell>
          <cell r="AF192">
            <v>0</v>
          </cell>
          <cell r="AG192">
            <v>0</v>
          </cell>
          <cell r="AH192">
            <v>0</v>
          </cell>
          <cell r="AI192">
            <v>0</v>
          </cell>
          <cell r="AJ192">
            <v>0</v>
          </cell>
          <cell r="AK192">
            <v>0</v>
          </cell>
          <cell r="AL192">
            <v>294012</v>
          </cell>
          <cell r="AM192">
            <v>0</v>
          </cell>
          <cell r="AN192">
            <v>5915</v>
          </cell>
          <cell r="AO192">
            <v>-1534282.31</v>
          </cell>
          <cell r="AP192">
            <v>-1503597</v>
          </cell>
          <cell r="AQ192">
            <v>0</v>
          </cell>
          <cell r="AR192">
            <v>-30686</v>
          </cell>
          <cell r="AS192">
            <v>-3068565.31</v>
          </cell>
          <cell r="AT192">
            <v>-1855757.35</v>
          </cell>
          <cell r="AU192">
            <v>-1818642</v>
          </cell>
          <cell r="AV192">
            <v>0</v>
          </cell>
          <cell r="AW192">
            <v>-37115</v>
          </cell>
          <cell r="AX192">
            <v>-3711514.35</v>
          </cell>
          <cell r="AY192">
            <v>54159789</v>
          </cell>
          <cell r="AZ192">
            <v>3647005</v>
          </cell>
          <cell r="BA192">
            <v>1109662</v>
          </cell>
          <cell r="BB192">
            <v>3720466</v>
          </cell>
          <cell r="BC192">
            <v>106415</v>
          </cell>
          <cell r="BD192">
            <v>17608</v>
          </cell>
          <cell r="BE192">
            <v>43869</v>
          </cell>
          <cell r="BF192">
            <v>2752135</v>
          </cell>
          <cell r="BG192">
            <v>62902</v>
          </cell>
          <cell r="BH192">
            <v>635530</v>
          </cell>
          <cell r="BI192">
            <v>0</v>
          </cell>
          <cell r="BJ192">
            <v>5025</v>
          </cell>
          <cell r="BK192">
            <v>290</v>
          </cell>
          <cell r="BL192">
            <v>0</v>
          </cell>
          <cell r="BM192">
            <v>0</v>
          </cell>
          <cell r="BN192">
            <v>0</v>
          </cell>
          <cell r="BO192">
            <v>0</v>
          </cell>
          <cell r="BP192">
            <v>59010427</v>
          </cell>
          <cell r="BQ192">
            <v>0</v>
          </cell>
          <cell r="BR192">
            <v>5361769</v>
          </cell>
          <cell r="BS192">
            <v>872777.64</v>
          </cell>
        </row>
        <row r="193">
          <cell r="A193">
            <v>186</v>
          </cell>
          <cell r="B193" t="str">
            <v>North Tyneside</v>
          </cell>
          <cell r="C193" t="str">
            <v>E4503</v>
          </cell>
          <cell r="D193">
            <v>229556</v>
          </cell>
          <cell r="E193">
            <v>540515</v>
          </cell>
          <cell r="G193">
            <v>3088</v>
          </cell>
          <cell r="H193">
            <v>0</v>
          </cell>
          <cell r="I193">
            <v>229556</v>
          </cell>
          <cell r="J193">
            <v>19833</v>
          </cell>
          <cell r="K193">
            <v>0</v>
          </cell>
          <cell r="L193">
            <v>0</v>
          </cell>
          <cell r="M193">
            <v>0</v>
          </cell>
          <cell r="N193">
            <v>0</v>
          </cell>
          <cell r="O193">
            <v>0</v>
          </cell>
          <cell r="P193">
            <v>0</v>
          </cell>
          <cell r="Q193">
            <v>789188</v>
          </cell>
          <cell r="R193">
            <v>0</v>
          </cell>
          <cell r="S193">
            <v>16106</v>
          </cell>
          <cell r="T193">
            <v>0</v>
          </cell>
          <cell r="U193">
            <v>0</v>
          </cell>
          <cell r="V193">
            <v>0</v>
          </cell>
          <cell r="W193">
            <v>0</v>
          </cell>
          <cell r="X193">
            <v>0</v>
          </cell>
          <cell r="Y193">
            <v>0</v>
          </cell>
          <cell r="Z193">
            <v>39616.135881104034</v>
          </cell>
          <cell r="AA193">
            <v>7.0125551980039086E-13</v>
          </cell>
          <cell r="AB193">
            <v>808.49256900212322</v>
          </cell>
          <cell r="AC193">
            <v>385266.92144373676</v>
          </cell>
          <cell r="AD193">
            <v>6.8197099300588009E-12</v>
          </cell>
          <cell r="AE193">
            <v>7862.5902335456485</v>
          </cell>
          <cell r="AF193">
            <v>0</v>
          </cell>
          <cell r="AG193">
            <v>0</v>
          </cell>
          <cell r="AH193">
            <v>0</v>
          </cell>
          <cell r="AI193">
            <v>0</v>
          </cell>
          <cell r="AJ193">
            <v>0</v>
          </cell>
          <cell r="AK193">
            <v>0</v>
          </cell>
          <cell r="AL193">
            <v>297289</v>
          </cell>
          <cell r="AM193">
            <v>0</v>
          </cell>
          <cell r="AN193">
            <v>6013</v>
          </cell>
          <cell r="AO193">
            <v>-367305</v>
          </cell>
          <cell r="AP193">
            <v>-359959</v>
          </cell>
          <cell r="AQ193">
            <v>0</v>
          </cell>
          <cell r="AR193">
            <v>-7346</v>
          </cell>
          <cell r="AS193">
            <v>-734610</v>
          </cell>
          <cell r="AT193">
            <v>-1426186</v>
          </cell>
          <cell r="AU193">
            <v>-1397663</v>
          </cell>
          <cell r="AV193">
            <v>0</v>
          </cell>
          <cell r="AW193">
            <v>-28524</v>
          </cell>
          <cell r="AX193">
            <v>-2852373</v>
          </cell>
          <cell r="AY193">
            <v>53006701</v>
          </cell>
          <cell r="AZ193">
            <v>3207326</v>
          </cell>
          <cell r="BA193">
            <v>1157850</v>
          </cell>
          <cell r="BB193">
            <v>3654879</v>
          </cell>
          <cell r="BC193">
            <v>57423</v>
          </cell>
          <cell r="BD193">
            <v>0</v>
          </cell>
          <cell r="BE193">
            <v>175051</v>
          </cell>
          <cell r="BF193">
            <v>3026583</v>
          </cell>
          <cell r="BG193">
            <v>273842</v>
          </cell>
          <cell r="BH193">
            <v>24645</v>
          </cell>
          <cell r="BI193">
            <v>14356</v>
          </cell>
          <cell r="BJ193">
            <v>0</v>
          </cell>
          <cell r="BK193">
            <v>0</v>
          </cell>
          <cell r="BL193">
            <v>0</v>
          </cell>
          <cell r="BM193">
            <v>0</v>
          </cell>
          <cell r="BN193">
            <v>0</v>
          </cell>
          <cell r="BO193">
            <v>0</v>
          </cell>
          <cell r="BP193">
            <v>57047474</v>
          </cell>
          <cell r="BQ193">
            <v>48445</v>
          </cell>
          <cell r="BR193">
            <v>5162513.6100000003</v>
          </cell>
          <cell r="BS193">
            <v>427545</v>
          </cell>
        </row>
        <row r="194">
          <cell r="A194">
            <v>187</v>
          </cell>
          <cell r="B194" t="str">
            <v>North Warwickshire</v>
          </cell>
          <cell r="C194" t="str">
            <v>E3731</v>
          </cell>
          <cell r="D194">
            <v>109009</v>
          </cell>
          <cell r="G194">
            <v>-30513</v>
          </cell>
          <cell r="H194">
            <v>0</v>
          </cell>
          <cell r="I194">
            <v>109009</v>
          </cell>
          <cell r="J194">
            <v>0</v>
          </cell>
          <cell r="K194">
            <v>0</v>
          </cell>
          <cell r="L194">
            <v>0</v>
          </cell>
          <cell r="M194">
            <v>0</v>
          </cell>
          <cell r="N194">
            <v>0</v>
          </cell>
          <cell r="O194">
            <v>0</v>
          </cell>
          <cell r="P194">
            <v>0</v>
          </cell>
          <cell r="Q194">
            <v>239983</v>
          </cell>
          <cell r="R194">
            <v>59996</v>
          </cell>
          <cell r="S194">
            <v>0</v>
          </cell>
          <cell r="T194">
            <v>4848</v>
          </cell>
          <cell r="U194">
            <v>1212</v>
          </cell>
          <cell r="V194">
            <v>0</v>
          </cell>
          <cell r="W194">
            <v>0</v>
          </cell>
          <cell r="X194">
            <v>0</v>
          </cell>
          <cell r="Y194">
            <v>0</v>
          </cell>
          <cell r="Z194">
            <v>16169.851380042464</v>
          </cell>
          <cell r="AA194">
            <v>4042.4628450106152</v>
          </cell>
          <cell r="AB194">
            <v>0</v>
          </cell>
          <cell r="AC194">
            <v>162911.25265392783</v>
          </cell>
          <cell r="AD194">
            <v>40727.813163481944</v>
          </cell>
          <cell r="AE194">
            <v>0</v>
          </cell>
          <cell r="AF194">
            <v>0</v>
          </cell>
          <cell r="AG194">
            <v>0</v>
          </cell>
          <cell r="AH194">
            <v>0</v>
          </cell>
          <cell r="AI194">
            <v>0</v>
          </cell>
          <cell r="AJ194">
            <v>0</v>
          </cell>
          <cell r="AK194">
            <v>0</v>
          </cell>
          <cell r="AL194">
            <v>178181</v>
          </cell>
          <cell r="AM194">
            <v>44256</v>
          </cell>
          <cell r="AN194">
            <v>0</v>
          </cell>
          <cell r="AO194">
            <v>-89443</v>
          </cell>
          <cell r="AP194">
            <v>-71555</v>
          </cell>
          <cell r="AQ194">
            <v>-17889</v>
          </cell>
          <cell r="AR194">
            <v>0</v>
          </cell>
          <cell r="AS194">
            <v>-178887</v>
          </cell>
          <cell r="AT194">
            <v>-1056030</v>
          </cell>
          <cell r="AU194">
            <v>-844824</v>
          </cell>
          <cell r="AV194">
            <v>-211206</v>
          </cell>
          <cell r="AW194">
            <v>0</v>
          </cell>
          <cell r="AX194">
            <v>-2112060</v>
          </cell>
          <cell r="AY194">
            <v>37460372</v>
          </cell>
          <cell r="AZ194">
            <v>1201587.33</v>
          </cell>
          <cell r="BA194">
            <v>793498</v>
          </cell>
          <cell r="BB194">
            <v>747101</v>
          </cell>
          <cell r="BC194">
            <v>27440</v>
          </cell>
          <cell r="BD194">
            <v>16944</v>
          </cell>
          <cell r="BE194">
            <v>0</v>
          </cell>
          <cell r="BF194">
            <v>1259849</v>
          </cell>
          <cell r="BG194">
            <v>12611</v>
          </cell>
          <cell r="BH194">
            <v>578</v>
          </cell>
          <cell r="BI194">
            <v>854</v>
          </cell>
          <cell r="BJ194">
            <v>0</v>
          </cell>
          <cell r="BK194">
            <v>0</v>
          </cell>
          <cell r="BL194">
            <v>0</v>
          </cell>
          <cell r="BM194">
            <v>0</v>
          </cell>
          <cell r="BN194">
            <v>0</v>
          </cell>
          <cell r="BO194">
            <v>0</v>
          </cell>
          <cell r="BP194">
            <v>40762010.399999999</v>
          </cell>
          <cell r="BQ194">
            <v>81052</v>
          </cell>
          <cell r="BR194">
            <v>814878</v>
          </cell>
          <cell r="BS194">
            <v>1304847.78</v>
          </cell>
        </row>
        <row r="195">
          <cell r="A195">
            <v>188</v>
          </cell>
          <cell r="B195" t="str">
            <v>North West Leicestershire</v>
          </cell>
          <cell r="C195" t="str">
            <v>E2437</v>
          </cell>
          <cell r="D195">
            <v>145240</v>
          </cell>
          <cell r="G195">
            <v>28517</v>
          </cell>
          <cell r="H195">
            <v>0</v>
          </cell>
          <cell r="I195">
            <v>145240</v>
          </cell>
          <cell r="J195">
            <v>0</v>
          </cell>
          <cell r="K195">
            <v>0</v>
          </cell>
          <cell r="L195">
            <v>0</v>
          </cell>
          <cell r="M195">
            <v>0</v>
          </cell>
          <cell r="N195">
            <v>0</v>
          </cell>
          <cell r="O195">
            <v>0</v>
          </cell>
          <cell r="P195">
            <v>0</v>
          </cell>
          <cell r="Q195">
            <v>347829</v>
          </cell>
          <cell r="R195">
            <v>78261</v>
          </cell>
          <cell r="S195">
            <v>8696</v>
          </cell>
          <cell r="T195">
            <v>0</v>
          </cell>
          <cell r="U195">
            <v>0</v>
          </cell>
          <cell r="V195">
            <v>0</v>
          </cell>
          <cell r="W195">
            <v>0</v>
          </cell>
          <cell r="X195">
            <v>0</v>
          </cell>
          <cell r="Y195">
            <v>0</v>
          </cell>
          <cell r="Z195">
            <v>12207.429299363059</v>
          </cell>
          <cell r="AA195">
            <v>2746.6715923566876</v>
          </cell>
          <cell r="AB195">
            <v>305.18573248407642</v>
          </cell>
          <cell r="AC195">
            <v>159672.43142250532</v>
          </cell>
          <cell r="AD195">
            <v>35926.297070063687</v>
          </cell>
          <cell r="AE195">
            <v>3991.8107855626331</v>
          </cell>
          <cell r="AF195">
            <v>0</v>
          </cell>
          <cell r="AG195">
            <v>0</v>
          </cell>
          <cell r="AH195">
            <v>0</v>
          </cell>
          <cell r="AI195">
            <v>0</v>
          </cell>
          <cell r="AJ195">
            <v>0</v>
          </cell>
          <cell r="AK195">
            <v>0</v>
          </cell>
          <cell r="AL195">
            <v>213410</v>
          </cell>
          <cell r="AM195">
            <v>47670</v>
          </cell>
          <cell r="AN195">
            <v>5297</v>
          </cell>
          <cell r="AO195">
            <v>-420353.92</v>
          </cell>
          <cell r="AP195">
            <v>-336284</v>
          </cell>
          <cell r="AQ195">
            <v>-75664</v>
          </cell>
          <cell r="AR195">
            <v>-8408</v>
          </cell>
          <cell r="AS195">
            <v>-840709.92</v>
          </cell>
          <cell r="AT195">
            <v>-1706333.95</v>
          </cell>
          <cell r="AU195">
            <v>-1365068</v>
          </cell>
          <cell r="AV195">
            <v>-307140</v>
          </cell>
          <cell r="AW195">
            <v>-34127</v>
          </cell>
          <cell r="AX195">
            <v>-3412668.95</v>
          </cell>
          <cell r="AY195">
            <v>44676347</v>
          </cell>
          <cell r="AZ195">
            <v>1723442.65</v>
          </cell>
          <cell r="BA195">
            <v>949885.55</v>
          </cell>
          <cell r="BB195">
            <v>1189490.1299999999</v>
          </cell>
          <cell r="BC195">
            <v>16541.52</v>
          </cell>
          <cell r="BD195">
            <v>10487.63</v>
          </cell>
          <cell r="BE195">
            <v>291350.46000000002</v>
          </cell>
          <cell r="BF195">
            <v>1852387.39</v>
          </cell>
          <cell r="BG195">
            <v>43478.080000000002</v>
          </cell>
          <cell r="BH195">
            <v>70924.89</v>
          </cell>
          <cell r="BI195">
            <v>1538.99</v>
          </cell>
          <cell r="BJ195">
            <v>10487.63</v>
          </cell>
          <cell r="BK195">
            <v>228.69</v>
          </cell>
          <cell r="BL195">
            <v>0</v>
          </cell>
          <cell r="BM195">
            <v>0</v>
          </cell>
          <cell r="BN195">
            <v>0</v>
          </cell>
          <cell r="BO195">
            <v>0</v>
          </cell>
          <cell r="BP195">
            <v>48590205.5</v>
          </cell>
          <cell r="BQ195">
            <v>134734.56</v>
          </cell>
          <cell r="BR195">
            <v>1645813.77</v>
          </cell>
          <cell r="BS195">
            <v>-1485210.2</v>
          </cell>
        </row>
        <row r="196">
          <cell r="A196">
            <v>189</v>
          </cell>
          <cell r="B196" t="str">
            <v>Northampton</v>
          </cell>
          <cell r="C196" t="str">
            <v>E2835</v>
          </cell>
          <cell r="D196">
            <v>299138</v>
          </cell>
          <cell r="E196">
            <v>3343558</v>
          </cell>
          <cell r="G196">
            <v>-420359</v>
          </cell>
          <cell r="H196">
            <v>0</v>
          </cell>
          <cell r="I196">
            <v>299138</v>
          </cell>
          <cell r="J196">
            <v>293821</v>
          </cell>
          <cell r="K196">
            <v>0</v>
          </cell>
          <cell r="L196">
            <v>0</v>
          </cell>
          <cell r="M196">
            <v>1901455</v>
          </cell>
          <cell r="N196">
            <v>1901455</v>
          </cell>
          <cell r="O196">
            <v>0</v>
          </cell>
          <cell r="P196">
            <v>0</v>
          </cell>
          <cell r="Q196">
            <v>686708</v>
          </cell>
          <cell r="R196">
            <v>171677</v>
          </cell>
          <cell r="S196">
            <v>0</v>
          </cell>
          <cell r="T196">
            <v>0</v>
          </cell>
          <cell r="U196">
            <v>0</v>
          </cell>
          <cell r="V196">
            <v>0</v>
          </cell>
          <cell r="W196">
            <v>0</v>
          </cell>
          <cell r="X196">
            <v>0</v>
          </cell>
          <cell r="Y196">
            <v>0</v>
          </cell>
          <cell r="Z196">
            <v>0</v>
          </cell>
          <cell r="AA196">
            <v>0</v>
          </cell>
          <cell r="AB196">
            <v>0</v>
          </cell>
          <cell r="AC196">
            <v>337938.57494692149</v>
          </cell>
          <cell r="AD196">
            <v>84484.643736730344</v>
          </cell>
          <cell r="AE196">
            <v>0</v>
          </cell>
          <cell r="AF196">
            <v>0</v>
          </cell>
          <cell r="AG196">
            <v>0</v>
          </cell>
          <cell r="AH196">
            <v>0</v>
          </cell>
          <cell r="AI196">
            <v>0</v>
          </cell>
          <cell r="AJ196">
            <v>0</v>
          </cell>
          <cell r="AK196">
            <v>0</v>
          </cell>
          <cell r="AL196">
            <v>464778</v>
          </cell>
          <cell r="AM196">
            <v>109574</v>
          </cell>
          <cell r="AN196">
            <v>0</v>
          </cell>
          <cell r="AO196">
            <v>-339657.73</v>
          </cell>
          <cell r="AP196">
            <v>-271726</v>
          </cell>
          <cell r="AQ196">
            <v>-67931</v>
          </cell>
          <cell r="AR196">
            <v>0</v>
          </cell>
          <cell r="AS196">
            <v>-679314.73</v>
          </cell>
          <cell r="AT196">
            <v>-1484603.49</v>
          </cell>
          <cell r="AU196">
            <v>-1187682</v>
          </cell>
          <cell r="AV196">
            <v>-296920</v>
          </cell>
          <cell r="AW196">
            <v>0</v>
          </cell>
          <cell r="AX196">
            <v>-2969205.4899999998</v>
          </cell>
          <cell r="AY196">
            <v>90727219</v>
          </cell>
          <cell r="AZ196">
            <v>3365890.26</v>
          </cell>
          <cell r="BA196">
            <v>1992432.81</v>
          </cell>
          <cell r="BB196">
            <v>6331673.6500000004</v>
          </cell>
          <cell r="BC196">
            <v>15072</v>
          </cell>
          <cell r="BD196">
            <v>0</v>
          </cell>
          <cell r="BE196">
            <v>754513.09</v>
          </cell>
          <cell r="BF196">
            <v>5109866.3899999997</v>
          </cell>
          <cell r="BG196">
            <v>221298.48</v>
          </cell>
          <cell r="BH196">
            <v>184290.12</v>
          </cell>
          <cell r="BI196">
            <v>2826</v>
          </cell>
          <cell r="BJ196">
            <v>0</v>
          </cell>
          <cell r="BK196">
            <v>0</v>
          </cell>
          <cell r="BL196">
            <v>1961148</v>
          </cell>
          <cell r="BM196">
            <v>1961148</v>
          </cell>
          <cell r="BN196">
            <v>2105648.5099999998</v>
          </cell>
          <cell r="BO196">
            <v>0</v>
          </cell>
          <cell r="BP196">
            <v>98294051.599999994</v>
          </cell>
          <cell r="BQ196">
            <v>659126.94999999995</v>
          </cell>
          <cell r="BR196">
            <v>1907458.06</v>
          </cell>
          <cell r="BS196">
            <v>1790209</v>
          </cell>
        </row>
        <row r="197">
          <cell r="A197">
            <v>190</v>
          </cell>
          <cell r="B197" t="str">
            <v>Northumberland UA</v>
          </cell>
          <cell r="C197" t="str">
            <v>E2901</v>
          </cell>
          <cell r="D197">
            <v>471093</v>
          </cell>
          <cell r="E197">
            <v>11624</v>
          </cell>
          <cell r="G197">
            <v>210391</v>
          </cell>
          <cell r="H197">
            <v>0</v>
          </cell>
          <cell r="I197">
            <v>471093</v>
          </cell>
          <cell r="J197">
            <v>10795</v>
          </cell>
          <cell r="K197">
            <v>1050760</v>
          </cell>
          <cell r="L197">
            <v>0</v>
          </cell>
          <cell r="M197">
            <v>11207</v>
          </cell>
          <cell r="N197">
            <v>11207</v>
          </cell>
          <cell r="O197">
            <v>0</v>
          </cell>
          <cell r="P197">
            <v>0</v>
          </cell>
          <cell r="Q197">
            <v>1774370</v>
          </cell>
          <cell r="R197">
            <v>0</v>
          </cell>
          <cell r="S197">
            <v>0</v>
          </cell>
          <cell r="T197">
            <v>47470</v>
          </cell>
          <cell r="U197">
            <v>0</v>
          </cell>
          <cell r="V197">
            <v>0</v>
          </cell>
          <cell r="W197">
            <v>75796</v>
          </cell>
          <cell r="X197">
            <v>0</v>
          </cell>
          <cell r="Y197">
            <v>0</v>
          </cell>
          <cell r="Z197">
            <v>14648.69787685775</v>
          </cell>
          <cell r="AA197">
            <v>0</v>
          </cell>
          <cell r="AB197">
            <v>0</v>
          </cell>
          <cell r="AC197">
            <v>533516.07040339708</v>
          </cell>
          <cell r="AD197">
            <v>0</v>
          </cell>
          <cell r="AE197">
            <v>0</v>
          </cell>
          <cell r="AF197">
            <v>0</v>
          </cell>
          <cell r="AG197">
            <v>0</v>
          </cell>
          <cell r="AH197">
            <v>0</v>
          </cell>
          <cell r="AI197">
            <v>0</v>
          </cell>
          <cell r="AJ197">
            <v>0</v>
          </cell>
          <cell r="AK197">
            <v>0</v>
          </cell>
          <cell r="AL197">
            <v>414656</v>
          </cell>
          <cell r="AM197">
            <v>0</v>
          </cell>
          <cell r="AN197">
            <v>0</v>
          </cell>
          <cell r="AO197">
            <v>-763342.37</v>
          </cell>
          <cell r="AP197">
            <v>-763342</v>
          </cell>
          <cell r="AQ197">
            <v>0</v>
          </cell>
          <cell r="AR197">
            <v>0</v>
          </cell>
          <cell r="AS197">
            <v>-1526684.37</v>
          </cell>
          <cell r="AT197">
            <v>-2633121</v>
          </cell>
          <cell r="AU197">
            <v>-2633122</v>
          </cell>
          <cell r="AV197">
            <v>0</v>
          </cell>
          <cell r="AW197">
            <v>0</v>
          </cell>
          <cell r="AX197">
            <v>-5266243</v>
          </cell>
          <cell r="AY197">
            <v>68474749</v>
          </cell>
          <cell r="AZ197">
            <v>7067365.2999999998</v>
          </cell>
          <cell r="BA197">
            <v>1410803.86</v>
          </cell>
          <cell r="BB197">
            <v>5677638.7000000002</v>
          </cell>
          <cell r="BC197">
            <v>177664.91</v>
          </cell>
          <cell r="BD197">
            <v>97502.02</v>
          </cell>
          <cell r="BE197">
            <v>40044.339999999997</v>
          </cell>
          <cell r="BF197">
            <v>2513349.23</v>
          </cell>
          <cell r="BG197">
            <v>546936.63</v>
          </cell>
          <cell r="BH197">
            <v>342366.16</v>
          </cell>
          <cell r="BI197">
            <v>19312.37</v>
          </cell>
          <cell r="BJ197">
            <v>9536.7199999999993</v>
          </cell>
          <cell r="BK197">
            <v>8374.6200000000008</v>
          </cell>
          <cell r="BL197">
            <v>12370.67</v>
          </cell>
          <cell r="BM197">
            <v>12370.67</v>
          </cell>
          <cell r="BN197">
            <v>11912.67</v>
          </cell>
          <cell r="BO197">
            <v>0</v>
          </cell>
          <cell r="BP197">
            <v>75545980.799999997</v>
          </cell>
          <cell r="BQ197">
            <v>1038190.98</v>
          </cell>
          <cell r="BR197">
            <v>3372058</v>
          </cell>
          <cell r="BS197">
            <v>-212680</v>
          </cell>
        </row>
        <row r="198">
          <cell r="A198">
            <v>191</v>
          </cell>
          <cell r="B198" t="str">
            <v>Norwich</v>
          </cell>
          <cell r="C198" t="str">
            <v>E2636</v>
          </cell>
          <cell r="D198">
            <v>270914</v>
          </cell>
          <cell r="G198">
            <v>17582</v>
          </cell>
          <cell r="H198">
            <v>0</v>
          </cell>
          <cell r="I198">
            <v>270914</v>
          </cell>
          <cell r="J198">
            <v>0</v>
          </cell>
          <cell r="K198">
            <v>0</v>
          </cell>
          <cell r="L198">
            <v>0</v>
          </cell>
          <cell r="M198">
            <v>0</v>
          </cell>
          <cell r="N198">
            <v>0</v>
          </cell>
          <cell r="O198">
            <v>0</v>
          </cell>
          <cell r="P198">
            <v>0</v>
          </cell>
          <cell r="Q198">
            <v>610555</v>
          </cell>
          <cell r="R198">
            <v>152639</v>
          </cell>
          <cell r="S198">
            <v>0</v>
          </cell>
          <cell r="T198">
            <v>2447</v>
          </cell>
          <cell r="U198">
            <v>612</v>
          </cell>
          <cell r="V198">
            <v>0</v>
          </cell>
          <cell r="W198">
            <v>0</v>
          </cell>
          <cell r="X198">
            <v>0</v>
          </cell>
          <cell r="Y198">
            <v>0</v>
          </cell>
          <cell r="Z198">
            <v>21026.061995753716</v>
          </cell>
          <cell r="AA198">
            <v>5256.5154989384282</v>
          </cell>
          <cell r="AB198">
            <v>0</v>
          </cell>
          <cell r="AC198">
            <v>436181.74097664544</v>
          </cell>
          <cell r="AD198">
            <v>109045.43524416133</v>
          </cell>
          <cell r="AE198">
            <v>0</v>
          </cell>
          <cell r="AF198">
            <v>0</v>
          </cell>
          <cell r="AG198">
            <v>0</v>
          </cell>
          <cell r="AH198">
            <v>0</v>
          </cell>
          <cell r="AI198">
            <v>0</v>
          </cell>
          <cell r="AJ198">
            <v>0</v>
          </cell>
          <cell r="AK198">
            <v>0</v>
          </cell>
          <cell r="AL198">
            <v>329120</v>
          </cell>
          <cell r="AM198">
            <v>81561</v>
          </cell>
          <cell r="AN198">
            <v>0</v>
          </cell>
          <cell r="AO198">
            <v>-790914</v>
          </cell>
          <cell r="AP198">
            <v>-632731.20000000007</v>
          </cell>
          <cell r="AQ198">
            <v>-158182.80000000002</v>
          </cell>
          <cell r="AR198">
            <v>0</v>
          </cell>
          <cell r="AS198">
            <v>-1581828</v>
          </cell>
          <cell r="AT198">
            <v>-432911</v>
          </cell>
          <cell r="AU198">
            <v>-346329</v>
          </cell>
          <cell r="AV198">
            <v>-86583</v>
          </cell>
          <cell r="AW198">
            <v>0</v>
          </cell>
          <cell r="AX198">
            <v>-865823</v>
          </cell>
          <cell r="AY198">
            <v>74009192</v>
          </cell>
          <cell r="AZ198">
            <v>3000844</v>
          </cell>
          <cell r="BA198">
            <v>1561537</v>
          </cell>
          <cell r="BB198">
            <v>5051995</v>
          </cell>
          <cell r="BC198">
            <v>23511</v>
          </cell>
          <cell r="BD198">
            <v>0</v>
          </cell>
          <cell r="BE198">
            <v>23297</v>
          </cell>
          <cell r="BF198">
            <v>4227666</v>
          </cell>
          <cell r="BG198">
            <v>106112</v>
          </cell>
          <cell r="BH198">
            <v>56358</v>
          </cell>
          <cell r="BI198">
            <v>0</v>
          </cell>
          <cell r="BJ198">
            <v>0</v>
          </cell>
          <cell r="BK198">
            <v>0</v>
          </cell>
          <cell r="BL198">
            <v>0</v>
          </cell>
          <cell r="BM198">
            <v>0</v>
          </cell>
          <cell r="BN198">
            <v>0</v>
          </cell>
          <cell r="BO198">
            <v>0</v>
          </cell>
          <cell r="BP198">
            <v>77482390</v>
          </cell>
          <cell r="BQ198">
            <v>715792</v>
          </cell>
          <cell r="BR198">
            <v>4153799</v>
          </cell>
          <cell r="BS198">
            <v>883880</v>
          </cell>
        </row>
        <row r="199">
          <cell r="A199">
            <v>192</v>
          </cell>
          <cell r="B199" t="str">
            <v>Nottingham</v>
          </cell>
          <cell r="C199" t="str">
            <v>E3001</v>
          </cell>
          <cell r="D199">
            <v>495745</v>
          </cell>
          <cell r="E199">
            <v>4026598</v>
          </cell>
          <cell r="F199">
            <v>5746137</v>
          </cell>
          <cell r="G199">
            <v>-158525</v>
          </cell>
          <cell r="H199">
            <v>-31250</v>
          </cell>
          <cell r="I199">
            <v>495745</v>
          </cell>
          <cell r="J199">
            <v>145445</v>
          </cell>
          <cell r="K199">
            <v>0</v>
          </cell>
          <cell r="L199">
            <v>0</v>
          </cell>
          <cell r="M199">
            <v>55000</v>
          </cell>
          <cell r="N199">
            <v>55000</v>
          </cell>
          <cell r="O199">
            <v>0</v>
          </cell>
          <cell r="P199">
            <v>0</v>
          </cell>
          <cell r="Q199">
            <v>1213901</v>
          </cell>
          <cell r="R199">
            <v>0</v>
          </cell>
          <cell r="S199">
            <v>24773</v>
          </cell>
          <cell r="T199">
            <v>49520</v>
          </cell>
          <cell r="U199">
            <v>0</v>
          </cell>
          <cell r="V199">
            <v>1011</v>
          </cell>
          <cell r="W199">
            <v>84184</v>
          </cell>
          <cell r="X199">
            <v>0</v>
          </cell>
          <cell r="Y199">
            <v>1718</v>
          </cell>
          <cell r="Z199">
            <v>54472.186836518049</v>
          </cell>
          <cell r="AA199">
            <v>9.6422633972553744E-13</v>
          </cell>
          <cell r="AB199">
            <v>1111.6772823779193</v>
          </cell>
          <cell r="AC199">
            <v>495201.69851380045</v>
          </cell>
          <cell r="AD199">
            <v>8.7656939975048855E-12</v>
          </cell>
          <cell r="AE199">
            <v>10106.15711252654</v>
          </cell>
          <cell r="AF199">
            <v>0</v>
          </cell>
          <cell r="AG199">
            <v>0</v>
          </cell>
          <cell r="AH199">
            <v>0</v>
          </cell>
          <cell r="AI199">
            <v>0</v>
          </cell>
          <cell r="AJ199">
            <v>0</v>
          </cell>
          <cell r="AK199">
            <v>0</v>
          </cell>
          <cell r="AL199">
            <v>636240</v>
          </cell>
          <cell r="AM199">
            <v>0</v>
          </cell>
          <cell r="AN199">
            <v>12833</v>
          </cell>
          <cell r="AO199">
            <v>-2868374</v>
          </cell>
          <cell r="AP199">
            <v>-2811008</v>
          </cell>
          <cell r="AQ199">
            <v>0</v>
          </cell>
          <cell r="AR199">
            <v>-57368</v>
          </cell>
          <cell r="AS199">
            <v>-5736750</v>
          </cell>
          <cell r="AT199">
            <v>-4509038</v>
          </cell>
          <cell r="AU199">
            <v>-4418858</v>
          </cell>
          <cell r="AV199">
            <v>0</v>
          </cell>
          <cell r="AW199">
            <v>-90181</v>
          </cell>
          <cell r="AX199">
            <v>-9018077</v>
          </cell>
          <cell r="AY199">
            <v>114249210</v>
          </cell>
          <cell r="AZ199">
            <v>4836883</v>
          </cell>
          <cell r="BA199">
            <v>2645085</v>
          </cell>
          <cell r="BB199">
            <v>12114934</v>
          </cell>
          <cell r="BC199">
            <v>45308</v>
          </cell>
          <cell r="BD199">
            <v>0</v>
          </cell>
          <cell r="BE199">
            <v>136372</v>
          </cell>
          <cell r="BF199">
            <v>6786490</v>
          </cell>
          <cell r="BG199">
            <v>149838</v>
          </cell>
          <cell r="BH199">
            <v>510734</v>
          </cell>
          <cell r="BI199">
            <v>819.4</v>
          </cell>
          <cell r="BJ199">
            <v>0</v>
          </cell>
          <cell r="BK199">
            <v>0</v>
          </cell>
          <cell r="BL199">
            <v>0</v>
          </cell>
          <cell r="BM199">
            <v>0</v>
          </cell>
          <cell r="BN199">
            <v>0</v>
          </cell>
          <cell r="BO199">
            <v>0</v>
          </cell>
          <cell r="BP199">
            <v>127154561</v>
          </cell>
          <cell r="BQ199">
            <v>2536291</v>
          </cell>
          <cell r="BR199">
            <v>10148160</v>
          </cell>
          <cell r="BS199">
            <v>3833870</v>
          </cell>
        </row>
        <row r="200">
          <cell r="A200">
            <v>193</v>
          </cell>
          <cell r="B200" t="str">
            <v>Nuneaton and Bedworth</v>
          </cell>
          <cell r="C200" t="str">
            <v>E3732</v>
          </cell>
          <cell r="D200">
            <v>134756</v>
          </cell>
          <cell r="G200">
            <v>10974</v>
          </cell>
          <cell r="H200">
            <v>0</v>
          </cell>
          <cell r="I200">
            <v>134756</v>
          </cell>
          <cell r="J200">
            <v>0</v>
          </cell>
          <cell r="K200">
            <v>0</v>
          </cell>
          <cell r="L200">
            <v>0</v>
          </cell>
          <cell r="M200">
            <v>0</v>
          </cell>
          <cell r="N200">
            <v>0</v>
          </cell>
          <cell r="O200">
            <v>0</v>
          </cell>
          <cell r="P200">
            <v>0</v>
          </cell>
          <cell r="Q200">
            <v>347926</v>
          </cell>
          <cell r="R200">
            <v>86982</v>
          </cell>
          <cell r="S200">
            <v>0</v>
          </cell>
          <cell r="T200">
            <v>0</v>
          </cell>
          <cell r="U200">
            <v>0</v>
          </cell>
          <cell r="V200">
            <v>0</v>
          </cell>
          <cell r="W200">
            <v>0</v>
          </cell>
          <cell r="X200">
            <v>0</v>
          </cell>
          <cell r="Y200">
            <v>0</v>
          </cell>
          <cell r="Z200">
            <v>0</v>
          </cell>
          <cell r="AA200">
            <v>0</v>
          </cell>
          <cell r="AB200">
            <v>0</v>
          </cell>
          <cell r="AC200">
            <v>230824.62845010619</v>
          </cell>
          <cell r="AD200">
            <v>57706.157112526533</v>
          </cell>
          <cell r="AE200">
            <v>0</v>
          </cell>
          <cell r="AF200">
            <v>0</v>
          </cell>
          <cell r="AG200">
            <v>0</v>
          </cell>
          <cell r="AH200">
            <v>0</v>
          </cell>
          <cell r="AI200">
            <v>0</v>
          </cell>
          <cell r="AJ200">
            <v>0</v>
          </cell>
          <cell r="AK200">
            <v>0</v>
          </cell>
          <cell r="AL200">
            <v>145105</v>
          </cell>
          <cell r="AM200">
            <v>35919</v>
          </cell>
          <cell r="AN200">
            <v>0</v>
          </cell>
          <cell r="AO200">
            <v>-185000</v>
          </cell>
          <cell r="AP200">
            <v>-148000</v>
          </cell>
          <cell r="AQ200">
            <v>-37000</v>
          </cell>
          <cell r="AR200">
            <v>0</v>
          </cell>
          <cell r="AS200">
            <v>-370000</v>
          </cell>
          <cell r="AT200">
            <v>-779326.5</v>
          </cell>
          <cell r="AU200">
            <v>-623462</v>
          </cell>
          <cell r="AV200">
            <v>-155865</v>
          </cell>
          <cell r="AW200">
            <v>0</v>
          </cell>
          <cell r="AX200">
            <v>-1558653.5</v>
          </cell>
          <cell r="AY200">
            <v>31540578</v>
          </cell>
          <cell r="AZ200">
            <v>1714375</v>
          </cell>
          <cell r="BA200">
            <v>642392</v>
          </cell>
          <cell r="BB200">
            <v>1790973</v>
          </cell>
          <cell r="BC200">
            <v>11605</v>
          </cell>
          <cell r="BD200">
            <v>0</v>
          </cell>
          <cell r="BE200">
            <v>13911</v>
          </cell>
          <cell r="BF200">
            <v>1115563</v>
          </cell>
          <cell r="BG200">
            <v>110628</v>
          </cell>
          <cell r="BH200">
            <v>86338</v>
          </cell>
          <cell r="BI200">
            <v>0</v>
          </cell>
          <cell r="BJ200">
            <v>0</v>
          </cell>
          <cell r="BK200">
            <v>0</v>
          </cell>
          <cell r="BL200">
            <v>0</v>
          </cell>
          <cell r="BM200">
            <v>0</v>
          </cell>
          <cell r="BN200">
            <v>0</v>
          </cell>
          <cell r="BO200">
            <v>0</v>
          </cell>
          <cell r="BP200">
            <v>33697827</v>
          </cell>
          <cell r="BQ200">
            <v>155405</v>
          </cell>
          <cell r="BR200">
            <v>1235136.29</v>
          </cell>
          <cell r="BS200">
            <v>302357.38</v>
          </cell>
        </row>
        <row r="201">
          <cell r="A201">
            <v>194</v>
          </cell>
          <cell r="B201" t="str">
            <v>Oadby and Wigston</v>
          </cell>
          <cell r="C201" t="str">
            <v>E2438</v>
          </cell>
          <cell r="D201">
            <v>56076</v>
          </cell>
          <cell r="G201">
            <v>-1000</v>
          </cell>
          <cell r="H201">
            <v>0</v>
          </cell>
          <cell r="I201">
            <v>56076</v>
          </cell>
          <cell r="J201">
            <v>0</v>
          </cell>
          <cell r="K201">
            <v>0</v>
          </cell>
          <cell r="L201">
            <v>0</v>
          </cell>
          <cell r="M201">
            <v>0</v>
          </cell>
          <cell r="N201">
            <v>0</v>
          </cell>
          <cell r="O201">
            <v>0</v>
          </cell>
          <cell r="P201">
            <v>0</v>
          </cell>
          <cell r="Q201">
            <v>188081</v>
          </cell>
          <cell r="R201">
            <v>42318</v>
          </cell>
          <cell r="S201">
            <v>4702</v>
          </cell>
          <cell r="T201">
            <v>4042</v>
          </cell>
          <cell r="U201">
            <v>910</v>
          </cell>
          <cell r="V201">
            <v>101</v>
          </cell>
          <cell r="W201">
            <v>0</v>
          </cell>
          <cell r="X201">
            <v>0</v>
          </cell>
          <cell r="Y201">
            <v>0</v>
          </cell>
          <cell r="Z201">
            <v>4042.4628450106161</v>
          </cell>
          <cell r="AA201">
            <v>909.55414012738845</v>
          </cell>
          <cell r="AB201">
            <v>101.0615711252654</v>
          </cell>
          <cell r="AC201">
            <v>85293.540552016988</v>
          </cell>
          <cell r="AD201">
            <v>19191.04662420382</v>
          </cell>
          <cell r="AE201">
            <v>2132.3385138004246</v>
          </cell>
          <cell r="AF201">
            <v>0</v>
          </cell>
          <cell r="AG201">
            <v>0</v>
          </cell>
          <cell r="AH201">
            <v>0</v>
          </cell>
          <cell r="AI201">
            <v>0</v>
          </cell>
          <cell r="AJ201">
            <v>0</v>
          </cell>
          <cell r="AK201">
            <v>0</v>
          </cell>
          <cell r="AL201">
            <v>50244</v>
          </cell>
          <cell r="AM201">
            <v>11171</v>
          </cell>
          <cell r="AN201">
            <v>1241</v>
          </cell>
          <cell r="AO201">
            <v>-106417.2</v>
          </cell>
          <cell r="AP201">
            <v>-85134</v>
          </cell>
          <cell r="AQ201">
            <v>-19155</v>
          </cell>
          <cell r="AR201">
            <v>-2129</v>
          </cell>
          <cell r="AS201">
            <v>-212835.20000000001</v>
          </cell>
          <cell r="AT201">
            <v>-217016</v>
          </cell>
          <cell r="AU201">
            <v>-173612</v>
          </cell>
          <cell r="AV201">
            <v>-39063</v>
          </cell>
          <cell r="AW201">
            <v>-4341</v>
          </cell>
          <cell r="AX201">
            <v>-434032</v>
          </cell>
          <cell r="AY201">
            <v>10918444</v>
          </cell>
          <cell r="AZ201">
            <v>992084</v>
          </cell>
          <cell r="BA201">
            <v>227416</v>
          </cell>
          <cell r="BB201">
            <v>1374636</v>
          </cell>
          <cell r="BC201">
            <v>0</v>
          </cell>
          <cell r="BD201">
            <v>0</v>
          </cell>
          <cell r="BE201">
            <v>1227</v>
          </cell>
          <cell r="BF201">
            <v>555945</v>
          </cell>
          <cell r="BG201">
            <v>54160</v>
          </cell>
          <cell r="BH201">
            <v>12904</v>
          </cell>
          <cell r="BI201">
            <v>0</v>
          </cell>
          <cell r="BJ201">
            <v>0</v>
          </cell>
          <cell r="BK201">
            <v>0</v>
          </cell>
          <cell r="BL201">
            <v>0</v>
          </cell>
          <cell r="BM201">
            <v>0</v>
          </cell>
          <cell r="BN201">
            <v>0</v>
          </cell>
          <cell r="BO201">
            <v>0</v>
          </cell>
          <cell r="BP201">
            <v>11545661</v>
          </cell>
          <cell r="BQ201">
            <v>65534</v>
          </cell>
          <cell r="BR201">
            <v>744055</v>
          </cell>
          <cell r="BS201">
            <v>314964</v>
          </cell>
        </row>
        <row r="202">
          <cell r="A202">
            <v>195</v>
          </cell>
          <cell r="B202" t="str">
            <v>Oldham</v>
          </cell>
          <cell r="C202" t="str">
            <v>E4204</v>
          </cell>
          <cell r="D202">
            <v>310627</v>
          </cell>
          <cell r="G202">
            <v>9376</v>
          </cell>
          <cell r="H202">
            <v>0</v>
          </cell>
          <cell r="I202">
            <v>310627</v>
          </cell>
          <cell r="J202">
            <v>0</v>
          </cell>
          <cell r="K202">
            <v>0</v>
          </cell>
          <cell r="L202">
            <v>0</v>
          </cell>
          <cell r="M202">
            <v>0</v>
          </cell>
          <cell r="N202">
            <v>0</v>
          </cell>
          <cell r="O202">
            <v>0</v>
          </cell>
          <cell r="P202">
            <v>0</v>
          </cell>
          <cell r="Q202">
            <v>1327518</v>
          </cell>
          <cell r="R202">
            <v>0</v>
          </cell>
          <cell r="S202">
            <v>27092</v>
          </cell>
          <cell r="T202">
            <v>0</v>
          </cell>
          <cell r="U202">
            <v>0</v>
          </cell>
          <cell r="V202">
            <v>0</v>
          </cell>
          <cell r="W202">
            <v>2449</v>
          </cell>
          <cell r="X202">
            <v>0</v>
          </cell>
          <cell r="Y202">
            <v>50</v>
          </cell>
          <cell r="Z202">
            <v>20291.384798301486</v>
          </cell>
          <cell r="AA202">
            <v>3.5918307724176018E-13</v>
          </cell>
          <cell r="AB202">
            <v>414.10989384288746</v>
          </cell>
          <cell r="AC202">
            <v>508705.35363057326</v>
          </cell>
          <cell r="AD202">
            <v>9.0047257071228463E-12</v>
          </cell>
          <cell r="AE202">
            <v>10381.741910828026</v>
          </cell>
          <cell r="AF202">
            <v>0</v>
          </cell>
          <cell r="AG202">
            <v>0</v>
          </cell>
          <cell r="AH202">
            <v>0</v>
          </cell>
          <cell r="AI202">
            <v>0</v>
          </cell>
          <cell r="AJ202">
            <v>0</v>
          </cell>
          <cell r="AK202">
            <v>0</v>
          </cell>
          <cell r="AL202">
            <v>300533</v>
          </cell>
          <cell r="AM202">
            <v>0</v>
          </cell>
          <cell r="AN202">
            <v>6066</v>
          </cell>
          <cell r="AO202">
            <v>-1831913</v>
          </cell>
          <cell r="AP202">
            <v>-1795276</v>
          </cell>
          <cell r="AQ202">
            <v>0</v>
          </cell>
          <cell r="AR202">
            <v>-36639</v>
          </cell>
          <cell r="AS202">
            <v>-3663828</v>
          </cell>
          <cell r="AT202">
            <v>-1866097</v>
          </cell>
          <cell r="AU202">
            <v>-1828776</v>
          </cell>
          <cell r="AV202">
            <v>0</v>
          </cell>
          <cell r="AW202">
            <v>-37322</v>
          </cell>
          <cell r="AX202">
            <v>-3732195</v>
          </cell>
          <cell r="AY202">
            <v>51901951</v>
          </cell>
          <cell r="AZ202">
            <v>5335242</v>
          </cell>
          <cell r="BA202">
            <v>1157618</v>
          </cell>
          <cell r="BB202">
            <v>5286818</v>
          </cell>
          <cell r="BC202">
            <v>85183</v>
          </cell>
          <cell r="BD202">
            <v>11822</v>
          </cell>
          <cell r="BE202">
            <v>4511</v>
          </cell>
          <cell r="BF202">
            <v>3222610</v>
          </cell>
          <cell r="BG202">
            <v>224228</v>
          </cell>
          <cell r="BH202">
            <v>70862</v>
          </cell>
          <cell r="BI202">
            <v>337</v>
          </cell>
          <cell r="BJ202">
            <v>1625</v>
          </cell>
          <cell r="BK202">
            <v>0</v>
          </cell>
          <cell r="BL202">
            <v>0</v>
          </cell>
          <cell r="BM202">
            <v>0</v>
          </cell>
          <cell r="BN202">
            <v>0</v>
          </cell>
          <cell r="BO202">
            <v>0</v>
          </cell>
          <cell r="BP202">
            <v>56657682</v>
          </cell>
          <cell r="BQ202">
            <v>152120</v>
          </cell>
          <cell r="BR202">
            <v>6697960</v>
          </cell>
          <cell r="BS202">
            <v>818776</v>
          </cell>
        </row>
        <row r="203">
          <cell r="A203">
            <v>196</v>
          </cell>
          <cell r="B203" t="str">
            <v>Oxford</v>
          </cell>
          <cell r="C203" t="str">
            <v>E3132</v>
          </cell>
          <cell r="D203">
            <v>217390</v>
          </cell>
          <cell r="G203">
            <v>-16052</v>
          </cell>
          <cell r="H203">
            <v>0</v>
          </cell>
          <cell r="I203">
            <v>217390</v>
          </cell>
          <cell r="J203">
            <v>0</v>
          </cell>
          <cell r="K203">
            <v>0</v>
          </cell>
          <cell r="L203">
            <v>0</v>
          </cell>
          <cell r="M203">
            <v>0</v>
          </cell>
          <cell r="N203">
            <v>0</v>
          </cell>
          <cell r="O203">
            <v>0</v>
          </cell>
          <cell r="P203">
            <v>0</v>
          </cell>
          <cell r="Q203">
            <v>219992</v>
          </cell>
          <cell r="R203">
            <v>54998</v>
          </cell>
          <cell r="S203">
            <v>0</v>
          </cell>
          <cell r="T203">
            <v>6064</v>
          </cell>
          <cell r="U203">
            <v>1516</v>
          </cell>
          <cell r="V203">
            <v>0</v>
          </cell>
          <cell r="W203">
            <v>6064</v>
          </cell>
          <cell r="X203">
            <v>1516</v>
          </cell>
          <cell r="Y203">
            <v>0</v>
          </cell>
          <cell r="Z203">
            <v>6063.6942675159235</v>
          </cell>
          <cell r="AA203">
            <v>1515.9235668789804</v>
          </cell>
          <cell r="AB203">
            <v>0</v>
          </cell>
          <cell r="AC203">
            <v>466500.21231422509</v>
          </cell>
          <cell r="AD203">
            <v>116625.05307855624</v>
          </cell>
          <cell r="AE203">
            <v>0</v>
          </cell>
          <cell r="AF203">
            <v>0</v>
          </cell>
          <cell r="AG203">
            <v>0</v>
          </cell>
          <cell r="AH203">
            <v>0</v>
          </cell>
          <cell r="AI203">
            <v>0</v>
          </cell>
          <cell r="AJ203">
            <v>0</v>
          </cell>
          <cell r="AK203">
            <v>0</v>
          </cell>
          <cell r="AL203">
            <v>359193</v>
          </cell>
          <cell r="AM203">
            <v>89221</v>
          </cell>
          <cell r="AN203">
            <v>0</v>
          </cell>
          <cell r="AO203">
            <v>-817205</v>
          </cell>
          <cell r="AP203">
            <v>-653764</v>
          </cell>
          <cell r="AQ203">
            <v>-163441</v>
          </cell>
          <cell r="AR203">
            <v>0</v>
          </cell>
          <cell r="AS203">
            <v>-1634410</v>
          </cell>
          <cell r="AT203">
            <v>-2177331</v>
          </cell>
          <cell r="AU203">
            <v>-1741865</v>
          </cell>
          <cell r="AV203">
            <v>-435466</v>
          </cell>
          <cell r="AW203">
            <v>0</v>
          </cell>
          <cell r="AX203">
            <v>-4354662</v>
          </cell>
          <cell r="AY203">
            <v>79258526</v>
          </cell>
          <cell r="AZ203">
            <v>1091472</v>
          </cell>
          <cell r="BA203">
            <v>1960723</v>
          </cell>
          <cell r="BB203">
            <v>19578952</v>
          </cell>
          <cell r="BC203">
            <v>33177</v>
          </cell>
          <cell r="BD203">
            <v>0</v>
          </cell>
          <cell r="BE203">
            <v>68416</v>
          </cell>
          <cell r="BF203">
            <v>1898532</v>
          </cell>
          <cell r="BG203">
            <v>0</v>
          </cell>
          <cell r="BH203">
            <v>50862</v>
          </cell>
          <cell r="BI203">
            <v>0</v>
          </cell>
          <cell r="BJ203">
            <v>0</v>
          </cell>
          <cell r="BK203">
            <v>0</v>
          </cell>
          <cell r="BL203">
            <v>0</v>
          </cell>
          <cell r="BM203">
            <v>0</v>
          </cell>
          <cell r="BN203">
            <v>0</v>
          </cell>
          <cell r="BO203">
            <v>0</v>
          </cell>
          <cell r="BP203">
            <v>84468734</v>
          </cell>
          <cell r="BQ203">
            <v>231123</v>
          </cell>
          <cell r="BR203">
            <v>3322689</v>
          </cell>
          <cell r="BS203">
            <v>2173437</v>
          </cell>
        </row>
        <row r="204">
          <cell r="A204">
            <v>197</v>
          </cell>
          <cell r="B204" t="str">
            <v>Pendle</v>
          </cell>
          <cell r="C204" t="str">
            <v>E2338</v>
          </cell>
          <cell r="D204">
            <v>136568</v>
          </cell>
          <cell r="G204">
            <v>24075</v>
          </cell>
          <cell r="H204">
            <v>0</v>
          </cell>
          <cell r="I204">
            <v>136568</v>
          </cell>
          <cell r="J204">
            <v>0</v>
          </cell>
          <cell r="K204">
            <v>0</v>
          </cell>
          <cell r="L204">
            <v>0</v>
          </cell>
          <cell r="M204">
            <v>0</v>
          </cell>
          <cell r="N204">
            <v>0</v>
          </cell>
          <cell r="O204">
            <v>0</v>
          </cell>
          <cell r="P204">
            <v>0</v>
          </cell>
          <cell r="Q204">
            <v>456056</v>
          </cell>
          <cell r="R204">
            <v>102612</v>
          </cell>
          <cell r="S204">
            <v>11401</v>
          </cell>
          <cell r="T204">
            <v>101345</v>
          </cell>
          <cell r="U204">
            <v>22803</v>
          </cell>
          <cell r="V204">
            <v>2534</v>
          </cell>
          <cell r="W204">
            <v>0</v>
          </cell>
          <cell r="X204">
            <v>0</v>
          </cell>
          <cell r="Y204">
            <v>0</v>
          </cell>
          <cell r="Z204">
            <v>0</v>
          </cell>
          <cell r="AA204">
            <v>0</v>
          </cell>
          <cell r="AB204">
            <v>0</v>
          </cell>
          <cell r="AC204">
            <v>175930.00424628452</v>
          </cell>
          <cell r="AD204">
            <v>39584.250955414005</v>
          </cell>
          <cell r="AE204">
            <v>4398.2501061571129</v>
          </cell>
          <cell r="AF204">
            <v>0</v>
          </cell>
          <cell r="AG204">
            <v>0</v>
          </cell>
          <cell r="AH204">
            <v>0</v>
          </cell>
          <cell r="AI204">
            <v>0</v>
          </cell>
          <cell r="AJ204">
            <v>0</v>
          </cell>
          <cell r="AK204">
            <v>0</v>
          </cell>
          <cell r="AL204">
            <v>79507</v>
          </cell>
          <cell r="AM204">
            <v>17563</v>
          </cell>
          <cell r="AN204">
            <v>1951</v>
          </cell>
          <cell r="AO204">
            <v>-405000</v>
          </cell>
          <cell r="AP204">
            <v>-324000</v>
          </cell>
          <cell r="AQ204">
            <v>-72900</v>
          </cell>
          <cell r="AR204">
            <v>-8100</v>
          </cell>
          <cell r="AS204">
            <v>-810000</v>
          </cell>
          <cell r="AT204">
            <v>-735081</v>
          </cell>
          <cell r="AU204">
            <v>-588066</v>
          </cell>
          <cell r="AV204">
            <v>-132315</v>
          </cell>
          <cell r="AW204">
            <v>-14701</v>
          </cell>
          <cell r="AX204">
            <v>-1470163</v>
          </cell>
          <cell r="AY204">
            <v>17011030</v>
          </cell>
          <cell r="AZ204">
            <v>2487885</v>
          </cell>
          <cell r="BA204">
            <v>441276</v>
          </cell>
          <cell r="BB204">
            <v>995682</v>
          </cell>
          <cell r="BC204">
            <v>0</v>
          </cell>
          <cell r="BD204">
            <v>671</v>
          </cell>
          <cell r="BE204">
            <v>4741</v>
          </cell>
          <cell r="BF204">
            <v>1062548</v>
          </cell>
          <cell r="BG204">
            <v>115631</v>
          </cell>
          <cell r="BH204">
            <v>107330</v>
          </cell>
          <cell r="BI204">
            <v>0</v>
          </cell>
          <cell r="BJ204">
            <v>671</v>
          </cell>
          <cell r="BK204">
            <v>0</v>
          </cell>
          <cell r="BL204">
            <v>0</v>
          </cell>
          <cell r="BM204">
            <v>0</v>
          </cell>
          <cell r="BN204">
            <v>0</v>
          </cell>
          <cell r="BO204">
            <v>0</v>
          </cell>
          <cell r="BP204">
            <v>18831475</v>
          </cell>
          <cell r="BQ204">
            <v>487862</v>
          </cell>
          <cell r="BR204">
            <v>1043287</v>
          </cell>
          <cell r="BS204">
            <v>79348</v>
          </cell>
        </row>
        <row r="205">
          <cell r="A205">
            <v>198</v>
          </cell>
          <cell r="B205" t="str">
            <v>Peterborough</v>
          </cell>
          <cell r="C205" t="str">
            <v>E0501</v>
          </cell>
          <cell r="D205">
            <v>276677</v>
          </cell>
          <cell r="G205">
            <v>1546269</v>
          </cell>
          <cell r="H205">
            <v>0</v>
          </cell>
          <cell r="I205">
            <v>276677</v>
          </cell>
          <cell r="J205">
            <v>0</v>
          </cell>
          <cell r="K205">
            <v>0</v>
          </cell>
          <cell r="L205">
            <v>0</v>
          </cell>
          <cell r="M205">
            <v>0</v>
          </cell>
          <cell r="N205">
            <v>0</v>
          </cell>
          <cell r="O205">
            <v>0</v>
          </cell>
          <cell r="P205">
            <v>0</v>
          </cell>
          <cell r="Q205">
            <v>706194</v>
          </cell>
          <cell r="R205">
            <v>0</v>
          </cell>
          <cell r="S205">
            <v>14412</v>
          </cell>
          <cell r="T205">
            <v>0</v>
          </cell>
          <cell r="U205">
            <v>0</v>
          </cell>
          <cell r="V205">
            <v>0</v>
          </cell>
          <cell r="W205">
            <v>0</v>
          </cell>
          <cell r="X205">
            <v>0</v>
          </cell>
          <cell r="Y205">
            <v>0</v>
          </cell>
          <cell r="Z205">
            <v>0</v>
          </cell>
          <cell r="AA205">
            <v>0</v>
          </cell>
          <cell r="AB205">
            <v>0</v>
          </cell>
          <cell r="AC205">
            <v>334468.63600849261</v>
          </cell>
          <cell r="AD205">
            <v>5.9205162741007527E-12</v>
          </cell>
          <cell r="AE205">
            <v>6825.890530785563</v>
          </cell>
          <cell r="AF205">
            <v>0</v>
          </cell>
          <cell r="AG205">
            <v>0</v>
          </cell>
          <cell r="AH205">
            <v>0</v>
          </cell>
          <cell r="AI205">
            <v>0</v>
          </cell>
          <cell r="AJ205">
            <v>0</v>
          </cell>
          <cell r="AK205">
            <v>0</v>
          </cell>
          <cell r="AL205">
            <v>483125</v>
          </cell>
          <cell r="AM205">
            <v>0</v>
          </cell>
          <cell r="AN205">
            <v>9800</v>
          </cell>
          <cell r="AO205">
            <v>-476993</v>
          </cell>
          <cell r="AP205">
            <v>-467454</v>
          </cell>
          <cell r="AQ205">
            <v>0</v>
          </cell>
          <cell r="AR205">
            <v>-9540</v>
          </cell>
          <cell r="AS205">
            <v>-953987</v>
          </cell>
          <cell r="AT205">
            <v>-4265425</v>
          </cell>
          <cell r="AU205">
            <v>-4180115</v>
          </cell>
          <cell r="AV205">
            <v>0</v>
          </cell>
          <cell r="AW205">
            <v>-85308</v>
          </cell>
          <cell r="AX205">
            <v>-8530848</v>
          </cell>
          <cell r="AY205">
            <v>83500498</v>
          </cell>
          <cell r="AZ205">
            <v>2842941</v>
          </cell>
          <cell r="BA205">
            <v>1874638</v>
          </cell>
          <cell r="BB205">
            <v>4967883</v>
          </cell>
          <cell r="BC205">
            <v>53882</v>
          </cell>
          <cell r="BD205">
            <v>15841</v>
          </cell>
          <cell r="BE205">
            <v>22591</v>
          </cell>
          <cell r="BF205">
            <v>3763475</v>
          </cell>
          <cell r="BG205">
            <v>283009</v>
          </cell>
          <cell r="BH205">
            <v>69982</v>
          </cell>
          <cell r="BI205">
            <v>2532</v>
          </cell>
          <cell r="BJ205">
            <v>7112</v>
          </cell>
          <cell r="BK205">
            <v>922</v>
          </cell>
          <cell r="BL205">
            <v>0</v>
          </cell>
          <cell r="BM205">
            <v>0</v>
          </cell>
          <cell r="BN205">
            <v>0</v>
          </cell>
          <cell r="BO205">
            <v>0</v>
          </cell>
          <cell r="BP205">
            <v>92150129</v>
          </cell>
          <cell r="BQ205">
            <v>52378</v>
          </cell>
          <cell r="BR205">
            <v>6151150.5199999996</v>
          </cell>
          <cell r="BS205">
            <v>2302652</v>
          </cell>
        </row>
        <row r="206">
          <cell r="A206">
            <v>199</v>
          </cell>
          <cell r="B206" t="str">
            <v>Plymouth</v>
          </cell>
          <cell r="C206" t="str">
            <v>E1101</v>
          </cell>
          <cell r="D206">
            <v>308695</v>
          </cell>
          <cell r="G206">
            <v>-70502</v>
          </cell>
          <cell r="H206">
            <v>0</v>
          </cell>
          <cell r="I206">
            <v>308695</v>
          </cell>
          <cell r="J206">
            <v>0</v>
          </cell>
          <cell r="K206">
            <v>208433</v>
          </cell>
          <cell r="L206">
            <v>0</v>
          </cell>
          <cell r="M206">
            <v>0</v>
          </cell>
          <cell r="N206">
            <v>0</v>
          </cell>
          <cell r="O206">
            <v>0</v>
          </cell>
          <cell r="P206">
            <v>0</v>
          </cell>
          <cell r="Q206">
            <v>1021759</v>
          </cell>
          <cell r="R206">
            <v>0</v>
          </cell>
          <cell r="S206">
            <v>20852</v>
          </cell>
          <cell r="T206">
            <v>0</v>
          </cell>
          <cell r="U206">
            <v>0</v>
          </cell>
          <cell r="V206">
            <v>0</v>
          </cell>
          <cell r="W206">
            <v>0</v>
          </cell>
          <cell r="X206">
            <v>0</v>
          </cell>
          <cell r="Y206">
            <v>0</v>
          </cell>
          <cell r="Z206">
            <v>409100.97919320595</v>
          </cell>
          <cell r="AA206">
            <v>7.2416027821587112E-12</v>
          </cell>
          <cell r="AB206">
            <v>8348.9995753715502</v>
          </cell>
          <cell r="AC206">
            <v>543641.83346072177</v>
          </cell>
          <cell r="AD206">
            <v>9.6231454186468139E-12</v>
          </cell>
          <cell r="AE206">
            <v>11094.731295116771</v>
          </cell>
          <cell r="AF206">
            <v>6582</v>
          </cell>
          <cell r="AG206">
            <v>0</v>
          </cell>
          <cell r="AH206">
            <v>0</v>
          </cell>
          <cell r="AI206">
            <v>0</v>
          </cell>
          <cell r="AJ206">
            <v>0</v>
          </cell>
          <cell r="AK206">
            <v>0</v>
          </cell>
          <cell r="AL206">
            <v>462749</v>
          </cell>
          <cell r="AM206">
            <v>0</v>
          </cell>
          <cell r="AN206">
            <v>9332</v>
          </cell>
          <cell r="AO206">
            <v>-358563.59</v>
          </cell>
          <cell r="AP206">
            <v>-351392</v>
          </cell>
          <cell r="AQ206">
            <v>0</v>
          </cell>
          <cell r="AR206">
            <v>-7171</v>
          </cell>
          <cell r="AS206">
            <v>-717126.59</v>
          </cell>
          <cell r="AT206">
            <v>-690055</v>
          </cell>
          <cell r="AU206">
            <v>-676253</v>
          </cell>
          <cell r="AV206">
            <v>0</v>
          </cell>
          <cell r="AW206">
            <v>-13801</v>
          </cell>
          <cell r="AX206">
            <v>-1380109</v>
          </cell>
          <cell r="AY206">
            <v>85410582</v>
          </cell>
          <cell r="AZ206">
            <v>4099245</v>
          </cell>
          <cell r="BA206">
            <v>1770760</v>
          </cell>
          <cell r="BB206">
            <v>8792721</v>
          </cell>
          <cell r="BC206">
            <v>13126</v>
          </cell>
          <cell r="BD206">
            <v>0</v>
          </cell>
          <cell r="BE206">
            <v>51454</v>
          </cell>
          <cell r="BF206">
            <v>2862111</v>
          </cell>
          <cell r="BG206">
            <v>83645</v>
          </cell>
          <cell r="BH206">
            <v>161503</v>
          </cell>
          <cell r="BI206">
            <v>0</v>
          </cell>
          <cell r="BJ206">
            <v>0</v>
          </cell>
          <cell r="BK206">
            <v>0</v>
          </cell>
          <cell r="BL206">
            <v>51518</v>
          </cell>
          <cell r="BM206">
            <v>51518</v>
          </cell>
          <cell r="BN206">
            <v>0</v>
          </cell>
          <cell r="BO206">
            <v>0</v>
          </cell>
          <cell r="BP206">
            <v>88047927</v>
          </cell>
          <cell r="BQ206">
            <v>182952</v>
          </cell>
          <cell r="BR206">
            <v>3696750</v>
          </cell>
          <cell r="BS206">
            <v>-1789074</v>
          </cell>
        </row>
        <row r="207">
          <cell r="A207">
            <v>200</v>
          </cell>
          <cell r="B207" t="str">
            <v>Poole</v>
          </cell>
          <cell r="C207" t="str">
            <v>E1201</v>
          </cell>
          <cell r="D207">
            <v>239436</v>
          </cell>
          <cell r="G207">
            <v>17985</v>
          </cell>
          <cell r="H207">
            <v>0</v>
          </cell>
          <cell r="I207">
            <v>239436</v>
          </cell>
          <cell r="J207">
            <v>0</v>
          </cell>
          <cell r="K207">
            <v>0</v>
          </cell>
          <cell r="L207">
            <v>0</v>
          </cell>
          <cell r="M207">
            <v>0</v>
          </cell>
          <cell r="N207">
            <v>0</v>
          </cell>
          <cell r="O207">
            <v>0</v>
          </cell>
          <cell r="P207">
            <v>0</v>
          </cell>
          <cell r="Q207">
            <v>718210</v>
          </cell>
          <cell r="R207">
            <v>0</v>
          </cell>
          <cell r="S207">
            <v>14657</v>
          </cell>
          <cell r="T207">
            <v>0</v>
          </cell>
          <cell r="U207">
            <v>0</v>
          </cell>
          <cell r="V207">
            <v>0</v>
          </cell>
          <cell r="W207">
            <v>0</v>
          </cell>
          <cell r="X207">
            <v>0</v>
          </cell>
          <cell r="Y207">
            <v>0</v>
          </cell>
          <cell r="Z207">
            <v>0</v>
          </cell>
          <cell r="AA207">
            <v>0</v>
          </cell>
          <cell r="AB207">
            <v>0</v>
          </cell>
          <cell r="AC207">
            <v>404028.62819532905</v>
          </cell>
          <cell r="AD207">
            <v>7.1518157785422682E-12</v>
          </cell>
          <cell r="AE207">
            <v>8245.4822080679405</v>
          </cell>
          <cell r="AF207">
            <v>0</v>
          </cell>
          <cell r="AG207">
            <v>0</v>
          </cell>
          <cell r="AH207">
            <v>0</v>
          </cell>
          <cell r="AI207">
            <v>27011</v>
          </cell>
          <cell r="AJ207">
            <v>4.7812361708698958E-13</v>
          </cell>
          <cell r="AK207">
            <v>551.23900000000003</v>
          </cell>
          <cell r="AL207">
            <v>306229</v>
          </cell>
          <cell r="AM207">
            <v>0</v>
          </cell>
          <cell r="AN207">
            <v>6198</v>
          </cell>
          <cell r="AO207">
            <v>-201316</v>
          </cell>
          <cell r="AP207">
            <v>-197289</v>
          </cell>
          <cell r="AQ207">
            <v>0</v>
          </cell>
          <cell r="AR207">
            <v>-4027</v>
          </cell>
          <cell r="AS207">
            <v>-402632</v>
          </cell>
          <cell r="AT207">
            <v>-1592057</v>
          </cell>
          <cell r="AU207">
            <v>-1560214</v>
          </cell>
          <cell r="AV207">
            <v>0</v>
          </cell>
          <cell r="AW207">
            <v>-31841</v>
          </cell>
          <cell r="AX207">
            <v>-3184112</v>
          </cell>
          <cell r="AY207">
            <v>56764758</v>
          </cell>
          <cell r="AZ207">
            <v>2855817.82</v>
          </cell>
          <cell r="BA207">
            <v>1207098.24</v>
          </cell>
          <cell r="BB207">
            <v>4368960.1900000004</v>
          </cell>
          <cell r="BC207">
            <v>35381.519999999997</v>
          </cell>
          <cell r="BD207">
            <v>0</v>
          </cell>
          <cell r="BE207">
            <v>15793.15</v>
          </cell>
          <cell r="BF207">
            <v>1862562.18</v>
          </cell>
          <cell r="BG207">
            <v>269790.77</v>
          </cell>
          <cell r="BH207">
            <v>35550</v>
          </cell>
          <cell r="BI207">
            <v>2684.69</v>
          </cell>
          <cell r="BJ207">
            <v>0</v>
          </cell>
          <cell r="BK207">
            <v>0</v>
          </cell>
          <cell r="BL207">
            <v>0</v>
          </cell>
          <cell r="BM207">
            <v>0</v>
          </cell>
          <cell r="BN207">
            <v>0</v>
          </cell>
          <cell r="BO207">
            <v>0</v>
          </cell>
          <cell r="BP207">
            <v>61022810.399999999</v>
          </cell>
          <cell r="BQ207">
            <v>266390.53999999998</v>
          </cell>
          <cell r="BR207">
            <v>1293460.17</v>
          </cell>
          <cell r="BS207">
            <v>1050723.4099999999</v>
          </cell>
        </row>
        <row r="208">
          <cell r="A208">
            <v>201</v>
          </cell>
          <cell r="B208" t="str">
            <v>Portsmouth</v>
          </cell>
          <cell r="C208" t="str">
            <v>E1701</v>
          </cell>
          <cell r="D208">
            <v>281877</v>
          </cell>
          <cell r="G208">
            <v>-417574</v>
          </cell>
          <cell r="H208">
            <v>0</v>
          </cell>
          <cell r="I208">
            <v>281877</v>
          </cell>
          <cell r="J208">
            <v>0</v>
          </cell>
          <cell r="K208">
            <v>0</v>
          </cell>
          <cell r="L208">
            <v>0</v>
          </cell>
          <cell r="M208">
            <v>0</v>
          </cell>
          <cell r="N208">
            <v>0</v>
          </cell>
          <cell r="O208">
            <v>0</v>
          </cell>
          <cell r="P208">
            <v>0</v>
          </cell>
          <cell r="Q208">
            <v>822342</v>
          </cell>
          <cell r="R208">
            <v>0</v>
          </cell>
          <cell r="S208">
            <v>16783</v>
          </cell>
          <cell r="T208">
            <v>4952</v>
          </cell>
          <cell r="U208">
            <v>0</v>
          </cell>
          <cell r="V208">
            <v>101</v>
          </cell>
          <cell r="W208">
            <v>2476</v>
          </cell>
          <cell r="X208">
            <v>0</v>
          </cell>
          <cell r="Y208">
            <v>51</v>
          </cell>
          <cell r="Z208">
            <v>19808.067940552017</v>
          </cell>
          <cell r="AA208">
            <v>3.5062775990019543E-13</v>
          </cell>
          <cell r="AB208">
            <v>404.24628450106161</v>
          </cell>
          <cell r="AC208">
            <v>554972.54352441616</v>
          </cell>
          <cell r="AD208">
            <v>9.8237132630037245E-12</v>
          </cell>
          <cell r="AE208">
            <v>11325.970276008493</v>
          </cell>
          <cell r="AF208">
            <v>0</v>
          </cell>
          <cell r="AG208">
            <v>0</v>
          </cell>
          <cell r="AH208">
            <v>0</v>
          </cell>
          <cell r="AI208">
            <v>0</v>
          </cell>
          <cell r="AJ208">
            <v>0</v>
          </cell>
          <cell r="AK208">
            <v>0</v>
          </cell>
          <cell r="AL208">
            <v>422392</v>
          </cell>
          <cell r="AM208">
            <v>0</v>
          </cell>
          <cell r="AN208">
            <v>8559</v>
          </cell>
          <cell r="AO208">
            <v>-1615000</v>
          </cell>
          <cell r="AP208">
            <v>-1582700</v>
          </cell>
          <cell r="AQ208">
            <v>0</v>
          </cell>
          <cell r="AR208">
            <v>-32300</v>
          </cell>
          <cell r="AS208">
            <v>-3230000</v>
          </cell>
          <cell r="AT208">
            <v>-6932131</v>
          </cell>
          <cell r="AU208">
            <v>-6793487</v>
          </cell>
          <cell r="AV208">
            <v>0</v>
          </cell>
          <cell r="AW208">
            <v>-138643</v>
          </cell>
          <cell r="AX208">
            <v>-13864261</v>
          </cell>
          <cell r="AY208">
            <v>63509410</v>
          </cell>
          <cell r="AZ208">
            <v>3294878</v>
          </cell>
          <cell r="BA208">
            <v>1598816</v>
          </cell>
          <cell r="BB208">
            <v>5745576</v>
          </cell>
          <cell r="BC208">
            <v>31962</v>
          </cell>
          <cell r="BD208">
            <v>0</v>
          </cell>
          <cell r="BE208">
            <v>43340</v>
          </cell>
          <cell r="BF208">
            <v>1725359</v>
          </cell>
          <cell r="BG208">
            <v>216142</v>
          </cell>
          <cell r="BH208">
            <v>6080</v>
          </cell>
          <cell r="BI208">
            <v>0</v>
          </cell>
          <cell r="BJ208">
            <v>0</v>
          </cell>
          <cell r="BK208">
            <v>0</v>
          </cell>
          <cell r="BL208">
            <v>0</v>
          </cell>
          <cell r="BM208">
            <v>0</v>
          </cell>
          <cell r="BN208">
            <v>0</v>
          </cell>
          <cell r="BO208">
            <v>0</v>
          </cell>
          <cell r="BP208">
            <v>81196912</v>
          </cell>
          <cell r="BQ208">
            <v>467108</v>
          </cell>
          <cell r="BR208">
            <v>4496777</v>
          </cell>
          <cell r="BS208">
            <v>1045611</v>
          </cell>
        </row>
        <row r="209">
          <cell r="A209">
            <v>202</v>
          </cell>
          <cell r="B209" t="str">
            <v>Preston</v>
          </cell>
          <cell r="C209" t="str">
            <v>E2339</v>
          </cell>
          <cell r="D209">
            <v>239602</v>
          </cell>
          <cell r="G209">
            <v>172920</v>
          </cell>
          <cell r="H209">
            <v>0</v>
          </cell>
          <cell r="I209">
            <v>239602</v>
          </cell>
          <cell r="J209">
            <v>0</v>
          </cell>
          <cell r="K209">
            <v>0</v>
          </cell>
          <cell r="L209">
            <v>0</v>
          </cell>
          <cell r="M209">
            <v>0</v>
          </cell>
          <cell r="N209">
            <v>0</v>
          </cell>
          <cell r="O209">
            <v>0</v>
          </cell>
          <cell r="P209">
            <v>0</v>
          </cell>
          <cell r="Q209">
            <v>645893</v>
          </cell>
          <cell r="R209">
            <v>145326</v>
          </cell>
          <cell r="S209">
            <v>16147</v>
          </cell>
          <cell r="T209">
            <v>0</v>
          </cell>
          <cell r="U209">
            <v>0</v>
          </cell>
          <cell r="V209">
            <v>0</v>
          </cell>
          <cell r="W209">
            <v>0</v>
          </cell>
          <cell r="X209">
            <v>0</v>
          </cell>
          <cell r="Y209">
            <v>0</v>
          </cell>
          <cell r="Z209">
            <v>55863.064900212317</v>
          </cell>
          <cell r="AA209">
            <v>12569.189602547769</v>
          </cell>
          <cell r="AB209">
            <v>1396.576622505308</v>
          </cell>
          <cell r="AC209">
            <v>319762.01671337587</v>
          </cell>
          <cell r="AD209">
            <v>71946.453760509554</v>
          </cell>
          <cell r="AE209">
            <v>7994.0504178343963</v>
          </cell>
          <cell r="AF209">
            <v>0</v>
          </cell>
          <cell r="AG209">
            <v>0</v>
          </cell>
          <cell r="AH209">
            <v>0</v>
          </cell>
          <cell r="AI209">
            <v>0</v>
          </cell>
          <cell r="AJ209">
            <v>0</v>
          </cell>
          <cell r="AK209">
            <v>0</v>
          </cell>
          <cell r="AL209">
            <v>280681</v>
          </cell>
          <cell r="AM209">
            <v>62581</v>
          </cell>
          <cell r="AN209">
            <v>6953</v>
          </cell>
          <cell r="AO209">
            <v>-892947.89</v>
          </cell>
          <cell r="AP209">
            <v>-714357</v>
          </cell>
          <cell r="AQ209">
            <v>-160730</v>
          </cell>
          <cell r="AR209">
            <v>-17859</v>
          </cell>
          <cell r="AS209">
            <v>-1785893.89</v>
          </cell>
          <cell r="AT209">
            <v>-2448255.27</v>
          </cell>
          <cell r="AU209">
            <v>-1958605</v>
          </cell>
          <cell r="AV209">
            <v>-440686</v>
          </cell>
          <cell r="AW209">
            <v>-48965</v>
          </cell>
          <cell r="AX209">
            <v>-4896511.2699999996</v>
          </cell>
          <cell r="AY209">
            <v>59293808</v>
          </cell>
          <cell r="AZ209">
            <v>3120892.23</v>
          </cell>
          <cell r="BA209">
            <v>1342716.42</v>
          </cell>
          <cell r="BB209">
            <v>4477092.22</v>
          </cell>
          <cell r="BC209">
            <v>71264.179999999993</v>
          </cell>
          <cell r="BD209">
            <v>2954.7</v>
          </cell>
          <cell r="BE209">
            <v>443.47</v>
          </cell>
          <cell r="BF209">
            <v>3196793.71</v>
          </cell>
          <cell r="BG209">
            <v>57691.49</v>
          </cell>
          <cell r="BH209">
            <v>6853.94</v>
          </cell>
          <cell r="BI209">
            <v>292.02</v>
          </cell>
          <cell r="BJ209">
            <v>2954.7</v>
          </cell>
          <cell r="BK209">
            <v>0</v>
          </cell>
          <cell r="BL209">
            <v>0</v>
          </cell>
          <cell r="BM209">
            <v>0</v>
          </cell>
          <cell r="BN209">
            <v>0</v>
          </cell>
          <cell r="BO209">
            <v>0</v>
          </cell>
          <cell r="BP209">
            <v>65964697.200000003</v>
          </cell>
          <cell r="BQ209">
            <v>799109.4</v>
          </cell>
          <cell r="BR209">
            <v>2694832</v>
          </cell>
          <cell r="BS209">
            <v>1096991.6100000001</v>
          </cell>
        </row>
        <row r="210">
          <cell r="A210">
            <v>203</v>
          </cell>
          <cell r="B210" t="str">
            <v>Purbeck</v>
          </cell>
          <cell r="C210" t="str">
            <v>E1236</v>
          </cell>
          <cell r="D210">
            <v>94366</v>
          </cell>
          <cell r="G210">
            <v>64257</v>
          </cell>
          <cell r="H210">
            <v>0</v>
          </cell>
          <cell r="I210">
            <v>94366</v>
          </cell>
          <cell r="J210">
            <v>0</v>
          </cell>
          <cell r="K210">
            <v>0</v>
          </cell>
          <cell r="L210">
            <v>0</v>
          </cell>
          <cell r="M210">
            <v>0</v>
          </cell>
          <cell r="N210">
            <v>0</v>
          </cell>
          <cell r="O210">
            <v>0</v>
          </cell>
          <cell r="P210">
            <v>0</v>
          </cell>
          <cell r="Q210">
            <v>316123</v>
          </cell>
          <cell r="R210">
            <v>71128</v>
          </cell>
          <cell r="S210">
            <v>7903</v>
          </cell>
          <cell r="T210">
            <v>6386</v>
          </cell>
          <cell r="U210">
            <v>1437</v>
          </cell>
          <cell r="V210">
            <v>160</v>
          </cell>
          <cell r="W210">
            <v>4851</v>
          </cell>
          <cell r="X210">
            <v>1092</v>
          </cell>
          <cell r="Y210">
            <v>121</v>
          </cell>
          <cell r="Z210">
            <v>0</v>
          </cell>
          <cell r="AA210">
            <v>0</v>
          </cell>
          <cell r="AB210">
            <v>0</v>
          </cell>
          <cell r="AC210">
            <v>107933.75796178344</v>
          </cell>
          <cell r="AD210">
            <v>24285.095541401271</v>
          </cell>
          <cell r="AE210">
            <v>2698.3439490445862</v>
          </cell>
          <cell r="AF210">
            <v>0</v>
          </cell>
          <cell r="AG210">
            <v>0</v>
          </cell>
          <cell r="AH210">
            <v>0</v>
          </cell>
          <cell r="AI210">
            <v>678</v>
          </cell>
          <cell r="AJ210">
            <v>152.48969999999997</v>
          </cell>
          <cell r="AK210">
            <v>16.943300000000001</v>
          </cell>
          <cell r="AL210">
            <v>70723</v>
          </cell>
          <cell r="AM210">
            <v>15687</v>
          </cell>
          <cell r="AN210">
            <v>1743</v>
          </cell>
          <cell r="AO210">
            <v>-48834</v>
          </cell>
          <cell r="AP210">
            <v>-39068</v>
          </cell>
          <cell r="AQ210">
            <v>-8790</v>
          </cell>
          <cell r="AR210">
            <v>-977</v>
          </cell>
          <cell r="AS210">
            <v>-97669</v>
          </cell>
          <cell r="AT210">
            <v>-242350</v>
          </cell>
          <cell r="AU210">
            <v>-193879</v>
          </cell>
          <cell r="AV210">
            <v>-43623</v>
          </cell>
          <cell r="AW210">
            <v>-4847</v>
          </cell>
          <cell r="AX210">
            <v>-484699</v>
          </cell>
          <cell r="AY210">
            <v>17277306</v>
          </cell>
          <cell r="AZ210">
            <v>1590534.01</v>
          </cell>
          <cell r="BA210">
            <v>302321.96000000002</v>
          </cell>
          <cell r="BB210">
            <v>688086.93</v>
          </cell>
          <cell r="BC210">
            <v>43635.35</v>
          </cell>
          <cell r="BD210">
            <v>8619.27</v>
          </cell>
          <cell r="BE210">
            <v>0</v>
          </cell>
          <cell r="BF210">
            <v>288008.12</v>
          </cell>
          <cell r="BG210">
            <v>15483.73</v>
          </cell>
          <cell r="BH210">
            <v>6091.47</v>
          </cell>
          <cell r="BI210">
            <v>1600.34</v>
          </cell>
          <cell r="BJ210">
            <v>3944.6</v>
          </cell>
          <cell r="BK210">
            <v>0</v>
          </cell>
          <cell r="BL210">
            <v>0</v>
          </cell>
          <cell r="BM210">
            <v>0</v>
          </cell>
          <cell r="BN210">
            <v>0</v>
          </cell>
          <cell r="BO210">
            <v>0</v>
          </cell>
          <cell r="BP210">
            <v>17829472.899999999</v>
          </cell>
          <cell r="BQ210">
            <v>99052.52</v>
          </cell>
          <cell r="BR210">
            <v>553656.82999999996</v>
          </cell>
          <cell r="BS210">
            <v>233195.61</v>
          </cell>
        </row>
        <row r="211">
          <cell r="A211">
            <v>204</v>
          </cell>
          <cell r="B211" t="str">
            <v>Reading</v>
          </cell>
          <cell r="C211" t="str">
            <v>E0303</v>
          </cell>
          <cell r="D211">
            <v>271390</v>
          </cell>
          <cell r="G211">
            <v>242685</v>
          </cell>
          <cell r="H211">
            <v>0</v>
          </cell>
          <cell r="I211">
            <v>271390</v>
          </cell>
          <cell r="J211">
            <v>0</v>
          </cell>
          <cell r="K211">
            <v>0</v>
          </cell>
          <cell r="L211">
            <v>0</v>
          </cell>
          <cell r="M211">
            <v>0</v>
          </cell>
          <cell r="N211">
            <v>0</v>
          </cell>
          <cell r="O211">
            <v>0</v>
          </cell>
          <cell r="P211">
            <v>0</v>
          </cell>
          <cell r="Q211">
            <v>401982</v>
          </cell>
          <cell r="R211">
            <v>0</v>
          </cell>
          <cell r="S211">
            <v>8204</v>
          </cell>
          <cell r="T211">
            <v>0</v>
          </cell>
          <cell r="U211">
            <v>0</v>
          </cell>
          <cell r="V211">
            <v>0</v>
          </cell>
          <cell r="W211">
            <v>0</v>
          </cell>
          <cell r="X211">
            <v>0</v>
          </cell>
          <cell r="Y211">
            <v>0</v>
          </cell>
          <cell r="Z211">
            <v>0</v>
          </cell>
          <cell r="AA211">
            <v>0</v>
          </cell>
          <cell r="AB211">
            <v>0</v>
          </cell>
          <cell r="AC211">
            <v>0</v>
          </cell>
          <cell r="AD211">
            <v>0</v>
          </cell>
          <cell r="AE211">
            <v>0</v>
          </cell>
          <cell r="AF211">
            <v>194955</v>
          </cell>
          <cell r="AG211">
            <v>0</v>
          </cell>
          <cell r="AH211">
            <v>0</v>
          </cell>
          <cell r="AI211">
            <v>162035</v>
          </cell>
          <cell r="AJ211">
            <v>2.8682234538834894E-12</v>
          </cell>
          <cell r="AK211">
            <v>3306.8365000000003</v>
          </cell>
          <cell r="AL211">
            <v>523970</v>
          </cell>
          <cell r="AM211">
            <v>0</v>
          </cell>
          <cell r="AN211">
            <v>10634</v>
          </cell>
          <cell r="AO211">
            <v>-991035.18</v>
          </cell>
          <cell r="AP211">
            <v>-971215</v>
          </cell>
          <cell r="AQ211">
            <v>0</v>
          </cell>
          <cell r="AR211">
            <v>-19821</v>
          </cell>
          <cell r="AS211">
            <v>-1982071.18</v>
          </cell>
          <cell r="AT211">
            <v>-7500000</v>
          </cell>
          <cell r="AU211">
            <v>-7350000</v>
          </cell>
          <cell r="AV211">
            <v>0</v>
          </cell>
          <cell r="AW211">
            <v>-150000</v>
          </cell>
          <cell r="AX211">
            <v>-15000000</v>
          </cell>
          <cell r="AY211">
            <v>89273682</v>
          </cell>
          <cell r="AZ211">
            <v>1625545</v>
          </cell>
          <cell r="BA211">
            <v>2074773</v>
          </cell>
          <cell r="BB211">
            <v>3937001</v>
          </cell>
          <cell r="BC211">
            <v>6481</v>
          </cell>
          <cell r="BD211">
            <v>0</v>
          </cell>
          <cell r="BE211">
            <v>707576</v>
          </cell>
          <cell r="BF211">
            <v>3722273</v>
          </cell>
          <cell r="BG211">
            <v>50495</v>
          </cell>
          <cell r="BH211">
            <v>0</v>
          </cell>
          <cell r="BI211">
            <v>0</v>
          </cell>
          <cell r="BJ211">
            <v>0</v>
          </cell>
          <cell r="BK211">
            <v>0</v>
          </cell>
          <cell r="BL211">
            <v>0</v>
          </cell>
          <cell r="BM211">
            <v>0</v>
          </cell>
          <cell r="BN211">
            <v>0</v>
          </cell>
          <cell r="BO211">
            <v>0</v>
          </cell>
          <cell r="BP211">
            <v>105360932</v>
          </cell>
          <cell r="BQ211">
            <v>107207</v>
          </cell>
          <cell r="BR211">
            <v>4646907</v>
          </cell>
          <cell r="BS211">
            <v>1164988</v>
          </cell>
        </row>
        <row r="212">
          <cell r="A212">
            <v>205</v>
          </cell>
          <cell r="B212" t="str">
            <v>Redbridge</v>
          </cell>
          <cell r="C212" t="str">
            <v>E5046</v>
          </cell>
          <cell r="D212">
            <v>279552</v>
          </cell>
          <cell r="G212">
            <v>130930</v>
          </cell>
          <cell r="H212">
            <v>0</v>
          </cell>
          <cell r="I212">
            <v>279552</v>
          </cell>
          <cell r="J212">
            <v>0</v>
          </cell>
          <cell r="K212">
            <v>0</v>
          </cell>
          <cell r="L212">
            <v>0</v>
          </cell>
          <cell r="M212">
            <v>0</v>
          </cell>
          <cell r="N212">
            <v>0</v>
          </cell>
          <cell r="O212">
            <v>0</v>
          </cell>
          <cell r="P212">
            <v>0</v>
          </cell>
          <cell r="Q212">
            <v>520924</v>
          </cell>
          <cell r="R212">
            <v>347282</v>
          </cell>
          <cell r="S212">
            <v>0</v>
          </cell>
          <cell r="T212">
            <v>0</v>
          </cell>
          <cell r="U212">
            <v>0</v>
          </cell>
          <cell r="V212">
            <v>0</v>
          </cell>
          <cell r="W212">
            <v>0</v>
          </cell>
          <cell r="X212">
            <v>0</v>
          </cell>
          <cell r="Y212">
            <v>0</v>
          </cell>
          <cell r="Z212">
            <v>109146.49681528662</v>
          </cell>
          <cell r="AA212">
            <v>72764.331210191085</v>
          </cell>
          <cell r="AB212">
            <v>0</v>
          </cell>
          <cell r="AC212">
            <v>818598.72611464967</v>
          </cell>
          <cell r="AD212">
            <v>545732.48407643323</v>
          </cell>
          <cell r="AE212">
            <v>0</v>
          </cell>
          <cell r="AF212">
            <v>0</v>
          </cell>
          <cell r="AG212">
            <v>0</v>
          </cell>
          <cell r="AH212">
            <v>0</v>
          </cell>
          <cell r="AI212">
            <v>0</v>
          </cell>
          <cell r="AJ212">
            <v>0</v>
          </cell>
          <cell r="AK212">
            <v>0</v>
          </cell>
          <cell r="AL212">
            <v>155147</v>
          </cell>
          <cell r="AM212">
            <v>101453</v>
          </cell>
          <cell r="AN212">
            <v>0</v>
          </cell>
          <cell r="AO212">
            <v>-3630500</v>
          </cell>
          <cell r="AP212">
            <v>-2178300</v>
          </cell>
          <cell r="AQ212">
            <v>-1452200</v>
          </cell>
          <cell r="AR212">
            <v>0</v>
          </cell>
          <cell r="AS212">
            <v>-7261000</v>
          </cell>
          <cell r="AT212">
            <v>-400000</v>
          </cell>
          <cell r="AU212">
            <v>-240000</v>
          </cell>
          <cell r="AV212">
            <v>-160000</v>
          </cell>
          <cell r="AW212">
            <v>0</v>
          </cell>
          <cell r="AX212">
            <v>-800000</v>
          </cell>
          <cell r="AY212">
            <v>50896341</v>
          </cell>
          <cell r="AZ212">
            <v>3441607</v>
          </cell>
          <cell r="BA212">
            <v>883914</v>
          </cell>
          <cell r="BB212">
            <v>3546139</v>
          </cell>
          <cell r="BC212">
            <v>110717</v>
          </cell>
          <cell r="BD212">
            <v>0</v>
          </cell>
          <cell r="BE212">
            <v>17721</v>
          </cell>
          <cell r="BF212">
            <v>1798145</v>
          </cell>
          <cell r="BG212">
            <v>0</v>
          </cell>
          <cell r="BH212">
            <v>14204</v>
          </cell>
          <cell r="BI212">
            <v>0</v>
          </cell>
          <cell r="BJ212">
            <v>0</v>
          </cell>
          <cell r="BK212">
            <v>0</v>
          </cell>
          <cell r="BL212">
            <v>0</v>
          </cell>
          <cell r="BM212">
            <v>0</v>
          </cell>
          <cell r="BN212">
            <v>0</v>
          </cell>
          <cell r="BO212">
            <v>0</v>
          </cell>
          <cell r="BP212">
            <v>53795558</v>
          </cell>
          <cell r="BQ212">
            <v>627306.61</v>
          </cell>
          <cell r="BR212">
            <v>8278783.1100000003</v>
          </cell>
          <cell r="BS212">
            <v>1636744.58</v>
          </cell>
        </row>
        <row r="213">
          <cell r="A213">
            <v>206</v>
          </cell>
          <cell r="B213" t="str">
            <v>Redcar and Cleveland</v>
          </cell>
          <cell r="C213" t="str">
            <v>E0703</v>
          </cell>
          <cell r="D213">
            <v>173562</v>
          </cell>
          <cell r="E213">
            <v>0</v>
          </cell>
          <cell r="G213">
            <v>252652</v>
          </cell>
          <cell r="H213">
            <v>0</v>
          </cell>
          <cell r="I213">
            <v>173562</v>
          </cell>
          <cell r="J213">
            <v>0</v>
          </cell>
          <cell r="K213">
            <v>0</v>
          </cell>
          <cell r="L213">
            <v>0</v>
          </cell>
          <cell r="M213">
            <v>0</v>
          </cell>
          <cell r="N213">
            <v>0</v>
          </cell>
          <cell r="O213">
            <v>0</v>
          </cell>
          <cell r="P213">
            <v>0</v>
          </cell>
          <cell r="Q213">
            <v>577128</v>
          </cell>
          <cell r="R213">
            <v>0</v>
          </cell>
          <cell r="S213">
            <v>11778</v>
          </cell>
          <cell r="T213">
            <v>0</v>
          </cell>
          <cell r="U213">
            <v>0</v>
          </cell>
          <cell r="V213">
            <v>0</v>
          </cell>
          <cell r="W213">
            <v>0</v>
          </cell>
          <cell r="X213">
            <v>0</v>
          </cell>
          <cell r="Y213">
            <v>0</v>
          </cell>
          <cell r="Z213">
            <v>440725.55006369425</v>
          </cell>
          <cell r="AA213">
            <v>7.8013975322273675E-12</v>
          </cell>
          <cell r="AB213">
            <v>8994.3989808917195</v>
          </cell>
          <cell r="AC213">
            <v>256019.27813163481</v>
          </cell>
          <cell r="AD213">
            <v>4.5318637967100258E-12</v>
          </cell>
          <cell r="AE213">
            <v>5224.8832271762212</v>
          </cell>
          <cell r="AF213">
            <v>0</v>
          </cell>
          <cell r="AG213">
            <v>0</v>
          </cell>
          <cell r="AH213">
            <v>0</v>
          </cell>
          <cell r="AI213">
            <v>0</v>
          </cell>
          <cell r="AJ213">
            <v>0</v>
          </cell>
          <cell r="AK213">
            <v>0</v>
          </cell>
          <cell r="AL213">
            <v>191811</v>
          </cell>
          <cell r="AM213">
            <v>0</v>
          </cell>
          <cell r="AN213">
            <v>3877</v>
          </cell>
          <cell r="AO213">
            <v>-612545</v>
          </cell>
          <cell r="AP213">
            <v>-600295</v>
          </cell>
          <cell r="AQ213">
            <v>0</v>
          </cell>
          <cell r="AR213">
            <v>-12251</v>
          </cell>
          <cell r="AS213">
            <v>-1225091</v>
          </cell>
          <cell r="AT213">
            <v>-2363535</v>
          </cell>
          <cell r="AU213">
            <v>-2316266</v>
          </cell>
          <cell r="AV213">
            <v>0</v>
          </cell>
          <cell r="AW213">
            <v>-47271</v>
          </cell>
          <cell r="AX213">
            <v>-4727072</v>
          </cell>
          <cell r="AY213">
            <v>46853829</v>
          </cell>
          <cell r="AZ213">
            <v>2290803.79</v>
          </cell>
          <cell r="BA213">
            <v>1033655.2</v>
          </cell>
          <cell r="BB213">
            <v>2198292.79</v>
          </cell>
          <cell r="BC213">
            <v>61947.8</v>
          </cell>
          <cell r="BD213">
            <v>9759</v>
          </cell>
          <cell r="BE213">
            <v>435089.35</v>
          </cell>
          <cell r="BF213">
            <v>897423.53</v>
          </cell>
          <cell r="BG213">
            <v>41810.74</v>
          </cell>
          <cell r="BH213">
            <v>293624.2</v>
          </cell>
          <cell r="BI213">
            <v>0</v>
          </cell>
          <cell r="BJ213">
            <v>0</v>
          </cell>
          <cell r="BK213">
            <v>0</v>
          </cell>
          <cell r="BL213">
            <v>0</v>
          </cell>
          <cell r="BM213">
            <v>0</v>
          </cell>
          <cell r="BN213">
            <v>0</v>
          </cell>
          <cell r="BO213">
            <v>0</v>
          </cell>
          <cell r="BP213">
            <v>51484006</v>
          </cell>
          <cell r="BQ213">
            <v>113488</v>
          </cell>
          <cell r="BR213">
            <v>7863338</v>
          </cell>
          <cell r="BS213">
            <v>397975</v>
          </cell>
        </row>
        <row r="214">
          <cell r="A214">
            <v>207</v>
          </cell>
          <cell r="B214" t="str">
            <v>Redditch</v>
          </cell>
          <cell r="C214" t="str">
            <v>E1835</v>
          </cell>
          <cell r="D214">
            <v>110669</v>
          </cell>
          <cell r="G214">
            <v>22553</v>
          </cell>
          <cell r="H214">
            <v>0</v>
          </cell>
          <cell r="I214">
            <v>110669</v>
          </cell>
          <cell r="J214">
            <v>0</v>
          </cell>
          <cell r="K214">
            <v>0</v>
          </cell>
          <cell r="L214">
            <v>0</v>
          </cell>
          <cell r="M214">
            <v>0</v>
          </cell>
          <cell r="N214">
            <v>0</v>
          </cell>
          <cell r="O214">
            <v>0</v>
          </cell>
          <cell r="P214">
            <v>0</v>
          </cell>
          <cell r="Q214">
            <v>253704</v>
          </cell>
          <cell r="R214">
            <v>57084</v>
          </cell>
          <cell r="S214">
            <v>6343</v>
          </cell>
          <cell r="T214">
            <v>0</v>
          </cell>
          <cell r="U214">
            <v>0</v>
          </cell>
          <cell r="V214">
            <v>0</v>
          </cell>
          <cell r="W214">
            <v>0</v>
          </cell>
          <cell r="X214">
            <v>0</v>
          </cell>
          <cell r="Y214">
            <v>0</v>
          </cell>
          <cell r="Z214">
            <v>90512.764331210201</v>
          </cell>
          <cell r="AA214">
            <v>20365.371974522292</v>
          </cell>
          <cell r="AB214">
            <v>2262.819108280255</v>
          </cell>
          <cell r="AC214">
            <v>114126.96465392782</v>
          </cell>
          <cell r="AD214">
            <v>25678.567047133751</v>
          </cell>
          <cell r="AE214">
            <v>2853.1741163481952</v>
          </cell>
          <cell r="AF214">
            <v>0</v>
          </cell>
          <cell r="AG214">
            <v>0</v>
          </cell>
          <cell r="AH214">
            <v>0</v>
          </cell>
          <cell r="AI214">
            <v>0</v>
          </cell>
          <cell r="AJ214">
            <v>0</v>
          </cell>
          <cell r="AK214">
            <v>0</v>
          </cell>
          <cell r="AL214">
            <v>151684</v>
          </cell>
          <cell r="AM214">
            <v>33865</v>
          </cell>
          <cell r="AN214">
            <v>3763</v>
          </cell>
          <cell r="AO214">
            <v>-547712</v>
          </cell>
          <cell r="AP214">
            <v>-438169</v>
          </cell>
          <cell r="AQ214">
            <v>-98588</v>
          </cell>
          <cell r="AR214">
            <v>-10954</v>
          </cell>
          <cell r="AS214">
            <v>-1095423</v>
          </cell>
          <cell r="AT214">
            <v>-564052</v>
          </cell>
          <cell r="AU214">
            <v>-451241</v>
          </cell>
          <cell r="AV214">
            <v>-101529</v>
          </cell>
          <cell r="AW214">
            <v>-11281</v>
          </cell>
          <cell r="AX214">
            <v>-1128103</v>
          </cell>
          <cell r="AY214">
            <v>32489240</v>
          </cell>
          <cell r="AZ214">
            <v>1240492.8700000001</v>
          </cell>
          <cell r="BA214">
            <v>682290.92</v>
          </cell>
          <cell r="BB214">
            <v>1172725.3999999999</v>
          </cell>
          <cell r="BC214">
            <v>12784.86</v>
          </cell>
          <cell r="BD214">
            <v>1342.35</v>
          </cell>
          <cell r="BE214">
            <v>4946.3100000000004</v>
          </cell>
          <cell r="BF214">
            <v>1426726.2</v>
          </cell>
          <cell r="BG214">
            <v>47104.94</v>
          </cell>
          <cell r="BH214">
            <v>39395.57</v>
          </cell>
          <cell r="BI214">
            <v>3196.22</v>
          </cell>
          <cell r="BJ214">
            <v>1342.35</v>
          </cell>
          <cell r="BK214">
            <v>0</v>
          </cell>
          <cell r="BL214">
            <v>0</v>
          </cell>
          <cell r="BM214">
            <v>0</v>
          </cell>
          <cell r="BN214">
            <v>0</v>
          </cell>
          <cell r="BO214">
            <v>0</v>
          </cell>
          <cell r="BP214">
            <v>34349142</v>
          </cell>
          <cell r="BQ214">
            <v>167902</v>
          </cell>
          <cell r="BR214">
            <v>1369339</v>
          </cell>
          <cell r="BS214">
            <v>517243</v>
          </cell>
        </row>
        <row r="215">
          <cell r="A215">
            <v>208</v>
          </cell>
          <cell r="B215" t="str">
            <v>Reigate and Banstead</v>
          </cell>
          <cell r="C215" t="str">
            <v>E3635</v>
          </cell>
          <cell r="D215">
            <v>177048</v>
          </cell>
          <cell r="G215">
            <v>-40962</v>
          </cell>
          <cell r="H215">
            <v>0</v>
          </cell>
          <cell r="I215">
            <v>177048</v>
          </cell>
          <cell r="J215">
            <v>0</v>
          </cell>
          <cell r="K215">
            <v>0</v>
          </cell>
          <cell r="L215">
            <v>0</v>
          </cell>
          <cell r="M215">
            <v>0</v>
          </cell>
          <cell r="N215">
            <v>0</v>
          </cell>
          <cell r="O215">
            <v>0</v>
          </cell>
          <cell r="P215">
            <v>0</v>
          </cell>
          <cell r="Q215">
            <v>387448</v>
          </cell>
          <cell r="R215">
            <v>96862</v>
          </cell>
          <cell r="S215">
            <v>0</v>
          </cell>
          <cell r="T215">
            <v>0</v>
          </cell>
          <cell r="U215">
            <v>0</v>
          </cell>
          <cell r="V215">
            <v>0</v>
          </cell>
          <cell r="W215">
            <v>181911</v>
          </cell>
          <cell r="X215">
            <v>45478</v>
          </cell>
          <cell r="Y215">
            <v>0</v>
          </cell>
          <cell r="Z215">
            <v>0</v>
          </cell>
          <cell r="AA215">
            <v>0</v>
          </cell>
          <cell r="AB215">
            <v>0</v>
          </cell>
          <cell r="AC215">
            <v>202123.1422505308</v>
          </cell>
          <cell r="AD215">
            <v>50530.785562632685</v>
          </cell>
          <cell r="AE215">
            <v>0</v>
          </cell>
          <cell r="AF215">
            <v>7665.04</v>
          </cell>
          <cell r="AG215">
            <v>0</v>
          </cell>
          <cell r="AH215">
            <v>0</v>
          </cell>
          <cell r="AI215">
            <v>4291</v>
          </cell>
          <cell r="AJ215">
            <v>1072.8119999999999</v>
          </cell>
          <cell r="AK215">
            <v>0</v>
          </cell>
          <cell r="AL215">
            <v>206122</v>
          </cell>
          <cell r="AM215">
            <v>51061</v>
          </cell>
          <cell r="AN215">
            <v>0</v>
          </cell>
          <cell r="AO215">
            <v>-64995.1</v>
          </cell>
          <cell r="AP215">
            <v>-51996</v>
          </cell>
          <cell r="AQ215">
            <v>-12999</v>
          </cell>
          <cell r="AR215">
            <v>0</v>
          </cell>
          <cell r="AS215">
            <v>-129990.1</v>
          </cell>
          <cell r="AT215">
            <v>-690307</v>
          </cell>
          <cell r="AU215">
            <v>-552247</v>
          </cell>
          <cell r="AV215">
            <v>-138062</v>
          </cell>
          <cell r="AW215">
            <v>0</v>
          </cell>
          <cell r="AX215">
            <v>-1380616</v>
          </cell>
          <cell r="AY215">
            <v>47389688</v>
          </cell>
          <cell r="AZ215">
            <v>1877068.84</v>
          </cell>
          <cell r="BA215">
            <v>967726.05</v>
          </cell>
          <cell r="BB215">
            <v>3183548.99</v>
          </cell>
          <cell r="BC215">
            <v>59930.81</v>
          </cell>
          <cell r="BD215">
            <v>0</v>
          </cell>
          <cell r="BE215">
            <v>67603.28</v>
          </cell>
          <cell r="BF215">
            <v>2170560</v>
          </cell>
          <cell r="BG215">
            <v>68331.39</v>
          </cell>
          <cell r="BH215">
            <v>35474.44</v>
          </cell>
          <cell r="BI215">
            <v>2562</v>
          </cell>
          <cell r="BJ215">
            <v>2515.31</v>
          </cell>
          <cell r="BK215">
            <v>0</v>
          </cell>
          <cell r="BL215">
            <v>0</v>
          </cell>
          <cell r="BM215">
            <v>0</v>
          </cell>
          <cell r="BN215">
            <v>0</v>
          </cell>
          <cell r="BO215">
            <v>0</v>
          </cell>
          <cell r="BP215">
            <v>49164090.100000001</v>
          </cell>
          <cell r="BQ215">
            <v>115695.87</v>
          </cell>
          <cell r="BR215">
            <v>42671.99</v>
          </cell>
          <cell r="BS215">
            <v>593892.35</v>
          </cell>
        </row>
        <row r="216">
          <cell r="A216">
            <v>209</v>
          </cell>
          <cell r="B216" t="str">
            <v>Ribble Valley</v>
          </cell>
          <cell r="C216" t="str">
            <v>E2340</v>
          </cell>
          <cell r="D216">
            <v>87901</v>
          </cell>
          <cell r="E216">
            <v>1826412</v>
          </cell>
          <cell r="G216">
            <v>65436</v>
          </cell>
          <cell r="H216">
            <v>0</v>
          </cell>
          <cell r="I216">
            <v>87901</v>
          </cell>
          <cell r="J216">
            <v>10008</v>
          </cell>
          <cell r="K216">
            <v>0</v>
          </cell>
          <cell r="L216">
            <v>0</v>
          </cell>
          <cell r="M216">
            <v>0</v>
          </cell>
          <cell r="N216">
            <v>0</v>
          </cell>
          <cell r="O216">
            <v>0</v>
          </cell>
          <cell r="P216">
            <v>0</v>
          </cell>
          <cell r="Q216">
            <v>358596</v>
          </cell>
          <cell r="R216">
            <v>80684</v>
          </cell>
          <cell r="S216">
            <v>8965</v>
          </cell>
          <cell r="T216">
            <v>8085</v>
          </cell>
          <cell r="U216">
            <v>1819</v>
          </cell>
          <cell r="V216">
            <v>202</v>
          </cell>
          <cell r="W216">
            <v>8085</v>
          </cell>
          <cell r="X216">
            <v>1819</v>
          </cell>
          <cell r="Y216">
            <v>202</v>
          </cell>
          <cell r="Z216">
            <v>8084.9256900212322</v>
          </cell>
          <cell r="AA216">
            <v>1819.1082802547769</v>
          </cell>
          <cell r="AB216">
            <v>202.1231422505308</v>
          </cell>
          <cell r="AC216">
            <v>161698.51380042464</v>
          </cell>
          <cell r="AD216">
            <v>36382.165605095535</v>
          </cell>
          <cell r="AE216">
            <v>4042.4628450106156</v>
          </cell>
          <cell r="AF216">
            <v>0</v>
          </cell>
          <cell r="AG216">
            <v>0</v>
          </cell>
          <cell r="AH216">
            <v>0</v>
          </cell>
          <cell r="AI216">
            <v>0</v>
          </cell>
          <cell r="AJ216">
            <v>0</v>
          </cell>
          <cell r="AK216">
            <v>0</v>
          </cell>
          <cell r="AL216">
            <v>60376</v>
          </cell>
          <cell r="AM216">
            <v>13351</v>
          </cell>
          <cell r="AN216">
            <v>1483</v>
          </cell>
          <cell r="AO216">
            <v>-165000</v>
          </cell>
          <cell r="AP216">
            <v>-132000</v>
          </cell>
          <cell r="AQ216">
            <v>-29700</v>
          </cell>
          <cell r="AR216">
            <v>-3300</v>
          </cell>
          <cell r="AS216">
            <v>-330000</v>
          </cell>
          <cell r="AT216">
            <v>-184000</v>
          </cell>
          <cell r="AU216">
            <v>-147200</v>
          </cell>
          <cell r="AV216">
            <v>-33120</v>
          </cell>
          <cell r="AW216">
            <v>-3680</v>
          </cell>
          <cell r="AX216">
            <v>-368000</v>
          </cell>
          <cell r="AY216">
            <v>13409873</v>
          </cell>
          <cell r="AZ216">
            <v>1777110</v>
          </cell>
          <cell r="BA216">
            <v>251295</v>
          </cell>
          <cell r="BB216">
            <v>851609</v>
          </cell>
          <cell r="BC216">
            <v>25331</v>
          </cell>
          <cell r="BD216">
            <v>25487</v>
          </cell>
          <cell r="BE216">
            <v>0</v>
          </cell>
          <cell r="BF216">
            <v>495547</v>
          </cell>
          <cell r="BG216">
            <v>28038</v>
          </cell>
          <cell r="BH216">
            <v>9948</v>
          </cell>
          <cell r="BI216">
            <v>0</v>
          </cell>
          <cell r="BJ216">
            <v>5930</v>
          </cell>
          <cell r="BK216">
            <v>1559</v>
          </cell>
          <cell r="BL216">
            <v>0</v>
          </cell>
          <cell r="BM216">
            <v>0</v>
          </cell>
          <cell r="BN216">
            <v>0</v>
          </cell>
          <cell r="BO216">
            <v>0</v>
          </cell>
          <cell r="BP216">
            <v>14021607</v>
          </cell>
          <cell r="BQ216">
            <v>62584</v>
          </cell>
          <cell r="BR216">
            <v>601958</v>
          </cell>
          <cell r="BS216">
            <v>91542</v>
          </cell>
        </row>
        <row r="217">
          <cell r="A217">
            <v>210</v>
          </cell>
          <cell r="B217" t="str">
            <v>Richmond upon Thames</v>
          </cell>
          <cell r="C217" t="str">
            <v>E5047</v>
          </cell>
          <cell r="D217">
            <v>303621</v>
          </cell>
          <cell r="G217">
            <v>80111</v>
          </cell>
          <cell r="H217">
            <v>0</v>
          </cell>
          <cell r="I217">
            <v>303621</v>
          </cell>
          <cell r="J217">
            <v>0</v>
          </cell>
          <cell r="K217">
            <v>0</v>
          </cell>
          <cell r="L217">
            <v>0</v>
          </cell>
          <cell r="M217">
            <v>0</v>
          </cell>
          <cell r="N217">
            <v>0</v>
          </cell>
          <cell r="O217">
            <v>0</v>
          </cell>
          <cell r="P217">
            <v>0</v>
          </cell>
          <cell r="Q217">
            <v>323515</v>
          </cell>
          <cell r="R217">
            <v>215676</v>
          </cell>
          <cell r="S217">
            <v>0</v>
          </cell>
          <cell r="T217">
            <v>0</v>
          </cell>
          <cell r="U217">
            <v>0</v>
          </cell>
          <cell r="V217">
            <v>0</v>
          </cell>
          <cell r="W217">
            <v>80344</v>
          </cell>
          <cell r="X217">
            <v>53563</v>
          </cell>
          <cell r="Y217">
            <v>0</v>
          </cell>
          <cell r="Z217">
            <v>108236.94267515924</v>
          </cell>
          <cell r="AA217">
            <v>72157.961783439488</v>
          </cell>
          <cell r="AB217">
            <v>0</v>
          </cell>
          <cell r="AC217">
            <v>540881.52866242034</v>
          </cell>
          <cell r="AD217">
            <v>360587.68577494693</v>
          </cell>
          <cell r="AE217">
            <v>0</v>
          </cell>
          <cell r="AF217">
            <v>0</v>
          </cell>
          <cell r="AG217">
            <v>0</v>
          </cell>
          <cell r="AH217">
            <v>0</v>
          </cell>
          <cell r="AI217">
            <v>10234</v>
          </cell>
          <cell r="AJ217">
            <v>6822.4000000000005</v>
          </cell>
          <cell r="AK217">
            <v>0</v>
          </cell>
          <cell r="AL217">
            <v>265148</v>
          </cell>
          <cell r="AM217">
            <v>174617</v>
          </cell>
          <cell r="AN217">
            <v>0</v>
          </cell>
          <cell r="AO217">
            <v>-128032</v>
          </cell>
          <cell r="AP217">
            <v>-76819</v>
          </cell>
          <cell r="AQ217">
            <v>-51213</v>
          </cell>
          <cell r="AR217">
            <v>0</v>
          </cell>
          <cell r="AS217">
            <v>-256064</v>
          </cell>
          <cell r="AT217">
            <v>-2062501</v>
          </cell>
          <cell r="AU217">
            <v>-1237501</v>
          </cell>
          <cell r="AV217">
            <v>-825001</v>
          </cell>
          <cell r="AW217">
            <v>0</v>
          </cell>
          <cell r="AX217">
            <v>-4125003</v>
          </cell>
          <cell r="AY217">
            <v>76608805</v>
          </cell>
          <cell r="AZ217">
            <v>2136553</v>
          </cell>
          <cell r="BA217">
            <v>1506062</v>
          </cell>
          <cell r="BB217">
            <v>7485343</v>
          </cell>
          <cell r="BC217">
            <v>50495</v>
          </cell>
          <cell r="BD217">
            <v>0</v>
          </cell>
          <cell r="BE217">
            <v>0</v>
          </cell>
          <cell r="BF217">
            <v>2831271</v>
          </cell>
          <cell r="BG217">
            <v>247992</v>
          </cell>
          <cell r="BH217">
            <v>155553.51</v>
          </cell>
          <cell r="BI217">
            <v>3839</v>
          </cell>
          <cell r="BJ217">
            <v>0</v>
          </cell>
          <cell r="BK217">
            <v>0</v>
          </cell>
          <cell r="BL217">
            <v>0</v>
          </cell>
          <cell r="BM217">
            <v>0</v>
          </cell>
          <cell r="BN217">
            <v>0</v>
          </cell>
          <cell r="BO217">
            <v>0</v>
          </cell>
          <cell r="BP217">
            <v>82033995</v>
          </cell>
          <cell r="BQ217">
            <v>753214</v>
          </cell>
          <cell r="BR217">
            <v>4447214</v>
          </cell>
          <cell r="BS217">
            <v>-2685588.2</v>
          </cell>
        </row>
        <row r="218">
          <cell r="A218">
            <v>211</v>
          </cell>
          <cell r="B218" t="str">
            <v>Richmondshire</v>
          </cell>
          <cell r="C218" t="str">
            <v>E2734</v>
          </cell>
          <cell r="D218">
            <v>96960</v>
          </cell>
          <cell r="G218">
            <v>7569</v>
          </cell>
          <cell r="H218">
            <v>0</v>
          </cell>
          <cell r="I218">
            <v>96960</v>
          </cell>
          <cell r="J218">
            <v>0</v>
          </cell>
          <cell r="K218">
            <v>0</v>
          </cell>
          <cell r="L218">
            <v>0</v>
          </cell>
          <cell r="M218">
            <v>0</v>
          </cell>
          <cell r="N218">
            <v>0</v>
          </cell>
          <cell r="O218">
            <v>0</v>
          </cell>
          <cell r="P218">
            <v>0</v>
          </cell>
          <cell r="Q218">
            <v>334253</v>
          </cell>
          <cell r="R218">
            <v>75207</v>
          </cell>
          <cell r="S218">
            <v>8356</v>
          </cell>
          <cell r="T218">
            <v>404</v>
          </cell>
          <cell r="U218">
            <v>91</v>
          </cell>
          <cell r="V218">
            <v>10</v>
          </cell>
          <cell r="W218">
            <v>8085</v>
          </cell>
          <cell r="X218">
            <v>1819</v>
          </cell>
          <cell r="Y218">
            <v>202</v>
          </cell>
          <cell r="Z218">
            <v>8084.9256900212322</v>
          </cell>
          <cell r="AA218">
            <v>1819.1082802547769</v>
          </cell>
          <cell r="AB218">
            <v>202.1231422505308</v>
          </cell>
          <cell r="AC218">
            <v>62658.174097664538</v>
          </cell>
          <cell r="AD218">
            <v>14098.089171974518</v>
          </cell>
          <cell r="AE218">
            <v>1566.4543524416135</v>
          </cell>
          <cell r="AF218">
            <v>0</v>
          </cell>
          <cell r="AG218">
            <v>0</v>
          </cell>
          <cell r="AH218">
            <v>0</v>
          </cell>
          <cell r="AI218">
            <v>0</v>
          </cell>
          <cell r="AJ218">
            <v>0</v>
          </cell>
          <cell r="AK218">
            <v>0</v>
          </cell>
          <cell r="AL218">
            <v>54359</v>
          </cell>
          <cell r="AM218">
            <v>11999</v>
          </cell>
          <cell r="AN218">
            <v>1333</v>
          </cell>
          <cell r="AO218">
            <v>-103969</v>
          </cell>
          <cell r="AP218">
            <v>-83175</v>
          </cell>
          <cell r="AQ218">
            <v>-18715</v>
          </cell>
          <cell r="AR218">
            <v>-2079</v>
          </cell>
          <cell r="AS218">
            <v>-207938</v>
          </cell>
          <cell r="AT218">
            <v>-687500</v>
          </cell>
          <cell r="AU218">
            <v>-550000</v>
          </cell>
          <cell r="AV218">
            <v>-123750</v>
          </cell>
          <cell r="AW218">
            <v>-13750</v>
          </cell>
          <cell r="AX218">
            <v>-1375000</v>
          </cell>
          <cell r="AY218">
            <v>11306537</v>
          </cell>
          <cell r="AZ218">
            <v>1631431</v>
          </cell>
          <cell r="BA218">
            <v>217530</v>
          </cell>
          <cell r="BB218">
            <v>513787</v>
          </cell>
          <cell r="BC218">
            <v>38125</v>
          </cell>
          <cell r="BD218">
            <v>44720</v>
          </cell>
          <cell r="BE218">
            <v>2613</v>
          </cell>
          <cell r="BF218">
            <v>213752</v>
          </cell>
          <cell r="BG218">
            <v>47465</v>
          </cell>
          <cell r="BH218">
            <v>6870</v>
          </cell>
          <cell r="BI218">
            <v>1326</v>
          </cell>
          <cell r="BJ218">
            <v>18403</v>
          </cell>
          <cell r="BK218">
            <v>5807</v>
          </cell>
          <cell r="BL218">
            <v>0</v>
          </cell>
          <cell r="BM218">
            <v>0</v>
          </cell>
          <cell r="BN218">
            <v>0</v>
          </cell>
          <cell r="BO218">
            <v>0</v>
          </cell>
          <cell r="BP218">
            <v>12988649</v>
          </cell>
          <cell r="BQ218">
            <v>50995</v>
          </cell>
          <cell r="BR218">
            <v>569029</v>
          </cell>
          <cell r="BS218">
            <v>79324</v>
          </cell>
        </row>
        <row r="219">
          <cell r="A219">
            <v>212</v>
          </cell>
          <cell r="B219" t="str">
            <v>Rochdale</v>
          </cell>
          <cell r="C219" t="str">
            <v>E4205</v>
          </cell>
          <cell r="D219">
            <v>287498</v>
          </cell>
          <cell r="G219">
            <v>-38791</v>
          </cell>
          <cell r="H219">
            <v>0</v>
          </cell>
          <cell r="I219">
            <v>287498</v>
          </cell>
          <cell r="J219">
            <v>0</v>
          </cell>
          <cell r="K219">
            <v>0</v>
          </cell>
          <cell r="L219">
            <v>0</v>
          </cell>
          <cell r="M219">
            <v>0</v>
          </cell>
          <cell r="N219">
            <v>0</v>
          </cell>
          <cell r="O219">
            <v>0</v>
          </cell>
          <cell r="P219">
            <v>0</v>
          </cell>
          <cell r="Q219">
            <v>1187529</v>
          </cell>
          <cell r="R219">
            <v>0</v>
          </cell>
          <cell r="S219">
            <v>24235</v>
          </cell>
          <cell r="T219">
            <v>0</v>
          </cell>
          <cell r="U219">
            <v>0</v>
          </cell>
          <cell r="V219">
            <v>0</v>
          </cell>
          <cell r="W219">
            <v>0</v>
          </cell>
          <cell r="X219">
            <v>0</v>
          </cell>
          <cell r="Y219">
            <v>0</v>
          </cell>
          <cell r="Z219">
            <v>9904.0339702760084</v>
          </cell>
          <cell r="AA219">
            <v>1.7531387995009771E-13</v>
          </cell>
          <cell r="AB219">
            <v>202.1231422505308</v>
          </cell>
          <cell r="AC219">
            <v>398008.46114649682</v>
          </cell>
          <cell r="AD219">
            <v>7.0452512366146017E-12</v>
          </cell>
          <cell r="AE219">
            <v>8122.6216560509556</v>
          </cell>
          <cell r="AF219">
            <v>0</v>
          </cell>
          <cell r="AG219">
            <v>0</v>
          </cell>
          <cell r="AH219">
            <v>0</v>
          </cell>
          <cell r="AI219">
            <v>0</v>
          </cell>
          <cell r="AJ219">
            <v>0</v>
          </cell>
          <cell r="AK219">
            <v>0</v>
          </cell>
          <cell r="AL219">
            <v>316596</v>
          </cell>
          <cell r="AM219">
            <v>0</v>
          </cell>
          <cell r="AN219">
            <v>6399</v>
          </cell>
          <cell r="AO219">
            <v>-831500</v>
          </cell>
          <cell r="AP219">
            <v>-814870</v>
          </cell>
          <cell r="AQ219">
            <v>0</v>
          </cell>
          <cell r="AR219">
            <v>-16630</v>
          </cell>
          <cell r="AS219">
            <v>-1663000</v>
          </cell>
          <cell r="AT219">
            <v>-1310133</v>
          </cell>
          <cell r="AU219">
            <v>-1283931</v>
          </cell>
          <cell r="AV219">
            <v>0</v>
          </cell>
          <cell r="AW219">
            <v>-26202</v>
          </cell>
          <cell r="AX219">
            <v>-2620266</v>
          </cell>
          <cell r="AY219">
            <v>57497966</v>
          </cell>
          <cell r="AZ219">
            <v>4768941</v>
          </cell>
          <cell r="BA219">
            <v>1266779</v>
          </cell>
          <cell r="BB219">
            <v>2943067</v>
          </cell>
          <cell r="BC219">
            <v>90611</v>
          </cell>
          <cell r="BD219">
            <v>0</v>
          </cell>
          <cell r="BE219">
            <v>376565</v>
          </cell>
          <cell r="BF219">
            <v>5067101</v>
          </cell>
          <cell r="BG219">
            <v>218953</v>
          </cell>
          <cell r="BH219">
            <v>88320</v>
          </cell>
          <cell r="BI219">
            <v>8210</v>
          </cell>
          <cell r="BJ219">
            <v>0</v>
          </cell>
          <cell r="BK219">
            <v>0</v>
          </cell>
          <cell r="BL219">
            <v>0</v>
          </cell>
          <cell r="BM219">
            <v>0</v>
          </cell>
          <cell r="BN219">
            <v>0</v>
          </cell>
          <cell r="BO219">
            <v>0</v>
          </cell>
          <cell r="BP219">
            <v>62470232</v>
          </cell>
          <cell r="BQ219">
            <v>680537</v>
          </cell>
          <cell r="BR219">
            <v>4036410</v>
          </cell>
          <cell r="BS219">
            <v>718651</v>
          </cell>
        </row>
        <row r="220">
          <cell r="A220">
            <v>213</v>
          </cell>
          <cell r="B220" t="str">
            <v>Rochford</v>
          </cell>
          <cell r="C220" t="str">
            <v>E1540</v>
          </cell>
          <cell r="D220">
            <v>85477</v>
          </cell>
          <cell r="G220">
            <v>22414</v>
          </cell>
          <cell r="H220">
            <v>0</v>
          </cell>
          <cell r="I220">
            <v>85477</v>
          </cell>
          <cell r="J220">
            <v>0</v>
          </cell>
          <cell r="K220">
            <v>0</v>
          </cell>
          <cell r="L220">
            <v>0</v>
          </cell>
          <cell r="M220">
            <v>0</v>
          </cell>
          <cell r="N220">
            <v>0</v>
          </cell>
          <cell r="O220">
            <v>0</v>
          </cell>
          <cell r="P220">
            <v>0</v>
          </cell>
          <cell r="Q220">
            <v>282767</v>
          </cell>
          <cell r="R220">
            <v>63622</v>
          </cell>
          <cell r="S220">
            <v>7069</v>
          </cell>
          <cell r="T220">
            <v>20212</v>
          </cell>
          <cell r="U220">
            <v>4548</v>
          </cell>
          <cell r="V220">
            <v>505</v>
          </cell>
          <cell r="W220">
            <v>0</v>
          </cell>
          <cell r="X220">
            <v>0</v>
          </cell>
          <cell r="Y220">
            <v>0</v>
          </cell>
          <cell r="Z220">
            <v>580.90191082802551</v>
          </cell>
          <cell r="AA220">
            <v>130.70292993630571</v>
          </cell>
          <cell r="AB220">
            <v>14.522547770700637</v>
          </cell>
          <cell r="AC220">
            <v>132416.52993630574</v>
          </cell>
          <cell r="AD220">
            <v>29793.719235668785</v>
          </cell>
          <cell r="AE220">
            <v>3310.4132484076436</v>
          </cell>
          <cell r="AF220">
            <v>0</v>
          </cell>
          <cell r="AG220">
            <v>0</v>
          </cell>
          <cell r="AH220">
            <v>0</v>
          </cell>
          <cell r="AI220">
            <v>0</v>
          </cell>
          <cell r="AJ220">
            <v>0</v>
          </cell>
          <cell r="AK220">
            <v>0</v>
          </cell>
          <cell r="AL220">
            <v>71477</v>
          </cell>
          <cell r="AM220">
            <v>15878</v>
          </cell>
          <cell r="AN220">
            <v>1764</v>
          </cell>
          <cell r="AO220">
            <v>-135778</v>
          </cell>
          <cell r="AP220">
            <v>-108623</v>
          </cell>
          <cell r="AQ220">
            <v>-24441</v>
          </cell>
          <cell r="AR220">
            <v>-2716</v>
          </cell>
          <cell r="AS220">
            <v>-271558</v>
          </cell>
          <cell r="AT220">
            <v>-170167</v>
          </cell>
          <cell r="AU220">
            <v>-136133</v>
          </cell>
          <cell r="AV220">
            <v>-30630</v>
          </cell>
          <cell r="AW220">
            <v>-3404</v>
          </cell>
          <cell r="AX220">
            <v>-340334</v>
          </cell>
          <cell r="AY220">
            <v>15204293</v>
          </cell>
          <cell r="AZ220">
            <v>1488891</v>
          </cell>
          <cell r="BA220">
            <v>273494</v>
          </cell>
          <cell r="BB220">
            <v>982496</v>
          </cell>
          <cell r="BC220">
            <v>11134</v>
          </cell>
          <cell r="BD220">
            <v>253</v>
          </cell>
          <cell r="BE220">
            <v>0</v>
          </cell>
          <cell r="BF220">
            <v>337047</v>
          </cell>
          <cell r="BG220">
            <v>23496</v>
          </cell>
          <cell r="BH220">
            <v>0</v>
          </cell>
          <cell r="BI220">
            <v>0</v>
          </cell>
          <cell r="BJ220">
            <v>0</v>
          </cell>
          <cell r="BK220">
            <v>0</v>
          </cell>
          <cell r="BL220">
            <v>0</v>
          </cell>
          <cell r="BM220">
            <v>0</v>
          </cell>
          <cell r="BN220">
            <v>0</v>
          </cell>
          <cell r="BO220">
            <v>0</v>
          </cell>
          <cell r="BP220">
            <v>15880581</v>
          </cell>
          <cell r="BQ220">
            <v>24615</v>
          </cell>
          <cell r="BR220">
            <v>531381</v>
          </cell>
          <cell r="BS220">
            <v>25419</v>
          </cell>
        </row>
        <row r="221">
          <cell r="A221">
            <v>214</v>
          </cell>
          <cell r="B221" t="str">
            <v>Rossendale</v>
          </cell>
          <cell r="C221" t="str">
            <v>E2341</v>
          </cell>
          <cell r="D221">
            <v>100612</v>
          </cell>
          <cell r="G221">
            <v>50500</v>
          </cell>
          <cell r="H221">
            <v>0</v>
          </cell>
          <cell r="I221">
            <v>100612</v>
          </cell>
          <cell r="J221">
            <v>0</v>
          </cell>
          <cell r="K221">
            <v>0</v>
          </cell>
          <cell r="L221">
            <v>0</v>
          </cell>
          <cell r="M221">
            <v>0</v>
          </cell>
          <cell r="N221">
            <v>0</v>
          </cell>
          <cell r="O221">
            <v>0</v>
          </cell>
          <cell r="P221">
            <v>0</v>
          </cell>
          <cell r="Q221">
            <v>389087</v>
          </cell>
          <cell r="R221">
            <v>87545</v>
          </cell>
          <cell r="S221">
            <v>9727</v>
          </cell>
          <cell r="T221">
            <v>2021</v>
          </cell>
          <cell r="U221">
            <v>455</v>
          </cell>
          <cell r="V221">
            <v>51</v>
          </cell>
          <cell r="W221">
            <v>80850</v>
          </cell>
          <cell r="X221">
            <v>18191</v>
          </cell>
          <cell r="Y221">
            <v>2021</v>
          </cell>
          <cell r="Z221">
            <v>4042.4628450106161</v>
          </cell>
          <cell r="AA221">
            <v>909.55414012738845</v>
          </cell>
          <cell r="AB221">
            <v>101.0615711252654</v>
          </cell>
          <cell r="AC221">
            <v>81657.749469214439</v>
          </cell>
          <cell r="AD221">
            <v>18372.993630573244</v>
          </cell>
          <cell r="AE221">
            <v>2041.4437367303608</v>
          </cell>
          <cell r="AF221">
            <v>0</v>
          </cell>
          <cell r="AG221">
            <v>0</v>
          </cell>
          <cell r="AH221">
            <v>0</v>
          </cell>
          <cell r="AI221">
            <v>0</v>
          </cell>
          <cell r="AJ221">
            <v>0</v>
          </cell>
          <cell r="AK221">
            <v>0</v>
          </cell>
          <cell r="AL221">
            <v>55356</v>
          </cell>
          <cell r="AM221">
            <v>12215</v>
          </cell>
          <cell r="AN221">
            <v>1357</v>
          </cell>
          <cell r="AO221">
            <v>-434564</v>
          </cell>
          <cell r="AP221">
            <v>-347652</v>
          </cell>
          <cell r="AQ221">
            <v>-78222</v>
          </cell>
          <cell r="AR221">
            <v>-8691</v>
          </cell>
          <cell r="AS221">
            <v>-869129</v>
          </cell>
          <cell r="AT221">
            <v>-229986</v>
          </cell>
          <cell r="AU221">
            <v>-183989</v>
          </cell>
          <cell r="AV221">
            <v>-41397</v>
          </cell>
          <cell r="AW221">
            <v>-4599</v>
          </cell>
          <cell r="AX221">
            <v>-459971</v>
          </cell>
          <cell r="AY221">
            <v>12124425</v>
          </cell>
          <cell r="AZ221">
            <v>1873857.61</v>
          </cell>
          <cell r="BA221">
            <v>245985.47</v>
          </cell>
          <cell r="BB221">
            <v>430952.69</v>
          </cell>
          <cell r="BC221">
            <v>46144.81</v>
          </cell>
          <cell r="BD221">
            <v>0</v>
          </cell>
          <cell r="BE221">
            <v>0</v>
          </cell>
          <cell r="BF221">
            <v>765822.26</v>
          </cell>
          <cell r="BG221">
            <v>42866.080000000002</v>
          </cell>
          <cell r="BH221">
            <v>26391</v>
          </cell>
          <cell r="BI221">
            <v>3033.25</v>
          </cell>
          <cell r="BJ221">
            <v>0</v>
          </cell>
          <cell r="BK221">
            <v>0</v>
          </cell>
          <cell r="BL221">
            <v>0</v>
          </cell>
          <cell r="BM221">
            <v>0</v>
          </cell>
          <cell r="BN221">
            <v>0</v>
          </cell>
          <cell r="BO221">
            <v>0</v>
          </cell>
          <cell r="BP221">
            <v>13559482.699999999</v>
          </cell>
          <cell r="BQ221">
            <v>259805</v>
          </cell>
          <cell r="BR221">
            <v>1065593.76</v>
          </cell>
          <cell r="BS221">
            <v>23934.22</v>
          </cell>
        </row>
        <row r="222">
          <cell r="A222">
            <v>215</v>
          </cell>
          <cell r="B222" t="str">
            <v>Rother</v>
          </cell>
          <cell r="C222" t="str">
            <v>E1436</v>
          </cell>
          <cell r="D222">
            <v>146250</v>
          </cell>
          <cell r="G222">
            <v>34035</v>
          </cell>
          <cell r="H222">
            <v>0</v>
          </cell>
          <cell r="I222">
            <v>146250</v>
          </cell>
          <cell r="J222">
            <v>0</v>
          </cell>
          <cell r="K222">
            <v>0</v>
          </cell>
          <cell r="L222">
            <v>0</v>
          </cell>
          <cell r="M222">
            <v>0</v>
          </cell>
          <cell r="N222">
            <v>0</v>
          </cell>
          <cell r="O222">
            <v>0</v>
          </cell>
          <cell r="P222">
            <v>0</v>
          </cell>
          <cell r="Q222">
            <v>545023</v>
          </cell>
          <cell r="R222">
            <v>122630</v>
          </cell>
          <cell r="S222">
            <v>13626</v>
          </cell>
          <cell r="T222">
            <v>0</v>
          </cell>
          <cell r="U222">
            <v>0</v>
          </cell>
          <cell r="V222">
            <v>0</v>
          </cell>
          <cell r="W222">
            <v>0</v>
          </cell>
          <cell r="X222">
            <v>0</v>
          </cell>
          <cell r="Y222">
            <v>0</v>
          </cell>
          <cell r="Z222">
            <v>6467.9405520169857</v>
          </cell>
          <cell r="AA222">
            <v>1455.2866242038212</v>
          </cell>
          <cell r="AB222">
            <v>161.69851380042462</v>
          </cell>
          <cell r="AC222">
            <v>301599.01690021233</v>
          </cell>
          <cell r="AD222">
            <v>67859.778802547764</v>
          </cell>
          <cell r="AE222">
            <v>7539.9754225053084</v>
          </cell>
          <cell r="AF222">
            <v>0</v>
          </cell>
          <cell r="AG222">
            <v>0</v>
          </cell>
          <cell r="AH222">
            <v>0</v>
          </cell>
          <cell r="AI222">
            <v>0</v>
          </cell>
          <cell r="AJ222">
            <v>0</v>
          </cell>
          <cell r="AK222">
            <v>0</v>
          </cell>
          <cell r="AL222">
            <v>68953</v>
          </cell>
          <cell r="AM222">
            <v>15165</v>
          </cell>
          <cell r="AN222">
            <v>1685</v>
          </cell>
          <cell r="AO222">
            <v>-206552.39</v>
          </cell>
          <cell r="AP222">
            <v>-165242</v>
          </cell>
          <cell r="AQ222">
            <v>-37180</v>
          </cell>
          <cell r="AR222">
            <v>-4131</v>
          </cell>
          <cell r="AS222">
            <v>-413105.39</v>
          </cell>
          <cell r="AT222">
            <v>-513500</v>
          </cell>
          <cell r="AU222">
            <v>-410800</v>
          </cell>
          <cell r="AV222">
            <v>-92430</v>
          </cell>
          <cell r="AW222">
            <v>-10270</v>
          </cell>
          <cell r="AX222">
            <v>-1027000</v>
          </cell>
          <cell r="AY222">
            <v>15206498</v>
          </cell>
          <cell r="AZ222">
            <v>2646097.21</v>
          </cell>
          <cell r="BA222">
            <v>292477.51</v>
          </cell>
          <cell r="BB222">
            <v>1954046.59</v>
          </cell>
          <cell r="BC222">
            <v>66524.039999999994</v>
          </cell>
          <cell r="BD222">
            <v>37969.85</v>
          </cell>
          <cell r="BE222">
            <v>1669.22</v>
          </cell>
          <cell r="BF222">
            <v>424364.96</v>
          </cell>
          <cell r="BG222">
            <v>31390.2</v>
          </cell>
          <cell r="BH222">
            <v>0</v>
          </cell>
          <cell r="BI222">
            <v>6146.52</v>
          </cell>
          <cell r="BJ222">
            <v>13078.46</v>
          </cell>
          <cell r="BK222">
            <v>0</v>
          </cell>
          <cell r="BL222">
            <v>0</v>
          </cell>
          <cell r="BM222">
            <v>0</v>
          </cell>
          <cell r="BN222">
            <v>0</v>
          </cell>
          <cell r="BO222">
            <v>0</v>
          </cell>
          <cell r="BP222">
            <v>16463985.9</v>
          </cell>
          <cell r="BQ222">
            <v>73143.64</v>
          </cell>
          <cell r="BR222">
            <v>626404.24</v>
          </cell>
          <cell r="BS222">
            <v>63126.559999999998</v>
          </cell>
        </row>
        <row r="223">
          <cell r="A223">
            <v>216</v>
          </cell>
          <cell r="B223" t="str">
            <v>Rotherham</v>
          </cell>
          <cell r="C223" t="str">
            <v>E4403</v>
          </cell>
          <cell r="D223">
            <v>307775</v>
          </cell>
          <cell r="E223">
            <v>330504</v>
          </cell>
          <cell r="G223">
            <v>55712</v>
          </cell>
          <cell r="H223">
            <v>0</v>
          </cell>
          <cell r="I223">
            <v>307775</v>
          </cell>
          <cell r="J223">
            <v>0</v>
          </cell>
          <cell r="K223">
            <v>151830</v>
          </cell>
          <cell r="L223">
            <v>0</v>
          </cell>
          <cell r="M223">
            <v>462440</v>
          </cell>
          <cell r="N223">
            <v>462440</v>
          </cell>
          <cell r="O223">
            <v>0</v>
          </cell>
          <cell r="P223">
            <v>0</v>
          </cell>
          <cell r="Q223">
            <v>1171487</v>
          </cell>
          <cell r="R223">
            <v>0</v>
          </cell>
          <cell r="S223">
            <v>23908</v>
          </cell>
          <cell r="T223">
            <v>0</v>
          </cell>
          <cell r="U223">
            <v>0</v>
          </cell>
          <cell r="V223">
            <v>0</v>
          </cell>
          <cell r="W223">
            <v>0</v>
          </cell>
          <cell r="X223">
            <v>0</v>
          </cell>
          <cell r="Y223">
            <v>0</v>
          </cell>
          <cell r="Z223">
            <v>0</v>
          </cell>
          <cell r="AA223">
            <v>0</v>
          </cell>
          <cell r="AB223">
            <v>0</v>
          </cell>
          <cell r="AC223">
            <v>396161.35881104029</v>
          </cell>
          <cell r="AD223">
            <v>7.0125551980039076E-12</v>
          </cell>
          <cell r="AE223">
            <v>8084.9256900212313</v>
          </cell>
          <cell r="AF223">
            <v>0</v>
          </cell>
          <cell r="AG223">
            <v>0</v>
          </cell>
          <cell r="AH223">
            <v>0</v>
          </cell>
          <cell r="AI223">
            <v>0</v>
          </cell>
          <cell r="AJ223">
            <v>0</v>
          </cell>
          <cell r="AK223">
            <v>0</v>
          </cell>
          <cell r="AL223">
            <v>383532</v>
          </cell>
          <cell r="AM223">
            <v>0</v>
          </cell>
          <cell r="AN223">
            <v>7627</v>
          </cell>
          <cell r="AO223">
            <v>-485264</v>
          </cell>
          <cell r="AP223">
            <v>-475558</v>
          </cell>
          <cell r="AQ223">
            <v>0</v>
          </cell>
          <cell r="AR223">
            <v>-9705</v>
          </cell>
          <cell r="AS223">
            <v>-970527</v>
          </cell>
          <cell r="AT223">
            <v>-3485231</v>
          </cell>
          <cell r="AU223">
            <v>-3415526</v>
          </cell>
          <cell r="AV223">
            <v>0</v>
          </cell>
          <cell r="AW223">
            <v>-69705</v>
          </cell>
          <cell r="AX223">
            <v>-6970462</v>
          </cell>
          <cell r="AY223">
            <v>64359361</v>
          </cell>
          <cell r="AZ223">
            <v>4659278</v>
          </cell>
          <cell r="BA223">
            <v>1441896</v>
          </cell>
          <cell r="BB223">
            <v>3318886</v>
          </cell>
          <cell r="BC223">
            <v>13672</v>
          </cell>
          <cell r="BD223">
            <v>15637</v>
          </cell>
          <cell r="BE223">
            <v>61018</v>
          </cell>
          <cell r="BF223">
            <v>2639386</v>
          </cell>
          <cell r="BG223">
            <v>126605</v>
          </cell>
          <cell r="BH223">
            <v>578242</v>
          </cell>
          <cell r="BI223">
            <v>3418</v>
          </cell>
          <cell r="BJ223">
            <v>0</v>
          </cell>
          <cell r="BK223">
            <v>0</v>
          </cell>
          <cell r="BL223">
            <v>408974</v>
          </cell>
          <cell r="BM223">
            <v>408974</v>
          </cell>
          <cell r="BN223">
            <v>420349</v>
          </cell>
          <cell r="BO223">
            <v>0</v>
          </cell>
          <cell r="BP223">
            <v>73172093</v>
          </cell>
          <cell r="BQ223">
            <v>474049</v>
          </cell>
          <cell r="BR223">
            <v>2578478</v>
          </cell>
          <cell r="BS223">
            <v>547866</v>
          </cell>
        </row>
        <row r="224">
          <cell r="A224">
            <v>217</v>
          </cell>
          <cell r="B224" t="str">
            <v>Rugby</v>
          </cell>
          <cell r="C224" t="str">
            <v>E3733</v>
          </cell>
          <cell r="D224">
            <v>135186</v>
          </cell>
          <cell r="G224">
            <v>29110</v>
          </cell>
          <cell r="H224">
            <v>0</v>
          </cell>
          <cell r="I224">
            <v>135186</v>
          </cell>
          <cell r="J224">
            <v>0</v>
          </cell>
          <cell r="K224">
            <v>0</v>
          </cell>
          <cell r="L224">
            <v>0</v>
          </cell>
          <cell r="M224">
            <v>0</v>
          </cell>
          <cell r="N224">
            <v>0</v>
          </cell>
          <cell r="O224">
            <v>0</v>
          </cell>
          <cell r="P224">
            <v>0</v>
          </cell>
          <cell r="Q224">
            <v>346599</v>
          </cell>
          <cell r="R224">
            <v>86650</v>
          </cell>
          <cell r="S224">
            <v>0</v>
          </cell>
          <cell r="T224">
            <v>0</v>
          </cell>
          <cell r="U224">
            <v>0</v>
          </cell>
          <cell r="V224">
            <v>0</v>
          </cell>
          <cell r="W224">
            <v>0</v>
          </cell>
          <cell r="X224">
            <v>0</v>
          </cell>
          <cell r="Y224">
            <v>0</v>
          </cell>
          <cell r="Z224">
            <v>0</v>
          </cell>
          <cell r="AA224">
            <v>0</v>
          </cell>
          <cell r="AB224">
            <v>0</v>
          </cell>
          <cell r="AC224">
            <v>163066.88747346075</v>
          </cell>
          <cell r="AD224">
            <v>40766.721868365174</v>
          </cell>
          <cell r="AE224">
            <v>0</v>
          </cell>
          <cell r="AF224">
            <v>0</v>
          </cell>
          <cell r="AG224">
            <v>0</v>
          </cell>
          <cell r="AH224">
            <v>0</v>
          </cell>
          <cell r="AI224">
            <v>0</v>
          </cell>
          <cell r="AJ224">
            <v>0</v>
          </cell>
          <cell r="AK224">
            <v>0</v>
          </cell>
          <cell r="AL224">
            <v>176313</v>
          </cell>
          <cell r="AM224">
            <v>43720</v>
          </cell>
          <cell r="AN224">
            <v>0</v>
          </cell>
          <cell r="AO224">
            <v>-89196</v>
          </cell>
          <cell r="AP224">
            <v>-71358</v>
          </cell>
          <cell r="AQ224">
            <v>-17839</v>
          </cell>
          <cell r="AR224">
            <v>0</v>
          </cell>
          <cell r="AS224">
            <v>-178393</v>
          </cell>
          <cell r="AT224">
            <v>-1100711</v>
          </cell>
          <cell r="AU224">
            <v>-880569</v>
          </cell>
          <cell r="AV224">
            <v>-220142</v>
          </cell>
          <cell r="AW224">
            <v>0</v>
          </cell>
          <cell r="AX224">
            <v>-2201422</v>
          </cell>
          <cell r="AY224">
            <v>37680263</v>
          </cell>
          <cell r="AZ224">
            <v>1685161.17</v>
          </cell>
          <cell r="BA224">
            <v>818124.86</v>
          </cell>
          <cell r="BB224">
            <v>2286286.54</v>
          </cell>
          <cell r="BC224">
            <v>70830.91</v>
          </cell>
          <cell r="BD224">
            <v>10259.57</v>
          </cell>
          <cell r="BE224">
            <v>115503.98</v>
          </cell>
          <cell r="BF224">
            <v>2511286.13</v>
          </cell>
          <cell r="BG224">
            <v>49253.84</v>
          </cell>
          <cell r="BH224">
            <v>6898.54</v>
          </cell>
          <cell r="BI224">
            <v>0</v>
          </cell>
          <cell r="BJ224">
            <v>845.44</v>
          </cell>
          <cell r="BK224">
            <v>0</v>
          </cell>
          <cell r="BL224">
            <v>0</v>
          </cell>
          <cell r="BM224">
            <v>0</v>
          </cell>
          <cell r="BN224">
            <v>0</v>
          </cell>
          <cell r="BO224">
            <v>0</v>
          </cell>
          <cell r="BP224">
            <v>40330838.799999997</v>
          </cell>
          <cell r="BQ224">
            <v>73799</v>
          </cell>
          <cell r="BR224">
            <v>1004497</v>
          </cell>
          <cell r="BS224">
            <v>573255</v>
          </cell>
        </row>
        <row r="225">
          <cell r="A225">
            <v>218</v>
          </cell>
          <cell r="B225" t="str">
            <v>Runnymede</v>
          </cell>
          <cell r="C225" t="str">
            <v>E3636</v>
          </cell>
          <cell r="D225">
            <v>127393</v>
          </cell>
          <cell r="G225">
            <v>-2073</v>
          </cell>
          <cell r="H225">
            <v>0</v>
          </cell>
          <cell r="I225">
            <v>127393</v>
          </cell>
          <cell r="J225">
            <v>0</v>
          </cell>
          <cell r="K225">
            <v>0</v>
          </cell>
          <cell r="L225">
            <v>0</v>
          </cell>
          <cell r="M225">
            <v>0</v>
          </cell>
          <cell r="N225">
            <v>0</v>
          </cell>
          <cell r="O225">
            <v>0</v>
          </cell>
          <cell r="P225">
            <v>0</v>
          </cell>
          <cell r="Q225">
            <v>244344</v>
          </cell>
          <cell r="R225">
            <v>61086</v>
          </cell>
          <cell r="S225">
            <v>0</v>
          </cell>
          <cell r="T225">
            <v>0</v>
          </cell>
          <cell r="U225">
            <v>0</v>
          </cell>
          <cell r="V225">
            <v>0</v>
          </cell>
          <cell r="W225">
            <v>0</v>
          </cell>
          <cell r="X225">
            <v>0</v>
          </cell>
          <cell r="Y225">
            <v>0</v>
          </cell>
          <cell r="Z225">
            <v>16169.851380042464</v>
          </cell>
          <cell r="AA225">
            <v>4042.4628450106152</v>
          </cell>
          <cell r="AB225">
            <v>0</v>
          </cell>
          <cell r="AC225">
            <v>223143.94904458598</v>
          </cell>
          <cell r="AD225">
            <v>55785.987261146482</v>
          </cell>
          <cell r="AE225">
            <v>0</v>
          </cell>
          <cell r="AF225">
            <v>202249</v>
          </cell>
          <cell r="AG225">
            <v>0</v>
          </cell>
          <cell r="AH225">
            <v>0</v>
          </cell>
          <cell r="AI225">
            <v>121640</v>
          </cell>
          <cell r="AJ225">
            <v>30409.999999999993</v>
          </cell>
          <cell r="AK225">
            <v>0</v>
          </cell>
          <cell r="AL225">
            <v>187393</v>
          </cell>
          <cell r="AM225">
            <v>46510</v>
          </cell>
          <cell r="AN225">
            <v>0</v>
          </cell>
          <cell r="AO225">
            <v>-364600</v>
          </cell>
          <cell r="AP225">
            <v>-291680</v>
          </cell>
          <cell r="AQ225">
            <v>-72920</v>
          </cell>
          <cell r="AR225">
            <v>0</v>
          </cell>
          <cell r="AS225">
            <v>-729200</v>
          </cell>
          <cell r="AT225">
            <v>-1115376</v>
          </cell>
          <cell r="AU225">
            <v>-892302</v>
          </cell>
          <cell r="AV225">
            <v>-223076</v>
          </cell>
          <cell r="AW225">
            <v>0</v>
          </cell>
          <cell r="AX225">
            <v>-2230754</v>
          </cell>
          <cell r="AY225">
            <v>40357350</v>
          </cell>
          <cell r="AZ225">
            <v>1193493</v>
          </cell>
          <cell r="BA225">
            <v>870107</v>
          </cell>
          <cell r="BB225">
            <v>2887157</v>
          </cell>
          <cell r="BC225">
            <v>35906</v>
          </cell>
          <cell r="BD225">
            <v>1617</v>
          </cell>
          <cell r="BE225">
            <v>31147</v>
          </cell>
          <cell r="BF225">
            <v>1336140</v>
          </cell>
          <cell r="BG225">
            <v>20991</v>
          </cell>
          <cell r="BH225">
            <v>270</v>
          </cell>
          <cell r="BI225">
            <v>0</v>
          </cell>
          <cell r="BJ225">
            <v>0</v>
          </cell>
          <cell r="BK225">
            <v>2435</v>
          </cell>
          <cell r="BL225">
            <v>0</v>
          </cell>
          <cell r="BM225">
            <v>0</v>
          </cell>
          <cell r="BN225">
            <v>0</v>
          </cell>
          <cell r="BO225">
            <v>0</v>
          </cell>
          <cell r="BP225">
            <v>43149639</v>
          </cell>
          <cell r="BQ225">
            <v>16091</v>
          </cell>
          <cell r="BR225">
            <v>1357079</v>
          </cell>
          <cell r="BS225">
            <v>-826560</v>
          </cell>
        </row>
        <row r="226">
          <cell r="A226">
            <v>219</v>
          </cell>
          <cell r="B226" t="str">
            <v>Rushcliffe</v>
          </cell>
          <cell r="C226" t="str">
            <v>E3038</v>
          </cell>
          <cell r="D226">
            <v>109949</v>
          </cell>
          <cell r="G226">
            <v>440896</v>
          </cell>
          <cell r="H226">
            <v>0</v>
          </cell>
          <cell r="I226">
            <v>109949</v>
          </cell>
          <cell r="J226">
            <v>0</v>
          </cell>
          <cell r="K226">
            <v>0</v>
          </cell>
          <cell r="L226">
            <v>0</v>
          </cell>
          <cell r="M226">
            <v>0</v>
          </cell>
          <cell r="N226">
            <v>0</v>
          </cell>
          <cell r="O226">
            <v>0</v>
          </cell>
          <cell r="P226">
            <v>0</v>
          </cell>
          <cell r="Q226">
            <v>354962</v>
          </cell>
          <cell r="R226">
            <v>79867</v>
          </cell>
          <cell r="S226">
            <v>8874</v>
          </cell>
          <cell r="T226">
            <v>4042</v>
          </cell>
          <cell r="U226">
            <v>910</v>
          </cell>
          <cell r="V226">
            <v>101</v>
          </cell>
          <cell r="W226">
            <v>4042</v>
          </cell>
          <cell r="X226">
            <v>910</v>
          </cell>
          <cell r="Y226">
            <v>101</v>
          </cell>
          <cell r="Z226">
            <v>8456.0237791932068</v>
          </cell>
          <cell r="AA226">
            <v>1902.605350318471</v>
          </cell>
          <cell r="AB226">
            <v>211.40059447983015</v>
          </cell>
          <cell r="AC226">
            <v>128660.67770700637</v>
          </cell>
          <cell r="AD226">
            <v>28948.652484076425</v>
          </cell>
          <cell r="AE226">
            <v>3216.516942675159</v>
          </cell>
          <cell r="AF226">
            <v>0</v>
          </cell>
          <cell r="AG226">
            <v>0</v>
          </cell>
          <cell r="AH226">
            <v>0</v>
          </cell>
          <cell r="AI226">
            <v>0</v>
          </cell>
          <cell r="AJ226">
            <v>0</v>
          </cell>
          <cell r="AK226">
            <v>0</v>
          </cell>
          <cell r="AL226">
            <v>115052</v>
          </cell>
          <cell r="AM226">
            <v>25624</v>
          </cell>
          <cell r="AN226">
            <v>2847</v>
          </cell>
          <cell r="AO226">
            <v>65800</v>
          </cell>
          <cell r="AP226">
            <v>52640</v>
          </cell>
          <cell r="AQ226">
            <v>11844</v>
          </cell>
          <cell r="AR226">
            <v>1316</v>
          </cell>
          <cell r="AS226">
            <v>131600</v>
          </cell>
          <cell r="AT226">
            <v>-645208</v>
          </cell>
          <cell r="AU226">
            <v>-516167</v>
          </cell>
          <cell r="AV226">
            <v>-116138</v>
          </cell>
          <cell r="AW226">
            <v>-12904</v>
          </cell>
          <cell r="AX226">
            <v>-1290417</v>
          </cell>
          <cell r="AY226">
            <v>24820290</v>
          </cell>
          <cell r="AZ226">
            <v>1748201</v>
          </cell>
          <cell r="BA226">
            <v>508452</v>
          </cell>
          <cell r="BB226">
            <v>2588277</v>
          </cell>
          <cell r="BC226">
            <v>76772</v>
          </cell>
          <cell r="BD226">
            <v>8705</v>
          </cell>
          <cell r="BE226">
            <v>0</v>
          </cell>
          <cell r="BF226">
            <v>289082</v>
          </cell>
          <cell r="BG226">
            <v>23949</v>
          </cell>
          <cell r="BH226">
            <v>374426</v>
          </cell>
          <cell r="BI226">
            <v>0</v>
          </cell>
          <cell r="BJ226">
            <v>983</v>
          </cell>
          <cell r="BK226">
            <v>1422</v>
          </cell>
          <cell r="BL226">
            <v>2831</v>
          </cell>
          <cell r="BM226">
            <v>2831</v>
          </cell>
          <cell r="BN226">
            <v>0</v>
          </cell>
          <cell r="BO226">
            <v>0</v>
          </cell>
          <cell r="BP226">
            <v>24729483.899999999</v>
          </cell>
          <cell r="BQ226">
            <v>0</v>
          </cell>
          <cell r="BR226">
            <v>524287.29</v>
          </cell>
          <cell r="BS226">
            <v>375780.31</v>
          </cell>
        </row>
        <row r="227">
          <cell r="A227">
            <v>220</v>
          </cell>
          <cell r="B227" t="str">
            <v>Rushmoor</v>
          </cell>
          <cell r="C227" t="str">
            <v>E1740</v>
          </cell>
          <cell r="D227">
            <v>124863</v>
          </cell>
          <cell r="G227">
            <v>6725</v>
          </cell>
          <cell r="H227">
            <v>0</v>
          </cell>
          <cell r="I227">
            <v>124863</v>
          </cell>
          <cell r="J227">
            <v>0</v>
          </cell>
          <cell r="K227">
            <v>0</v>
          </cell>
          <cell r="L227">
            <v>0</v>
          </cell>
          <cell r="M227">
            <v>0</v>
          </cell>
          <cell r="N227">
            <v>0</v>
          </cell>
          <cell r="O227">
            <v>0</v>
          </cell>
          <cell r="P227">
            <v>0</v>
          </cell>
          <cell r="Q227">
            <v>232799</v>
          </cell>
          <cell r="R227">
            <v>52380</v>
          </cell>
          <cell r="S227">
            <v>5820</v>
          </cell>
          <cell r="T227">
            <v>10589</v>
          </cell>
          <cell r="U227">
            <v>2383</v>
          </cell>
          <cell r="V227">
            <v>265</v>
          </cell>
          <cell r="W227">
            <v>35219</v>
          </cell>
          <cell r="X227">
            <v>7924</v>
          </cell>
          <cell r="Y227">
            <v>880</v>
          </cell>
          <cell r="Z227">
            <v>9297.6645435244172</v>
          </cell>
          <cell r="AA227">
            <v>2091.9745222929932</v>
          </cell>
          <cell r="AB227">
            <v>232.44161358811041</v>
          </cell>
          <cell r="AC227">
            <v>227860.19342675159</v>
          </cell>
          <cell r="AD227">
            <v>51268.543521019092</v>
          </cell>
          <cell r="AE227">
            <v>5696.5048356687894</v>
          </cell>
          <cell r="AF227">
            <v>46629</v>
          </cell>
          <cell r="AG227">
            <v>0</v>
          </cell>
          <cell r="AH227">
            <v>0</v>
          </cell>
          <cell r="AI227">
            <v>18652</v>
          </cell>
          <cell r="AJ227">
            <v>4196.6099999999988</v>
          </cell>
          <cell r="AK227">
            <v>466.29</v>
          </cell>
          <cell r="AL227">
            <v>170479</v>
          </cell>
          <cell r="AM227">
            <v>38060</v>
          </cell>
          <cell r="AN227">
            <v>4229</v>
          </cell>
          <cell r="AO227">
            <v>-162177.73000000001</v>
          </cell>
          <cell r="AP227">
            <v>-129742</v>
          </cell>
          <cell r="AQ227">
            <v>-29192</v>
          </cell>
          <cell r="AR227">
            <v>-3244</v>
          </cell>
          <cell r="AS227">
            <v>-324355.73</v>
          </cell>
          <cell r="AT227">
            <v>-5348065</v>
          </cell>
          <cell r="AU227">
            <v>-4278453</v>
          </cell>
          <cell r="AV227">
            <v>-962652</v>
          </cell>
          <cell r="AW227">
            <v>-106962</v>
          </cell>
          <cell r="AX227">
            <v>-10696132</v>
          </cell>
          <cell r="AY227">
            <v>32317539</v>
          </cell>
          <cell r="AZ227">
            <v>1134508</v>
          </cell>
          <cell r="BA227">
            <v>886683</v>
          </cell>
          <cell r="BB227">
            <v>1450849</v>
          </cell>
          <cell r="BC227">
            <v>10645</v>
          </cell>
          <cell r="BD227">
            <v>0</v>
          </cell>
          <cell r="BE227">
            <v>91102</v>
          </cell>
          <cell r="BF227">
            <v>2315959</v>
          </cell>
          <cell r="BG227">
            <v>59861</v>
          </cell>
          <cell r="BH227">
            <v>39798</v>
          </cell>
          <cell r="BI227">
            <v>2661</v>
          </cell>
          <cell r="BJ227">
            <v>0</v>
          </cell>
          <cell r="BK227">
            <v>0</v>
          </cell>
          <cell r="BL227">
            <v>0</v>
          </cell>
          <cell r="BM227">
            <v>0</v>
          </cell>
          <cell r="BN227">
            <v>0</v>
          </cell>
          <cell r="BO227">
            <v>0</v>
          </cell>
          <cell r="BP227">
            <v>44209453.399999999</v>
          </cell>
          <cell r="BQ227">
            <v>330105</v>
          </cell>
          <cell r="BR227">
            <v>1397214</v>
          </cell>
          <cell r="BS227">
            <v>1160460</v>
          </cell>
        </row>
        <row r="228">
          <cell r="A228">
            <v>221</v>
          </cell>
          <cell r="B228" t="str">
            <v>Rutland</v>
          </cell>
          <cell r="C228" t="str">
            <v>E2402</v>
          </cell>
          <cell r="D228">
            <v>53083</v>
          </cell>
          <cell r="G228">
            <v>17261</v>
          </cell>
          <cell r="H228">
            <v>0</v>
          </cell>
          <cell r="I228">
            <v>53083</v>
          </cell>
          <cell r="J228">
            <v>0</v>
          </cell>
          <cell r="K228">
            <v>0</v>
          </cell>
          <cell r="L228">
            <v>0</v>
          </cell>
          <cell r="M228">
            <v>0</v>
          </cell>
          <cell r="N228">
            <v>0</v>
          </cell>
          <cell r="O228">
            <v>0</v>
          </cell>
          <cell r="P228">
            <v>0</v>
          </cell>
          <cell r="Q228">
            <v>200189</v>
          </cell>
          <cell r="R228">
            <v>0</v>
          </cell>
          <cell r="S228">
            <v>4086</v>
          </cell>
          <cell r="T228">
            <v>4942</v>
          </cell>
          <cell r="U228">
            <v>0</v>
          </cell>
          <cell r="V228">
            <v>101</v>
          </cell>
          <cell r="W228">
            <v>4846</v>
          </cell>
          <cell r="X228">
            <v>0</v>
          </cell>
          <cell r="Y228">
            <v>99</v>
          </cell>
          <cell r="Z228">
            <v>13173.850785562632</v>
          </cell>
          <cell r="AA228">
            <v>2.3319375741562248E-13</v>
          </cell>
          <cell r="AB228">
            <v>268.85409766454353</v>
          </cell>
          <cell r="AC228">
            <v>85441.11065817409</v>
          </cell>
          <cell r="AD228">
            <v>1.5124153109414979E-12</v>
          </cell>
          <cell r="AE228">
            <v>1743.6961358811041</v>
          </cell>
          <cell r="AF228">
            <v>0</v>
          </cell>
          <cell r="AG228">
            <v>0</v>
          </cell>
          <cell r="AH228">
            <v>0</v>
          </cell>
          <cell r="AI228">
            <v>0</v>
          </cell>
          <cell r="AJ228">
            <v>0</v>
          </cell>
          <cell r="AK228">
            <v>0</v>
          </cell>
          <cell r="AL228">
            <v>52159</v>
          </cell>
          <cell r="AM228">
            <v>0</v>
          </cell>
          <cell r="AN228">
            <v>1053</v>
          </cell>
          <cell r="AO228">
            <v>-52105</v>
          </cell>
          <cell r="AP228">
            <v>-51063</v>
          </cell>
          <cell r="AQ228">
            <v>0</v>
          </cell>
          <cell r="AR228">
            <v>-1042</v>
          </cell>
          <cell r="AS228">
            <v>-104210</v>
          </cell>
          <cell r="AT228">
            <v>-209087.4</v>
          </cell>
          <cell r="AU228">
            <v>-204905</v>
          </cell>
          <cell r="AV228">
            <v>0</v>
          </cell>
          <cell r="AW228">
            <v>-4181</v>
          </cell>
          <cell r="AX228">
            <v>-418173.4</v>
          </cell>
          <cell r="AY228">
            <v>9204848</v>
          </cell>
          <cell r="AZ228">
            <v>806188.75</v>
          </cell>
          <cell r="BA228">
            <v>182162</v>
          </cell>
          <cell r="BB228">
            <v>1009800</v>
          </cell>
          <cell r="BC228">
            <v>12891</v>
          </cell>
          <cell r="BD228">
            <v>11014</v>
          </cell>
          <cell r="BE228">
            <v>0</v>
          </cell>
          <cell r="BF228">
            <v>239414</v>
          </cell>
          <cell r="BG228">
            <v>36024</v>
          </cell>
          <cell r="BH228">
            <v>40037</v>
          </cell>
          <cell r="BI228">
            <v>1625</v>
          </cell>
          <cell r="BJ228">
            <v>11014</v>
          </cell>
          <cell r="BK228">
            <v>1501</v>
          </cell>
          <cell r="BL228">
            <v>0</v>
          </cell>
          <cell r="BM228">
            <v>0</v>
          </cell>
          <cell r="BN228">
            <v>0</v>
          </cell>
          <cell r="BO228">
            <v>0</v>
          </cell>
          <cell r="BP228">
            <v>9755554</v>
          </cell>
          <cell r="BQ228">
            <v>20607</v>
          </cell>
          <cell r="BR228">
            <v>208419</v>
          </cell>
          <cell r="BS228">
            <v>95815</v>
          </cell>
        </row>
        <row r="229">
          <cell r="A229">
            <v>222</v>
          </cell>
          <cell r="B229" t="str">
            <v>Ryedale</v>
          </cell>
          <cell r="C229" t="str">
            <v>E2755</v>
          </cell>
          <cell r="D229">
            <v>111446</v>
          </cell>
          <cell r="G229">
            <v>50014</v>
          </cell>
          <cell r="H229">
            <v>0</v>
          </cell>
          <cell r="I229">
            <v>111446</v>
          </cell>
          <cell r="J229">
            <v>0</v>
          </cell>
          <cell r="K229">
            <v>0</v>
          </cell>
          <cell r="L229">
            <v>0</v>
          </cell>
          <cell r="M229">
            <v>0</v>
          </cell>
          <cell r="N229">
            <v>0</v>
          </cell>
          <cell r="O229">
            <v>0</v>
          </cell>
          <cell r="P229">
            <v>0</v>
          </cell>
          <cell r="Q229">
            <v>418597</v>
          </cell>
          <cell r="R229">
            <v>94184</v>
          </cell>
          <cell r="S229">
            <v>10465</v>
          </cell>
          <cell r="T229">
            <v>6064</v>
          </cell>
          <cell r="U229">
            <v>1364</v>
          </cell>
          <cell r="V229">
            <v>152</v>
          </cell>
          <cell r="W229">
            <v>0</v>
          </cell>
          <cell r="X229">
            <v>0</v>
          </cell>
          <cell r="Y229">
            <v>0</v>
          </cell>
          <cell r="Z229">
            <v>18191.082802547771</v>
          </cell>
          <cell r="AA229">
            <v>4092.9936305732476</v>
          </cell>
          <cell r="AB229">
            <v>454.77707006369428</v>
          </cell>
          <cell r="AC229">
            <v>140282.75838641191</v>
          </cell>
          <cell r="AD229">
            <v>31563.620636942669</v>
          </cell>
          <cell r="AE229">
            <v>3507.0689596602974</v>
          </cell>
          <cell r="AF229">
            <v>0</v>
          </cell>
          <cell r="AG229">
            <v>0</v>
          </cell>
          <cell r="AH229">
            <v>0</v>
          </cell>
          <cell r="AI229">
            <v>0</v>
          </cell>
          <cell r="AJ229">
            <v>0</v>
          </cell>
          <cell r="AK229">
            <v>0</v>
          </cell>
          <cell r="AL229">
            <v>69893</v>
          </cell>
          <cell r="AM229">
            <v>15460</v>
          </cell>
          <cell r="AN229">
            <v>1718</v>
          </cell>
          <cell r="AO229">
            <v>-50000</v>
          </cell>
          <cell r="AP229">
            <v>-40000</v>
          </cell>
          <cell r="AQ229">
            <v>-9000</v>
          </cell>
          <cell r="AR229">
            <v>-1000</v>
          </cell>
          <cell r="AS229">
            <v>-100000</v>
          </cell>
          <cell r="AT229">
            <v>-634500</v>
          </cell>
          <cell r="AU229">
            <v>-507600</v>
          </cell>
          <cell r="AV229">
            <v>-114210</v>
          </cell>
          <cell r="AW229">
            <v>-12690</v>
          </cell>
          <cell r="AX229">
            <v>-1269000</v>
          </cell>
          <cell r="AY229">
            <v>13857345</v>
          </cell>
          <cell r="AZ229">
            <v>1974939</v>
          </cell>
          <cell r="BA229">
            <v>287370</v>
          </cell>
          <cell r="BB229">
            <v>794932</v>
          </cell>
          <cell r="BC229">
            <v>28527</v>
          </cell>
          <cell r="BD229">
            <v>41894</v>
          </cell>
          <cell r="BE229">
            <v>0</v>
          </cell>
          <cell r="BF229">
            <v>465618</v>
          </cell>
          <cell r="BG229">
            <v>79439</v>
          </cell>
          <cell r="BH229">
            <v>27941</v>
          </cell>
          <cell r="BI229">
            <v>2422</v>
          </cell>
          <cell r="BJ229">
            <v>6588</v>
          </cell>
          <cell r="BK229">
            <v>1809</v>
          </cell>
          <cell r="BL229">
            <v>0</v>
          </cell>
          <cell r="BM229">
            <v>0</v>
          </cell>
          <cell r="BN229">
            <v>0</v>
          </cell>
          <cell r="BO229">
            <v>0</v>
          </cell>
          <cell r="BP229">
            <v>15179360</v>
          </cell>
          <cell r="BQ229">
            <v>56216</v>
          </cell>
          <cell r="BR229">
            <v>211159.13</v>
          </cell>
          <cell r="BS229">
            <v>149384</v>
          </cell>
        </row>
        <row r="230">
          <cell r="A230">
            <v>223</v>
          </cell>
          <cell r="B230" t="str">
            <v>Salford</v>
          </cell>
          <cell r="C230" t="str">
            <v>E4206</v>
          </cell>
          <cell r="D230">
            <v>445614</v>
          </cell>
          <cell r="G230">
            <v>43782</v>
          </cell>
          <cell r="H230">
            <v>0</v>
          </cell>
          <cell r="I230">
            <v>445614</v>
          </cell>
          <cell r="J230">
            <v>0</v>
          </cell>
          <cell r="K230">
            <v>0</v>
          </cell>
          <cell r="L230">
            <v>0</v>
          </cell>
          <cell r="M230">
            <v>0</v>
          </cell>
          <cell r="N230">
            <v>0</v>
          </cell>
          <cell r="O230">
            <v>0</v>
          </cell>
          <cell r="P230">
            <v>0</v>
          </cell>
          <cell r="Q230">
            <v>999743</v>
          </cell>
          <cell r="R230">
            <v>0</v>
          </cell>
          <cell r="S230">
            <v>20403</v>
          </cell>
          <cell r="T230">
            <v>0</v>
          </cell>
          <cell r="U230">
            <v>0</v>
          </cell>
          <cell r="V230">
            <v>0</v>
          </cell>
          <cell r="W230">
            <v>371401</v>
          </cell>
          <cell r="X230">
            <v>0</v>
          </cell>
          <cell r="Y230">
            <v>7580</v>
          </cell>
          <cell r="Z230">
            <v>0</v>
          </cell>
          <cell r="AA230">
            <v>0</v>
          </cell>
          <cell r="AB230">
            <v>0</v>
          </cell>
          <cell r="AC230">
            <v>990403.39702760091</v>
          </cell>
          <cell r="AD230">
            <v>1.7531387995009771E-11</v>
          </cell>
          <cell r="AE230">
            <v>20212.31422505308</v>
          </cell>
          <cell r="AF230">
            <v>0</v>
          </cell>
          <cell r="AG230">
            <v>0</v>
          </cell>
          <cell r="AH230">
            <v>0</v>
          </cell>
          <cell r="AI230">
            <v>0</v>
          </cell>
          <cell r="AJ230">
            <v>0</v>
          </cell>
          <cell r="AK230">
            <v>0</v>
          </cell>
          <cell r="AL230">
            <v>468831</v>
          </cell>
          <cell r="AM230">
            <v>0</v>
          </cell>
          <cell r="AN230">
            <v>9471</v>
          </cell>
          <cell r="AO230">
            <v>-4443498</v>
          </cell>
          <cell r="AP230">
            <v>-4354629</v>
          </cell>
          <cell r="AQ230">
            <v>0</v>
          </cell>
          <cell r="AR230">
            <v>-88870</v>
          </cell>
          <cell r="AS230">
            <v>-8886997</v>
          </cell>
          <cell r="AT230">
            <v>-3275031</v>
          </cell>
          <cell r="AU230">
            <v>-3209532</v>
          </cell>
          <cell r="AV230">
            <v>0</v>
          </cell>
          <cell r="AW230">
            <v>-65501</v>
          </cell>
          <cell r="AX230">
            <v>-6550064</v>
          </cell>
          <cell r="AY230">
            <v>88143614</v>
          </cell>
          <cell r="AZ230">
            <v>4113909</v>
          </cell>
          <cell r="BA230">
            <v>1923369</v>
          </cell>
          <cell r="BB230">
            <v>6445094</v>
          </cell>
          <cell r="BC230">
            <v>80794</v>
          </cell>
          <cell r="BD230">
            <v>0</v>
          </cell>
          <cell r="BE230">
            <v>60175</v>
          </cell>
          <cell r="BF230">
            <v>5790524</v>
          </cell>
          <cell r="BG230">
            <v>477197</v>
          </cell>
          <cell r="BH230">
            <v>134492</v>
          </cell>
          <cell r="BI230">
            <v>4817</v>
          </cell>
          <cell r="BJ230">
            <v>0</v>
          </cell>
          <cell r="BK230">
            <v>0</v>
          </cell>
          <cell r="BL230">
            <v>0</v>
          </cell>
          <cell r="BM230">
            <v>0</v>
          </cell>
          <cell r="BN230">
            <v>0</v>
          </cell>
          <cell r="BO230">
            <v>0</v>
          </cell>
          <cell r="BP230">
            <v>100856614</v>
          </cell>
          <cell r="BQ230">
            <v>1416694</v>
          </cell>
          <cell r="BR230">
            <v>19419871</v>
          </cell>
          <cell r="BS230">
            <v>3348786</v>
          </cell>
        </row>
        <row r="231">
          <cell r="A231">
            <v>224</v>
          </cell>
          <cell r="B231" t="str">
            <v>Sandwell</v>
          </cell>
          <cell r="C231" t="str">
            <v>E4604</v>
          </cell>
          <cell r="D231">
            <v>444854</v>
          </cell>
          <cell r="G231">
            <v>14707</v>
          </cell>
          <cell r="H231">
            <v>0</v>
          </cell>
          <cell r="I231">
            <v>444854</v>
          </cell>
          <cell r="J231">
            <v>0</v>
          </cell>
          <cell r="K231">
            <v>0</v>
          </cell>
          <cell r="L231">
            <v>0</v>
          </cell>
          <cell r="M231">
            <v>0</v>
          </cell>
          <cell r="N231">
            <v>0</v>
          </cell>
          <cell r="O231">
            <v>0</v>
          </cell>
          <cell r="P231">
            <v>0</v>
          </cell>
          <cell r="Q231">
            <v>1508036</v>
          </cell>
          <cell r="R231">
            <v>0</v>
          </cell>
          <cell r="S231">
            <v>30776</v>
          </cell>
          <cell r="T231">
            <v>9904</v>
          </cell>
          <cell r="U231">
            <v>0</v>
          </cell>
          <cell r="V231">
            <v>202</v>
          </cell>
          <cell r="W231">
            <v>47738</v>
          </cell>
          <cell r="X231">
            <v>0</v>
          </cell>
          <cell r="Y231">
            <v>974</v>
          </cell>
          <cell r="Z231">
            <v>7923.2271762208065</v>
          </cell>
          <cell r="AA231">
            <v>1.4025110396007817E-13</v>
          </cell>
          <cell r="AB231">
            <v>161.69851380042462</v>
          </cell>
          <cell r="AC231">
            <v>297121.01910828025</v>
          </cell>
          <cell r="AD231">
            <v>5.2594163985029305E-12</v>
          </cell>
          <cell r="AE231">
            <v>6063.6942675159235</v>
          </cell>
          <cell r="AF231">
            <v>0</v>
          </cell>
          <cell r="AG231">
            <v>0</v>
          </cell>
          <cell r="AH231">
            <v>0</v>
          </cell>
          <cell r="AI231">
            <v>0</v>
          </cell>
          <cell r="AJ231">
            <v>0</v>
          </cell>
          <cell r="AK231">
            <v>0</v>
          </cell>
          <cell r="AL231">
            <v>526428</v>
          </cell>
          <cell r="AM231">
            <v>0</v>
          </cell>
          <cell r="AN231">
            <v>10647</v>
          </cell>
          <cell r="AO231">
            <v>-710857</v>
          </cell>
          <cell r="AP231">
            <v>-696640</v>
          </cell>
          <cell r="AQ231">
            <v>0</v>
          </cell>
          <cell r="AR231">
            <v>-14217</v>
          </cell>
          <cell r="AS231">
            <v>-1421714</v>
          </cell>
          <cell r="AT231">
            <v>-1050000</v>
          </cell>
          <cell r="AU231">
            <v>-1029000</v>
          </cell>
          <cell r="AV231">
            <v>0</v>
          </cell>
          <cell r="AW231">
            <v>-21000</v>
          </cell>
          <cell r="AX231">
            <v>-2100000</v>
          </cell>
          <cell r="AY231">
            <v>94905515</v>
          </cell>
          <cell r="AZ231">
            <v>7065312</v>
          </cell>
          <cell r="BA231">
            <v>1901199</v>
          </cell>
          <cell r="BB231">
            <v>4385157</v>
          </cell>
          <cell r="BC231">
            <v>89660</v>
          </cell>
          <cell r="BD231">
            <v>0</v>
          </cell>
          <cell r="BE231">
            <v>336660</v>
          </cell>
          <cell r="BF231">
            <v>4998690</v>
          </cell>
          <cell r="BG231">
            <v>372555</v>
          </cell>
          <cell r="BH231">
            <v>155510</v>
          </cell>
          <cell r="BI231">
            <v>7239</v>
          </cell>
          <cell r="BJ231">
            <v>0</v>
          </cell>
          <cell r="BK231">
            <v>0</v>
          </cell>
          <cell r="BL231">
            <v>0</v>
          </cell>
          <cell r="BM231">
            <v>0</v>
          </cell>
          <cell r="BN231">
            <v>0</v>
          </cell>
          <cell r="BO231">
            <v>0</v>
          </cell>
          <cell r="BP231">
            <v>97844729</v>
          </cell>
          <cell r="BQ231">
            <v>0</v>
          </cell>
          <cell r="BR231">
            <v>4925017</v>
          </cell>
          <cell r="BS231">
            <v>-1061660</v>
          </cell>
        </row>
        <row r="232">
          <cell r="A232">
            <v>225</v>
          </cell>
          <cell r="B232" t="str">
            <v>Scarborough</v>
          </cell>
          <cell r="C232" t="str">
            <v>E2736</v>
          </cell>
          <cell r="D232">
            <v>250789</v>
          </cell>
          <cell r="G232">
            <v>171039</v>
          </cell>
          <cell r="H232">
            <v>0</v>
          </cell>
          <cell r="I232">
            <v>250789</v>
          </cell>
          <cell r="J232">
            <v>0</v>
          </cell>
          <cell r="K232">
            <v>0</v>
          </cell>
          <cell r="L232">
            <v>0</v>
          </cell>
          <cell r="M232">
            <v>0</v>
          </cell>
          <cell r="N232">
            <v>0</v>
          </cell>
          <cell r="O232">
            <v>0</v>
          </cell>
          <cell r="P232">
            <v>0</v>
          </cell>
          <cell r="Q232">
            <v>986305</v>
          </cell>
          <cell r="R232">
            <v>221919</v>
          </cell>
          <cell r="S232">
            <v>24658</v>
          </cell>
          <cell r="T232">
            <v>2021</v>
          </cell>
          <cell r="U232">
            <v>455</v>
          </cell>
          <cell r="V232">
            <v>51</v>
          </cell>
          <cell r="W232">
            <v>54752</v>
          </cell>
          <cell r="X232">
            <v>12319</v>
          </cell>
          <cell r="Y232">
            <v>1369</v>
          </cell>
          <cell r="Z232">
            <v>4042.4628450106161</v>
          </cell>
          <cell r="AA232">
            <v>909.55414012738845</v>
          </cell>
          <cell r="AB232">
            <v>101.0615711252654</v>
          </cell>
          <cell r="AC232">
            <v>275429.97197452228</v>
          </cell>
          <cell r="AD232">
            <v>61971.743694267505</v>
          </cell>
          <cell r="AE232">
            <v>6885.7492993630576</v>
          </cell>
          <cell r="AF232">
            <v>115558</v>
          </cell>
          <cell r="AG232">
            <v>0</v>
          </cell>
          <cell r="AH232">
            <v>0</v>
          </cell>
          <cell r="AI232">
            <v>72351</v>
          </cell>
          <cell r="AJ232">
            <v>16278.924599999997</v>
          </cell>
          <cell r="AK232">
            <v>1808.7694000000001</v>
          </cell>
          <cell r="AL232">
            <v>141287</v>
          </cell>
          <cell r="AM232">
            <v>31191</v>
          </cell>
          <cell r="AN232">
            <v>3466</v>
          </cell>
          <cell r="AO232">
            <v>-304405</v>
          </cell>
          <cell r="AP232">
            <v>-243524</v>
          </cell>
          <cell r="AQ232">
            <v>-54793</v>
          </cell>
          <cell r="AR232">
            <v>-6088</v>
          </cell>
          <cell r="AS232">
            <v>-608810</v>
          </cell>
          <cell r="AT232">
            <v>-1806480</v>
          </cell>
          <cell r="AU232">
            <v>-1445186</v>
          </cell>
          <cell r="AV232">
            <v>-325167</v>
          </cell>
          <cell r="AW232">
            <v>-36130</v>
          </cell>
          <cell r="AX232">
            <v>-3612963</v>
          </cell>
          <cell r="AY232">
            <v>29049207</v>
          </cell>
          <cell r="AZ232">
            <v>4726636</v>
          </cell>
          <cell r="BA232">
            <v>571132</v>
          </cell>
          <cell r="BB232">
            <v>1472121</v>
          </cell>
          <cell r="BC232">
            <v>136851</v>
          </cell>
          <cell r="BD232">
            <v>29655</v>
          </cell>
          <cell r="BE232">
            <v>10777</v>
          </cell>
          <cell r="BF232">
            <v>793748</v>
          </cell>
          <cell r="BG232">
            <v>131368</v>
          </cell>
          <cell r="BH232">
            <v>51314</v>
          </cell>
          <cell r="BI232">
            <v>0</v>
          </cell>
          <cell r="BJ232">
            <v>1196</v>
          </cell>
          <cell r="BK232">
            <v>0</v>
          </cell>
          <cell r="BL232">
            <v>0</v>
          </cell>
          <cell r="BM232">
            <v>0</v>
          </cell>
          <cell r="BN232">
            <v>0</v>
          </cell>
          <cell r="BO232">
            <v>0</v>
          </cell>
          <cell r="BP232">
            <v>33769912</v>
          </cell>
          <cell r="BQ232">
            <v>128668</v>
          </cell>
          <cell r="BR232">
            <v>1300256</v>
          </cell>
          <cell r="BS232">
            <v>757271</v>
          </cell>
        </row>
        <row r="233">
          <cell r="A233">
            <v>226</v>
          </cell>
          <cell r="B233" t="str">
            <v>Sedgemoor</v>
          </cell>
          <cell r="C233" t="str">
            <v>E3332</v>
          </cell>
          <cell r="D233">
            <v>162192</v>
          </cell>
          <cell r="G233">
            <v>101814</v>
          </cell>
          <cell r="H233">
            <v>0</v>
          </cell>
          <cell r="I233">
            <v>162192</v>
          </cell>
          <cell r="J233">
            <v>0</v>
          </cell>
          <cell r="K233">
            <v>82580</v>
          </cell>
          <cell r="L233">
            <v>0</v>
          </cell>
          <cell r="M233">
            <v>0</v>
          </cell>
          <cell r="N233">
            <v>0</v>
          </cell>
          <cell r="O233">
            <v>0</v>
          </cell>
          <cell r="P233">
            <v>0</v>
          </cell>
          <cell r="Q233">
            <v>520826</v>
          </cell>
          <cell r="R233">
            <v>117186</v>
          </cell>
          <cell r="S233">
            <v>13021</v>
          </cell>
          <cell r="T233">
            <v>0</v>
          </cell>
          <cell r="U233">
            <v>0</v>
          </cell>
          <cell r="V233">
            <v>0</v>
          </cell>
          <cell r="W233">
            <v>16367</v>
          </cell>
          <cell r="X233">
            <v>3683</v>
          </cell>
          <cell r="Y233">
            <v>409</v>
          </cell>
          <cell r="Z233">
            <v>0</v>
          </cell>
          <cell r="AA233">
            <v>0</v>
          </cell>
          <cell r="AB233">
            <v>0</v>
          </cell>
          <cell r="AC233">
            <v>184740.55201698514</v>
          </cell>
          <cell r="AD233">
            <v>41566.624203821651</v>
          </cell>
          <cell r="AE233">
            <v>4618.5138004246282</v>
          </cell>
          <cell r="AF233">
            <v>628</v>
          </cell>
          <cell r="AG233">
            <v>0</v>
          </cell>
          <cell r="AH233">
            <v>0</v>
          </cell>
          <cell r="AI233">
            <v>418</v>
          </cell>
          <cell r="AJ233">
            <v>94.113899999999987</v>
          </cell>
          <cell r="AK233">
            <v>10.457100000000001</v>
          </cell>
          <cell r="AL233">
            <v>153165</v>
          </cell>
          <cell r="AM233">
            <v>33877</v>
          </cell>
          <cell r="AN233">
            <v>3764</v>
          </cell>
          <cell r="AO233">
            <v>-250806</v>
          </cell>
          <cell r="AP233">
            <v>-200645</v>
          </cell>
          <cell r="AQ233">
            <v>-45144</v>
          </cell>
          <cell r="AR233">
            <v>-5016</v>
          </cell>
          <cell r="AS233">
            <v>-501611</v>
          </cell>
          <cell r="AT233">
            <v>-1534996</v>
          </cell>
          <cell r="AU233">
            <v>-1227997</v>
          </cell>
          <cell r="AV233">
            <v>-276299</v>
          </cell>
          <cell r="AW233">
            <v>-30700</v>
          </cell>
          <cell r="AX233">
            <v>-3069992</v>
          </cell>
          <cell r="AY233">
            <v>31622284</v>
          </cell>
          <cell r="AZ233">
            <v>2572592</v>
          </cell>
          <cell r="BA233">
            <v>680532</v>
          </cell>
          <cell r="BB233">
            <v>2011211</v>
          </cell>
          <cell r="BC233">
            <v>26999</v>
          </cell>
          <cell r="BD233">
            <v>76166</v>
          </cell>
          <cell r="BE233">
            <v>5019</v>
          </cell>
          <cell r="BF233">
            <v>1403551</v>
          </cell>
          <cell r="BG233">
            <v>67674</v>
          </cell>
          <cell r="BH233">
            <v>15513</v>
          </cell>
          <cell r="BI233">
            <v>0</v>
          </cell>
          <cell r="BJ233">
            <v>39051</v>
          </cell>
          <cell r="BK233">
            <v>351</v>
          </cell>
          <cell r="BL233">
            <v>0</v>
          </cell>
          <cell r="BM233">
            <v>0</v>
          </cell>
          <cell r="BN233">
            <v>0</v>
          </cell>
          <cell r="BO233">
            <v>0</v>
          </cell>
          <cell r="BP233">
            <v>35299147</v>
          </cell>
          <cell r="BQ233">
            <v>108452</v>
          </cell>
          <cell r="BR233">
            <v>1166342</v>
          </cell>
          <cell r="BS233">
            <v>292130</v>
          </cell>
        </row>
        <row r="234">
          <cell r="A234">
            <v>227</v>
          </cell>
          <cell r="B234" t="str">
            <v>Sefton</v>
          </cell>
          <cell r="C234" t="str">
            <v>E4304</v>
          </cell>
          <cell r="D234">
            <v>322496</v>
          </cell>
          <cell r="G234">
            <v>20877</v>
          </cell>
          <cell r="H234">
            <v>0</v>
          </cell>
          <cell r="I234">
            <v>322496</v>
          </cell>
          <cell r="J234">
            <v>0</v>
          </cell>
          <cell r="K234">
            <v>0</v>
          </cell>
          <cell r="L234">
            <v>0</v>
          </cell>
          <cell r="M234">
            <v>0</v>
          </cell>
          <cell r="N234">
            <v>0</v>
          </cell>
          <cell r="O234">
            <v>0</v>
          </cell>
          <cell r="P234">
            <v>0</v>
          </cell>
          <cell r="Q234">
            <v>1318668</v>
          </cell>
          <cell r="R234">
            <v>0</v>
          </cell>
          <cell r="S234">
            <v>26912</v>
          </cell>
          <cell r="T234">
            <v>7477</v>
          </cell>
          <cell r="U234">
            <v>0</v>
          </cell>
          <cell r="V234">
            <v>153</v>
          </cell>
          <cell r="W234">
            <v>77027</v>
          </cell>
          <cell r="X234">
            <v>0</v>
          </cell>
          <cell r="Y234">
            <v>1572</v>
          </cell>
          <cell r="Z234">
            <v>43931.8186836518</v>
          </cell>
          <cell r="AA234">
            <v>7.7764854298864587E-13</v>
          </cell>
          <cell r="AB234">
            <v>896.56772823779193</v>
          </cell>
          <cell r="AC234">
            <v>761827.70182590233</v>
          </cell>
          <cell r="AD234">
            <v>1.3485310193947468E-11</v>
          </cell>
          <cell r="AE234">
            <v>15547.504118895966</v>
          </cell>
          <cell r="AF234">
            <v>0</v>
          </cell>
          <cell r="AG234">
            <v>0</v>
          </cell>
          <cell r="AH234">
            <v>0</v>
          </cell>
          <cell r="AI234">
            <v>0</v>
          </cell>
          <cell r="AJ234">
            <v>0</v>
          </cell>
          <cell r="AK234">
            <v>0</v>
          </cell>
          <cell r="AL234">
            <v>325355</v>
          </cell>
          <cell r="AM234">
            <v>0</v>
          </cell>
          <cell r="AN234">
            <v>6570</v>
          </cell>
          <cell r="AO234">
            <v>-759550</v>
          </cell>
          <cell r="AP234">
            <v>-744359</v>
          </cell>
          <cell r="AQ234">
            <v>0</v>
          </cell>
          <cell r="AR234">
            <v>-15191</v>
          </cell>
          <cell r="AS234">
            <v>-1519100</v>
          </cell>
          <cell r="AT234">
            <v>-2317800</v>
          </cell>
          <cell r="AU234">
            <v>-2271444</v>
          </cell>
          <cell r="AV234">
            <v>0</v>
          </cell>
          <cell r="AW234">
            <v>-46356</v>
          </cell>
          <cell r="AX234">
            <v>-4635600</v>
          </cell>
          <cell r="AY234">
            <v>62004372</v>
          </cell>
          <cell r="AZ234">
            <v>5299835</v>
          </cell>
          <cell r="BA234">
            <v>1344099</v>
          </cell>
          <cell r="BB234">
            <v>4343258</v>
          </cell>
          <cell r="BC234">
            <v>36924</v>
          </cell>
          <cell r="BD234">
            <v>1732</v>
          </cell>
          <cell r="BE234">
            <v>0</v>
          </cell>
          <cell r="BF234">
            <v>4383634</v>
          </cell>
          <cell r="BG234">
            <v>234792</v>
          </cell>
          <cell r="BH234">
            <v>54876</v>
          </cell>
          <cell r="BI234">
            <v>0</v>
          </cell>
          <cell r="BJ234">
            <v>0</v>
          </cell>
          <cell r="BK234">
            <v>0</v>
          </cell>
          <cell r="BL234">
            <v>0</v>
          </cell>
          <cell r="BM234">
            <v>0</v>
          </cell>
          <cell r="BN234">
            <v>0</v>
          </cell>
          <cell r="BO234">
            <v>0</v>
          </cell>
          <cell r="BP234">
            <v>65932430</v>
          </cell>
          <cell r="BQ234">
            <v>1817266</v>
          </cell>
          <cell r="BR234">
            <v>3563636</v>
          </cell>
          <cell r="BS234">
            <v>423367</v>
          </cell>
        </row>
        <row r="235">
          <cell r="A235">
            <v>228</v>
          </cell>
          <cell r="B235" t="str">
            <v>Selby</v>
          </cell>
          <cell r="C235" t="str">
            <v>E2757</v>
          </cell>
          <cell r="D235">
            <v>117702</v>
          </cell>
          <cell r="G235">
            <v>122860</v>
          </cell>
          <cell r="H235">
            <v>0</v>
          </cell>
          <cell r="I235">
            <v>117702</v>
          </cell>
          <cell r="J235">
            <v>0</v>
          </cell>
          <cell r="K235">
            <v>19405</v>
          </cell>
          <cell r="L235">
            <v>0</v>
          </cell>
          <cell r="M235">
            <v>0</v>
          </cell>
          <cell r="N235">
            <v>0</v>
          </cell>
          <cell r="O235">
            <v>0</v>
          </cell>
          <cell r="P235">
            <v>0</v>
          </cell>
          <cell r="Q235">
            <v>301628</v>
          </cell>
          <cell r="R235">
            <v>67866</v>
          </cell>
          <cell r="S235">
            <v>7541</v>
          </cell>
          <cell r="T235">
            <v>14851</v>
          </cell>
          <cell r="U235">
            <v>3342</v>
          </cell>
          <cell r="V235">
            <v>371</v>
          </cell>
          <cell r="W235">
            <v>4042</v>
          </cell>
          <cell r="X235">
            <v>910</v>
          </cell>
          <cell r="Y235">
            <v>101</v>
          </cell>
          <cell r="Z235">
            <v>4829.1261146496818</v>
          </cell>
          <cell r="AA235">
            <v>1086.5533757961782</v>
          </cell>
          <cell r="AB235">
            <v>120.72815286624204</v>
          </cell>
          <cell r="AC235">
            <v>161698.51380042464</v>
          </cell>
          <cell r="AD235">
            <v>36382.165605095535</v>
          </cell>
          <cell r="AE235">
            <v>4042.4628450106156</v>
          </cell>
          <cell r="AF235">
            <v>0</v>
          </cell>
          <cell r="AG235">
            <v>0</v>
          </cell>
          <cell r="AH235">
            <v>0</v>
          </cell>
          <cell r="AI235">
            <v>0</v>
          </cell>
          <cell r="AJ235">
            <v>0</v>
          </cell>
          <cell r="AK235">
            <v>0</v>
          </cell>
          <cell r="AL235">
            <v>179381</v>
          </cell>
          <cell r="AM235">
            <v>40033</v>
          </cell>
          <cell r="AN235">
            <v>4448</v>
          </cell>
          <cell r="AO235">
            <v>-412998</v>
          </cell>
          <cell r="AP235">
            <v>-330399</v>
          </cell>
          <cell r="AQ235">
            <v>-74340</v>
          </cell>
          <cell r="AR235">
            <v>-8260</v>
          </cell>
          <cell r="AS235">
            <v>-825997</v>
          </cell>
          <cell r="AT235">
            <v>-642647</v>
          </cell>
          <cell r="AU235">
            <v>-514118</v>
          </cell>
          <cell r="AV235">
            <v>-115676</v>
          </cell>
          <cell r="AW235">
            <v>-12853</v>
          </cell>
          <cell r="AX235">
            <v>-1285294</v>
          </cell>
          <cell r="AY235">
            <v>36089517</v>
          </cell>
          <cell r="AZ235">
            <v>1516300</v>
          </cell>
          <cell r="BA235">
            <v>796372</v>
          </cell>
          <cell r="BB235">
            <v>890497</v>
          </cell>
          <cell r="BC235">
            <v>47852</v>
          </cell>
          <cell r="BD235">
            <v>30703</v>
          </cell>
          <cell r="BE235">
            <v>126480</v>
          </cell>
          <cell r="BF235">
            <v>776562</v>
          </cell>
          <cell r="BG235">
            <v>46898</v>
          </cell>
          <cell r="BH235">
            <v>9033</v>
          </cell>
          <cell r="BI235">
            <v>1048</v>
          </cell>
          <cell r="BJ235">
            <v>14184</v>
          </cell>
          <cell r="BK235">
            <v>3415</v>
          </cell>
          <cell r="BL235">
            <v>14079</v>
          </cell>
          <cell r="BM235">
            <v>14079</v>
          </cell>
          <cell r="BN235">
            <v>0</v>
          </cell>
          <cell r="BO235">
            <v>0</v>
          </cell>
          <cell r="BP235">
            <v>41939969</v>
          </cell>
          <cell r="BQ235">
            <v>68475</v>
          </cell>
          <cell r="BR235">
            <v>1330416</v>
          </cell>
          <cell r="BS235">
            <v>386029</v>
          </cell>
        </row>
        <row r="236">
          <cell r="A236">
            <v>229</v>
          </cell>
          <cell r="B236" t="str">
            <v>Sevenoaks</v>
          </cell>
          <cell r="C236" t="str">
            <v>E2239</v>
          </cell>
          <cell r="D236">
            <v>169927</v>
          </cell>
          <cell r="G236">
            <v>57100</v>
          </cell>
          <cell r="H236">
            <v>0</v>
          </cell>
          <cell r="I236">
            <v>169927</v>
          </cell>
          <cell r="J236">
            <v>0</v>
          </cell>
          <cell r="K236">
            <v>0</v>
          </cell>
          <cell r="L236">
            <v>0</v>
          </cell>
          <cell r="M236">
            <v>0</v>
          </cell>
          <cell r="N236">
            <v>0</v>
          </cell>
          <cell r="O236">
            <v>0</v>
          </cell>
          <cell r="P236">
            <v>0</v>
          </cell>
          <cell r="Q236">
            <v>453784</v>
          </cell>
          <cell r="R236">
            <v>102101</v>
          </cell>
          <cell r="S236">
            <v>11345</v>
          </cell>
          <cell r="T236">
            <v>3139</v>
          </cell>
          <cell r="U236">
            <v>707</v>
          </cell>
          <cell r="V236">
            <v>79</v>
          </cell>
          <cell r="W236">
            <v>22071</v>
          </cell>
          <cell r="X236">
            <v>4966</v>
          </cell>
          <cell r="Y236">
            <v>552</v>
          </cell>
          <cell r="Z236">
            <v>1967.8709129511678</v>
          </cell>
          <cell r="AA236">
            <v>442.77095541401263</v>
          </cell>
          <cell r="AB236">
            <v>49.196772823779192</v>
          </cell>
          <cell r="AC236">
            <v>256973.29936305733</v>
          </cell>
          <cell r="AD236">
            <v>57818.992356687886</v>
          </cell>
          <cell r="AE236">
            <v>6424.3324840764326</v>
          </cell>
          <cell r="AF236">
            <v>0</v>
          </cell>
          <cell r="AG236">
            <v>0</v>
          </cell>
          <cell r="AH236">
            <v>0</v>
          </cell>
          <cell r="AI236">
            <v>0</v>
          </cell>
          <cell r="AJ236">
            <v>0</v>
          </cell>
          <cell r="AK236">
            <v>0</v>
          </cell>
          <cell r="AL236">
            <v>139253</v>
          </cell>
          <cell r="AM236">
            <v>30926</v>
          </cell>
          <cell r="AN236">
            <v>3436</v>
          </cell>
          <cell r="AO236">
            <v>-438650</v>
          </cell>
          <cell r="AP236">
            <v>-350920</v>
          </cell>
          <cell r="AQ236">
            <v>-78957</v>
          </cell>
          <cell r="AR236">
            <v>-8773</v>
          </cell>
          <cell r="AS236">
            <v>-877300</v>
          </cell>
          <cell r="AT236">
            <v>-1133598</v>
          </cell>
          <cell r="AU236">
            <v>-906879</v>
          </cell>
          <cell r="AV236">
            <v>-204048</v>
          </cell>
          <cell r="AW236">
            <v>-22672</v>
          </cell>
          <cell r="AX236">
            <v>-2267197</v>
          </cell>
          <cell r="AY236">
            <v>32190491</v>
          </cell>
          <cell r="AZ236">
            <v>2213054</v>
          </cell>
          <cell r="BA236">
            <v>653927</v>
          </cell>
          <cell r="BB236">
            <v>2456805</v>
          </cell>
          <cell r="BC236">
            <v>84889</v>
          </cell>
          <cell r="BD236">
            <v>14545</v>
          </cell>
          <cell r="BE236">
            <v>51043</v>
          </cell>
          <cell r="BF236">
            <v>1212601</v>
          </cell>
          <cell r="BG236">
            <v>119371</v>
          </cell>
          <cell r="BH236">
            <v>29739</v>
          </cell>
          <cell r="BI236">
            <v>0</v>
          </cell>
          <cell r="BJ236">
            <v>0</v>
          </cell>
          <cell r="BK236">
            <v>7519</v>
          </cell>
          <cell r="BL236">
            <v>0</v>
          </cell>
          <cell r="BM236">
            <v>0</v>
          </cell>
          <cell r="BN236">
            <v>0</v>
          </cell>
          <cell r="BO236">
            <v>0</v>
          </cell>
          <cell r="BP236">
            <v>35177993</v>
          </cell>
          <cell r="BQ236">
            <v>442654</v>
          </cell>
          <cell r="BR236">
            <v>1633082</v>
          </cell>
          <cell r="BS236">
            <v>1072278</v>
          </cell>
        </row>
        <row r="237">
          <cell r="A237">
            <v>230</v>
          </cell>
          <cell r="B237" t="str">
            <v>Sheffield</v>
          </cell>
          <cell r="C237" t="str">
            <v>E4404</v>
          </cell>
          <cell r="D237">
            <v>777513</v>
          </cell>
          <cell r="E237">
            <v>1649764</v>
          </cell>
          <cell r="F237">
            <v>1500343</v>
          </cell>
          <cell r="G237">
            <v>44637</v>
          </cell>
          <cell r="H237">
            <v>0</v>
          </cell>
          <cell r="I237">
            <v>777513</v>
          </cell>
          <cell r="J237">
            <v>0</v>
          </cell>
          <cell r="K237">
            <v>0</v>
          </cell>
          <cell r="L237">
            <v>0</v>
          </cell>
          <cell r="M237">
            <v>55000</v>
          </cell>
          <cell r="N237">
            <v>55000</v>
          </cell>
          <cell r="O237">
            <v>0</v>
          </cell>
          <cell r="P237">
            <v>0</v>
          </cell>
          <cell r="Q237">
            <v>2522578</v>
          </cell>
          <cell r="R237">
            <v>0</v>
          </cell>
          <cell r="S237">
            <v>51481</v>
          </cell>
          <cell r="T237">
            <v>0</v>
          </cell>
          <cell r="U237">
            <v>0</v>
          </cell>
          <cell r="V237">
            <v>0</v>
          </cell>
          <cell r="W237">
            <v>99041</v>
          </cell>
          <cell r="X237">
            <v>0</v>
          </cell>
          <cell r="Y237">
            <v>2021</v>
          </cell>
          <cell r="Z237">
            <v>0</v>
          </cell>
          <cell r="AA237">
            <v>0</v>
          </cell>
          <cell r="AB237">
            <v>0</v>
          </cell>
          <cell r="AC237">
            <v>495201.69851380045</v>
          </cell>
          <cell r="AD237">
            <v>8.7656939975048855E-12</v>
          </cell>
          <cell r="AE237">
            <v>10106.15711252654</v>
          </cell>
          <cell r="AF237">
            <v>0</v>
          </cell>
          <cell r="AG237">
            <v>0</v>
          </cell>
          <cell r="AH237">
            <v>0</v>
          </cell>
          <cell r="AI237">
            <v>0</v>
          </cell>
          <cell r="AJ237">
            <v>0</v>
          </cell>
          <cell r="AK237">
            <v>0</v>
          </cell>
          <cell r="AL237">
            <v>1079358</v>
          </cell>
          <cell r="AM237">
            <v>0</v>
          </cell>
          <cell r="AN237">
            <v>21847</v>
          </cell>
          <cell r="AO237">
            <v>-5275500</v>
          </cell>
          <cell r="AP237">
            <v>-5169990</v>
          </cell>
          <cell r="AQ237">
            <v>0</v>
          </cell>
          <cell r="AR237">
            <v>-105510</v>
          </cell>
          <cell r="AS237">
            <v>-10551000</v>
          </cell>
          <cell r="AT237">
            <v>-6800000</v>
          </cell>
          <cell r="AU237">
            <v>-6664000</v>
          </cell>
          <cell r="AV237">
            <v>0</v>
          </cell>
          <cell r="AW237">
            <v>-136000</v>
          </cell>
          <cell r="AX237">
            <v>-13600000</v>
          </cell>
          <cell r="AY237">
            <v>197112193</v>
          </cell>
          <cell r="AZ237">
            <v>10065669</v>
          </cell>
          <cell r="BA237">
            <v>4159901</v>
          </cell>
          <cell r="BB237">
            <v>16554628</v>
          </cell>
          <cell r="BC237">
            <v>12516</v>
          </cell>
          <cell r="BD237">
            <v>0</v>
          </cell>
          <cell r="BE237">
            <v>344404</v>
          </cell>
          <cell r="BF237">
            <v>9362027</v>
          </cell>
          <cell r="BG237">
            <v>6335</v>
          </cell>
          <cell r="BH237">
            <v>358067</v>
          </cell>
          <cell r="BI237">
            <v>0</v>
          </cell>
          <cell r="BJ237">
            <v>0</v>
          </cell>
          <cell r="BK237">
            <v>0</v>
          </cell>
          <cell r="BL237">
            <v>55000</v>
          </cell>
          <cell r="BM237">
            <v>55000</v>
          </cell>
          <cell r="BN237">
            <v>55000</v>
          </cell>
          <cell r="BO237">
            <v>0</v>
          </cell>
          <cell r="BP237">
            <v>215098309</v>
          </cell>
          <cell r="BQ237">
            <v>2173180</v>
          </cell>
          <cell r="BR237">
            <v>14380669</v>
          </cell>
          <cell r="BS237">
            <v>1875166</v>
          </cell>
        </row>
        <row r="238">
          <cell r="A238">
            <v>231</v>
          </cell>
          <cell r="B238" t="str">
            <v>Shepway</v>
          </cell>
          <cell r="C238" t="str">
            <v>E2240</v>
          </cell>
          <cell r="D238">
            <v>151655</v>
          </cell>
          <cell r="G238">
            <v>33956</v>
          </cell>
          <cell r="H238">
            <v>0</v>
          </cell>
          <cell r="I238">
            <v>151655</v>
          </cell>
          <cell r="J238">
            <v>0</v>
          </cell>
          <cell r="K238">
            <v>0</v>
          </cell>
          <cell r="L238">
            <v>0</v>
          </cell>
          <cell r="M238">
            <v>0</v>
          </cell>
          <cell r="N238">
            <v>0</v>
          </cell>
          <cell r="O238">
            <v>0</v>
          </cell>
          <cell r="P238">
            <v>0</v>
          </cell>
          <cell r="Q238">
            <v>485304</v>
          </cell>
          <cell r="R238">
            <v>109194</v>
          </cell>
          <cell r="S238">
            <v>12133</v>
          </cell>
          <cell r="T238">
            <v>14780</v>
          </cell>
          <cell r="U238">
            <v>3326</v>
          </cell>
          <cell r="V238">
            <v>370</v>
          </cell>
          <cell r="W238">
            <v>11177</v>
          </cell>
          <cell r="X238">
            <v>2515</v>
          </cell>
          <cell r="Y238">
            <v>279</v>
          </cell>
          <cell r="Z238">
            <v>10074.221656050955</v>
          </cell>
          <cell r="AA238">
            <v>2266.6998726114643</v>
          </cell>
          <cell r="AB238">
            <v>251.85554140127388</v>
          </cell>
          <cell r="AC238">
            <v>174019.13205944799</v>
          </cell>
          <cell r="AD238">
            <v>39154.304713375786</v>
          </cell>
          <cell r="AE238">
            <v>4350.4783014861996</v>
          </cell>
          <cell r="AF238">
            <v>0</v>
          </cell>
          <cell r="AG238">
            <v>0</v>
          </cell>
          <cell r="AH238">
            <v>0</v>
          </cell>
          <cell r="AI238">
            <v>0</v>
          </cell>
          <cell r="AJ238">
            <v>0</v>
          </cell>
          <cell r="AK238">
            <v>0</v>
          </cell>
          <cell r="AL238">
            <v>111464</v>
          </cell>
          <cell r="AM238">
            <v>24717</v>
          </cell>
          <cell r="AN238">
            <v>2746</v>
          </cell>
          <cell r="AO238">
            <v>-176183</v>
          </cell>
          <cell r="AP238">
            <v>-140946</v>
          </cell>
          <cell r="AQ238">
            <v>-31713</v>
          </cell>
          <cell r="AR238">
            <v>-3523</v>
          </cell>
          <cell r="AS238">
            <v>-352365</v>
          </cell>
          <cell r="AT238">
            <v>-743562</v>
          </cell>
          <cell r="AU238">
            <v>-594850</v>
          </cell>
          <cell r="AV238">
            <v>-133841</v>
          </cell>
          <cell r="AW238">
            <v>-14871</v>
          </cell>
          <cell r="AX238">
            <v>-1487124</v>
          </cell>
          <cell r="AY238">
            <v>25435185</v>
          </cell>
          <cell r="AZ238">
            <v>2456621</v>
          </cell>
          <cell r="BA238">
            <v>545291</v>
          </cell>
          <cell r="BB238">
            <v>2239881</v>
          </cell>
          <cell r="BC238">
            <v>90978</v>
          </cell>
          <cell r="BD238">
            <v>22218</v>
          </cell>
          <cell r="BE238">
            <v>174786</v>
          </cell>
          <cell r="BF238">
            <v>1188697</v>
          </cell>
          <cell r="BG238">
            <v>66975</v>
          </cell>
          <cell r="BH238">
            <v>1922</v>
          </cell>
          <cell r="BI238">
            <v>1773</v>
          </cell>
          <cell r="BJ238">
            <v>0</v>
          </cell>
          <cell r="BK238">
            <v>0</v>
          </cell>
          <cell r="BL238">
            <v>120497</v>
          </cell>
          <cell r="BM238">
            <v>120497</v>
          </cell>
          <cell r="BN238">
            <v>0</v>
          </cell>
          <cell r="BO238">
            <v>0</v>
          </cell>
          <cell r="BP238">
            <v>27830103</v>
          </cell>
          <cell r="BQ238">
            <v>383240</v>
          </cell>
          <cell r="BR238">
            <v>1211608</v>
          </cell>
          <cell r="BS238">
            <v>492684.61</v>
          </cell>
        </row>
        <row r="239">
          <cell r="A239">
            <v>232</v>
          </cell>
          <cell r="B239" t="str">
            <v>Shropshire UA</v>
          </cell>
          <cell r="C239" t="str">
            <v>E3202</v>
          </cell>
          <cell r="D239">
            <v>464476</v>
          </cell>
          <cell r="G239">
            <v>150427</v>
          </cell>
          <cell r="H239">
            <v>0</v>
          </cell>
          <cell r="I239">
            <v>464476</v>
          </cell>
          <cell r="J239">
            <v>0</v>
          </cell>
          <cell r="K239">
            <v>0</v>
          </cell>
          <cell r="L239">
            <v>0</v>
          </cell>
          <cell r="M239">
            <v>0</v>
          </cell>
          <cell r="N239">
            <v>0</v>
          </cell>
          <cell r="O239">
            <v>0</v>
          </cell>
          <cell r="P239">
            <v>0</v>
          </cell>
          <cell r="Q239">
            <v>1798927</v>
          </cell>
          <cell r="R239">
            <v>0</v>
          </cell>
          <cell r="S239">
            <v>36713</v>
          </cell>
          <cell r="T239">
            <v>149911</v>
          </cell>
          <cell r="U239">
            <v>0</v>
          </cell>
          <cell r="V239">
            <v>3059</v>
          </cell>
          <cell r="W239">
            <v>32484</v>
          </cell>
          <cell r="X239">
            <v>0</v>
          </cell>
          <cell r="Y239">
            <v>663</v>
          </cell>
          <cell r="Z239">
            <v>126859.28552016984</v>
          </cell>
          <cell r="AA239">
            <v>2.2455691911988088E-12</v>
          </cell>
          <cell r="AB239">
            <v>2588.9650106157114</v>
          </cell>
          <cell r="AC239">
            <v>554427.82165605098</v>
          </cell>
          <cell r="AD239">
            <v>9.8140709996064694E-12</v>
          </cell>
          <cell r="AE239">
            <v>11314.853503184715</v>
          </cell>
          <cell r="AF239">
            <v>0</v>
          </cell>
          <cell r="AG239">
            <v>0</v>
          </cell>
          <cell r="AH239">
            <v>0</v>
          </cell>
          <cell r="AI239">
            <v>11229</v>
          </cell>
          <cell r="AJ239">
            <v>1.9876756490733171E-13</v>
          </cell>
          <cell r="AK239">
            <v>229.1634</v>
          </cell>
          <cell r="AL239">
            <v>402026</v>
          </cell>
          <cell r="AM239">
            <v>0</v>
          </cell>
          <cell r="AN239">
            <v>8104</v>
          </cell>
          <cell r="AO239">
            <v>-773182</v>
          </cell>
          <cell r="AP239">
            <v>-757719</v>
          </cell>
          <cell r="AQ239">
            <v>0</v>
          </cell>
          <cell r="AR239">
            <v>-15463</v>
          </cell>
          <cell r="AS239">
            <v>-1546364</v>
          </cell>
          <cell r="AT239">
            <v>-802807</v>
          </cell>
          <cell r="AU239">
            <v>-786751</v>
          </cell>
          <cell r="AV239">
            <v>0</v>
          </cell>
          <cell r="AW239">
            <v>-16056</v>
          </cell>
          <cell r="AX239">
            <v>-1605614</v>
          </cell>
          <cell r="AY239">
            <v>73393614</v>
          </cell>
          <cell r="AZ239">
            <v>7464009</v>
          </cell>
          <cell r="BA239">
            <v>1399449</v>
          </cell>
          <cell r="BB239">
            <v>5610850</v>
          </cell>
          <cell r="BC239">
            <v>162723</v>
          </cell>
          <cell r="BD239">
            <v>107454</v>
          </cell>
          <cell r="BE239">
            <v>78563</v>
          </cell>
          <cell r="BF239">
            <v>2974582</v>
          </cell>
          <cell r="BG239">
            <v>415425</v>
          </cell>
          <cell r="BH239">
            <v>260280</v>
          </cell>
          <cell r="BI239">
            <v>29426</v>
          </cell>
          <cell r="BJ239">
            <v>8223</v>
          </cell>
          <cell r="BK239">
            <v>0</v>
          </cell>
          <cell r="BL239">
            <v>0</v>
          </cell>
          <cell r="BM239">
            <v>0</v>
          </cell>
          <cell r="BN239">
            <v>0</v>
          </cell>
          <cell r="BO239">
            <v>0</v>
          </cell>
          <cell r="BP239">
            <v>75981895.700000003</v>
          </cell>
          <cell r="BQ239">
            <v>0</v>
          </cell>
          <cell r="BR239">
            <v>3316520</v>
          </cell>
          <cell r="BS239">
            <v>1938011</v>
          </cell>
        </row>
        <row r="240">
          <cell r="A240">
            <v>233</v>
          </cell>
          <cell r="B240" t="str">
            <v>Slough</v>
          </cell>
          <cell r="C240" t="str">
            <v>E0304</v>
          </cell>
          <cell r="D240">
            <v>207441</v>
          </cell>
          <cell r="G240">
            <v>-259018</v>
          </cell>
          <cell r="H240">
            <v>0</v>
          </cell>
          <cell r="I240">
            <v>207441</v>
          </cell>
          <cell r="J240">
            <v>0</v>
          </cell>
          <cell r="K240">
            <v>0</v>
          </cell>
          <cell r="L240">
            <v>0</v>
          </cell>
          <cell r="M240">
            <v>0</v>
          </cell>
          <cell r="N240">
            <v>0</v>
          </cell>
          <cell r="O240">
            <v>0</v>
          </cell>
          <cell r="P240">
            <v>0</v>
          </cell>
          <cell r="Q240">
            <v>261528</v>
          </cell>
          <cell r="R240">
            <v>0</v>
          </cell>
          <cell r="S240">
            <v>5337</v>
          </cell>
          <cell r="T240">
            <v>0</v>
          </cell>
          <cell r="U240">
            <v>0</v>
          </cell>
          <cell r="V240">
            <v>0</v>
          </cell>
          <cell r="W240">
            <v>303678</v>
          </cell>
          <cell r="X240">
            <v>0</v>
          </cell>
          <cell r="Y240">
            <v>6198</v>
          </cell>
          <cell r="Z240">
            <v>13152.55711252654</v>
          </cell>
          <cell r="AA240">
            <v>2.3281683257372975E-13</v>
          </cell>
          <cell r="AB240">
            <v>268.41953290870492</v>
          </cell>
          <cell r="AC240">
            <v>309038.04798301484</v>
          </cell>
          <cell r="AD240">
            <v>5.4703628245528864E-12</v>
          </cell>
          <cell r="AE240">
            <v>6306.8989384288752</v>
          </cell>
          <cell r="AF240">
            <v>0</v>
          </cell>
          <cell r="AG240">
            <v>0</v>
          </cell>
          <cell r="AH240">
            <v>0</v>
          </cell>
          <cell r="AI240">
            <v>0</v>
          </cell>
          <cell r="AJ240">
            <v>0</v>
          </cell>
          <cell r="AK240">
            <v>0</v>
          </cell>
          <cell r="AL240">
            <v>480077</v>
          </cell>
          <cell r="AM240">
            <v>0</v>
          </cell>
          <cell r="AN240">
            <v>9753</v>
          </cell>
          <cell r="AO240">
            <v>-2024469.93</v>
          </cell>
          <cell r="AP240">
            <v>-1983981</v>
          </cell>
          <cell r="AQ240">
            <v>0</v>
          </cell>
          <cell r="AR240">
            <v>-40489</v>
          </cell>
          <cell r="AS240">
            <v>-4048939.93</v>
          </cell>
          <cell r="AT240">
            <v>-883796</v>
          </cell>
          <cell r="AU240">
            <v>-866119</v>
          </cell>
          <cell r="AV240">
            <v>0</v>
          </cell>
          <cell r="AW240">
            <v>-17676</v>
          </cell>
          <cell r="AX240">
            <v>-1767591</v>
          </cell>
          <cell r="AY240">
            <v>89057923</v>
          </cell>
          <cell r="AZ240">
            <v>1066887</v>
          </cell>
          <cell r="BA240">
            <v>1892804</v>
          </cell>
          <cell r="BB240">
            <v>3054811</v>
          </cell>
          <cell r="BC240">
            <v>0</v>
          </cell>
          <cell r="BD240">
            <v>0</v>
          </cell>
          <cell r="BE240">
            <v>80195</v>
          </cell>
          <cell r="BF240">
            <v>4348888</v>
          </cell>
          <cell r="BG240">
            <v>260102</v>
          </cell>
          <cell r="BH240">
            <v>98332</v>
          </cell>
          <cell r="BI240">
            <v>0</v>
          </cell>
          <cell r="BJ240">
            <v>0</v>
          </cell>
          <cell r="BK240">
            <v>0</v>
          </cell>
          <cell r="BL240">
            <v>0</v>
          </cell>
          <cell r="BM240">
            <v>0</v>
          </cell>
          <cell r="BN240">
            <v>0</v>
          </cell>
          <cell r="BO240">
            <v>0</v>
          </cell>
          <cell r="BP240">
            <v>95721467</v>
          </cell>
          <cell r="BQ240">
            <v>4938490.41</v>
          </cell>
          <cell r="BR240">
            <v>7150923</v>
          </cell>
          <cell r="BS240">
            <v>451391</v>
          </cell>
        </row>
        <row r="241">
          <cell r="A241">
            <v>234</v>
          </cell>
          <cell r="B241" t="str">
            <v>Solihull</v>
          </cell>
          <cell r="C241" t="str">
            <v>E4605</v>
          </cell>
          <cell r="D241">
            <v>242823</v>
          </cell>
          <cell r="G241">
            <v>-1206396</v>
          </cell>
          <cell r="H241">
            <v>0</v>
          </cell>
          <cell r="I241">
            <v>242823</v>
          </cell>
          <cell r="J241">
            <v>0</v>
          </cell>
          <cell r="K241">
            <v>0</v>
          </cell>
          <cell r="L241">
            <v>0</v>
          </cell>
          <cell r="M241">
            <v>0</v>
          </cell>
          <cell r="N241">
            <v>0</v>
          </cell>
          <cell r="O241">
            <v>0</v>
          </cell>
          <cell r="P241">
            <v>0</v>
          </cell>
          <cell r="Q241">
            <v>496816</v>
          </cell>
          <cell r="R241">
            <v>0</v>
          </cell>
          <cell r="S241">
            <v>10139</v>
          </cell>
          <cell r="T241">
            <v>14113</v>
          </cell>
          <cell r="U241">
            <v>0</v>
          </cell>
          <cell r="V241">
            <v>288</v>
          </cell>
          <cell r="W241">
            <v>136181</v>
          </cell>
          <cell r="X241">
            <v>0</v>
          </cell>
          <cell r="Y241">
            <v>2779</v>
          </cell>
          <cell r="Z241">
            <v>22284.076433121019</v>
          </cell>
          <cell r="AA241">
            <v>3.9445622988771983E-13</v>
          </cell>
          <cell r="AB241">
            <v>454.77707006369428</v>
          </cell>
          <cell r="AC241">
            <v>383781.31634819531</v>
          </cell>
          <cell r="AD241">
            <v>6.7934128480662858E-12</v>
          </cell>
          <cell r="AE241">
            <v>7832.2717622080681</v>
          </cell>
          <cell r="AF241">
            <v>0</v>
          </cell>
          <cell r="AG241">
            <v>0</v>
          </cell>
          <cell r="AH241">
            <v>0</v>
          </cell>
          <cell r="AI241">
            <v>0</v>
          </cell>
          <cell r="AJ241">
            <v>0</v>
          </cell>
          <cell r="AK241">
            <v>0</v>
          </cell>
          <cell r="AL241">
            <v>588456</v>
          </cell>
          <cell r="AM241">
            <v>0</v>
          </cell>
          <cell r="AN241">
            <v>11957</v>
          </cell>
          <cell r="AO241">
            <v>-833585</v>
          </cell>
          <cell r="AP241">
            <v>-816913</v>
          </cell>
          <cell r="AQ241">
            <v>0</v>
          </cell>
          <cell r="AR241">
            <v>-16672</v>
          </cell>
          <cell r="AS241">
            <v>-1667170</v>
          </cell>
          <cell r="AT241">
            <v>-1579940</v>
          </cell>
          <cell r="AU241">
            <v>-1548341</v>
          </cell>
          <cell r="AV241">
            <v>0</v>
          </cell>
          <cell r="AW241">
            <v>-31599</v>
          </cell>
          <cell r="AX241">
            <v>-3159880</v>
          </cell>
          <cell r="AY241">
            <v>100855035</v>
          </cell>
          <cell r="AZ241">
            <v>2035978</v>
          </cell>
          <cell r="BA241">
            <v>2148440</v>
          </cell>
          <cell r="BB241">
            <v>3808256</v>
          </cell>
          <cell r="BC241">
            <v>78541</v>
          </cell>
          <cell r="BD241">
            <v>942</v>
          </cell>
          <cell r="BE241">
            <v>213779</v>
          </cell>
          <cell r="BF241">
            <v>4740232</v>
          </cell>
          <cell r="BG241">
            <v>47112</v>
          </cell>
          <cell r="BH241">
            <v>315343</v>
          </cell>
          <cell r="BI241">
            <v>0</v>
          </cell>
          <cell r="BJ241">
            <v>0</v>
          </cell>
          <cell r="BK241">
            <v>0</v>
          </cell>
          <cell r="BL241">
            <v>0</v>
          </cell>
          <cell r="BM241">
            <v>0</v>
          </cell>
          <cell r="BN241">
            <v>0</v>
          </cell>
          <cell r="BO241">
            <v>0</v>
          </cell>
          <cell r="BP241">
            <v>105857185</v>
          </cell>
          <cell r="BQ241">
            <v>252039</v>
          </cell>
          <cell r="BR241">
            <v>2312838</v>
          </cell>
          <cell r="BS241">
            <v>4422780</v>
          </cell>
        </row>
        <row r="242">
          <cell r="A242">
            <v>235</v>
          </cell>
          <cell r="B242" t="str">
            <v>South Bucks</v>
          </cell>
          <cell r="C242" t="str">
            <v>E0434</v>
          </cell>
          <cell r="D242">
            <v>97601</v>
          </cell>
          <cell r="G242">
            <v>16486</v>
          </cell>
          <cell r="H242">
            <v>0</v>
          </cell>
          <cell r="I242">
            <v>97601</v>
          </cell>
          <cell r="J242">
            <v>0</v>
          </cell>
          <cell r="K242">
            <v>0</v>
          </cell>
          <cell r="L242">
            <v>0</v>
          </cell>
          <cell r="M242">
            <v>0</v>
          </cell>
          <cell r="N242">
            <v>0</v>
          </cell>
          <cell r="O242">
            <v>0</v>
          </cell>
          <cell r="P242">
            <v>0</v>
          </cell>
          <cell r="Q242">
            <v>172544</v>
          </cell>
          <cell r="R242">
            <v>38823</v>
          </cell>
          <cell r="S242">
            <v>4314</v>
          </cell>
          <cell r="T242">
            <v>0</v>
          </cell>
          <cell r="U242">
            <v>0</v>
          </cell>
          <cell r="V242">
            <v>0</v>
          </cell>
          <cell r="W242">
            <v>0</v>
          </cell>
          <cell r="X242">
            <v>0</v>
          </cell>
          <cell r="Y242">
            <v>0</v>
          </cell>
          <cell r="Z242">
            <v>0</v>
          </cell>
          <cell r="AA242">
            <v>0</v>
          </cell>
          <cell r="AB242">
            <v>0</v>
          </cell>
          <cell r="AC242">
            <v>108338.00424628452</v>
          </cell>
          <cell r="AD242">
            <v>24376.050955414012</v>
          </cell>
          <cell r="AE242">
            <v>2708.4501061571127</v>
          </cell>
          <cell r="AF242">
            <v>0</v>
          </cell>
          <cell r="AG242">
            <v>0</v>
          </cell>
          <cell r="AH242">
            <v>0</v>
          </cell>
          <cell r="AI242">
            <v>0</v>
          </cell>
          <cell r="AJ242">
            <v>0</v>
          </cell>
          <cell r="AK242">
            <v>0</v>
          </cell>
          <cell r="AL242">
            <v>113839</v>
          </cell>
          <cell r="AM242">
            <v>25381</v>
          </cell>
          <cell r="AN242">
            <v>2820</v>
          </cell>
          <cell r="AO242">
            <v>-227000</v>
          </cell>
          <cell r="AP242">
            <v>-181600</v>
          </cell>
          <cell r="AQ242">
            <v>-40860</v>
          </cell>
          <cell r="AR242">
            <v>-4540</v>
          </cell>
          <cell r="AS242">
            <v>-454000</v>
          </cell>
          <cell r="AT242">
            <v>-845784</v>
          </cell>
          <cell r="AU242">
            <v>-676627</v>
          </cell>
          <cell r="AV242">
            <v>-152241</v>
          </cell>
          <cell r="AW242">
            <v>-16915</v>
          </cell>
          <cell r="AX242">
            <v>-1691567</v>
          </cell>
          <cell r="AY242">
            <v>27133970</v>
          </cell>
          <cell r="AZ242">
            <v>854017</v>
          </cell>
          <cell r="BA242">
            <v>585419</v>
          </cell>
          <cell r="BB242">
            <v>1755797.81</v>
          </cell>
          <cell r="BC242">
            <v>57085</v>
          </cell>
          <cell r="BD242">
            <v>1392</v>
          </cell>
          <cell r="BE242">
            <v>0</v>
          </cell>
          <cell r="BF242">
            <v>1560518</v>
          </cell>
          <cell r="BG242">
            <v>16512.3</v>
          </cell>
          <cell r="BH242">
            <v>26376</v>
          </cell>
          <cell r="BI242">
            <v>249.63</v>
          </cell>
          <cell r="BJ242">
            <v>0</v>
          </cell>
          <cell r="BK242">
            <v>0</v>
          </cell>
          <cell r="BL242">
            <v>0</v>
          </cell>
          <cell r="BM242">
            <v>0</v>
          </cell>
          <cell r="BN242">
            <v>0</v>
          </cell>
          <cell r="BO242">
            <v>0</v>
          </cell>
          <cell r="BP242">
            <v>29020627.600000001</v>
          </cell>
          <cell r="BQ242">
            <v>4774</v>
          </cell>
          <cell r="BR242">
            <v>1331202</v>
          </cell>
          <cell r="BS242">
            <v>862093</v>
          </cell>
        </row>
        <row r="243">
          <cell r="A243">
            <v>236</v>
          </cell>
          <cell r="B243" t="str">
            <v>South Cambridgeshire</v>
          </cell>
          <cell r="C243" t="str">
            <v>E0536</v>
          </cell>
          <cell r="D243">
            <v>219672</v>
          </cell>
          <cell r="G243">
            <v>75093</v>
          </cell>
          <cell r="H243">
            <v>0</v>
          </cell>
          <cell r="I243">
            <v>219672</v>
          </cell>
          <cell r="J243">
            <v>0</v>
          </cell>
          <cell r="K243">
            <v>0</v>
          </cell>
          <cell r="L243">
            <v>0</v>
          </cell>
          <cell r="M243">
            <v>0</v>
          </cell>
          <cell r="N243">
            <v>0</v>
          </cell>
          <cell r="O243">
            <v>0</v>
          </cell>
          <cell r="P243">
            <v>0</v>
          </cell>
          <cell r="Q243">
            <v>506969</v>
          </cell>
          <cell r="R243">
            <v>114068</v>
          </cell>
          <cell r="S243">
            <v>12674</v>
          </cell>
          <cell r="T243">
            <v>0</v>
          </cell>
          <cell r="U243">
            <v>0</v>
          </cell>
          <cell r="V243">
            <v>0</v>
          </cell>
          <cell r="W243">
            <v>40424</v>
          </cell>
          <cell r="X243">
            <v>9096</v>
          </cell>
          <cell r="Y243">
            <v>1011</v>
          </cell>
          <cell r="Z243">
            <v>3638.2165605095543</v>
          </cell>
          <cell r="AA243">
            <v>818.59872611464959</v>
          </cell>
          <cell r="AB243">
            <v>90.955414012738856</v>
          </cell>
          <cell r="AC243">
            <v>179081.10403397027</v>
          </cell>
          <cell r="AD243">
            <v>40293.248407643303</v>
          </cell>
          <cell r="AE243">
            <v>4477.0276008492574</v>
          </cell>
          <cell r="AF243">
            <v>0</v>
          </cell>
          <cell r="AG243">
            <v>0</v>
          </cell>
          <cell r="AH243">
            <v>0</v>
          </cell>
          <cell r="AI243">
            <v>0</v>
          </cell>
          <cell r="AJ243">
            <v>0</v>
          </cell>
          <cell r="AK243">
            <v>0</v>
          </cell>
          <cell r="AL243">
            <v>289612</v>
          </cell>
          <cell r="AM243">
            <v>64638</v>
          </cell>
          <cell r="AN243">
            <v>7182</v>
          </cell>
          <cell r="AO243">
            <v>-78134</v>
          </cell>
          <cell r="AP243">
            <v>-62506</v>
          </cell>
          <cell r="AQ243">
            <v>-14064</v>
          </cell>
          <cell r="AR243">
            <v>-1563</v>
          </cell>
          <cell r="AS243">
            <v>-156267</v>
          </cell>
          <cell r="AT243">
            <v>-2000429</v>
          </cell>
          <cell r="AU243">
            <v>-1600345</v>
          </cell>
          <cell r="AV243">
            <v>-360078</v>
          </cell>
          <cell r="AW243">
            <v>-40009</v>
          </cell>
          <cell r="AX243">
            <v>-4000861</v>
          </cell>
          <cell r="AY243">
            <v>62572696</v>
          </cell>
          <cell r="AZ243">
            <v>2269832</v>
          </cell>
          <cell r="BA243">
            <v>1407533</v>
          </cell>
          <cell r="BB243">
            <v>8277328</v>
          </cell>
          <cell r="BC243">
            <v>36697</v>
          </cell>
          <cell r="BD243">
            <v>80922</v>
          </cell>
          <cell r="BE243">
            <v>33355.18</v>
          </cell>
          <cell r="BF243">
            <v>1472281</v>
          </cell>
          <cell r="BG243">
            <v>104293</v>
          </cell>
          <cell r="BH243">
            <v>53640</v>
          </cell>
          <cell r="BI243">
            <v>0</v>
          </cell>
          <cell r="BJ243">
            <v>82373</v>
          </cell>
          <cell r="BK243">
            <v>48305</v>
          </cell>
          <cell r="BL243">
            <v>0</v>
          </cell>
          <cell r="BM243">
            <v>0</v>
          </cell>
          <cell r="BN243">
            <v>0</v>
          </cell>
          <cell r="BO243">
            <v>0</v>
          </cell>
          <cell r="BP243">
            <v>67445978</v>
          </cell>
          <cell r="BQ243">
            <v>394875</v>
          </cell>
          <cell r="BR243">
            <v>1250506</v>
          </cell>
          <cell r="BS243">
            <v>1179438</v>
          </cell>
        </row>
        <row r="244">
          <cell r="A244">
            <v>237</v>
          </cell>
          <cell r="B244" t="str">
            <v>South Derbyshire</v>
          </cell>
          <cell r="C244" t="str">
            <v>E1039</v>
          </cell>
          <cell r="D244">
            <v>90918</v>
          </cell>
          <cell r="G244">
            <v>11353</v>
          </cell>
          <cell r="H244">
            <v>0</v>
          </cell>
          <cell r="I244">
            <v>90918</v>
          </cell>
          <cell r="J244">
            <v>0</v>
          </cell>
          <cell r="K244">
            <v>0</v>
          </cell>
          <cell r="L244">
            <v>0</v>
          </cell>
          <cell r="M244">
            <v>0</v>
          </cell>
          <cell r="N244">
            <v>0</v>
          </cell>
          <cell r="O244">
            <v>0</v>
          </cell>
          <cell r="P244">
            <v>0</v>
          </cell>
          <cell r="Q244">
            <v>263527</v>
          </cell>
          <cell r="R244">
            <v>59294</v>
          </cell>
          <cell r="S244">
            <v>6588</v>
          </cell>
          <cell r="T244">
            <v>0</v>
          </cell>
          <cell r="U244">
            <v>0</v>
          </cell>
          <cell r="V244">
            <v>0</v>
          </cell>
          <cell r="W244">
            <v>7728</v>
          </cell>
          <cell r="X244">
            <v>1739</v>
          </cell>
          <cell r="Y244">
            <v>193</v>
          </cell>
          <cell r="Z244">
            <v>29474.0008492569</v>
          </cell>
          <cell r="AA244">
            <v>6631.650191082801</v>
          </cell>
          <cell r="AB244">
            <v>736.85002123142249</v>
          </cell>
          <cell r="AC244">
            <v>35169.426751592364</v>
          </cell>
          <cell r="AD244">
            <v>7913.1210191082791</v>
          </cell>
          <cell r="AE244">
            <v>879.23566878980898</v>
          </cell>
          <cell r="AF244">
            <v>0</v>
          </cell>
          <cell r="AG244">
            <v>0</v>
          </cell>
          <cell r="AH244">
            <v>0</v>
          </cell>
          <cell r="AI244">
            <v>0</v>
          </cell>
          <cell r="AJ244">
            <v>0</v>
          </cell>
          <cell r="AK244">
            <v>0</v>
          </cell>
          <cell r="AL244">
            <v>90477</v>
          </cell>
          <cell r="AM244">
            <v>20140</v>
          </cell>
          <cell r="AN244">
            <v>2238</v>
          </cell>
          <cell r="AO244">
            <v>-680409</v>
          </cell>
          <cell r="AP244">
            <v>-544327</v>
          </cell>
          <cell r="AQ244">
            <v>-122474</v>
          </cell>
          <cell r="AR244">
            <v>-13608</v>
          </cell>
          <cell r="AS244">
            <v>-1360818</v>
          </cell>
          <cell r="AT244">
            <v>-313534</v>
          </cell>
          <cell r="AU244">
            <v>-250827</v>
          </cell>
          <cell r="AV244">
            <v>-56436</v>
          </cell>
          <cell r="AW244">
            <v>-6271</v>
          </cell>
          <cell r="AX244">
            <v>-627068</v>
          </cell>
          <cell r="AY244">
            <v>19843669</v>
          </cell>
          <cell r="AZ244">
            <v>1302877</v>
          </cell>
          <cell r="BA244">
            <v>415292</v>
          </cell>
          <cell r="BB244">
            <v>1018643</v>
          </cell>
          <cell r="BC244">
            <v>32678</v>
          </cell>
          <cell r="BD244">
            <v>23299</v>
          </cell>
          <cell r="BE244">
            <v>295032</v>
          </cell>
          <cell r="BF244">
            <v>652125</v>
          </cell>
          <cell r="BG244">
            <v>36957</v>
          </cell>
          <cell r="BH244">
            <v>8026</v>
          </cell>
          <cell r="BI244">
            <v>0</v>
          </cell>
          <cell r="BJ244">
            <v>0</v>
          </cell>
          <cell r="BK244">
            <v>1603</v>
          </cell>
          <cell r="BL244">
            <v>0</v>
          </cell>
          <cell r="BM244">
            <v>0</v>
          </cell>
          <cell r="BN244">
            <v>0</v>
          </cell>
          <cell r="BO244">
            <v>0</v>
          </cell>
          <cell r="BP244">
            <v>21899574</v>
          </cell>
          <cell r="BQ244">
            <v>92386</v>
          </cell>
          <cell r="BR244">
            <v>1999347</v>
          </cell>
          <cell r="BS244">
            <v>381449</v>
          </cell>
        </row>
        <row r="245">
          <cell r="A245">
            <v>238</v>
          </cell>
          <cell r="B245" t="str">
            <v>South Gloucestershire</v>
          </cell>
          <cell r="C245" t="str">
            <v>E0103</v>
          </cell>
          <cell r="D245">
            <v>332372</v>
          </cell>
          <cell r="E245">
            <v>628624</v>
          </cell>
          <cell r="G245">
            <v>309644</v>
          </cell>
          <cell r="H245">
            <v>0</v>
          </cell>
          <cell r="I245">
            <v>332372</v>
          </cell>
          <cell r="J245">
            <v>3891169</v>
          </cell>
          <cell r="K245">
            <v>0</v>
          </cell>
          <cell r="L245">
            <v>0</v>
          </cell>
          <cell r="M245">
            <v>0</v>
          </cell>
          <cell r="N245">
            <v>0</v>
          </cell>
          <cell r="O245">
            <v>0</v>
          </cell>
          <cell r="P245">
            <v>0</v>
          </cell>
          <cell r="Q245">
            <v>801474</v>
          </cell>
          <cell r="R245">
            <v>0</v>
          </cell>
          <cell r="S245">
            <v>16357</v>
          </cell>
          <cell r="T245">
            <v>49710</v>
          </cell>
          <cell r="U245">
            <v>0</v>
          </cell>
          <cell r="V245">
            <v>1014</v>
          </cell>
          <cell r="W245">
            <v>31000</v>
          </cell>
          <cell r="X245">
            <v>0</v>
          </cell>
          <cell r="Y245">
            <v>633</v>
          </cell>
          <cell r="Z245">
            <v>148560.50955414012</v>
          </cell>
          <cell r="AA245">
            <v>2.6297081992514652E-12</v>
          </cell>
          <cell r="AB245">
            <v>3031.8471337579617</v>
          </cell>
          <cell r="AC245">
            <v>666046.28450106154</v>
          </cell>
          <cell r="AD245">
            <v>1.178985842664407E-11</v>
          </cell>
          <cell r="AE245">
            <v>13592.781316348195</v>
          </cell>
          <cell r="AF245">
            <v>6567.54</v>
          </cell>
          <cell r="AG245">
            <v>0</v>
          </cell>
          <cell r="AH245">
            <v>0</v>
          </cell>
          <cell r="AI245">
            <v>4395</v>
          </cell>
          <cell r="AJ245">
            <v>7.7805296927468954E-14</v>
          </cell>
          <cell r="AK245">
            <v>89.703400000000002</v>
          </cell>
          <cell r="AL245">
            <v>723525</v>
          </cell>
          <cell r="AM245">
            <v>0</v>
          </cell>
          <cell r="AN245">
            <v>13851</v>
          </cell>
          <cell r="AO245">
            <v>-93795</v>
          </cell>
          <cell r="AP245">
            <v>-91920</v>
          </cell>
          <cell r="AQ245">
            <v>0</v>
          </cell>
          <cell r="AR245">
            <v>-1876</v>
          </cell>
          <cell r="AS245">
            <v>-187591</v>
          </cell>
          <cell r="AT245">
            <v>-3651000</v>
          </cell>
          <cell r="AU245">
            <v>-3577980</v>
          </cell>
          <cell r="AV245">
            <v>0</v>
          </cell>
          <cell r="AW245">
            <v>-73020</v>
          </cell>
          <cell r="AX245">
            <v>-7302000</v>
          </cell>
          <cell r="AY245">
            <v>126007329</v>
          </cell>
          <cell r="AZ245">
            <v>3292712.39</v>
          </cell>
          <cell r="BA245">
            <v>2626780.2000000002</v>
          </cell>
          <cell r="BB245">
            <v>5749987.04</v>
          </cell>
          <cell r="BC245">
            <v>89471.16</v>
          </cell>
          <cell r="BD245">
            <v>27459.65</v>
          </cell>
          <cell r="BE245">
            <v>68670.539999999994</v>
          </cell>
          <cell r="BF245">
            <v>5046127.03</v>
          </cell>
          <cell r="BG245">
            <v>132798.49</v>
          </cell>
          <cell r="BH245">
            <v>639659.13</v>
          </cell>
          <cell r="BI245">
            <v>0</v>
          </cell>
          <cell r="BJ245">
            <v>49196.59</v>
          </cell>
          <cell r="BK245">
            <v>0</v>
          </cell>
          <cell r="BL245">
            <v>0</v>
          </cell>
          <cell r="BM245">
            <v>0</v>
          </cell>
          <cell r="BN245">
            <v>0</v>
          </cell>
          <cell r="BO245">
            <v>0</v>
          </cell>
          <cell r="BP245">
            <v>133756614</v>
          </cell>
          <cell r="BQ245">
            <v>270409.09000000003</v>
          </cell>
          <cell r="BR245">
            <v>3881461.19</v>
          </cell>
          <cell r="BS245">
            <v>2471541.6800000002</v>
          </cell>
        </row>
        <row r="246">
          <cell r="A246">
            <v>239</v>
          </cell>
          <cell r="B246" t="str">
            <v>South Hams</v>
          </cell>
          <cell r="C246" t="str">
            <v>E1136</v>
          </cell>
          <cell r="D246">
            <v>206162</v>
          </cell>
          <cell r="G246">
            <v>1523875</v>
          </cell>
          <cell r="H246">
            <v>0</v>
          </cell>
          <cell r="I246">
            <v>206162</v>
          </cell>
          <cell r="J246">
            <v>0</v>
          </cell>
          <cell r="K246">
            <v>0</v>
          </cell>
          <cell r="L246">
            <v>0</v>
          </cell>
          <cell r="M246">
            <v>0</v>
          </cell>
          <cell r="N246">
            <v>0</v>
          </cell>
          <cell r="O246">
            <v>0</v>
          </cell>
          <cell r="P246">
            <v>0</v>
          </cell>
          <cell r="Q246">
            <v>800982</v>
          </cell>
          <cell r="R246">
            <v>180221</v>
          </cell>
          <cell r="S246">
            <v>20025</v>
          </cell>
          <cell r="T246">
            <v>8085</v>
          </cell>
          <cell r="U246">
            <v>1819</v>
          </cell>
          <cell r="V246">
            <v>202</v>
          </cell>
          <cell r="W246">
            <v>8085</v>
          </cell>
          <cell r="X246">
            <v>1819</v>
          </cell>
          <cell r="Y246">
            <v>202</v>
          </cell>
          <cell r="Z246">
            <v>16169.851380042464</v>
          </cell>
          <cell r="AA246">
            <v>3638.2165605095538</v>
          </cell>
          <cell r="AB246">
            <v>404.24628450106161</v>
          </cell>
          <cell r="AC246">
            <v>323397.02760084928</v>
          </cell>
          <cell r="AD246">
            <v>72764.331210191071</v>
          </cell>
          <cell r="AE246">
            <v>8084.9256900212313</v>
          </cell>
          <cell r="AF246">
            <v>0</v>
          </cell>
          <cell r="AG246">
            <v>0</v>
          </cell>
          <cell r="AH246">
            <v>0</v>
          </cell>
          <cell r="AI246">
            <v>0</v>
          </cell>
          <cell r="AJ246">
            <v>0</v>
          </cell>
          <cell r="AK246">
            <v>0</v>
          </cell>
          <cell r="AL246">
            <v>129021</v>
          </cell>
          <cell r="AM246">
            <v>28537</v>
          </cell>
          <cell r="AN246">
            <v>3171</v>
          </cell>
          <cell r="AO246">
            <v>-167383</v>
          </cell>
          <cell r="AP246">
            <v>-133907</v>
          </cell>
          <cell r="AQ246">
            <v>-30130</v>
          </cell>
          <cell r="AR246">
            <v>-3348</v>
          </cell>
          <cell r="AS246">
            <v>-334768</v>
          </cell>
          <cell r="AT246">
            <v>-927885</v>
          </cell>
          <cell r="AU246">
            <v>-742308</v>
          </cell>
          <cell r="AV246">
            <v>-167019</v>
          </cell>
          <cell r="AW246">
            <v>-18558</v>
          </cell>
          <cell r="AX246">
            <v>-1855770</v>
          </cell>
          <cell r="AY246">
            <v>28845662</v>
          </cell>
          <cell r="AZ246">
            <v>3564503</v>
          </cell>
          <cell r="BA246">
            <v>548037</v>
          </cell>
          <cell r="BB246">
            <v>1795128</v>
          </cell>
          <cell r="BC246">
            <v>95771</v>
          </cell>
          <cell r="BD246">
            <v>55214</v>
          </cell>
          <cell r="BE246">
            <v>82466</v>
          </cell>
          <cell r="BF246">
            <v>863539</v>
          </cell>
          <cell r="BG246">
            <v>206424</v>
          </cell>
          <cell r="BH246">
            <v>56872</v>
          </cell>
          <cell r="BI246">
            <v>155</v>
          </cell>
          <cell r="BJ246">
            <v>11455</v>
          </cell>
          <cell r="BK246">
            <v>0</v>
          </cell>
          <cell r="BL246">
            <v>0</v>
          </cell>
          <cell r="BM246">
            <v>0</v>
          </cell>
          <cell r="BN246">
            <v>0</v>
          </cell>
          <cell r="BO246">
            <v>0</v>
          </cell>
          <cell r="BP246">
            <v>28697749</v>
          </cell>
          <cell r="BQ246">
            <v>123498</v>
          </cell>
          <cell r="BR246">
            <v>1351458</v>
          </cell>
          <cell r="BS246">
            <v>268915</v>
          </cell>
        </row>
        <row r="247">
          <cell r="A247">
            <v>240</v>
          </cell>
          <cell r="B247" t="str">
            <v>South Holland</v>
          </cell>
          <cell r="C247" t="str">
            <v>E2535</v>
          </cell>
          <cell r="D247">
            <v>113332</v>
          </cell>
          <cell r="G247">
            <v>416785</v>
          </cell>
          <cell r="H247">
            <v>0</v>
          </cell>
          <cell r="I247">
            <v>113332</v>
          </cell>
          <cell r="J247">
            <v>0</v>
          </cell>
          <cell r="K247">
            <v>207260</v>
          </cell>
          <cell r="L247">
            <v>0</v>
          </cell>
          <cell r="M247">
            <v>0</v>
          </cell>
          <cell r="N247">
            <v>0</v>
          </cell>
          <cell r="O247">
            <v>0</v>
          </cell>
          <cell r="P247">
            <v>0</v>
          </cell>
          <cell r="Q247">
            <v>344162</v>
          </cell>
          <cell r="R247">
            <v>86040</v>
          </cell>
          <cell r="S247">
            <v>0</v>
          </cell>
          <cell r="T247">
            <v>9922</v>
          </cell>
          <cell r="U247">
            <v>2481</v>
          </cell>
          <cell r="V247">
            <v>0</v>
          </cell>
          <cell r="W247">
            <v>0</v>
          </cell>
          <cell r="X247">
            <v>0</v>
          </cell>
          <cell r="Y247">
            <v>0</v>
          </cell>
          <cell r="Z247">
            <v>1241.4403397027602</v>
          </cell>
          <cell r="AA247">
            <v>310.36008492568999</v>
          </cell>
          <cell r="AB247">
            <v>0</v>
          </cell>
          <cell r="AC247">
            <v>134715.88280254777</v>
          </cell>
          <cell r="AD247">
            <v>33678.970700636935</v>
          </cell>
          <cell r="AE247">
            <v>0</v>
          </cell>
          <cell r="AF247">
            <v>0</v>
          </cell>
          <cell r="AG247">
            <v>0</v>
          </cell>
          <cell r="AH247">
            <v>0</v>
          </cell>
          <cell r="AI247">
            <v>0</v>
          </cell>
          <cell r="AJ247">
            <v>0</v>
          </cell>
          <cell r="AK247">
            <v>0</v>
          </cell>
          <cell r="AL247">
            <v>110398</v>
          </cell>
          <cell r="AM247">
            <v>26749</v>
          </cell>
          <cell r="AN247">
            <v>0</v>
          </cell>
          <cell r="AO247">
            <v>-121500</v>
          </cell>
          <cell r="AP247">
            <v>-97200</v>
          </cell>
          <cell r="AQ247">
            <v>-24300</v>
          </cell>
          <cell r="AR247">
            <v>0</v>
          </cell>
          <cell r="AS247">
            <v>-243000</v>
          </cell>
          <cell r="AT247">
            <v>-1273805</v>
          </cell>
          <cell r="AU247">
            <v>-1019045</v>
          </cell>
          <cell r="AV247">
            <v>-254761</v>
          </cell>
          <cell r="AW247">
            <v>0</v>
          </cell>
          <cell r="AX247">
            <v>-2547611</v>
          </cell>
          <cell r="AY247">
            <v>22911361</v>
          </cell>
          <cell r="AZ247">
            <v>1706591</v>
          </cell>
          <cell r="BA247">
            <v>480495</v>
          </cell>
          <cell r="BB247">
            <v>978115</v>
          </cell>
          <cell r="BC247">
            <v>53605</v>
          </cell>
          <cell r="BD247">
            <v>32809</v>
          </cell>
          <cell r="BE247">
            <v>0</v>
          </cell>
          <cell r="BF247">
            <v>463220</v>
          </cell>
          <cell r="BG247">
            <v>73527</v>
          </cell>
          <cell r="BH247">
            <v>37444</v>
          </cell>
          <cell r="BI247">
            <v>7135</v>
          </cell>
          <cell r="BJ247">
            <v>32809</v>
          </cell>
          <cell r="BK247">
            <v>0</v>
          </cell>
          <cell r="BL247">
            <v>0</v>
          </cell>
          <cell r="BM247">
            <v>0</v>
          </cell>
          <cell r="BN247">
            <v>0</v>
          </cell>
          <cell r="BO247">
            <v>0</v>
          </cell>
          <cell r="BP247">
            <v>24376737</v>
          </cell>
          <cell r="BQ247">
            <v>70462</v>
          </cell>
          <cell r="BR247">
            <v>608468</v>
          </cell>
          <cell r="BS247">
            <v>294145</v>
          </cell>
        </row>
        <row r="248">
          <cell r="A248">
            <v>241</v>
          </cell>
          <cell r="B248" t="str">
            <v>South Kesteven</v>
          </cell>
          <cell r="C248" t="str">
            <v>E2536</v>
          </cell>
          <cell r="D248">
            <v>179909</v>
          </cell>
          <cell r="G248">
            <v>42188</v>
          </cell>
          <cell r="H248">
            <v>0</v>
          </cell>
          <cell r="I248">
            <v>179909</v>
          </cell>
          <cell r="J248">
            <v>0</v>
          </cell>
          <cell r="K248">
            <v>0</v>
          </cell>
          <cell r="L248">
            <v>0</v>
          </cell>
          <cell r="M248">
            <v>0</v>
          </cell>
          <cell r="N248">
            <v>0</v>
          </cell>
          <cell r="O248">
            <v>0</v>
          </cell>
          <cell r="P248">
            <v>0</v>
          </cell>
          <cell r="Q248">
            <v>523499</v>
          </cell>
          <cell r="R248">
            <v>130875</v>
          </cell>
          <cell r="S248">
            <v>0</v>
          </cell>
          <cell r="T248">
            <v>4042</v>
          </cell>
          <cell r="U248">
            <v>1011</v>
          </cell>
          <cell r="V248">
            <v>0</v>
          </cell>
          <cell r="W248">
            <v>20212</v>
          </cell>
          <cell r="X248">
            <v>5053</v>
          </cell>
          <cell r="Y248">
            <v>0</v>
          </cell>
          <cell r="Z248">
            <v>32339.702760084929</v>
          </cell>
          <cell r="AA248">
            <v>8084.9256900212304</v>
          </cell>
          <cell r="AB248">
            <v>0</v>
          </cell>
          <cell r="AC248">
            <v>323397.02760084928</v>
          </cell>
          <cell r="AD248">
            <v>80849.256900212291</v>
          </cell>
          <cell r="AE248">
            <v>0</v>
          </cell>
          <cell r="AF248">
            <v>0</v>
          </cell>
          <cell r="AG248">
            <v>0</v>
          </cell>
          <cell r="AH248">
            <v>0</v>
          </cell>
          <cell r="AI248">
            <v>0</v>
          </cell>
          <cell r="AJ248">
            <v>0</v>
          </cell>
          <cell r="AK248">
            <v>0</v>
          </cell>
          <cell r="AL248">
            <v>169564</v>
          </cell>
          <cell r="AM248">
            <v>41914</v>
          </cell>
          <cell r="AN248">
            <v>0</v>
          </cell>
          <cell r="AO248">
            <v>-287500</v>
          </cell>
          <cell r="AP248">
            <v>-230000</v>
          </cell>
          <cell r="AQ248">
            <v>-57500</v>
          </cell>
          <cell r="AR248">
            <v>0</v>
          </cell>
          <cell r="AS248">
            <v>-575000</v>
          </cell>
          <cell r="AT248">
            <v>-635640</v>
          </cell>
          <cell r="AU248">
            <v>-508512</v>
          </cell>
          <cell r="AV248">
            <v>-127128</v>
          </cell>
          <cell r="AW248">
            <v>0</v>
          </cell>
          <cell r="AX248">
            <v>-1271280</v>
          </cell>
          <cell r="AY248">
            <v>37427728</v>
          </cell>
          <cell r="AZ248">
            <v>2476519</v>
          </cell>
          <cell r="BA248">
            <v>912989</v>
          </cell>
          <cell r="BB248">
            <v>2939857</v>
          </cell>
          <cell r="BC248">
            <v>138397</v>
          </cell>
          <cell r="BD248">
            <v>50504</v>
          </cell>
          <cell r="BE248">
            <v>0</v>
          </cell>
          <cell r="BF248">
            <v>1489841</v>
          </cell>
          <cell r="BG248">
            <v>14330</v>
          </cell>
          <cell r="BH248">
            <v>5470</v>
          </cell>
          <cell r="BI248">
            <v>0</v>
          </cell>
          <cell r="BJ248">
            <v>25167</v>
          </cell>
          <cell r="BK248">
            <v>50740</v>
          </cell>
          <cell r="BL248">
            <v>0</v>
          </cell>
          <cell r="BM248">
            <v>0</v>
          </cell>
          <cell r="BN248">
            <v>0</v>
          </cell>
          <cell r="BO248">
            <v>0</v>
          </cell>
          <cell r="BP248">
            <v>39476177</v>
          </cell>
          <cell r="BQ248">
            <v>444946</v>
          </cell>
          <cell r="BR248">
            <v>1740689</v>
          </cell>
          <cell r="BS248">
            <v>-737698</v>
          </cell>
        </row>
        <row r="249">
          <cell r="A249">
            <v>242</v>
          </cell>
          <cell r="B249" t="str">
            <v>South Lakeland</v>
          </cell>
          <cell r="C249" t="str">
            <v>E0936</v>
          </cell>
          <cell r="D249">
            <v>297725</v>
          </cell>
          <cell r="G249">
            <v>49827</v>
          </cell>
          <cell r="H249">
            <v>0</v>
          </cell>
          <cell r="I249">
            <v>297725</v>
          </cell>
          <cell r="J249">
            <v>0</v>
          </cell>
          <cell r="K249">
            <v>0</v>
          </cell>
          <cell r="L249">
            <v>0</v>
          </cell>
          <cell r="M249">
            <v>0</v>
          </cell>
          <cell r="N249">
            <v>0</v>
          </cell>
          <cell r="O249">
            <v>0</v>
          </cell>
          <cell r="P249">
            <v>0</v>
          </cell>
          <cell r="Q249">
            <v>1118024</v>
          </cell>
          <cell r="R249">
            <v>279506</v>
          </cell>
          <cell r="S249">
            <v>0</v>
          </cell>
          <cell r="T249">
            <v>9497</v>
          </cell>
          <cell r="U249">
            <v>2374</v>
          </cell>
          <cell r="V249">
            <v>0</v>
          </cell>
          <cell r="W249">
            <v>0</v>
          </cell>
          <cell r="X249">
            <v>0</v>
          </cell>
          <cell r="Y249">
            <v>0</v>
          </cell>
          <cell r="Z249">
            <v>30318.471337579616</v>
          </cell>
          <cell r="AA249">
            <v>7579.6178343949023</v>
          </cell>
          <cell r="AB249">
            <v>0</v>
          </cell>
          <cell r="AC249">
            <v>408631.95244161366</v>
          </cell>
          <cell r="AD249">
            <v>102157.98811040338</v>
          </cell>
          <cell r="AE249">
            <v>0</v>
          </cell>
          <cell r="AF249">
            <v>2848</v>
          </cell>
          <cell r="AG249">
            <v>0</v>
          </cell>
          <cell r="AH249">
            <v>0</v>
          </cell>
          <cell r="AI249">
            <v>1139</v>
          </cell>
          <cell r="AJ249">
            <v>284.79999999999995</v>
          </cell>
          <cell r="AK249">
            <v>0</v>
          </cell>
          <cell r="AL249">
            <v>171191</v>
          </cell>
          <cell r="AM249">
            <v>42008</v>
          </cell>
          <cell r="AN249">
            <v>0</v>
          </cell>
          <cell r="AO249">
            <v>-401365.86</v>
          </cell>
          <cell r="AP249">
            <v>-321093</v>
          </cell>
          <cell r="AQ249">
            <v>-80273</v>
          </cell>
          <cell r="AR249">
            <v>0</v>
          </cell>
          <cell r="AS249">
            <v>-802731.86</v>
          </cell>
          <cell r="AT249">
            <v>-895000</v>
          </cell>
          <cell r="AU249">
            <v>-716000</v>
          </cell>
          <cell r="AV249">
            <v>-179000</v>
          </cell>
          <cell r="AW249">
            <v>0</v>
          </cell>
          <cell r="AX249">
            <v>-1790000</v>
          </cell>
          <cell r="AY249">
            <v>37327161</v>
          </cell>
          <cell r="AZ249">
            <v>5467824.4900000002</v>
          </cell>
          <cell r="BA249">
            <v>689102.2</v>
          </cell>
          <cell r="BB249">
            <v>2829237.5</v>
          </cell>
          <cell r="BC249">
            <v>86838.2</v>
          </cell>
          <cell r="BD249">
            <v>26565.86</v>
          </cell>
          <cell r="BE249">
            <v>6588.5</v>
          </cell>
          <cell r="BF249">
            <v>909331.12</v>
          </cell>
          <cell r="BG249">
            <v>57313.919999999998</v>
          </cell>
          <cell r="BH249">
            <v>29965.83</v>
          </cell>
          <cell r="BI249">
            <v>10735.27</v>
          </cell>
          <cell r="BJ249">
            <v>7605.49</v>
          </cell>
          <cell r="BK249">
            <v>10129.99</v>
          </cell>
          <cell r="BL249">
            <v>0</v>
          </cell>
          <cell r="BM249">
            <v>0</v>
          </cell>
          <cell r="BN249">
            <v>0</v>
          </cell>
          <cell r="BO249">
            <v>0</v>
          </cell>
          <cell r="BP249">
            <v>39936183.200000003</v>
          </cell>
          <cell r="BQ249">
            <v>275791.86</v>
          </cell>
          <cell r="BR249">
            <v>1450038.02</v>
          </cell>
          <cell r="BS249">
            <v>589184.6</v>
          </cell>
        </row>
        <row r="250">
          <cell r="A250">
            <v>243</v>
          </cell>
          <cell r="B250" t="str">
            <v>South Norfolk</v>
          </cell>
          <cell r="C250" t="str">
            <v>E2637</v>
          </cell>
          <cell r="D250">
            <v>152442</v>
          </cell>
          <cell r="G250">
            <v>70882</v>
          </cell>
          <cell r="H250">
            <v>0</v>
          </cell>
          <cell r="I250">
            <v>152442</v>
          </cell>
          <cell r="J250">
            <v>0</v>
          </cell>
          <cell r="K250">
            <v>0</v>
          </cell>
          <cell r="L250">
            <v>0</v>
          </cell>
          <cell r="M250">
            <v>0</v>
          </cell>
          <cell r="N250">
            <v>0</v>
          </cell>
          <cell r="O250">
            <v>0</v>
          </cell>
          <cell r="P250">
            <v>0</v>
          </cell>
          <cell r="Q250">
            <v>454050</v>
          </cell>
          <cell r="R250">
            <v>113512</v>
          </cell>
          <cell r="S250">
            <v>0</v>
          </cell>
          <cell r="T250">
            <v>4851</v>
          </cell>
          <cell r="U250">
            <v>1213</v>
          </cell>
          <cell r="V250">
            <v>0</v>
          </cell>
          <cell r="W250">
            <v>32340</v>
          </cell>
          <cell r="X250">
            <v>8085</v>
          </cell>
          <cell r="Y250">
            <v>0</v>
          </cell>
          <cell r="Z250">
            <v>8084.9256900212322</v>
          </cell>
          <cell r="AA250">
            <v>2021.2314225053076</v>
          </cell>
          <cell r="AB250">
            <v>0</v>
          </cell>
          <cell r="AC250">
            <v>222335.45647558389</v>
          </cell>
          <cell r="AD250">
            <v>55583.864118895959</v>
          </cell>
          <cell r="AE250">
            <v>0</v>
          </cell>
          <cell r="AF250">
            <v>0</v>
          </cell>
          <cell r="AG250">
            <v>0</v>
          </cell>
          <cell r="AH250">
            <v>0</v>
          </cell>
          <cell r="AI250">
            <v>0</v>
          </cell>
          <cell r="AJ250">
            <v>0</v>
          </cell>
          <cell r="AK250">
            <v>0</v>
          </cell>
          <cell r="AL250">
            <v>121765</v>
          </cell>
          <cell r="AM250">
            <v>30037</v>
          </cell>
          <cell r="AN250">
            <v>0</v>
          </cell>
          <cell r="AO250">
            <v>-171109</v>
          </cell>
          <cell r="AP250">
            <v>-136888</v>
          </cell>
          <cell r="AQ250">
            <v>-34223</v>
          </cell>
          <cell r="AR250">
            <v>0</v>
          </cell>
          <cell r="AS250">
            <v>-342220</v>
          </cell>
          <cell r="AT250">
            <v>-476904</v>
          </cell>
          <cell r="AU250">
            <v>-381523</v>
          </cell>
          <cell r="AV250">
            <v>-95381</v>
          </cell>
          <cell r="AW250">
            <v>0</v>
          </cell>
          <cell r="AX250">
            <v>-953808</v>
          </cell>
          <cell r="AY250">
            <v>26915195</v>
          </cell>
          <cell r="AZ250">
            <v>2276703</v>
          </cell>
          <cell r="BA250">
            <v>546754</v>
          </cell>
          <cell r="BB250">
            <v>3178888</v>
          </cell>
          <cell r="BC250">
            <v>58781</v>
          </cell>
          <cell r="BD250">
            <v>83111</v>
          </cell>
          <cell r="BE250">
            <v>4158</v>
          </cell>
          <cell r="BF250">
            <v>1019406</v>
          </cell>
          <cell r="BG250">
            <v>103742</v>
          </cell>
          <cell r="BH250">
            <v>108522</v>
          </cell>
          <cell r="BI250">
            <v>4705</v>
          </cell>
          <cell r="BJ250">
            <v>40134</v>
          </cell>
          <cell r="BK250">
            <v>20509</v>
          </cell>
          <cell r="BL250">
            <v>0</v>
          </cell>
          <cell r="BM250">
            <v>0</v>
          </cell>
          <cell r="BN250">
            <v>0</v>
          </cell>
          <cell r="BO250">
            <v>0</v>
          </cell>
          <cell r="BP250">
            <v>28097228</v>
          </cell>
          <cell r="BQ250">
            <v>37123</v>
          </cell>
          <cell r="BR250">
            <v>1074937</v>
          </cell>
          <cell r="BS250">
            <v>189769</v>
          </cell>
        </row>
        <row r="251">
          <cell r="A251">
            <v>244</v>
          </cell>
          <cell r="B251" t="str">
            <v>South Northamptonshire</v>
          </cell>
          <cell r="C251" t="str">
            <v>E2836</v>
          </cell>
          <cell r="D251">
            <v>107204</v>
          </cell>
          <cell r="G251">
            <v>10857</v>
          </cell>
          <cell r="H251">
            <v>0</v>
          </cell>
          <cell r="I251">
            <v>107204</v>
          </cell>
          <cell r="J251">
            <v>0</v>
          </cell>
          <cell r="K251">
            <v>0</v>
          </cell>
          <cell r="L251">
            <v>0</v>
          </cell>
          <cell r="M251">
            <v>0</v>
          </cell>
          <cell r="N251">
            <v>0</v>
          </cell>
          <cell r="O251">
            <v>0</v>
          </cell>
          <cell r="P251">
            <v>0</v>
          </cell>
          <cell r="Q251">
            <v>329047</v>
          </cell>
          <cell r="R251">
            <v>82262</v>
          </cell>
          <cell r="S251">
            <v>0</v>
          </cell>
          <cell r="T251">
            <v>0</v>
          </cell>
          <cell r="U251">
            <v>0</v>
          </cell>
          <cell r="V251">
            <v>0</v>
          </cell>
          <cell r="W251">
            <v>0</v>
          </cell>
          <cell r="X251">
            <v>0</v>
          </cell>
          <cell r="Y251">
            <v>0</v>
          </cell>
          <cell r="Z251">
            <v>3855.5312781316347</v>
          </cell>
          <cell r="AA251">
            <v>963.88281953290846</v>
          </cell>
          <cell r="AB251">
            <v>0</v>
          </cell>
          <cell r="AC251">
            <v>99651.277112526543</v>
          </cell>
          <cell r="AD251">
            <v>24912.819278131628</v>
          </cell>
          <cell r="AE251">
            <v>0</v>
          </cell>
          <cell r="AF251">
            <v>0</v>
          </cell>
          <cell r="AG251">
            <v>0</v>
          </cell>
          <cell r="AH251">
            <v>0</v>
          </cell>
          <cell r="AI251">
            <v>0</v>
          </cell>
          <cell r="AJ251">
            <v>0</v>
          </cell>
          <cell r="AK251">
            <v>0</v>
          </cell>
          <cell r="AL251">
            <v>89663</v>
          </cell>
          <cell r="AM251">
            <v>22131</v>
          </cell>
          <cell r="AN251">
            <v>0</v>
          </cell>
          <cell r="AO251">
            <v>-124523.67</v>
          </cell>
          <cell r="AP251">
            <v>-99617</v>
          </cell>
          <cell r="AQ251">
            <v>-24904</v>
          </cell>
          <cell r="AR251">
            <v>0</v>
          </cell>
          <cell r="AS251">
            <v>-249044.67</v>
          </cell>
          <cell r="AT251">
            <v>-336578</v>
          </cell>
          <cell r="AU251">
            <v>-269262</v>
          </cell>
          <cell r="AV251">
            <v>-67316</v>
          </cell>
          <cell r="AW251">
            <v>0</v>
          </cell>
          <cell r="AX251">
            <v>-673156</v>
          </cell>
          <cell r="AY251">
            <v>19092614</v>
          </cell>
          <cell r="AZ251">
            <v>1633361</v>
          </cell>
          <cell r="BA251">
            <v>371333</v>
          </cell>
          <cell r="BB251">
            <v>1442008</v>
          </cell>
          <cell r="BC251">
            <v>6048</v>
          </cell>
          <cell r="BD251">
            <v>61902</v>
          </cell>
          <cell r="BE251">
            <v>8476</v>
          </cell>
          <cell r="BF251">
            <v>798120</v>
          </cell>
          <cell r="BG251">
            <v>117781</v>
          </cell>
          <cell r="BH251">
            <v>136261</v>
          </cell>
          <cell r="BI251">
            <v>1512</v>
          </cell>
          <cell r="BJ251">
            <v>16716</v>
          </cell>
          <cell r="BK251">
            <v>3966</v>
          </cell>
          <cell r="BL251">
            <v>0</v>
          </cell>
          <cell r="BM251">
            <v>0</v>
          </cell>
          <cell r="BN251">
            <v>0</v>
          </cell>
          <cell r="BO251">
            <v>0</v>
          </cell>
          <cell r="BP251">
            <v>20239345</v>
          </cell>
          <cell r="BQ251">
            <v>146593</v>
          </cell>
          <cell r="BR251">
            <v>438470</v>
          </cell>
          <cell r="BS251">
            <v>397060</v>
          </cell>
        </row>
        <row r="252">
          <cell r="A252">
            <v>245</v>
          </cell>
          <cell r="B252" t="str">
            <v>South Oxfordshire</v>
          </cell>
          <cell r="C252" t="str">
            <v>E3133</v>
          </cell>
          <cell r="D252">
            <v>187208</v>
          </cell>
          <cell r="G252">
            <v>36459</v>
          </cell>
          <cell r="H252">
            <v>0</v>
          </cell>
          <cell r="I252">
            <v>187208</v>
          </cell>
          <cell r="J252">
            <v>0</v>
          </cell>
          <cell r="K252">
            <v>0</v>
          </cell>
          <cell r="L252">
            <v>0</v>
          </cell>
          <cell r="M252">
            <v>0</v>
          </cell>
          <cell r="N252">
            <v>0</v>
          </cell>
          <cell r="O252">
            <v>0</v>
          </cell>
          <cell r="P252">
            <v>0</v>
          </cell>
          <cell r="Q252">
            <v>472339</v>
          </cell>
          <cell r="R252">
            <v>118085</v>
          </cell>
          <cell r="S252">
            <v>0</v>
          </cell>
          <cell r="T252">
            <v>0</v>
          </cell>
          <cell r="U252">
            <v>0</v>
          </cell>
          <cell r="V252">
            <v>0</v>
          </cell>
          <cell r="W252">
            <v>0</v>
          </cell>
          <cell r="X252">
            <v>0</v>
          </cell>
          <cell r="Y252">
            <v>0</v>
          </cell>
          <cell r="Z252">
            <v>42850.106157112532</v>
          </cell>
          <cell r="AA252">
            <v>10712.526539278129</v>
          </cell>
          <cell r="AB252">
            <v>0</v>
          </cell>
          <cell r="AC252">
            <v>270239.23947346071</v>
          </cell>
          <cell r="AD252">
            <v>67559.809868365162</v>
          </cell>
          <cell r="AE252">
            <v>0</v>
          </cell>
          <cell r="AF252">
            <v>68979</v>
          </cell>
          <cell r="AG252">
            <v>0</v>
          </cell>
          <cell r="AH252">
            <v>0</v>
          </cell>
          <cell r="AI252">
            <v>34420</v>
          </cell>
          <cell r="AJ252">
            <v>8604.9</v>
          </cell>
          <cell r="AK252">
            <v>0</v>
          </cell>
          <cell r="AL252">
            <v>180913</v>
          </cell>
          <cell r="AM252">
            <v>44725</v>
          </cell>
          <cell r="AN252">
            <v>0</v>
          </cell>
          <cell r="AO252">
            <v>-418995</v>
          </cell>
          <cell r="AP252">
            <v>-335196</v>
          </cell>
          <cell r="AQ252">
            <v>-83799</v>
          </cell>
          <cell r="AR252">
            <v>0</v>
          </cell>
          <cell r="AS252">
            <v>-837990</v>
          </cell>
          <cell r="AT252">
            <v>-804259</v>
          </cell>
          <cell r="AU252">
            <v>-643408</v>
          </cell>
          <cell r="AV252">
            <v>-160853</v>
          </cell>
          <cell r="AW252">
            <v>0</v>
          </cell>
          <cell r="AX252">
            <v>-1608520</v>
          </cell>
          <cell r="AY252">
            <v>39800617</v>
          </cell>
          <cell r="AZ252">
            <v>2325349</v>
          </cell>
          <cell r="BA252">
            <v>818804</v>
          </cell>
          <cell r="BB252">
            <v>3714869</v>
          </cell>
          <cell r="BC252">
            <v>76327</v>
          </cell>
          <cell r="BD252">
            <v>43067</v>
          </cell>
          <cell r="BE252">
            <v>0</v>
          </cell>
          <cell r="BF252">
            <v>1524137</v>
          </cell>
          <cell r="BG252">
            <v>192283</v>
          </cell>
          <cell r="BH252">
            <v>16345</v>
          </cell>
          <cell r="BI252">
            <v>9541</v>
          </cell>
          <cell r="BJ252">
            <v>21531</v>
          </cell>
          <cell r="BK252">
            <v>0</v>
          </cell>
          <cell r="BL252">
            <v>0</v>
          </cell>
          <cell r="BM252">
            <v>0</v>
          </cell>
          <cell r="BN252">
            <v>0</v>
          </cell>
          <cell r="BO252">
            <v>0</v>
          </cell>
          <cell r="BP252">
            <v>41935195</v>
          </cell>
          <cell r="BQ252">
            <v>385246</v>
          </cell>
          <cell r="BR252">
            <v>1865335</v>
          </cell>
          <cell r="BS252">
            <v>794235</v>
          </cell>
        </row>
        <row r="253">
          <cell r="A253">
            <v>246</v>
          </cell>
          <cell r="B253" t="str">
            <v>South Ribble</v>
          </cell>
          <cell r="C253" t="str">
            <v>E2342</v>
          </cell>
          <cell r="D253">
            <v>124547</v>
          </cell>
          <cell r="G253">
            <v>30972</v>
          </cell>
          <cell r="H253">
            <v>0</v>
          </cell>
          <cell r="I253">
            <v>124547</v>
          </cell>
          <cell r="J253">
            <v>0</v>
          </cell>
          <cell r="K253">
            <v>0</v>
          </cell>
          <cell r="L253">
            <v>0</v>
          </cell>
          <cell r="M253">
            <v>0</v>
          </cell>
          <cell r="N253">
            <v>0</v>
          </cell>
          <cell r="O253">
            <v>0</v>
          </cell>
          <cell r="P253">
            <v>0</v>
          </cell>
          <cell r="Q253">
            <v>403898</v>
          </cell>
          <cell r="R253">
            <v>90877</v>
          </cell>
          <cell r="S253">
            <v>10097</v>
          </cell>
          <cell r="T253">
            <v>4042</v>
          </cell>
          <cell r="U253">
            <v>910</v>
          </cell>
          <cell r="V253">
            <v>101</v>
          </cell>
          <cell r="W253">
            <v>20212</v>
          </cell>
          <cell r="X253">
            <v>4548</v>
          </cell>
          <cell r="Y253">
            <v>505</v>
          </cell>
          <cell r="Z253">
            <v>10106.15711252654</v>
          </cell>
          <cell r="AA253">
            <v>2273.885350318471</v>
          </cell>
          <cell r="AB253">
            <v>252.65392781316348</v>
          </cell>
          <cell r="AC253">
            <v>303184.71337579621</v>
          </cell>
          <cell r="AD253">
            <v>68216.560509554125</v>
          </cell>
          <cell r="AE253">
            <v>7579.617834394905</v>
          </cell>
          <cell r="AF253">
            <v>0</v>
          </cell>
          <cell r="AG253">
            <v>0</v>
          </cell>
          <cell r="AH253">
            <v>0</v>
          </cell>
          <cell r="AI253">
            <v>0</v>
          </cell>
          <cell r="AJ253">
            <v>0</v>
          </cell>
          <cell r="AK253">
            <v>0</v>
          </cell>
          <cell r="AL253">
            <v>152027</v>
          </cell>
          <cell r="AM253">
            <v>33909</v>
          </cell>
          <cell r="AN253">
            <v>3768</v>
          </cell>
          <cell r="AO253">
            <v>-233665</v>
          </cell>
          <cell r="AP253">
            <v>-186930</v>
          </cell>
          <cell r="AQ253">
            <v>-42059</v>
          </cell>
          <cell r="AR253">
            <v>-4673</v>
          </cell>
          <cell r="AS253">
            <v>-467327</v>
          </cell>
          <cell r="AT253">
            <v>-1250000</v>
          </cell>
          <cell r="AU253">
            <v>-1000000</v>
          </cell>
          <cell r="AV253">
            <v>-225000</v>
          </cell>
          <cell r="AW253">
            <v>-25000</v>
          </cell>
          <cell r="AX253">
            <v>-2500000</v>
          </cell>
          <cell r="AY253">
            <v>32251065</v>
          </cell>
          <cell r="AZ253">
            <v>1967086</v>
          </cell>
          <cell r="BA253">
            <v>683013</v>
          </cell>
          <cell r="BB253">
            <v>1556194</v>
          </cell>
          <cell r="BC253">
            <v>45386</v>
          </cell>
          <cell r="BD253">
            <v>4851</v>
          </cell>
          <cell r="BE253">
            <v>13381</v>
          </cell>
          <cell r="BF253">
            <v>977219</v>
          </cell>
          <cell r="BG253">
            <v>106299</v>
          </cell>
          <cell r="BH253">
            <v>25959</v>
          </cell>
          <cell r="BI253">
            <v>429</v>
          </cell>
          <cell r="BJ253">
            <v>4851</v>
          </cell>
          <cell r="BK253">
            <v>0</v>
          </cell>
          <cell r="BL253">
            <v>0</v>
          </cell>
          <cell r="BM253">
            <v>0</v>
          </cell>
          <cell r="BN253">
            <v>0</v>
          </cell>
          <cell r="BO253">
            <v>0</v>
          </cell>
          <cell r="BP253">
            <v>35215212</v>
          </cell>
          <cell r="BQ253">
            <v>240062</v>
          </cell>
          <cell r="BR253">
            <v>1207245.94</v>
          </cell>
          <cell r="BS253">
            <v>323290</v>
          </cell>
        </row>
        <row r="254">
          <cell r="A254">
            <v>247</v>
          </cell>
          <cell r="B254" t="str">
            <v>South Somerset</v>
          </cell>
          <cell r="C254" t="str">
            <v>E3334</v>
          </cell>
          <cell r="D254">
            <v>224259</v>
          </cell>
          <cell r="G254">
            <v>130615</v>
          </cell>
          <cell r="H254">
            <v>0</v>
          </cell>
          <cell r="I254">
            <v>224259</v>
          </cell>
          <cell r="J254">
            <v>0</v>
          </cell>
          <cell r="K254">
            <v>40000</v>
          </cell>
          <cell r="L254">
            <v>0</v>
          </cell>
          <cell r="M254">
            <v>0</v>
          </cell>
          <cell r="N254">
            <v>0</v>
          </cell>
          <cell r="O254">
            <v>0</v>
          </cell>
          <cell r="P254">
            <v>0</v>
          </cell>
          <cell r="Q254">
            <v>702616</v>
          </cell>
          <cell r="R254">
            <v>158089</v>
          </cell>
          <cell r="S254">
            <v>17565</v>
          </cell>
          <cell r="T254">
            <v>11424</v>
          </cell>
          <cell r="U254">
            <v>2570</v>
          </cell>
          <cell r="V254">
            <v>286</v>
          </cell>
          <cell r="W254">
            <v>19477</v>
          </cell>
          <cell r="X254">
            <v>4382</v>
          </cell>
          <cell r="Y254">
            <v>487</v>
          </cell>
          <cell r="Z254">
            <v>28169.498089171975</v>
          </cell>
          <cell r="AA254">
            <v>6338.1370700636935</v>
          </cell>
          <cell r="AB254">
            <v>704.23745222929938</v>
          </cell>
          <cell r="AC254">
            <v>293188.91549893841</v>
          </cell>
          <cell r="AD254">
            <v>65967.505987261131</v>
          </cell>
          <cell r="AE254">
            <v>7329.7228874734601</v>
          </cell>
          <cell r="AF254">
            <v>0</v>
          </cell>
          <cell r="AG254">
            <v>0</v>
          </cell>
          <cell r="AH254">
            <v>0</v>
          </cell>
          <cell r="AI254">
            <v>7293</v>
          </cell>
          <cell r="AJ254">
            <v>1640.8799999999999</v>
          </cell>
          <cell r="AK254">
            <v>182.32</v>
          </cell>
          <cell r="AL254">
            <v>184340</v>
          </cell>
          <cell r="AM254">
            <v>40845</v>
          </cell>
          <cell r="AN254">
            <v>4538</v>
          </cell>
          <cell r="AO254">
            <v>-482700</v>
          </cell>
          <cell r="AP254">
            <v>-386160</v>
          </cell>
          <cell r="AQ254">
            <v>-86886</v>
          </cell>
          <cell r="AR254">
            <v>-9654</v>
          </cell>
          <cell r="AS254">
            <v>-965400</v>
          </cell>
          <cell r="AT254">
            <v>-1188033</v>
          </cell>
          <cell r="AU254">
            <v>-950426</v>
          </cell>
          <cell r="AV254">
            <v>-213845</v>
          </cell>
          <cell r="AW254">
            <v>-23760</v>
          </cell>
          <cell r="AX254">
            <v>-2376064</v>
          </cell>
          <cell r="AY254">
            <v>39637928</v>
          </cell>
          <cell r="AZ254">
            <v>3458542</v>
          </cell>
          <cell r="BA254">
            <v>799252</v>
          </cell>
          <cell r="BB254">
            <v>3122129</v>
          </cell>
          <cell r="BC254">
            <v>26969</v>
          </cell>
          <cell r="BD254">
            <v>89752</v>
          </cell>
          <cell r="BE254">
            <v>22832</v>
          </cell>
          <cell r="BF254">
            <v>1509703</v>
          </cell>
          <cell r="BG254">
            <v>152159</v>
          </cell>
          <cell r="BH254">
            <v>134086</v>
          </cell>
          <cell r="BI254">
            <v>3709</v>
          </cell>
          <cell r="BJ254">
            <v>37720</v>
          </cell>
          <cell r="BK254">
            <v>44888</v>
          </cell>
          <cell r="BL254">
            <v>0</v>
          </cell>
          <cell r="BM254">
            <v>0</v>
          </cell>
          <cell r="BN254">
            <v>0</v>
          </cell>
          <cell r="BO254">
            <v>0</v>
          </cell>
          <cell r="BP254">
            <v>42677414</v>
          </cell>
          <cell r="BQ254">
            <v>115927</v>
          </cell>
          <cell r="BR254">
            <v>2892041</v>
          </cell>
          <cell r="BS254">
            <v>509587</v>
          </cell>
        </row>
        <row r="255">
          <cell r="A255">
            <v>248</v>
          </cell>
          <cell r="B255" t="str">
            <v>South Staffordshire</v>
          </cell>
          <cell r="C255" t="str">
            <v>E3435</v>
          </cell>
          <cell r="D255">
            <v>103969</v>
          </cell>
          <cell r="E255">
            <v>0</v>
          </cell>
          <cell r="G255">
            <v>82539</v>
          </cell>
          <cell r="H255">
            <v>0</v>
          </cell>
          <cell r="I255">
            <v>103969</v>
          </cell>
          <cell r="J255">
            <v>933668</v>
          </cell>
          <cell r="K255">
            <v>0</v>
          </cell>
          <cell r="L255">
            <v>0</v>
          </cell>
          <cell r="M255">
            <v>108070</v>
          </cell>
          <cell r="N255">
            <v>108070</v>
          </cell>
          <cell r="O255">
            <v>0</v>
          </cell>
          <cell r="P255">
            <v>0</v>
          </cell>
          <cell r="Q255">
            <v>387664</v>
          </cell>
          <cell r="R255">
            <v>87224</v>
          </cell>
          <cell r="S255">
            <v>9692</v>
          </cell>
          <cell r="T255">
            <v>0</v>
          </cell>
          <cell r="U255">
            <v>0</v>
          </cell>
          <cell r="V255">
            <v>0</v>
          </cell>
          <cell r="W255">
            <v>0</v>
          </cell>
          <cell r="X255">
            <v>0</v>
          </cell>
          <cell r="Y255">
            <v>0</v>
          </cell>
          <cell r="Z255">
            <v>1616.9851380042464</v>
          </cell>
          <cell r="AA255">
            <v>363.82165605095531</v>
          </cell>
          <cell r="AB255">
            <v>40.424628450106155</v>
          </cell>
          <cell r="AC255">
            <v>139982.40339702761</v>
          </cell>
          <cell r="AD255">
            <v>31496.040764331203</v>
          </cell>
          <cell r="AE255">
            <v>3499.5600849256898</v>
          </cell>
          <cell r="AF255">
            <v>0</v>
          </cell>
          <cell r="AG255">
            <v>0</v>
          </cell>
          <cell r="AH255">
            <v>0</v>
          </cell>
          <cell r="AI255">
            <v>0</v>
          </cell>
          <cell r="AJ255">
            <v>0</v>
          </cell>
          <cell r="AK255">
            <v>0</v>
          </cell>
          <cell r="AL255">
            <v>99994</v>
          </cell>
          <cell r="AM255">
            <v>19762</v>
          </cell>
          <cell r="AN255">
            <v>2196</v>
          </cell>
          <cell r="AO255">
            <v>-220500</v>
          </cell>
          <cell r="AP255">
            <v>-176400</v>
          </cell>
          <cell r="AQ255">
            <v>-39690</v>
          </cell>
          <cell r="AR255">
            <v>-4410</v>
          </cell>
          <cell r="AS255">
            <v>-441000</v>
          </cell>
          <cell r="AT255">
            <v>-636960</v>
          </cell>
          <cell r="AU255">
            <v>-509568</v>
          </cell>
          <cell r="AV255">
            <v>-114653</v>
          </cell>
          <cell r="AW255">
            <v>-12739</v>
          </cell>
          <cell r="AX255">
            <v>-1273920</v>
          </cell>
          <cell r="AY255">
            <v>19149020</v>
          </cell>
          <cell r="AZ255">
            <v>1885067</v>
          </cell>
          <cell r="BA255">
            <v>386827</v>
          </cell>
          <cell r="BB255">
            <v>486284</v>
          </cell>
          <cell r="BC255">
            <v>20234</v>
          </cell>
          <cell r="BD255">
            <v>10230</v>
          </cell>
          <cell r="BE255">
            <v>173446</v>
          </cell>
          <cell r="BF255">
            <v>558676</v>
          </cell>
          <cell r="BG255">
            <v>34818</v>
          </cell>
          <cell r="BH255">
            <v>222001</v>
          </cell>
          <cell r="BI255">
            <v>4022.33</v>
          </cell>
          <cell r="BJ255">
            <v>5425.89</v>
          </cell>
          <cell r="BK255">
            <v>0</v>
          </cell>
          <cell r="BL255">
            <v>54035.33</v>
          </cell>
          <cell r="BM255">
            <v>54035.33</v>
          </cell>
          <cell r="BN255">
            <v>54035</v>
          </cell>
          <cell r="BO255">
            <v>0</v>
          </cell>
          <cell r="BP255">
            <v>21246140</v>
          </cell>
          <cell r="BQ255">
            <v>278807</v>
          </cell>
          <cell r="BR255">
            <v>860655</v>
          </cell>
          <cell r="BS255">
            <v>170766</v>
          </cell>
        </row>
        <row r="256">
          <cell r="A256">
            <v>249</v>
          </cell>
          <cell r="B256" t="str">
            <v>South Tyneside</v>
          </cell>
          <cell r="C256" t="str">
            <v>E4504</v>
          </cell>
          <cell r="D256">
            <v>150815</v>
          </cell>
          <cell r="G256">
            <v>55242</v>
          </cell>
          <cell r="H256">
            <v>0</v>
          </cell>
          <cell r="I256">
            <v>150815</v>
          </cell>
          <cell r="J256">
            <v>0</v>
          </cell>
          <cell r="K256">
            <v>0</v>
          </cell>
          <cell r="L256">
            <v>0</v>
          </cell>
          <cell r="M256">
            <v>0</v>
          </cell>
          <cell r="N256">
            <v>0</v>
          </cell>
          <cell r="O256">
            <v>0</v>
          </cell>
          <cell r="P256">
            <v>0</v>
          </cell>
          <cell r="Q256">
            <v>584718</v>
          </cell>
          <cell r="R256">
            <v>0</v>
          </cell>
          <cell r="S256">
            <v>11933</v>
          </cell>
          <cell r="T256">
            <v>0</v>
          </cell>
          <cell r="U256">
            <v>0</v>
          </cell>
          <cell r="V256">
            <v>0</v>
          </cell>
          <cell r="W256">
            <v>0</v>
          </cell>
          <cell r="X256">
            <v>0</v>
          </cell>
          <cell r="Y256">
            <v>0</v>
          </cell>
          <cell r="Z256">
            <v>24760.084925690018</v>
          </cell>
          <cell r="AA256">
            <v>4.3828469987524422E-13</v>
          </cell>
          <cell r="AB256">
            <v>505.30785562632695</v>
          </cell>
          <cell r="AC256">
            <v>272360.93418259022</v>
          </cell>
          <cell r="AD256">
            <v>4.821131698627687E-12</v>
          </cell>
          <cell r="AE256">
            <v>5558.3864118895972</v>
          </cell>
          <cell r="AF256">
            <v>0</v>
          </cell>
          <cell r="AG256">
            <v>0</v>
          </cell>
          <cell r="AH256">
            <v>0</v>
          </cell>
          <cell r="AI256">
            <v>0</v>
          </cell>
          <cell r="AJ256">
            <v>0</v>
          </cell>
          <cell r="AK256">
            <v>0</v>
          </cell>
          <cell r="AL256">
            <v>157411</v>
          </cell>
          <cell r="AM256">
            <v>0</v>
          </cell>
          <cell r="AN256">
            <v>3180</v>
          </cell>
          <cell r="AO256">
            <v>-281544.93</v>
          </cell>
          <cell r="AP256">
            <v>-275914</v>
          </cell>
          <cell r="AQ256">
            <v>0</v>
          </cell>
          <cell r="AR256">
            <v>-5630</v>
          </cell>
          <cell r="AS256">
            <v>-563088.93000000005</v>
          </cell>
          <cell r="AT256">
            <v>-340339</v>
          </cell>
          <cell r="AU256">
            <v>-333531</v>
          </cell>
          <cell r="AV256">
            <v>0</v>
          </cell>
          <cell r="AW256">
            <v>-6807</v>
          </cell>
          <cell r="AX256">
            <v>-680677</v>
          </cell>
          <cell r="AY256">
            <v>28111378</v>
          </cell>
          <cell r="AZ256">
            <v>2354629</v>
          </cell>
          <cell r="BA256">
            <v>601167</v>
          </cell>
          <cell r="BB256">
            <v>1847611</v>
          </cell>
          <cell r="BC256">
            <v>45769</v>
          </cell>
          <cell r="BD256">
            <v>0</v>
          </cell>
          <cell r="BE256">
            <v>22243</v>
          </cell>
          <cell r="BF256">
            <v>1356475</v>
          </cell>
          <cell r="BG256">
            <v>295731</v>
          </cell>
          <cell r="BH256">
            <v>272340</v>
          </cell>
          <cell r="BI256">
            <v>331</v>
          </cell>
          <cell r="BJ256">
            <v>0</v>
          </cell>
          <cell r="BK256">
            <v>0</v>
          </cell>
          <cell r="BL256">
            <v>0</v>
          </cell>
          <cell r="BM256">
            <v>0</v>
          </cell>
          <cell r="BN256">
            <v>0</v>
          </cell>
          <cell r="BO256">
            <v>0</v>
          </cell>
          <cell r="BP256">
            <v>29627722</v>
          </cell>
          <cell r="BQ256">
            <v>252895.98</v>
          </cell>
          <cell r="BR256">
            <v>1198609</v>
          </cell>
          <cell r="BS256">
            <v>474554</v>
          </cell>
        </row>
        <row r="257">
          <cell r="A257">
            <v>250</v>
          </cell>
          <cell r="B257" t="str">
            <v>Southampton</v>
          </cell>
          <cell r="C257" t="str">
            <v>E1702</v>
          </cell>
          <cell r="D257">
            <v>317986</v>
          </cell>
          <cell r="G257">
            <v>-201031</v>
          </cell>
          <cell r="H257">
            <v>0</v>
          </cell>
          <cell r="I257">
            <v>317986</v>
          </cell>
          <cell r="J257">
            <v>0</v>
          </cell>
          <cell r="K257">
            <v>0</v>
          </cell>
          <cell r="L257">
            <v>0</v>
          </cell>
          <cell r="M257">
            <v>0</v>
          </cell>
          <cell r="N257">
            <v>0</v>
          </cell>
          <cell r="O257">
            <v>0</v>
          </cell>
          <cell r="P257">
            <v>0</v>
          </cell>
          <cell r="Q257">
            <v>781312</v>
          </cell>
          <cell r="R257">
            <v>0</v>
          </cell>
          <cell r="S257">
            <v>15945</v>
          </cell>
          <cell r="T257">
            <v>0</v>
          </cell>
          <cell r="U257">
            <v>0</v>
          </cell>
          <cell r="V257">
            <v>0</v>
          </cell>
          <cell r="W257">
            <v>0</v>
          </cell>
          <cell r="X257">
            <v>0</v>
          </cell>
          <cell r="Y257">
            <v>0</v>
          </cell>
          <cell r="Z257">
            <v>148560.50955414012</v>
          </cell>
          <cell r="AA257">
            <v>2.6297081992514652E-12</v>
          </cell>
          <cell r="AB257">
            <v>3031.8471337579617</v>
          </cell>
          <cell r="AC257">
            <v>544721.86836518045</v>
          </cell>
          <cell r="AD257">
            <v>9.642263397255374E-12</v>
          </cell>
          <cell r="AE257">
            <v>11116.772823779194</v>
          </cell>
          <cell r="AF257">
            <v>15796</v>
          </cell>
          <cell r="AG257">
            <v>0</v>
          </cell>
          <cell r="AH257">
            <v>0</v>
          </cell>
          <cell r="AI257">
            <v>9806</v>
          </cell>
          <cell r="AJ257">
            <v>1.7357643100623932E-13</v>
          </cell>
          <cell r="AK257">
            <v>200.12</v>
          </cell>
          <cell r="AL257">
            <v>487050</v>
          </cell>
          <cell r="AM257">
            <v>0</v>
          </cell>
          <cell r="AN257">
            <v>9871</v>
          </cell>
          <cell r="AO257">
            <v>-623827</v>
          </cell>
          <cell r="AP257">
            <v>-611350.46</v>
          </cell>
          <cell r="AQ257">
            <v>0</v>
          </cell>
          <cell r="AR257">
            <v>-12476.54</v>
          </cell>
          <cell r="AS257">
            <v>-1247654</v>
          </cell>
          <cell r="AT257">
            <v>-7572622</v>
          </cell>
          <cell r="AU257">
            <v>-7421170</v>
          </cell>
          <cell r="AV257">
            <v>0</v>
          </cell>
          <cell r="AW257">
            <v>-151453</v>
          </cell>
          <cell r="AX257">
            <v>-15145245</v>
          </cell>
          <cell r="AY257">
            <v>83288779</v>
          </cell>
          <cell r="AZ257">
            <v>3138526</v>
          </cell>
          <cell r="BA257">
            <v>2060440</v>
          </cell>
          <cell r="BB257">
            <v>7909370</v>
          </cell>
          <cell r="BC257">
            <v>49544</v>
          </cell>
          <cell r="BD257">
            <v>0</v>
          </cell>
          <cell r="BE257">
            <v>137201</v>
          </cell>
          <cell r="BF257">
            <v>4101821</v>
          </cell>
          <cell r="BG257">
            <v>0</v>
          </cell>
          <cell r="BH257">
            <v>81321</v>
          </cell>
          <cell r="BI257">
            <v>0</v>
          </cell>
          <cell r="BJ257">
            <v>0</v>
          </cell>
          <cell r="BK257">
            <v>0</v>
          </cell>
          <cell r="BL257">
            <v>0</v>
          </cell>
          <cell r="BM257">
            <v>0</v>
          </cell>
          <cell r="BN257">
            <v>0</v>
          </cell>
          <cell r="BO257">
            <v>0</v>
          </cell>
          <cell r="BP257">
            <v>100875135</v>
          </cell>
          <cell r="BQ257">
            <v>1192050</v>
          </cell>
          <cell r="BR257">
            <v>3773664</v>
          </cell>
          <cell r="BS257">
            <v>2962557</v>
          </cell>
        </row>
        <row r="258">
          <cell r="A258">
            <v>251</v>
          </cell>
          <cell r="B258" t="str">
            <v>Southend-on-Sea</v>
          </cell>
          <cell r="C258" t="str">
            <v>E1501</v>
          </cell>
          <cell r="D258">
            <v>239791</v>
          </cell>
          <cell r="G258">
            <v>46566</v>
          </cell>
          <cell r="H258">
            <v>0</v>
          </cell>
          <cell r="I258">
            <v>239791</v>
          </cell>
          <cell r="J258">
            <v>0</v>
          </cell>
          <cell r="K258">
            <v>0</v>
          </cell>
          <cell r="L258">
            <v>0</v>
          </cell>
          <cell r="M258">
            <v>0</v>
          </cell>
          <cell r="N258">
            <v>0</v>
          </cell>
          <cell r="O258">
            <v>0</v>
          </cell>
          <cell r="P258">
            <v>0</v>
          </cell>
          <cell r="Q258">
            <v>1138156</v>
          </cell>
          <cell r="R258">
            <v>0</v>
          </cell>
          <cell r="S258">
            <v>23228</v>
          </cell>
          <cell r="T258">
            <v>5571</v>
          </cell>
          <cell r="U258">
            <v>0</v>
          </cell>
          <cell r="V258">
            <v>114</v>
          </cell>
          <cell r="W258">
            <v>35803</v>
          </cell>
          <cell r="X258">
            <v>0</v>
          </cell>
          <cell r="Y258">
            <v>731</v>
          </cell>
          <cell r="Z258">
            <v>49520.169851380037</v>
          </cell>
          <cell r="AA258">
            <v>8.7656939975048845E-13</v>
          </cell>
          <cell r="AB258">
            <v>1010.6157112526539</v>
          </cell>
          <cell r="AC258">
            <v>643762.20806794055</v>
          </cell>
          <cell r="AD258">
            <v>1.139540219675635E-11</v>
          </cell>
          <cell r="AE258">
            <v>13138.004246284501</v>
          </cell>
          <cell r="AF258">
            <v>0</v>
          </cell>
          <cell r="AG258">
            <v>0</v>
          </cell>
          <cell r="AH258">
            <v>0</v>
          </cell>
          <cell r="AI258">
            <v>0</v>
          </cell>
          <cell r="AJ258">
            <v>0</v>
          </cell>
          <cell r="AK258">
            <v>0</v>
          </cell>
          <cell r="AL258">
            <v>239121</v>
          </cell>
          <cell r="AM258">
            <v>0</v>
          </cell>
          <cell r="AN258">
            <v>4826</v>
          </cell>
          <cell r="AO258">
            <v>-426311.6</v>
          </cell>
          <cell r="AP258">
            <v>-417785</v>
          </cell>
          <cell r="AQ258">
            <v>0</v>
          </cell>
          <cell r="AR258">
            <v>-8526</v>
          </cell>
          <cell r="AS258">
            <v>-852622.6</v>
          </cell>
          <cell r="AT258">
            <v>-741765.28</v>
          </cell>
          <cell r="AU258">
            <v>-726930</v>
          </cell>
          <cell r="AV258">
            <v>0</v>
          </cell>
          <cell r="AW258">
            <v>-14835</v>
          </cell>
          <cell r="AX258">
            <v>-1483530.2799999998</v>
          </cell>
          <cell r="AY258">
            <v>43419830</v>
          </cell>
          <cell r="AZ258">
            <v>4546703.29</v>
          </cell>
          <cell r="BA258">
            <v>863103.55</v>
          </cell>
          <cell r="BB258">
            <v>3449036.35</v>
          </cell>
          <cell r="BC258">
            <v>40636</v>
          </cell>
          <cell r="BD258">
            <v>0</v>
          </cell>
          <cell r="BE258">
            <v>9218.2199999999993</v>
          </cell>
          <cell r="BF258">
            <v>1609184.11</v>
          </cell>
          <cell r="BG258">
            <v>69916.45</v>
          </cell>
          <cell r="BH258">
            <v>847.37</v>
          </cell>
          <cell r="BI258">
            <v>3626.7</v>
          </cell>
          <cell r="BJ258">
            <v>0</v>
          </cell>
          <cell r="BK258">
            <v>0</v>
          </cell>
          <cell r="BL258">
            <v>0</v>
          </cell>
          <cell r="BM258">
            <v>0</v>
          </cell>
          <cell r="BN258">
            <v>0</v>
          </cell>
          <cell r="BO258">
            <v>0</v>
          </cell>
          <cell r="BP258">
            <v>46247279</v>
          </cell>
          <cell r="BQ258">
            <v>763429.05</v>
          </cell>
          <cell r="BR258">
            <v>1877684</v>
          </cell>
          <cell r="BS258">
            <v>747776.94</v>
          </cell>
        </row>
        <row r="259">
          <cell r="A259">
            <v>252</v>
          </cell>
          <cell r="B259" t="str">
            <v>Southwark</v>
          </cell>
          <cell r="C259" t="str">
            <v>E5019</v>
          </cell>
          <cell r="D259">
            <v>654521</v>
          </cell>
          <cell r="G259">
            <v>229920</v>
          </cell>
          <cell r="H259">
            <v>0</v>
          </cell>
          <cell r="I259">
            <v>654521</v>
          </cell>
          <cell r="J259">
            <v>0</v>
          </cell>
          <cell r="K259">
            <v>0</v>
          </cell>
          <cell r="L259">
            <v>0</v>
          </cell>
          <cell r="M259">
            <v>0</v>
          </cell>
          <cell r="N259">
            <v>0</v>
          </cell>
          <cell r="O259">
            <v>0</v>
          </cell>
          <cell r="P259">
            <v>0</v>
          </cell>
          <cell r="Q259">
            <v>787258</v>
          </cell>
          <cell r="R259">
            <v>524839</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660587</v>
          </cell>
          <cell r="AM259">
            <v>435759</v>
          </cell>
          <cell r="AN259">
            <v>0</v>
          </cell>
          <cell r="AO259">
            <v>-2059599.33</v>
          </cell>
          <cell r="AP259">
            <v>-1235760</v>
          </cell>
          <cell r="AQ259">
            <v>-823840</v>
          </cell>
          <cell r="AR259">
            <v>0</v>
          </cell>
          <cell r="AS259">
            <v>-4119199.33</v>
          </cell>
          <cell r="AT259">
            <v>-19469641.640000001</v>
          </cell>
          <cell r="AU259">
            <v>-11681785</v>
          </cell>
          <cell r="AV259">
            <v>-7787856</v>
          </cell>
          <cell r="AW259">
            <v>0</v>
          </cell>
          <cell r="AX259">
            <v>-38939282.640000001</v>
          </cell>
          <cell r="AY259">
            <v>154290798</v>
          </cell>
          <cell r="AZ259">
            <v>5173509</v>
          </cell>
          <cell r="BA259">
            <v>4090419</v>
          </cell>
          <cell r="BB259">
            <v>23290702</v>
          </cell>
          <cell r="BC259">
            <v>51865</v>
          </cell>
          <cell r="BD259">
            <v>0</v>
          </cell>
          <cell r="BE259">
            <v>237883</v>
          </cell>
          <cell r="BF259">
            <v>7147940</v>
          </cell>
          <cell r="BG259">
            <v>373660</v>
          </cell>
          <cell r="BH259">
            <v>45916</v>
          </cell>
          <cell r="BI259">
            <v>0</v>
          </cell>
          <cell r="BJ259">
            <v>0</v>
          </cell>
          <cell r="BK259">
            <v>0</v>
          </cell>
          <cell r="BL259">
            <v>0</v>
          </cell>
          <cell r="BM259">
            <v>0</v>
          </cell>
          <cell r="BN259">
            <v>0</v>
          </cell>
          <cell r="BO259">
            <v>0</v>
          </cell>
          <cell r="BP259">
            <v>197495771</v>
          </cell>
          <cell r="BQ259">
            <v>2141252</v>
          </cell>
          <cell r="BR259">
            <v>7930613</v>
          </cell>
          <cell r="BS259">
            <v>-9279933</v>
          </cell>
        </row>
        <row r="260">
          <cell r="A260">
            <v>253</v>
          </cell>
          <cell r="B260" t="str">
            <v>Spelthorne</v>
          </cell>
          <cell r="C260" t="str">
            <v>E3637</v>
          </cell>
          <cell r="D260">
            <v>130309</v>
          </cell>
          <cell r="G260">
            <v>157590</v>
          </cell>
          <cell r="H260">
            <v>0</v>
          </cell>
          <cell r="I260">
            <v>130309</v>
          </cell>
          <cell r="J260">
            <v>0</v>
          </cell>
          <cell r="K260">
            <v>0</v>
          </cell>
          <cell r="L260">
            <v>0</v>
          </cell>
          <cell r="M260">
            <v>0</v>
          </cell>
          <cell r="N260">
            <v>0</v>
          </cell>
          <cell r="O260">
            <v>0</v>
          </cell>
          <cell r="P260">
            <v>0</v>
          </cell>
          <cell r="Q260">
            <v>237894</v>
          </cell>
          <cell r="R260">
            <v>59473</v>
          </cell>
          <cell r="S260">
            <v>0</v>
          </cell>
          <cell r="T260">
            <v>0</v>
          </cell>
          <cell r="U260">
            <v>0</v>
          </cell>
          <cell r="V260">
            <v>0</v>
          </cell>
          <cell r="W260">
            <v>20212</v>
          </cell>
          <cell r="X260">
            <v>5053</v>
          </cell>
          <cell r="Y260">
            <v>0</v>
          </cell>
          <cell r="Z260">
            <v>8183.5617834394907</v>
          </cell>
          <cell r="AA260">
            <v>2045.890445859872</v>
          </cell>
          <cell r="AB260">
            <v>0</v>
          </cell>
          <cell r="AC260">
            <v>197874.51380042464</v>
          </cell>
          <cell r="AD260">
            <v>49468.628450106145</v>
          </cell>
          <cell r="AE260">
            <v>0</v>
          </cell>
          <cell r="AF260">
            <v>52847</v>
          </cell>
          <cell r="AG260">
            <v>0</v>
          </cell>
          <cell r="AH260">
            <v>0</v>
          </cell>
          <cell r="AI260">
            <v>60227</v>
          </cell>
          <cell r="AJ260">
            <v>15056.799999999997</v>
          </cell>
          <cell r="AK260">
            <v>0</v>
          </cell>
          <cell r="AL260">
            <v>180840</v>
          </cell>
          <cell r="AM260">
            <v>44864</v>
          </cell>
          <cell r="AN260">
            <v>0</v>
          </cell>
          <cell r="AO260">
            <v>-137450</v>
          </cell>
          <cell r="AP260">
            <v>-109960</v>
          </cell>
          <cell r="AQ260">
            <v>-27490</v>
          </cell>
          <cell r="AR260">
            <v>0</v>
          </cell>
          <cell r="AS260">
            <v>-274900</v>
          </cell>
          <cell r="AT260">
            <v>-1309173</v>
          </cell>
          <cell r="AU260">
            <v>-1047338</v>
          </cell>
          <cell r="AV260">
            <v>-261834</v>
          </cell>
          <cell r="AW260">
            <v>0</v>
          </cell>
          <cell r="AX260">
            <v>-2618345</v>
          </cell>
          <cell r="AY260">
            <v>37718900</v>
          </cell>
          <cell r="AZ260">
            <v>1154639</v>
          </cell>
          <cell r="BA260">
            <v>816865</v>
          </cell>
          <cell r="BB260">
            <v>1673650</v>
          </cell>
          <cell r="BC260">
            <v>28260</v>
          </cell>
          <cell r="BD260">
            <v>0</v>
          </cell>
          <cell r="BE260">
            <v>39132</v>
          </cell>
          <cell r="BF260">
            <v>2289417</v>
          </cell>
          <cell r="BG260">
            <v>52702</v>
          </cell>
          <cell r="BH260">
            <v>41163</v>
          </cell>
          <cell r="BI260">
            <v>6453</v>
          </cell>
          <cell r="BJ260">
            <v>0</v>
          </cell>
          <cell r="BK260">
            <v>0</v>
          </cell>
          <cell r="BL260">
            <v>0</v>
          </cell>
          <cell r="BM260">
            <v>0</v>
          </cell>
          <cell r="BN260">
            <v>0</v>
          </cell>
          <cell r="BO260">
            <v>0</v>
          </cell>
          <cell r="BP260">
            <v>40455294</v>
          </cell>
          <cell r="BQ260">
            <v>172365</v>
          </cell>
          <cell r="BR260">
            <v>817103</v>
          </cell>
          <cell r="BS260">
            <v>942205</v>
          </cell>
        </row>
        <row r="261">
          <cell r="A261">
            <v>254</v>
          </cell>
          <cell r="B261" t="str">
            <v>St Albans</v>
          </cell>
          <cell r="C261" t="str">
            <v>E1936</v>
          </cell>
          <cell r="D261">
            <v>197300</v>
          </cell>
          <cell r="G261">
            <v>89165</v>
          </cell>
          <cell r="H261">
            <v>0</v>
          </cell>
          <cell r="I261">
            <v>197300</v>
          </cell>
          <cell r="J261">
            <v>0</v>
          </cell>
          <cell r="K261">
            <v>0</v>
          </cell>
          <cell r="L261">
            <v>0</v>
          </cell>
          <cell r="M261">
            <v>0</v>
          </cell>
          <cell r="N261">
            <v>0</v>
          </cell>
          <cell r="O261">
            <v>0</v>
          </cell>
          <cell r="P261">
            <v>0</v>
          </cell>
          <cell r="Q261">
            <v>275530</v>
          </cell>
          <cell r="R261">
            <v>68883</v>
          </cell>
          <cell r="S261">
            <v>0</v>
          </cell>
          <cell r="T261">
            <v>48510</v>
          </cell>
          <cell r="U261">
            <v>12127</v>
          </cell>
          <cell r="V261">
            <v>0</v>
          </cell>
          <cell r="W261">
            <v>0</v>
          </cell>
          <cell r="X261">
            <v>0</v>
          </cell>
          <cell r="Y261">
            <v>0</v>
          </cell>
          <cell r="Z261">
            <v>34360.934182590237</v>
          </cell>
          <cell r="AA261">
            <v>8590.2335456475575</v>
          </cell>
          <cell r="AB261">
            <v>0</v>
          </cell>
          <cell r="AC261">
            <v>368672.61146496818</v>
          </cell>
          <cell r="AD261">
            <v>92168.152866242017</v>
          </cell>
          <cell r="AE261">
            <v>0</v>
          </cell>
          <cell r="AF261">
            <v>0</v>
          </cell>
          <cell r="AG261">
            <v>0</v>
          </cell>
          <cell r="AH261">
            <v>0</v>
          </cell>
          <cell r="AI261">
            <v>0</v>
          </cell>
          <cell r="AJ261">
            <v>0</v>
          </cell>
          <cell r="AK261">
            <v>0</v>
          </cell>
          <cell r="AL261">
            <v>265822</v>
          </cell>
          <cell r="AM261">
            <v>65932</v>
          </cell>
          <cell r="AN261">
            <v>0</v>
          </cell>
          <cell r="AO261">
            <v>-107000</v>
          </cell>
          <cell r="AP261">
            <v>-85600</v>
          </cell>
          <cell r="AQ261">
            <v>-21400</v>
          </cell>
          <cell r="AR261">
            <v>0</v>
          </cell>
          <cell r="AS261">
            <v>-214000</v>
          </cell>
          <cell r="AT261">
            <v>-1038014.86</v>
          </cell>
          <cell r="AU261">
            <v>-830412</v>
          </cell>
          <cell r="AV261">
            <v>-207604</v>
          </cell>
          <cell r="AW261">
            <v>0</v>
          </cell>
          <cell r="AX261">
            <v>-2076030.86</v>
          </cell>
          <cell r="AY261">
            <v>58168167</v>
          </cell>
          <cell r="AZ261">
            <v>1481017.03</v>
          </cell>
          <cell r="BA261">
            <v>1241703.57</v>
          </cell>
          <cell r="BB261">
            <v>4900947.75</v>
          </cell>
          <cell r="BC261">
            <v>132535.51999999999</v>
          </cell>
          <cell r="BD261">
            <v>0</v>
          </cell>
          <cell r="BE261">
            <v>124591.97</v>
          </cell>
          <cell r="BF261">
            <v>660773</v>
          </cell>
          <cell r="BG261">
            <v>123597.82</v>
          </cell>
          <cell r="BH261">
            <v>20109.21</v>
          </cell>
          <cell r="BI261">
            <v>1106.8499999999999</v>
          </cell>
          <cell r="BJ261">
            <v>0</v>
          </cell>
          <cell r="BK261">
            <v>0</v>
          </cell>
          <cell r="BL261">
            <v>0</v>
          </cell>
          <cell r="BM261">
            <v>0</v>
          </cell>
          <cell r="BN261">
            <v>0</v>
          </cell>
          <cell r="BO261">
            <v>0</v>
          </cell>
          <cell r="BP261">
            <v>60863921</v>
          </cell>
          <cell r="BQ261">
            <v>73414</v>
          </cell>
          <cell r="BR261">
            <v>2330975</v>
          </cell>
          <cell r="BS261">
            <v>562391</v>
          </cell>
        </row>
        <row r="262">
          <cell r="A262">
            <v>255</v>
          </cell>
          <cell r="B262" t="str">
            <v>St Edmundsbury</v>
          </cell>
          <cell r="C262" t="str">
            <v>E3535</v>
          </cell>
          <cell r="D262">
            <v>162652</v>
          </cell>
          <cell r="G262">
            <v>30020</v>
          </cell>
          <cell r="H262">
            <v>0</v>
          </cell>
          <cell r="I262">
            <v>162652</v>
          </cell>
          <cell r="J262">
            <v>0</v>
          </cell>
          <cell r="K262">
            <v>118927</v>
          </cell>
          <cell r="L262">
            <v>0</v>
          </cell>
          <cell r="M262">
            <v>0</v>
          </cell>
          <cell r="N262">
            <v>0</v>
          </cell>
          <cell r="O262">
            <v>0</v>
          </cell>
          <cell r="P262">
            <v>0</v>
          </cell>
          <cell r="Q262">
            <v>381144</v>
          </cell>
          <cell r="R262">
            <v>95286</v>
          </cell>
          <cell r="S262">
            <v>0</v>
          </cell>
          <cell r="T262">
            <v>0</v>
          </cell>
          <cell r="U262">
            <v>0</v>
          </cell>
          <cell r="V262">
            <v>0</v>
          </cell>
          <cell r="W262">
            <v>0</v>
          </cell>
          <cell r="X262">
            <v>0</v>
          </cell>
          <cell r="Y262">
            <v>0</v>
          </cell>
          <cell r="Z262">
            <v>57753.858174097666</v>
          </cell>
          <cell r="AA262">
            <v>14438.464543524413</v>
          </cell>
          <cell r="AB262">
            <v>0</v>
          </cell>
          <cell r="AC262">
            <v>220949.70021231423</v>
          </cell>
          <cell r="AD262">
            <v>55237.425053078543</v>
          </cell>
          <cell r="AE262">
            <v>0</v>
          </cell>
          <cell r="AF262">
            <v>0</v>
          </cell>
          <cell r="AG262">
            <v>0</v>
          </cell>
          <cell r="AH262">
            <v>0</v>
          </cell>
          <cell r="AI262">
            <v>0</v>
          </cell>
          <cell r="AJ262">
            <v>0</v>
          </cell>
          <cell r="AK262">
            <v>0</v>
          </cell>
          <cell r="AL262">
            <v>194485</v>
          </cell>
          <cell r="AM262">
            <v>47874</v>
          </cell>
          <cell r="AN262">
            <v>0</v>
          </cell>
          <cell r="AO262">
            <v>-198580.45</v>
          </cell>
          <cell r="AP262">
            <v>-158865</v>
          </cell>
          <cell r="AQ262">
            <v>-39716</v>
          </cell>
          <cell r="AR262">
            <v>0</v>
          </cell>
          <cell r="AS262">
            <v>-397161.45</v>
          </cell>
          <cell r="AT262">
            <v>-717936</v>
          </cell>
          <cell r="AU262">
            <v>-574350</v>
          </cell>
          <cell r="AV262">
            <v>-143588</v>
          </cell>
          <cell r="AW262">
            <v>0</v>
          </cell>
          <cell r="AX262">
            <v>-1435874</v>
          </cell>
          <cell r="AY262">
            <v>43565852</v>
          </cell>
          <cell r="AZ262">
            <v>1867211.85</v>
          </cell>
          <cell r="BA262">
            <v>873484.98</v>
          </cell>
          <cell r="BB262">
            <v>2420259.61</v>
          </cell>
          <cell r="BC262">
            <v>20318.939999999999</v>
          </cell>
          <cell r="BD262">
            <v>54279.94</v>
          </cell>
          <cell r="BE262">
            <v>62746.239999999998</v>
          </cell>
          <cell r="BF262">
            <v>1415970.8</v>
          </cell>
          <cell r="BG262">
            <v>99226.54</v>
          </cell>
          <cell r="BH262">
            <v>77777.87</v>
          </cell>
          <cell r="BI262">
            <v>4089.45</v>
          </cell>
          <cell r="BJ262">
            <v>21460.7</v>
          </cell>
          <cell r="BK262">
            <v>7747.74</v>
          </cell>
          <cell r="BL262">
            <v>0</v>
          </cell>
          <cell r="BM262">
            <v>0</v>
          </cell>
          <cell r="BN262">
            <v>0</v>
          </cell>
          <cell r="BO262">
            <v>0</v>
          </cell>
          <cell r="BP262">
            <v>45488940.799999997</v>
          </cell>
          <cell r="BQ262">
            <v>183391.46</v>
          </cell>
          <cell r="BR262">
            <v>1330227.93</v>
          </cell>
          <cell r="BS262">
            <v>316503.61</v>
          </cell>
        </row>
        <row r="263">
          <cell r="A263">
            <v>256</v>
          </cell>
          <cell r="B263" t="str">
            <v>St Helens</v>
          </cell>
          <cell r="C263" t="str">
            <v>E4303</v>
          </cell>
          <cell r="D263">
            <v>198553</v>
          </cell>
          <cell r="G263">
            <v>-3153</v>
          </cell>
          <cell r="H263">
            <v>0</v>
          </cell>
          <cell r="I263">
            <v>198553</v>
          </cell>
          <cell r="J263">
            <v>0</v>
          </cell>
          <cell r="K263">
            <v>0</v>
          </cell>
          <cell r="L263">
            <v>0</v>
          </cell>
          <cell r="M263">
            <v>0</v>
          </cell>
          <cell r="N263">
            <v>0</v>
          </cell>
          <cell r="O263">
            <v>0</v>
          </cell>
          <cell r="P263">
            <v>0</v>
          </cell>
          <cell r="Q263">
            <v>738769</v>
          </cell>
          <cell r="R263">
            <v>0</v>
          </cell>
          <cell r="S263">
            <v>15077</v>
          </cell>
          <cell r="T263">
            <v>0</v>
          </cell>
          <cell r="U263">
            <v>0</v>
          </cell>
          <cell r="V263">
            <v>0</v>
          </cell>
          <cell r="W263">
            <v>24760</v>
          </cell>
          <cell r="X263">
            <v>0</v>
          </cell>
          <cell r="Y263">
            <v>505</v>
          </cell>
          <cell r="Z263">
            <v>37140.127388535031</v>
          </cell>
          <cell r="AA263">
            <v>6.5742704981286631E-13</v>
          </cell>
          <cell r="AB263">
            <v>757.96178343949043</v>
          </cell>
          <cell r="AC263">
            <v>284740.97664543526</v>
          </cell>
          <cell r="AD263">
            <v>5.0402740485653087E-12</v>
          </cell>
          <cell r="AE263">
            <v>5811.0403397027603</v>
          </cell>
          <cell r="AF263">
            <v>0</v>
          </cell>
          <cell r="AG263">
            <v>0</v>
          </cell>
          <cell r="AH263">
            <v>0</v>
          </cell>
          <cell r="AI263">
            <v>0</v>
          </cell>
          <cell r="AJ263">
            <v>0</v>
          </cell>
          <cell r="AK263">
            <v>0</v>
          </cell>
          <cell r="AL263">
            <v>249472</v>
          </cell>
          <cell r="AM263">
            <v>0</v>
          </cell>
          <cell r="AN263">
            <v>5048</v>
          </cell>
          <cell r="AO263">
            <v>-949473</v>
          </cell>
          <cell r="AP263">
            <v>-930483</v>
          </cell>
          <cell r="AQ263">
            <v>0</v>
          </cell>
          <cell r="AR263">
            <v>-18989</v>
          </cell>
          <cell r="AS263">
            <v>-1898945</v>
          </cell>
          <cell r="AT263">
            <v>-1568347</v>
          </cell>
          <cell r="AU263">
            <v>-1536980</v>
          </cell>
          <cell r="AV263">
            <v>0</v>
          </cell>
          <cell r="AW263">
            <v>-31367</v>
          </cell>
          <cell r="AX263">
            <v>-3136694</v>
          </cell>
          <cell r="AY263">
            <v>47967279</v>
          </cell>
          <cell r="AZ263">
            <v>2938858</v>
          </cell>
          <cell r="BA263">
            <v>1026537</v>
          </cell>
          <cell r="BB263">
            <v>3188618</v>
          </cell>
          <cell r="BC263">
            <v>92551.24</v>
          </cell>
          <cell r="BD263">
            <v>0</v>
          </cell>
          <cell r="BE263">
            <v>0</v>
          </cell>
          <cell r="BF263">
            <v>2233091</v>
          </cell>
          <cell r="BG263">
            <v>242983</v>
          </cell>
          <cell r="BH263">
            <v>5256</v>
          </cell>
          <cell r="BI263">
            <v>12573</v>
          </cell>
          <cell r="BJ263">
            <v>0</v>
          </cell>
          <cell r="BK263">
            <v>0</v>
          </cell>
          <cell r="BL263">
            <v>0</v>
          </cell>
          <cell r="BM263">
            <v>0</v>
          </cell>
          <cell r="BN263">
            <v>0</v>
          </cell>
          <cell r="BO263">
            <v>0</v>
          </cell>
          <cell r="BP263">
            <v>52617354</v>
          </cell>
          <cell r="BQ263">
            <v>619634</v>
          </cell>
          <cell r="BR263">
            <v>3549980</v>
          </cell>
          <cell r="BS263">
            <v>888689</v>
          </cell>
        </row>
        <row r="264">
          <cell r="A264">
            <v>257</v>
          </cell>
          <cell r="B264" t="str">
            <v>Stafford</v>
          </cell>
          <cell r="C264" t="str">
            <v>E3436</v>
          </cell>
          <cell r="D264">
            <v>171533</v>
          </cell>
          <cell r="G264">
            <v>61469</v>
          </cell>
          <cell r="H264">
            <v>0</v>
          </cell>
          <cell r="I264">
            <v>171533</v>
          </cell>
          <cell r="J264">
            <v>0</v>
          </cell>
          <cell r="K264">
            <v>0</v>
          </cell>
          <cell r="L264">
            <v>0</v>
          </cell>
          <cell r="M264">
            <v>0</v>
          </cell>
          <cell r="N264">
            <v>0</v>
          </cell>
          <cell r="O264">
            <v>0</v>
          </cell>
          <cell r="P264">
            <v>0</v>
          </cell>
          <cell r="Q264">
            <v>455406</v>
          </cell>
          <cell r="R264">
            <v>102466</v>
          </cell>
          <cell r="S264">
            <v>11385</v>
          </cell>
          <cell r="T264">
            <v>0</v>
          </cell>
          <cell r="U264">
            <v>0</v>
          </cell>
          <cell r="V264">
            <v>0</v>
          </cell>
          <cell r="W264">
            <v>0</v>
          </cell>
          <cell r="X264">
            <v>0</v>
          </cell>
          <cell r="Y264">
            <v>0</v>
          </cell>
          <cell r="Z264">
            <v>0</v>
          </cell>
          <cell r="AA264">
            <v>0</v>
          </cell>
          <cell r="AB264">
            <v>0</v>
          </cell>
          <cell r="AC264">
            <v>242109.16348195329</v>
          </cell>
          <cell r="AD264">
            <v>54474.56178343948</v>
          </cell>
          <cell r="AE264">
            <v>6052.7290870488323</v>
          </cell>
          <cell r="AF264">
            <v>0</v>
          </cell>
          <cell r="AG264">
            <v>0</v>
          </cell>
          <cell r="AH264">
            <v>0</v>
          </cell>
          <cell r="AI264">
            <v>0</v>
          </cell>
          <cell r="AJ264">
            <v>0</v>
          </cell>
          <cell r="AK264">
            <v>0</v>
          </cell>
          <cell r="AL264">
            <v>185898</v>
          </cell>
          <cell r="AM264">
            <v>41417</v>
          </cell>
          <cell r="AN264">
            <v>4602</v>
          </cell>
          <cell r="AO264">
            <v>-417609</v>
          </cell>
          <cell r="AP264">
            <v>-334087</v>
          </cell>
          <cell r="AQ264">
            <v>-75170</v>
          </cell>
          <cell r="AR264">
            <v>-8352</v>
          </cell>
          <cell r="AS264">
            <v>-835218</v>
          </cell>
          <cell r="AT264">
            <v>-891229</v>
          </cell>
          <cell r="AU264">
            <v>-712982</v>
          </cell>
          <cell r="AV264">
            <v>-160421</v>
          </cell>
          <cell r="AW264">
            <v>-17824</v>
          </cell>
          <cell r="AX264">
            <v>-1782456</v>
          </cell>
          <cell r="AY264">
            <v>41789621</v>
          </cell>
          <cell r="AZ264">
            <v>2226000.37</v>
          </cell>
          <cell r="BA264">
            <v>861511.23</v>
          </cell>
          <cell r="BB264">
            <v>2345778.34</v>
          </cell>
          <cell r="BC264">
            <v>15226.51</v>
          </cell>
          <cell r="BD264">
            <v>21875.24</v>
          </cell>
          <cell r="BE264">
            <v>66591.56</v>
          </cell>
          <cell r="BF264">
            <v>2209168.65</v>
          </cell>
          <cell r="BG264">
            <v>201648.54</v>
          </cell>
          <cell r="BH264">
            <v>106596</v>
          </cell>
          <cell r="BI264">
            <v>3806.63</v>
          </cell>
          <cell r="BJ264">
            <v>16140.81</v>
          </cell>
          <cell r="BK264">
            <v>4704.1099999999997</v>
          </cell>
          <cell r="BL264">
            <v>0</v>
          </cell>
          <cell r="BM264">
            <v>0</v>
          </cell>
          <cell r="BN264">
            <v>0</v>
          </cell>
          <cell r="BO264">
            <v>0</v>
          </cell>
          <cell r="BP264">
            <v>44183024</v>
          </cell>
          <cell r="BQ264">
            <v>103882</v>
          </cell>
          <cell r="BR264">
            <v>1643503</v>
          </cell>
          <cell r="BS264">
            <v>71648</v>
          </cell>
        </row>
        <row r="265">
          <cell r="A265">
            <v>258</v>
          </cell>
          <cell r="B265" t="str">
            <v>Staffordshire Moorlands</v>
          </cell>
          <cell r="C265" t="str">
            <v>E3437</v>
          </cell>
          <cell r="D265">
            <v>116661</v>
          </cell>
          <cell r="G265">
            <v>74889</v>
          </cell>
          <cell r="H265">
            <v>0</v>
          </cell>
          <cell r="I265">
            <v>116661</v>
          </cell>
          <cell r="J265">
            <v>0</v>
          </cell>
          <cell r="K265">
            <v>0</v>
          </cell>
          <cell r="L265">
            <v>0</v>
          </cell>
          <cell r="M265">
            <v>0</v>
          </cell>
          <cell r="N265">
            <v>0</v>
          </cell>
          <cell r="O265">
            <v>0</v>
          </cell>
          <cell r="P265">
            <v>0</v>
          </cell>
          <cell r="Q265">
            <v>430448</v>
          </cell>
          <cell r="R265">
            <v>96851</v>
          </cell>
          <cell r="S265">
            <v>10761</v>
          </cell>
          <cell r="T265">
            <v>0</v>
          </cell>
          <cell r="U265">
            <v>0</v>
          </cell>
          <cell r="V265">
            <v>0</v>
          </cell>
          <cell r="W265">
            <v>0</v>
          </cell>
          <cell r="X265">
            <v>0</v>
          </cell>
          <cell r="Y265">
            <v>0</v>
          </cell>
          <cell r="Z265">
            <v>0</v>
          </cell>
          <cell r="AA265">
            <v>0</v>
          </cell>
          <cell r="AB265">
            <v>0</v>
          </cell>
          <cell r="AC265">
            <v>167209.65999150745</v>
          </cell>
          <cell r="AD265">
            <v>37622.173498089171</v>
          </cell>
          <cell r="AE265">
            <v>4180.2414997876858</v>
          </cell>
          <cell r="AF265">
            <v>0</v>
          </cell>
          <cell r="AG265">
            <v>0</v>
          </cell>
          <cell r="AH265">
            <v>0</v>
          </cell>
          <cell r="AI265">
            <v>0</v>
          </cell>
          <cell r="AJ265">
            <v>0</v>
          </cell>
          <cell r="AK265">
            <v>0</v>
          </cell>
          <cell r="AL265">
            <v>78102</v>
          </cell>
          <cell r="AM265">
            <v>17294</v>
          </cell>
          <cell r="AN265">
            <v>1922</v>
          </cell>
          <cell r="AO265">
            <v>-197216</v>
          </cell>
          <cell r="AP265">
            <v>-157773</v>
          </cell>
          <cell r="AQ265">
            <v>-35499</v>
          </cell>
          <cell r="AR265">
            <v>-3944</v>
          </cell>
          <cell r="AS265">
            <v>-394432</v>
          </cell>
          <cell r="AT265">
            <v>-188811</v>
          </cell>
          <cell r="AU265">
            <v>-151048</v>
          </cell>
          <cell r="AV265">
            <v>-33986</v>
          </cell>
          <cell r="AW265">
            <v>-3776</v>
          </cell>
          <cell r="AX265">
            <v>-377621</v>
          </cell>
          <cell r="AY265">
            <v>17197252</v>
          </cell>
          <cell r="AZ265">
            <v>2101923</v>
          </cell>
          <cell r="BA265">
            <v>331872</v>
          </cell>
          <cell r="BB265">
            <v>1106056</v>
          </cell>
          <cell r="BC265">
            <v>47194</v>
          </cell>
          <cell r="BD265">
            <v>17778</v>
          </cell>
          <cell r="BE265">
            <v>18678</v>
          </cell>
          <cell r="BF265">
            <v>627758</v>
          </cell>
          <cell r="BG265">
            <v>77881</v>
          </cell>
          <cell r="BH265">
            <v>71476</v>
          </cell>
          <cell r="BI265">
            <v>3085</v>
          </cell>
          <cell r="BJ265">
            <v>7173</v>
          </cell>
          <cell r="BK265">
            <v>0</v>
          </cell>
          <cell r="BL265">
            <v>0</v>
          </cell>
          <cell r="BM265">
            <v>0</v>
          </cell>
          <cell r="BN265">
            <v>0</v>
          </cell>
          <cell r="BO265">
            <v>0</v>
          </cell>
          <cell r="BP265">
            <v>17801478</v>
          </cell>
          <cell r="BQ265">
            <v>165020</v>
          </cell>
          <cell r="BR265">
            <v>562532</v>
          </cell>
          <cell r="BS265">
            <v>125324</v>
          </cell>
        </row>
        <row r="266">
          <cell r="A266">
            <v>259</v>
          </cell>
          <cell r="B266" t="str">
            <v>Stevenage</v>
          </cell>
          <cell r="C266" t="str">
            <v>E1937</v>
          </cell>
          <cell r="D266">
            <v>112556</v>
          </cell>
          <cell r="G266">
            <v>18238</v>
          </cell>
          <cell r="H266">
            <v>0</v>
          </cell>
          <cell r="I266">
            <v>112556</v>
          </cell>
          <cell r="J266">
            <v>0</v>
          </cell>
          <cell r="K266">
            <v>0</v>
          </cell>
          <cell r="L266">
            <v>0</v>
          </cell>
          <cell r="M266">
            <v>0</v>
          </cell>
          <cell r="N266">
            <v>0</v>
          </cell>
          <cell r="O266">
            <v>0</v>
          </cell>
          <cell r="P266">
            <v>0</v>
          </cell>
          <cell r="Q266">
            <v>162574</v>
          </cell>
          <cell r="R266">
            <v>40644</v>
          </cell>
          <cell r="S266">
            <v>0</v>
          </cell>
          <cell r="T266">
            <v>0</v>
          </cell>
          <cell r="U266">
            <v>0</v>
          </cell>
          <cell r="V266">
            <v>0</v>
          </cell>
          <cell r="W266">
            <v>114240</v>
          </cell>
          <cell r="X266">
            <v>28560</v>
          </cell>
          <cell r="Y266">
            <v>0</v>
          </cell>
          <cell r="Z266">
            <v>109920.22420382165</v>
          </cell>
          <cell r="AA266">
            <v>27480.056050955405</v>
          </cell>
          <cell r="AB266">
            <v>0</v>
          </cell>
          <cell r="AC266">
            <v>157776.92059447983</v>
          </cell>
          <cell r="AD266">
            <v>39444.230148619943</v>
          </cell>
          <cell r="AE266">
            <v>0</v>
          </cell>
          <cell r="AF266">
            <v>0</v>
          </cell>
          <cell r="AG266">
            <v>0</v>
          </cell>
          <cell r="AH266">
            <v>0</v>
          </cell>
          <cell r="AI266">
            <v>0</v>
          </cell>
          <cell r="AJ266">
            <v>0</v>
          </cell>
          <cell r="AK266">
            <v>0</v>
          </cell>
          <cell r="AL266">
            <v>192857</v>
          </cell>
          <cell r="AM266">
            <v>47916</v>
          </cell>
          <cell r="AN266">
            <v>0</v>
          </cell>
          <cell r="AO266">
            <v>-1306979</v>
          </cell>
          <cell r="AP266">
            <v>-1045582</v>
          </cell>
          <cell r="AQ266">
            <v>-261396</v>
          </cell>
          <cell r="AR266">
            <v>0</v>
          </cell>
          <cell r="AS266">
            <v>-2613957</v>
          </cell>
          <cell r="AT266">
            <v>-1787826</v>
          </cell>
          <cell r="AU266">
            <v>-1430260</v>
          </cell>
          <cell r="AV266">
            <v>-357565</v>
          </cell>
          <cell r="AW266">
            <v>0</v>
          </cell>
          <cell r="AX266">
            <v>-3575651</v>
          </cell>
          <cell r="AY266">
            <v>44093216</v>
          </cell>
          <cell r="AZ266">
            <v>802792.83</v>
          </cell>
          <cell r="BA266">
            <v>943926.32</v>
          </cell>
          <cell r="BB266">
            <v>1582592.62</v>
          </cell>
          <cell r="BC266">
            <v>3862.2</v>
          </cell>
          <cell r="BD266">
            <v>0</v>
          </cell>
          <cell r="BE266">
            <v>13502.85</v>
          </cell>
          <cell r="BF266">
            <v>1138811.81</v>
          </cell>
          <cell r="BG266">
            <v>150183.51999999999</v>
          </cell>
          <cell r="BH266">
            <v>15926.73</v>
          </cell>
          <cell r="BI266">
            <v>965.55</v>
          </cell>
          <cell r="BJ266">
            <v>0</v>
          </cell>
          <cell r="BK266">
            <v>0</v>
          </cell>
          <cell r="BL266">
            <v>0</v>
          </cell>
          <cell r="BM266">
            <v>0</v>
          </cell>
          <cell r="BN266">
            <v>0</v>
          </cell>
          <cell r="BO266">
            <v>0</v>
          </cell>
          <cell r="BP266">
            <v>49110293</v>
          </cell>
          <cell r="BQ266">
            <v>6509</v>
          </cell>
          <cell r="BR266">
            <v>3913040</v>
          </cell>
          <cell r="BS266">
            <v>-1243805.3999999999</v>
          </cell>
        </row>
        <row r="267">
          <cell r="A267">
            <v>260</v>
          </cell>
          <cell r="B267" t="str">
            <v>Stockport</v>
          </cell>
          <cell r="C267" t="str">
            <v>E4207</v>
          </cell>
          <cell r="D267">
            <v>429803</v>
          </cell>
          <cell r="E267">
            <v>5922128</v>
          </cell>
          <cell r="G267">
            <v>63616</v>
          </cell>
          <cell r="H267">
            <v>0</v>
          </cell>
          <cell r="I267">
            <v>429803</v>
          </cell>
          <cell r="J267">
            <v>0</v>
          </cell>
          <cell r="K267">
            <v>0</v>
          </cell>
          <cell r="L267">
            <v>0</v>
          </cell>
          <cell r="M267">
            <v>0</v>
          </cell>
          <cell r="N267">
            <v>0</v>
          </cell>
          <cell r="O267">
            <v>0</v>
          </cell>
          <cell r="P267">
            <v>0</v>
          </cell>
          <cell r="Q267">
            <v>1500000</v>
          </cell>
          <cell r="R267">
            <v>0</v>
          </cell>
          <cell r="S267">
            <v>30612</v>
          </cell>
          <cell r="T267">
            <v>0</v>
          </cell>
          <cell r="U267">
            <v>0</v>
          </cell>
          <cell r="V267">
            <v>0</v>
          </cell>
          <cell r="W267">
            <v>0</v>
          </cell>
          <cell r="X267">
            <v>0</v>
          </cell>
          <cell r="Y267">
            <v>0</v>
          </cell>
          <cell r="Z267">
            <v>0</v>
          </cell>
          <cell r="AA267">
            <v>0</v>
          </cell>
          <cell r="AB267">
            <v>0</v>
          </cell>
          <cell r="AC267">
            <v>1150848.7473460722</v>
          </cell>
          <cell r="AD267">
            <v>2.0371472850201353E-11</v>
          </cell>
          <cell r="AE267">
            <v>23486.709129511677</v>
          </cell>
          <cell r="AF267">
            <v>0</v>
          </cell>
          <cell r="AG267">
            <v>0</v>
          </cell>
          <cell r="AH267">
            <v>0</v>
          </cell>
          <cell r="AI267">
            <v>0</v>
          </cell>
          <cell r="AJ267">
            <v>0</v>
          </cell>
          <cell r="AK267">
            <v>0</v>
          </cell>
          <cell r="AL267">
            <v>463399</v>
          </cell>
          <cell r="AM267">
            <v>0</v>
          </cell>
          <cell r="AN267">
            <v>9364</v>
          </cell>
          <cell r="AO267">
            <v>-1687947</v>
          </cell>
          <cell r="AP267">
            <v>-1654188</v>
          </cell>
          <cell r="AQ267">
            <v>0</v>
          </cell>
          <cell r="AR267">
            <v>-33759</v>
          </cell>
          <cell r="AS267">
            <v>-3375894</v>
          </cell>
          <cell r="AT267">
            <v>-1970452</v>
          </cell>
          <cell r="AU267">
            <v>-1931042</v>
          </cell>
          <cell r="AV267">
            <v>0</v>
          </cell>
          <cell r="AW267">
            <v>-39409</v>
          </cell>
          <cell r="AX267">
            <v>-3940903</v>
          </cell>
          <cell r="AY267">
            <v>84036444</v>
          </cell>
          <cell r="AZ267">
            <v>6467394</v>
          </cell>
          <cell r="BA267">
            <v>1775172</v>
          </cell>
          <cell r="BB267">
            <v>3999732</v>
          </cell>
          <cell r="BC267">
            <v>239002</v>
          </cell>
          <cell r="BD267">
            <v>0</v>
          </cell>
          <cell r="BE267">
            <v>43804</v>
          </cell>
          <cell r="BF267">
            <v>6088732</v>
          </cell>
          <cell r="BG267">
            <v>0</v>
          </cell>
          <cell r="BH267">
            <v>32338</v>
          </cell>
          <cell r="BI267">
            <v>23494</v>
          </cell>
          <cell r="BJ267">
            <v>0</v>
          </cell>
          <cell r="BK267">
            <v>0</v>
          </cell>
          <cell r="BL267">
            <v>0</v>
          </cell>
          <cell r="BM267">
            <v>0</v>
          </cell>
          <cell r="BN267">
            <v>0</v>
          </cell>
          <cell r="BO267">
            <v>0</v>
          </cell>
          <cell r="BP267">
            <v>89835804</v>
          </cell>
          <cell r="BQ267">
            <v>1005661</v>
          </cell>
          <cell r="BR267">
            <v>12130438</v>
          </cell>
          <cell r="BS267">
            <v>-1389389</v>
          </cell>
        </row>
        <row r="268">
          <cell r="A268">
            <v>261</v>
          </cell>
          <cell r="B268" t="str">
            <v>Stockton-on-Tees</v>
          </cell>
          <cell r="C268" t="str">
            <v>E0704</v>
          </cell>
          <cell r="D268">
            <v>238978</v>
          </cell>
          <cell r="E268">
            <v>0</v>
          </cell>
          <cell r="G268">
            <v>1648</v>
          </cell>
          <cell r="H268">
            <v>0</v>
          </cell>
          <cell r="I268">
            <v>238978</v>
          </cell>
          <cell r="J268">
            <v>906439</v>
          </cell>
          <cell r="K268">
            <v>0</v>
          </cell>
          <cell r="L268">
            <v>0</v>
          </cell>
          <cell r="M268">
            <v>82112.5</v>
          </cell>
          <cell r="N268">
            <v>81391.5</v>
          </cell>
          <cell r="O268">
            <v>0</v>
          </cell>
          <cell r="P268">
            <v>721</v>
          </cell>
          <cell r="Q268">
            <v>639165</v>
          </cell>
          <cell r="R268">
            <v>0</v>
          </cell>
          <cell r="S268">
            <v>13044</v>
          </cell>
          <cell r="T268">
            <v>50818</v>
          </cell>
          <cell r="U268">
            <v>0</v>
          </cell>
          <cell r="V268">
            <v>1037</v>
          </cell>
          <cell r="W268">
            <v>0</v>
          </cell>
          <cell r="X268">
            <v>0</v>
          </cell>
          <cell r="Y268">
            <v>0</v>
          </cell>
          <cell r="Z268">
            <v>277625.42343949043</v>
          </cell>
          <cell r="AA268">
            <v>4.9143197915151608E-12</v>
          </cell>
          <cell r="AB268">
            <v>5665.8249681528659</v>
          </cell>
          <cell r="AC268">
            <v>742802.54777070065</v>
          </cell>
          <cell r="AD268">
            <v>1.3148540996257328E-11</v>
          </cell>
          <cell r="AE268">
            <v>15159.23566878981</v>
          </cell>
          <cell r="AF268">
            <v>0</v>
          </cell>
          <cell r="AG268">
            <v>0</v>
          </cell>
          <cell r="AH268">
            <v>0</v>
          </cell>
          <cell r="AI268">
            <v>0</v>
          </cell>
          <cell r="AJ268">
            <v>0</v>
          </cell>
          <cell r="AK268">
            <v>0</v>
          </cell>
          <cell r="AL268">
            <v>424819</v>
          </cell>
          <cell r="AM268">
            <v>0</v>
          </cell>
          <cell r="AN268">
            <v>8412</v>
          </cell>
          <cell r="AO268">
            <v>-503759</v>
          </cell>
          <cell r="AP268">
            <v>-493684</v>
          </cell>
          <cell r="AQ268">
            <v>0</v>
          </cell>
          <cell r="AR268">
            <v>-10075</v>
          </cell>
          <cell r="AS268">
            <v>-1007518</v>
          </cell>
          <cell r="AT268">
            <v>-1521474</v>
          </cell>
          <cell r="AU268">
            <v>-1491044</v>
          </cell>
          <cell r="AV268">
            <v>0</v>
          </cell>
          <cell r="AW268">
            <v>-30429</v>
          </cell>
          <cell r="AX268">
            <v>-3042947</v>
          </cell>
          <cell r="AY268">
            <v>76714703</v>
          </cell>
          <cell r="AZ268">
            <v>2573395.16</v>
          </cell>
          <cell r="BA268">
            <v>1584898.26</v>
          </cell>
          <cell r="BB268">
            <v>3659376.71</v>
          </cell>
          <cell r="BC268">
            <v>35117.760000000002</v>
          </cell>
          <cell r="BD268">
            <v>9528.09</v>
          </cell>
          <cell r="BE268">
            <v>66821.84</v>
          </cell>
          <cell r="BF268">
            <v>2350883.9900000002</v>
          </cell>
          <cell r="BG268">
            <v>180716.38</v>
          </cell>
          <cell r="BH268">
            <v>82567.960000000006</v>
          </cell>
          <cell r="BI268">
            <v>8984.9699999999993</v>
          </cell>
          <cell r="BJ268">
            <v>9528.08</v>
          </cell>
          <cell r="BK268">
            <v>0</v>
          </cell>
          <cell r="BL268">
            <v>111027.91</v>
          </cell>
          <cell r="BM268">
            <v>111027.91</v>
          </cell>
          <cell r="BN268">
            <v>0</v>
          </cell>
          <cell r="BO268">
            <v>69923</v>
          </cell>
          <cell r="BP268">
            <v>80893072</v>
          </cell>
          <cell r="BQ268">
            <v>295133</v>
          </cell>
          <cell r="BR268">
            <v>1211168</v>
          </cell>
          <cell r="BS268">
            <v>1470911</v>
          </cell>
        </row>
        <row r="269">
          <cell r="A269">
            <v>262</v>
          </cell>
          <cell r="B269" t="str">
            <v>Stoke-on-Trent</v>
          </cell>
          <cell r="C269" t="str">
            <v>E3401</v>
          </cell>
          <cell r="D269">
            <v>365172</v>
          </cell>
          <cell r="G269">
            <v>53460</v>
          </cell>
          <cell r="H269">
            <v>0</v>
          </cell>
          <cell r="I269">
            <v>365172</v>
          </cell>
          <cell r="J269">
            <v>0</v>
          </cell>
          <cell r="K269">
            <v>0</v>
          </cell>
          <cell r="L269">
            <v>0</v>
          </cell>
          <cell r="M269">
            <v>0</v>
          </cell>
          <cell r="N269">
            <v>0</v>
          </cell>
          <cell r="O269">
            <v>0</v>
          </cell>
          <cell r="P269">
            <v>0</v>
          </cell>
          <cell r="Q269">
            <v>1407058</v>
          </cell>
          <cell r="R269">
            <v>0</v>
          </cell>
          <cell r="S269">
            <v>28715</v>
          </cell>
          <cell r="T269">
            <v>3961</v>
          </cell>
          <cell r="U269">
            <v>0</v>
          </cell>
          <cell r="V269">
            <v>81</v>
          </cell>
          <cell r="W269">
            <v>0</v>
          </cell>
          <cell r="X269">
            <v>0</v>
          </cell>
          <cell r="Y269">
            <v>0</v>
          </cell>
          <cell r="Z269">
            <v>36644.925690021235</v>
          </cell>
          <cell r="AA269">
            <v>6.4866135581536158E-13</v>
          </cell>
          <cell r="AB269">
            <v>747.85562632696394</v>
          </cell>
          <cell r="AC269">
            <v>408541.40127388533</v>
          </cell>
          <cell r="AD269">
            <v>7.2316975479415301E-12</v>
          </cell>
          <cell r="AE269">
            <v>8337.5796178343953</v>
          </cell>
          <cell r="AF269">
            <v>0</v>
          </cell>
          <cell r="AG269">
            <v>0</v>
          </cell>
          <cell r="AH269">
            <v>0</v>
          </cell>
          <cell r="AI269">
            <v>0</v>
          </cell>
          <cell r="AJ269">
            <v>0</v>
          </cell>
          <cell r="AK269">
            <v>0</v>
          </cell>
          <cell r="AL269">
            <v>428755</v>
          </cell>
          <cell r="AM269">
            <v>0</v>
          </cell>
          <cell r="AN269">
            <v>8671</v>
          </cell>
          <cell r="AO269">
            <v>-1303000</v>
          </cell>
          <cell r="AP269">
            <v>-1276940</v>
          </cell>
          <cell r="AQ269">
            <v>0</v>
          </cell>
          <cell r="AR269">
            <v>-26060</v>
          </cell>
          <cell r="AS269">
            <v>-2606000</v>
          </cell>
          <cell r="AT269">
            <v>-4150000</v>
          </cell>
          <cell r="AU269">
            <v>-4067000</v>
          </cell>
          <cell r="AV269">
            <v>0</v>
          </cell>
          <cell r="AW269">
            <v>-83000</v>
          </cell>
          <cell r="AX269">
            <v>-8300000</v>
          </cell>
          <cell r="AY269">
            <v>74874669</v>
          </cell>
          <cell r="AZ269">
            <v>5638034</v>
          </cell>
          <cell r="BA269">
            <v>1649167</v>
          </cell>
          <cell r="BB269">
            <v>4496148</v>
          </cell>
          <cell r="BC269">
            <v>52017</v>
          </cell>
          <cell r="BD269">
            <v>0</v>
          </cell>
          <cell r="BE269">
            <v>70682</v>
          </cell>
          <cell r="BF269">
            <v>4594448</v>
          </cell>
          <cell r="BG269">
            <v>137924</v>
          </cell>
          <cell r="BH269">
            <v>196527</v>
          </cell>
          <cell r="BI269">
            <v>4662</v>
          </cell>
          <cell r="BJ269">
            <v>0</v>
          </cell>
          <cell r="BK269">
            <v>0</v>
          </cell>
          <cell r="BL269">
            <v>0</v>
          </cell>
          <cell r="BM269">
            <v>0</v>
          </cell>
          <cell r="BN269">
            <v>0</v>
          </cell>
          <cell r="BO269">
            <v>0</v>
          </cell>
          <cell r="BP269">
            <v>84884602</v>
          </cell>
          <cell r="BQ269">
            <v>1418768</v>
          </cell>
          <cell r="BR269">
            <v>4671739</v>
          </cell>
          <cell r="BS269">
            <v>4975538</v>
          </cell>
        </row>
        <row r="270">
          <cell r="A270">
            <v>263</v>
          </cell>
          <cell r="B270" t="str">
            <v>Stratford-on-Avon</v>
          </cell>
          <cell r="C270" t="str">
            <v>E3734</v>
          </cell>
          <cell r="D270">
            <v>218813</v>
          </cell>
          <cell r="G270">
            <v>56698</v>
          </cell>
          <cell r="H270">
            <v>0</v>
          </cell>
          <cell r="I270">
            <v>218813</v>
          </cell>
          <cell r="J270">
            <v>0</v>
          </cell>
          <cell r="K270">
            <v>0</v>
          </cell>
          <cell r="L270">
            <v>0</v>
          </cell>
          <cell r="M270">
            <v>0</v>
          </cell>
          <cell r="N270">
            <v>0</v>
          </cell>
          <cell r="O270">
            <v>0</v>
          </cell>
          <cell r="P270">
            <v>0</v>
          </cell>
          <cell r="Q270">
            <v>647338</v>
          </cell>
          <cell r="R270">
            <v>161834</v>
          </cell>
          <cell r="S270">
            <v>0</v>
          </cell>
          <cell r="T270">
            <v>0</v>
          </cell>
          <cell r="U270">
            <v>0</v>
          </cell>
          <cell r="V270">
            <v>0</v>
          </cell>
          <cell r="W270">
            <v>0</v>
          </cell>
          <cell r="X270">
            <v>0</v>
          </cell>
          <cell r="Y270">
            <v>0</v>
          </cell>
          <cell r="Z270">
            <v>0</v>
          </cell>
          <cell r="AA270">
            <v>0</v>
          </cell>
          <cell r="AB270">
            <v>0</v>
          </cell>
          <cell r="AC270">
            <v>296716.7728237792</v>
          </cell>
          <cell r="AD270">
            <v>74179.193205944786</v>
          </cell>
          <cell r="AE270">
            <v>0</v>
          </cell>
          <cell r="AF270">
            <v>0</v>
          </cell>
          <cell r="AG270">
            <v>0</v>
          </cell>
          <cell r="AH270">
            <v>0</v>
          </cell>
          <cell r="AI270">
            <v>0</v>
          </cell>
          <cell r="AJ270">
            <v>0</v>
          </cell>
          <cell r="AK270">
            <v>0</v>
          </cell>
          <cell r="AL270">
            <v>225473</v>
          </cell>
          <cell r="AM270">
            <v>55787</v>
          </cell>
          <cell r="AN270">
            <v>0</v>
          </cell>
          <cell r="AO270">
            <v>-208023</v>
          </cell>
          <cell r="AP270">
            <v>-166418</v>
          </cell>
          <cell r="AQ270">
            <v>-41604</v>
          </cell>
          <cell r="AR270">
            <v>0</v>
          </cell>
          <cell r="AS270">
            <v>-416045</v>
          </cell>
          <cell r="AT270">
            <v>-1311533</v>
          </cell>
          <cell r="AU270">
            <v>-1049227</v>
          </cell>
          <cell r="AV270">
            <v>-262307</v>
          </cell>
          <cell r="AW270">
            <v>0</v>
          </cell>
          <cell r="AX270">
            <v>-2623067</v>
          </cell>
          <cell r="AY270">
            <v>48629383</v>
          </cell>
          <cell r="AZ270">
            <v>3140992</v>
          </cell>
          <cell r="BA270">
            <v>1004835</v>
          </cell>
          <cell r="BB270">
            <v>3690330</v>
          </cell>
          <cell r="BC270">
            <v>89002</v>
          </cell>
          <cell r="BD270">
            <v>38890</v>
          </cell>
          <cell r="BE270">
            <v>8653</v>
          </cell>
          <cell r="BF270">
            <v>2007974</v>
          </cell>
          <cell r="BG270">
            <v>9164.7000000000007</v>
          </cell>
          <cell r="BH270">
            <v>9011</v>
          </cell>
          <cell r="BI270">
            <v>0</v>
          </cell>
          <cell r="BJ270">
            <v>6028</v>
          </cell>
          <cell r="BK270">
            <v>0</v>
          </cell>
          <cell r="BL270">
            <v>0</v>
          </cell>
          <cell r="BM270">
            <v>0</v>
          </cell>
          <cell r="BN270">
            <v>0</v>
          </cell>
          <cell r="BO270">
            <v>0</v>
          </cell>
          <cell r="BP270">
            <v>51686910</v>
          </cell>
          <cell r="BQ270">
            <v>351842</v>
          </cell>
          <cell r="BR270">
            <v>638887</v>
          </cell>
          <cell r="BS270">
            <v>746735</v>
          </cell>
        </row>
        <row r="271">
          <cell r="A271">
            <v>264</v>
          </cell>
          <cell r="B271" t="str">
            <v>Stroud</v>
          </cell>
          <cell r="C271" t="str">
            <v>E1635</v>
          </cell>
          <cell r="D271">
            <v>156641</v>
          </cell>
          <cell r="G271">
            <v>30001</v>
          </cell>
          <cell r="H271">
            <v>0</v>
          </cell>
          <cell r="I271">
            <v>156641</v>
          </cell>
          <cell r="J271">
            <v>0</v>
          </cell>
          <cell r="K271">
            <v>0</v>
          </cell>
          <cell r="L271">
            <v>0</v>
          </cell>
          <cell r="M271">
            <v>0</v>
          </cell>
          <cell r="N271">
            <v>0</v>
          </cell>
          <cell r="O271">
            <v>0</v>
          </cell>
          <cell r="P271">
            <v>0</v>
          </cell>
          <cell r="Q271">
            <v>409683</v>
          </cell>
          <cell r="R271">
            <v>102421</v>
          </cell>
          <cell r="S271">
            <v>0</v>
          </cell>
          <cell r="T271">
            <v>5659</v>
          </cell>
          <cell r="U271">
            <v>1415</v>
          </cell>
          <cell r="V271">
            <v>0</v>
          </cell>
          <cell r="W271">
            <v>0</v>
          </cell>
          <cell r="X271">
            <v>0</v>
          </cell>
          <cell r="Y271">
            <v>0</v>
          </cell>
          <cell r="Z271">
            <v>20212.31422505308</v>
          </cell>
          <cell r="AA271">
            <v>5053.0785562632682</v>
          </cell>
          <cell r="AB271">
            <v>0</v>
          </cell>
          <cell r="AC271">
            <v>222335.45647558389</v>
          </cell>
          <cell r="AD271">
            <v>55583.864118895959</v>
          </cell>
          <cell r="AE271">
            <v>0</v>
          </cell>
          <cell r="AF271">
            <v>0</v>
          </cell>
          <cell r="AG271">
            <v>0</v>
          </cell>
          <cell r="AH271">
            <v>0</v>
          </cell>
          <cell r="AI271">
            <v>0</v>
          </cell>
          <cell r="AJ271">
            <v>0</v>
          </cell>
          <cell r="AK271">
            <v>0</v>
          </cell>
          <cell r="AL271">
            <v>107914</v>
          </cell>
          <cell r="AM271">
            <v>26563</v>
          </cell>
          <cell r="AN271">
            <v>0</v>
          </cell>
          <cell r="AO271">
            <v>-162150.25</v>
          </cell>
          <cell r="AP271">
            <v>-129722</v>
          </cell>
          <cell r="AQ271">
            <v>-32431</v>
          </cell>
          <cell r="AR271">
            <v>0</v>
          </cell>
          <cell r="AS271">
            <v>-324303.25</v>
          </cell>
          <cell r="AT271">
            <v>-391371</v>
          </cell>
          <cell r="AU271">
            <v>-313097</v>
          </cell>
          <cell r="AV271">
            <v>-78274</v>
          </cell>
          <cell r="AW271">
            <v>0</v>
          </cell>
          <cell r="AX271">
            <v>-782742</v>
          </cell>
          <cell r="AY271">
            <v>23125336</v>
          </cell>
          <cell r="AZ271">
            <v>2464559.7000000002</v>
          </cell>
          <cell r="BA271">
            <v>460368.94</v>
          </cell>
          <cell r="BB271">
            <v>1995385.14</v>
          </cell>
          <cell r="BC271">
            <v>55084.83</v>
          </cell>
          <cell r="BD271">
            <v>42473.22</v>
          </cell>
          <cell r="BE271">
            <v>63100.99</v>
          </cell>
          <cell r="BF271">
            <v>972171.28</v>
          </cell>
          <cell r="BG271">
            <v>93287.25</v>
          </cell>
          <cell r="BH271">
            <v>12662.84</v>
          </cell>
          <cell r="BI271">
            <v>0</v>
          </cell>
          <cell r="BJ271">
            <v>3085.04</v>
          </cell>
          <cell r="BK271">
            <v>0</v>
          </cell>
          <cell r="BL271">
            <v>0</v>
          </cell>
          <cell r="BM271">
            <v>0</v>
          </cell>
          <cell r="BN271">
            <v>0</v>
          </cell>
          <cell r="BO271">
            <v>0</v>
          </cell>
          <cell r="BP271">
            <v>24334527.5</v>
          </cell>
          <cell r="BQ271">
            <v>27901</v>
          </cell>
          <cell r="BR271">
            <v>886524.48</v>
          </cell>
          <cell r="BS271">
            <v>284542.65999999997</v>
          </cell>
        </row>
        <row r="272">
          <cell r="A272">
            <v>265</v>
          </cell>
          <cell r="B272" t="str">
            <v>Suffolk Coastal</v>
          </cell>
          <cell r="C272" t="str">
            <v>E3536</v>
          </cell>
          <cell r="D272">
            <v>278728</v>
          </cell>
          <cell r="G272">
            <v>16980748</v>
          </cell>
          <cell r="H272">
            <v>0</v>
          </cell>
          <cell r="I272">
            <v>278728</v>
          </cell>
          <cell r="J272">
            <v>0</v>
          </cell>
          <cell r="K272">
            <v>0</v>
          </cell>
          <cell r="L272">
            <v>0</v>
          </cell>
          <cell r="M272">
            <v>0</v>
          </cell>
          <cell r="N272">
            <v>0</v>
          </cell>
          <cell r="O272">
            <v>0</v>
          </cell>
          <cell r="P272">
            <v>0</v>
          </cell>
          <cell r="Q272">
            <v>687013</v>
          </cell>
          <cell r="R272">
            <v>171753</v>
          </cell>
          <cell r="S272">
            <v>0</v>
          </cell>
          <cell r="T272">
            <v>0</v>
          </cell>
          <cell r="U272">
            <v>0</v>
          </cell>
          <cell r="V272">
            <v>0</v>
          </cell>
          <cell r="W272">
            <v>0</v>
          </cell>
          <cell r="X272">
            <v>0</v>
          </cell>
          <cell r="Y272">
            <v>0</v>
          </cell>
          <cell r="Z272">
            <v>14913.567116772823</v>
          </cell>
          <cell r="AA272">
            <v>3728.3917791932049</v>
          </cell>
          <cell r="AB272">
            <v>0</v>
          </cell>
          <cell r="AC272">
            <v>243592.55735031847</v>
          </cell>
          <cell r="AD272">
            <v>60898.139337579603</v>
          </cell>
          <cell r="AE272">
            <v>0</v>
          </cell>
          <cell r="AF272">
            <v>2109</v>
          </cell>
          <cell r="AG272">
            <v>0</v>
          </cell>
          <cell r="AH272">
            <v>0</v>
          </cell>
          <cell r="AI272">
            <v>843</v>
          </cell>
          <cell r="AJ272">
            <v>210.85299999999998</v>
          </cell>
          <cell r="AK272">
            <v>0</v>
          </cell>
          <cell r="AL272">
            <v>264063</v>
          </cell>
          <cell r="AM272">
            <v>65276</v>
          </cell>
          <cell r="AN272">
            <v>0</v>
          </cell>
          <cell r="AO272">
            <v>-174173</v>
          </cell>
          <cell r="AP272">
            <v>-139340</v>
          </cell>
          <cell r="AQ272">
            <v>-34835</v>
          </cell>
          <cell r="AR272">
            <v>0</v>
          </cell>
          <cell r="AS272">
            <v>-348348</v>
          </cell>
          <cell r="AT272">
            <v>-9130584</v>
          </cell>
          <cell r="AU272">
            <v>-7304466</v>
          </cell>
          <cell r="AV272">
            <v>-1826116</v>
          </cell>
          <cell r="AW272">
            <v>0</v>
          </cell>
          <cell r="AX272">
            <v>-18261166</v>
          </cell>
          <cell r="AY272">
            <v>48859703</v>
          </cell>
          <cell r="AZ272">
            <v>3363257.92</v>
          </cell>
          <cell r="BA272">
            <v>1263931.49</v>
          </cell>
          <cell r="BB272">
            <v>2220562.13</v>
          </cell>
          <cell r="BC272">
            <v>37874.99</v>
          </cell>
          <cell r="BD272">
            <v>69406.7</v>
          </cell>
          <cell r="BE272">
            <v>0</v>
          </cell>
          <cell r="BF272">
            <v>924393.72</v>
          </cell>
          <cell r="BG272">
            <v>54163.21</v>
          </cell>
          <cell r="BH272">
            <v>294480.75</v>
          </cell>
          <cell r="BI272">
            <v>421.81</v>
          </cell>
          <cell r="BJ272">
            <v>16410.810000000001</v>
          </cell>
          <cell r="BK272">
            <v>11053.73</v>
          </cell>
          <cell r="BL272">
            <v>0</v>
          </cell>
          <cell r="BM272">
            <v>0</v>
          </cell>
          <cell r="BN272">
            <v>0</v>
          </cell>
          <cell r="BO272">
            <v>0</v>
          </cell>
          <cell r="BP272">
            <v>48756085.700000003</v>
          </cell>
          <cell r="BQ272">
            <v>53611.46</v>
          </cell>
          <cell r="BR272">
            <v>667669</v>
          </cell>
          <cell r="BS272">
            <v>-357765</v>
          </cell>
        </row>
        <row r="273">
          <cell r="A273">
            <v>266</v>
          </cell>
          <cell r="B273" t="str">
            <v>Sunderland</v>
          </cell>
          <cell r="C273" t="str">
            <v>E4505</v>
          </cell>
          <cell r="D273">
            <v>333613</v>
          </cell>
          <cell r="E273">
            <v>139977</v>
          </cell>
          <cell r="G273">
            <v>81095</v>
          </cell>
          <cell r="H273">
            <v>0</v>
          </cell>
          <cell r="I273">
            <v>333613</v>
          </cell>
          <cell r="J273">
            <v>705287</v>
          </cell>
          <cell r="K273">
            <v>0</v>
          </cell>
          <cell r="L273">
            <v>0</v>
          </cell>
          <cell r="M273">
            <v>16870</v>
          </cell>
          <cell r="N273">
            <v>16533</v>
          </cell>
          <cell r="O273">
            <v>0</v>
          </cell>
          <cell r="P273">
            <v>337</v>
          </cell>
          <cell r="Q273">
            <v>1036276</v>
          </cell>
          <cell r="R273">
            <v>0</v>
          </cell>
          <cell r="S273">
            <v>21148</v>
          </cell>
          <cell r="T273">
            <v>27454</v>
          </cell>
          <cell r="U273">
            <v>0</v>
          </cell>
          <cell r="V273">
            <v>560</v>
          </cell>
          <cell r="W273">
            <v>0</v>
          </cell>
          <cell r="X273">
            <v>0</v>
          </cell>
          <cell r="Y273">
            <v>0</v>
          </cell>
          <cell r="Z273">
            <v>32993.803566878982</v>
          </cell>
          <cell r="AA273">
            <v>5.8403189397175798E-13</v>
          </cell>
          <cell r="AB273">
            <v>673.34292993630572</v>
          </cell>
          <cell r="AC273">
            <v>361497.23991507431</v>
          </cell>
          <cell r="AD273">
            <v>6.3989566181785667E-12</v>
          </cell>
          <cell r="AE273">
            <v>7377.4946921443743</v>
          </cell>
          <cell r="AF273">
            <v>0</v>
          </cell>
          <cell r="AG273">
            <v>0</v>
          </cell>
          <cell r="AH273">
            <v>0</v>
          </cell>
          <cell r="AI273">
            <v>0</v>
          </cell>
          <cell r="AJ273">
            <v>0</v>
          </cell>
          <cell r="AK273">
            <v>0</v>
          </cell>
          <cell r="AL273">
            <v>441652</v>
          </cell>
          <cell r="AM273">
            <v>0</v>
          </cell>
          <cell r="AN273">
            <v>8788</v>
          </cell>
          <cell r="AO273">
            <v>-407491</v>
          </cell>
          <cell r="AP273">
            <v>-399342</v>
          </cell>
          <cell r="AQ273">
            <v>0</v>
          </cell>
          <cell r="AR273">
            <v>-8150</v>
          </cell>
          <cell r="AS273">
            <v>-814983</v>
          </cell>
          <cell r="AT273">
            <v>-3882656</v>
          </cell>
          <cell r="AU273">
            <v>-3805003</v>
          </cell>
          <cell r="AV273">
            <v>0</v>
          </cell>
          <cell r="AW273">
            <v>-77654</v>
          </cell>
          <cell r="AX273">
            <v>-7765313</v>
          </cell>
          <cell r="AY273">
            <v>80189202</v>
          </cell>
          <cell r="AZ273">
            <v>4167412</v>
          </cell>
          <cell r="BA273">
            <v>1767612</v>
          </cell>
          <cell r="BB273">
            <v>4937818</v>
          </cell>
          <cell r="BC273">
            <v>32579</v>
          </cell>
          <cell r="BD273">
            <v>1637</v>
          </cell>
          <cell r="BE273">
            <v>75317</v>
          </cell>
          <cell r="BF273">
            <v>2866172</v>
          </cell>
          <cell r="BG273">
            <v>59057</v>
          </cell>
          <cell r="BH273">
            <v>118628</v>
          </cell>
          <cell r="BI273">
            <v>565</v>
          </cell>
          <cell r="BJ273">
            <v>0</v>
          </cell>
          <cell r="BK273">
            <v>0</v>
          </cell>
          <cell r="BL273">
            <v>32970</v>
          </cell>
          <cell r="BM273">
            <v>32970</v>
          </cell>
          <cell r="BN273">
            <v>28390</v>
          </cell>
          <cell r="BO273">
            <v>0</v>
          </cell>
          <cell r="BP273">
            <v>90697017</v>
          </cell>
          <cell r="BQ273">
            <v>978733</v>
          </cell>
          <cell r="BR273">
            <v>8382348</v>
          </cell>
          <cell r="BS273">
            <v>584579</v>
          </cell>
        </row>
        <row r="274">
          <cell r="A274">
            <v>267</v>
          </cell>
          <cell r="B274" t="str">
            <v>Surrey Heath</v>
          </cell>
          <cell r="C274" t="str">
            <v>E3638</v>
          </cell>
          <cell r="D274">
            <v>121859</v>
          </cell>
          <cell r="G274">
            <v>-393193</v>
          </cell>
          <cell r="H274">
            <v>0</v>
          </cell>
          <cell r="I274">
            <v>121859</v>
          </cell>
          <cell r="J274">
            <v>0</v>
          </cell>
          <cell r="K274">
            <v>0</v>
          </cell>
          <cell r="L274">
            <v>0</v>
          </cell>
          <cell r="M274">
            <v>0</v>
          </cell>
          <cell r="N274">
            <v>0</v>
          </cell>
          <cell r="O274">
            <v>0</v>
          </cell>
          <cell r="P274">
            <v>0</v>
          </cell>
          <cell r="Q274">
            <v>240745</v>
          </cell>
          <cell r="R274">
            <v>60186</v>
          </cell>
          <cell r="S274">
            <v>0</v>
          </cell>
          <cell r="T274">
            <v>404</v>
          </cell>
          <cell r="U274">
            <v>101</v>
          </cell>
          <cell r="V274">
            <v>0</v>
          </cell>
          <cell r="W274">
            <v>8085</v>
          </cell>
          <cell r="X274">
            <v>2021</v>
          </cell>
          <cell r="Y274">
            <v>0</v>
          </cell>
          <cell r="Z274">
            <v>4042.4628450106161</v>
          </cell>
          <cell r="AA274">
            <v>1010.6157112526538</v>
          </cell>
          <cell r="AB274">
            <v>0</v>
          </cell>
          <cell r="AC274">
            <v>218697.23991507431</v>
          </cell>
          <cell r="AD274">
            <v>54674.309978768564</v>
          </cell>
          <cell r="AE274">
            <v>0</v>
          </cell>
          <cell r="AF274">
            <v>0</v>
          </cell>
          <cell r="AG274">
            <v>0</v>
          </cell>
          <cell r="AH274">
            <v>0</v>
          </cell>
          <cell r="AI274">
            <v>0</v>
          </cell>
          <cell r="AJ274">
            <v>0</v>
          </cell>
          <cell r="AK274">
            <v>0</v>
          </cell>
          <cell r="AL274">
            <v>141095</v>
          </cell>
          <cell r="AM274">
            <v>34950</v>
          </cell>
          <cell r="AN274">
            <v>0</v>
          </cell>
          <cell r="AO274">
            <v>-488000</v>
          </cell>
          <cell r="AP274">
            <v>-390400</v>
          </cell>
          <cell r="AQ274">
            <v>-97600</v>
          </cell>
          <cell r="AR274">
            <v>0</v>
          </cell>
          <cell r="AS274">
            <v>-976000</v>
          </cell>
          <cell r="AT274">
            <v>-700000</v>
          </cell>
          <cell r="AU274">
            <v>-560000</v>
          </cell>
          <cell r="AV274">
            <v>-140000</v>
          </cell>
          <cell r="AW274">
            <v>0</v>
          </cell>
          <cell r="AX274">
            <v>-1400000</v>
          </cell>
          <cell r="AY274">
            <v>31792945</v>
          </cell>
          <cell r="AZ274">
            <v>1167009</v>
          </cell>
          <cell r="BA274">
            <v>673382</v>
          </cell>
          <cell r="BB274">
            <v>1315932</v>
          </cell>
          <cell r="BC274">
            <v>5511</v>
          </cell>
          <cell r="BD274">
            <v>0</v>
          </cell>
          <cell r="BE274">
            <v>18671</v>
          </cell>
          <cell r="BF274">
            <v>1364679</v>
          </cell>
          <cell r="BG274">
            <v>73066</v>
          </cell>
          <cell r="BH274">
            <v>204278</v>
          </cell>
          <cell r="BI274">
            <v>1378</v>
          </cell>
          <cell r="BJ274">
            <v>0</v>
          </cell>
          <cell r="BK274">
            <v>0</v>
          </cell>
          <cell r="BL274">
            <v>0</v>
          </cell>
          <cell r="BM274">
            <v>0</v>
          </cell>
          <cell r="BN274">
            <v>0</v>
          </cell>
          <cell r="BO274">
            <v>0</v>
          </cell>
          <cell r="BP274">
            <v>35007271</v>
          </cell>
          <cell r="BQ274">
            <v>204787</v>
          </cell>
          <cell r="BR274">
            <v>2246434</v>
          </cell>
          <cell r="BS274">
            <v>974349</v>
          </cell>
        </row>
        <row r="275">
          <cell r="A275">
            <v>268</v>
          </cell>
          <cell r="B275" t="str">
            <v>Sutton</v>
          </cell>
          <cell r="C275" t="str">
            <v>E5048</v>
          </cell>
          <cell r="D275">
            <v>207257</v>
          </cell>
          <cell r="G275">
            <v>8229</v>
          </cell>
          <cell r="H275">
            <v>0</v>
          </cell>
          <cell r="I275">
            <v>207257</v>
          </cell>
          <cell r="J275">
            <v>0</v>
          </cell>
          <cell r="K275">
            <v>0</v>
          </cell>
          <cell r="L275">
            <v>0</v>
          </cell>
          <cell r="M275">
            <v>0</v>
          </cell>
          <cell r="N275">
            <v>0</v>
          </cell>
          <cell r="O275">
            <v>0</v>
          </cell>
          <cell r="P275">
            <v>0</v>
          </cell>
          <cell r="Q275">
            <v>394184</v>
          </cell>
          <cell r="R275">
            <v>262790</v>
          </cell>
          <cell r="S275">
            <v>0</v>
          </cell>
          <cell r="T275">
            <v>15159</v>
          </cell>
          <cell r="U275">
            <v>10106</v>
          </cell>
          <cell r="V275">
            <v>0</v>
          </cell>
          <cell r="W275">
            <v>75796</v>
          </cell>
          <cell r="X275">
            <v>50531</v>
          </cell>
          <cell r="Y275">
            <v>0</v>
          </cell>
          <cell r="Z275">
            <v>30318.471337579613</v>
          </cell>
          <cell r="AA275">
            <v>20212.31422505308</v>
          </cell>
          <cell r="AB275">
            <v>0</v>
          </cell>
          <cell r="AC275">
            <v>522690.44585987262</v>
          </cell>
          <cell r="AD275">
            <v>348460.29723991512</v>
          </cell>
          <cell r="AE275">
            <v>0</v>
          </cell>
          <cell r="AF275">
            <v>0</v>
          </cell>
          <cell r="AG275">
            <v>0</v>
          </cell>
          <cell r="AH275">
            <v>0</v>
          </cell>
          <cell r="AI275">
            <v>0</v>
          </cell>
          <cell r="AJ275">
            <v>0</v>
          </cell>
          <cell r="AK275">
            <v>0</v>
          </cell>
          <cell r="AL275">
            <v>166512</v>
          </cell>
          <cell r="AM275">
            <v>109541</v>
          </cell>
          <cell r="AN275">
            <v>0</v>
          </cell>
          <cell r="AO275">
            <v>-450098</v>
          </cell>
          <cell r="AP275">
            <v>-270059</v>
          </cell>
          <cell r="AQ275">
            <v>-180039</v>
          </cell>
          <cell r="AR275">
            <v>0</v>
          </cell>
          <cell r="AS275">
            <v>-900196</v>
          </cell>
          <cell r="AT275">
            <v>-1086897</v>
          </cell>
          <cell r="AU275">
            <v>-652138</v>
          </cell>
          <cell r="AV275">
            <v>-434759</v>
          </cell>
          <cell r="AW275">
            <v>0</v>
          </cell>
          <cell r="AX275">
            <v>-2173794</v>
          </cell>
          <cell r="AY275">
            <v>46692813</v>
          </cell>
          <cell r="AZ275">
            <v>2653644.63</v>
          </cell>
          <cell r="BA275">
            <v>964866.38</v>
          </cell>
          <cell r="BB275">
            <v>4385991.5</v>
          </cell>
          <cell r="BC275">
            <v>18180.599999999999</v>
          </cell>
          <cell r="BD275">
            <v>0</v>
          </cell>
          <cell r="BE275">
            <v>1396.08</v>
          </cell>
          <cell r="BF275">
            <v>2139198</v>
          </cell>
          <cell r="BG275">
            <v>0</v>
          </cell>
          <cell r="BH275">
            <v>102324.06</v>
          </cell>
          <cell r="BI275">
            <v>0</v>
          </cell>
          <cell r="BJ275">
            <v>0</v>
          </cell>
          <cell r="BK275">
            <v>0</v>
          </cell>
          <cell r="BL275">
            <v>0</v>
          </cell>
          <cell r="BM275">
            <v>0</v>
          </cell>
          <cell r="BN275">
            <v>0</v>
          </cell>
          <cell r="BO275">
            <v>0</v>
          </cell>
          <cell r="BP275">
            <v>50999625</v>
          </cell>
          <cell r="BQ275">
            <v>907184</v>
          </cell>
          <cell r="BR275">
            <v>2819861</v>
          </cell>
          <cell r="BS275">
            <v>-793783</v>
          </cell>
        </row>
        <row r="276">
          <cell r="A276">
            <v>269</v>
          </cell>
          <cell r="B276" t="str">
            <v>Swale</v>
          </cell>
          <cell r="C276" t="str">
            <v>E2241</v>
          </cell>
          <cell r="D276">
            <v>180544</v>
          </cell>
          <cell r="G276">
            <v>43704</v>
          </cell>
          <cell r="H276">
            <v>0</v>
          </cell>
          <cell r="I276">
            <v>180544</v>
          </cell>
          <cell r="J276">
            <v>0</v>
          </cell>
          <cell r="K276">
            <v>24550</v>
          </cell>
          <cell r="L276">
            <v>175450</v>
          </cell>
          <cell r="M276">
            <v>0</v>
          </cell>
          <cell r="N276">
            <v>0</v>
          </cell>
          <cell r="O276">
            <v>0</v>
          </cell>
          <cell r="P276">
            <v>0</v>
          </cell>
          <cell r="Q276">
            <v>606284</v>
          </cell>
          <cell r="R276">
            <v>136414</v>
          </cell>
          <cell r="S276">
            <v>15157</v>
          </cell>
          <cell r="T276">
            <v>0</v>
          </cell>
          <cell r="U276">
            <v>0</v>
          </cell>
          <cell r="V276">
            <v>0</v>
          </cell>
          <cell r="W276">
            <v>4042</v>
          </cell>
          <cell r="X276">
            <v>910</v>
          </cell>
          <cell r="Y276">
            <v>101</v>
          </cell>
          <cell r="Z276">
            <v>8769.7188959660307</v>
          </cell>
          <cell r="AA276">
            <v>1973.1867515923564</v>
          </cell>
          <cell r="AB276">
            <v>219.24297239915074</v>
          </cell>
          <cell r="AC276">
            <v>222335.45647558389</v>
          </cell>
          <cell r="AD276">
            <v>50025.477707006365</v>
          </cell>
          <cell r="AE276">
            <v>5558.3864118895972</v>
          </cell>
          <cell r="AF276">
            <v>0</v>
          </cell>
          <cell r="AG276">
            <v>0</v>
          </cell>
          <cell r="AH276">
            <v>0</v>
          </cell>
          <cell r="AI276">
            <v>9394</v>
          </cell>
          <cell r="AJ276">
            <v>2113.6499999999996</v>
          </cell>
          <cell r="AK276">
            <v>234.85</v>
          </cell>
          <cell r="AL276">
            <v>176611</v>
          </cell>
          <cell r="AM276">
            <v>41110</v>
          </cell>
          <cell r="AN276">
            <v>4361</v>
          </cell>
          <cell r="AO276">
            <v>-959806</v>
          </cell>
          <cell r="AP276">
            <v>-767844</v>
          </cell>
          <cell r="AQ276">
            <v>-172765</v>
          </cell>
          <cell r="AR276">
            <v>-19196</v>
          </cell>
          <cell r="AS276">
            <v>-1919611</v>
          </cell>
          <cell r="AT276">
            <v>-1207010</v>
          </cell>
          <cell r="AU276">
            <v>-965609</v>
          </cell>
          <cell r="AV276">
            <v>-217262</v>
          </cell>
          <cell r="AW276">
            <v>-24140</v>
          </cell>
          <cell r="AX276">
            <v>-2414021</v>
          </cell>
          <cell r="AY276">
            <v>38735813</v>
          </cell>
          <cell r="AZ276">
            <v>2949215.93</v>
          </cell>
          <cell r="BA276">
            <v>836409.9</v>
          </cell>
          <cell r="BB276">
            <v>2553545.5699999998</v>
          </cell>
          <cell r="BC276">
            <v>87430.68</v>
          </cell>
          <cell r="BD276">
            <v>37356.93</v>
          </cell>
          <cell r="BE276">
            <v>22696.78</v>
          </cell>
          <cell r="BF276">
            <v>2069054.18</v>
          </cell>
          <cell r="BG276">
            <v>230676.05</v>
          </cell>
          <cell r="BH276">
            <v>130935.15</v>
          </cell>
          <cell r="BI276">
            <v>21857.66</v>
          </cell>
          <cell r="BJ276">
            <v>37356.93</v>
          </cell>
          <cell r="BK276">
            <v>7775.14</v>
          </cell>
          <cell r="BL276">
            <v>0</v>
          </cell>
          <cell r="BM276">
            <v>0</v>
          </cell>
          <cell r="BN276">
            <v>0</v>
          </cell>
          <cell r="BO276">
            <v>0</v>
          </cell>
          <cell r="BP276">
            <v>41884071.600000001</v>
          </cell>
          <cell r="BQ276">
            <v>89204.77</v>
          </cell>
          <cell r="BR276">
            <v>2151265</v>
          </cell>
          <cell r="BS276">
            <v>891767</v>
          </cell>
        </row>
        <row r="277">
          <cell r="A277">
            <v>270</v>
          </cell>
          <cell r="B277" t="str">
            <v>Swindon</v>
          </cell>
          <cell r="C277" t="str">
            <v>E3901</v>
          </cell>
          <cell r="D277">
            <v>270650</v>
          </cell>
          <cell r="G277">
            <v>-135035</v>
          </cell>
          <cell r="H277">
            <v>0</v>
          </cell>
          <cell r="I277">
            <v>270650</v>
          </cell>
          <cell r="J277">
            <v>0</v>
          </cell>
          <cell r="K277">
            <v>0</v>
          </cell>
          <cell r="L277">
            <v>0</v>
          </cell>
          <cell r="M277">
            <v>0</v>
          </cell>
          <cell r="N277">
            <v>0</v>
          </cell>
          <cell r="O277">
            <v>0</v>
          </cell>
          <cell r="P277">
            <v>0</v>
          </cell>
          <cell r="Q277">
            <v>612639</v>
          </cell>
          <cell r="R277">
            <v>0</v>
          </cell>
          <cell r="S277">
            <v>12503</v>
          </cell>
          <cell r="T277">
            <v>0</v>
          </cell>
          <cell r="U277">
            <v>0</v>
          </cell>
          <cell r="V277">
            <v>0</v>
          </cell>
          <cell r="W277">
            <v>0</v>
          </cell>
          <cell r="X277">
            <v>0</v>
          </cell>
          <cell r="Y277">
            <v>0</v>
          </cell>
          <cell r="Z277">
            <v>37140.127388535031</v>
          </cell>
          <cell r="AA277">
            <v>6.5742704981286631E-13</v>
          </cell>
          <cell r="AB277">
            <v>757.96178343949043</v>
          </cell>
          <cell r="AC277">
            <v>683378.34394904447</v>
          </cell>
          <cell r="AD277">
            <v>1.2096657716556741E-11</v>
          </cell>
          <cell r="AE277">
            <v>13946.496815286624</v>
          </cell>
          <cell r="AF277">
            <v>0</v>
          </cell>
          <cell r="AG277">
            <v>0</v>
          </cell>
          <cell r="AH277">
            <v>0</v>
          </cell>
          <cell r="AI277">
            <v>0</v>
          </cell>
          <cell r="AJ277">
            <v>0</v>
          </cell>
          <cell r="AK277">
            <v>0</v>
          </cell>
          <cell r="AL277">
            <v>537778</v>
          </cell>
          <cell r="AM277">
            <v>0</v>
          </cell>
          <cell r="AN277">
            <v>10916</v>
          </cell>
          <cell r="AO277">
            <v>-616731</v>
          </cell>
          <cell r="AP277">
            <v>-604395</v>
          </cell>
          <cell r="AQ277">
            <v>0</v>
          </cell>
          <cell r="AR277">
            <v>-12334</v>
          </cell>
          <cell r="AS277">
            <v>-1233460</v>
          </cell>
          <cell r="AT277">
            <v>-1909219</v>
          </cell>
          <cell r="AU277">
            <v>-1871035</v>
          </cell>
          <cell r="AV277">
            <v>0</v>
          </cell>
          <cell r="AW277">
            <v>-38185</v>
          </cell>
          <cell r="AX277">
            <v>-3818439</v>
          </cell>
          <cell r="AY277">
            <v>96994512</v>
          </cell>
          <cell r="AZ277">
            <v>2419075.98</v>
          </cell>
          <cell r="BA277">
            <v>2120635.73</v>
          </cell>
          <cell r="BB277">
            <v>5343215.88</v>
          </cell>
          <cell r="BC277">
            <v>70367.399999999994</v>
          </cell>
          <cell r="BD277">
            <v>6244.59</v>
          </cell>
          <cell r="BE277">
            <v>344575.97</v>
          </cell>
          <cell r="BF277">
            <v>4913395.5999999996</v>
          </cell>
          <cell r="BG277">
            <v>168258.12</v>
          </cell>
          <cell r="BH277">
            <v>58169.62</v>
          </cell>
          <cell r="BI277">
            <v>17591.849999999999</v>
          </cell>
          <cell r="BJ277">
            <v>6244.56</v>
          </cell>
          <cell r="BK277">
            <v>0</v>
          </cell>
          <cell r="BL277">
            <v>0</v>
          </cell>
          <cell r="BM277">
            <v>0</v>
          </cell>
          <cell r="BN277">
            <v>0</v>
          </cell>
          <cell r="BO277">
            <v>0</v>
          </cell>
          <cell r="BP277">
            <v>105276023</v>
          </cell>
          <cell r="BQ277">
            <v>1056069.02</v>
          </cell>
          <cell r="BR277">
            <v>3444897.81</v>
          </cell>
          <cell r="BS277">
            <v>1323849.77</v>
          </cell>
        </row>
        <row r="278">
          <cell r="A278">
            <v>271</v>
          </cell>
          <cell r="B278" t="str">
            <v>Tameside</v>
          </cell>
          <cell r="C278" t="str">
            <v>E4208</v>
          </cell>
          <cell r="D278">
            <v>300650</v>
          </cell>
          <cell r="G278">
            <v>0</v>
          </cell>
          <cell r="H278">
            <v>0</v>
          </cell>
          <cell r="I278">
            <v>300650</v>
          </cell>
          <cell r="J278">
            <v>0</v>
          </cell>
          <cell r="K278">
            <v>0</v>
          </cell>
          <cell r="L278">
            <v>0</v>
          </cell>
          <cell r="M278">
            <v>0</v>
          </cell>
          <cell r="N278">
            <v>0</v>
          </cell>
          <cell r="O278">
            <v>0</v>
          </cell>
          <cell r="P278">
            <v>0</v>
          </cell>
          <cell r="Q278">
            <v>1369554</v>
          </cell>
          <cell r="R278">
            <v>0</v>
          </cell>
          <cell r="S278">
            <v>27950</v>
          </cell>
          <cell r="T278">
            <v>0</v>
          </cell>
          <cell r="U278">
            <v>0</v>
          </cell>
          <cell r="V278">
            <v>0</v>
          </cell>
          <cell r="W278">
            <v>0</v>
          </cell>
          <cell r="X278">
            <v>0</v>
          </cell>
          <cell r="Y278">
            <v>0</v>
          </cell>
          <cell r="Z278">
            <v>31583.469129511679</v>
          </cell>
          <cell r="AA278">
            <v>5.5906719746686414E-13</v>
          </cell>
          <cell r="AB278">
            <v>644.56059447983023</v>
          </cell>
          <cell r="AC278">
            <v>474182.86242038215</v>
          </cell>
          <cell r="AD278">
            <v>8.3936341157807906E-12</v>
          </cell>
          <cell r="AE278">
            <v>9677.20127388535</v>
          </cell>
          <cell r="AF278">
            <v>0</v>
          </cell>
          <cell r="AG278">
            <v>0</v>
          </cell>
          <cell r="AH278">
            <v>0</v>
          </cell>
          <cell r="AI278">
            <v>0</v>
          </cell>
          <cell r="AJ278">
            <v>0</v>
          </cell>
          <cell r="AK278">
            <v>0</v>
          </cell>
          <cell r="AL278">
            <v>288741</v>
          </cell>
          <cell r="AM278">
            <v>0</v>
          </cell>
          <cell r="AN278">
            <v>5826</v>
          </cell>
          <cell r="AO278">
            <v>-1187647.94</v>
          </cell>
          <cell r="AP278">
            <v>-1163895</v>
          </cell>
          <cell r="AQ278">
            <v>0</v>
          </cell>
          <cell r="AR278">
            <v>-23753</v>
          </cell>
          <cell r="AS278">
            <v>-2375295.94</v>
          </cell>
          <cell r="AT278">
            <v>-1683142</v>
          </cell>
          <cell r="AU278">
            <v>-1649480</v>
          </cell>
          <cell r="AV278">
            <v>0</v>
          </cell>
          <cell r="AW278">
            <v>-33663</v>
          </cell>
          <cell r="AX278">
            <v>-3366285</v>
          </cell>
          <cell r="AY278">
            <v>52615179</v>
          </cell>
          <cell r="AZ278">
            <v>5437006.25</v>
          </cell>
          <cell r="BA278">
            <v>1120484.8500000001</v>
          </cell>
          <cell r="BB278">
            <v>2888182.25</v>
          </cell>
          <cell r="BC278">
            <v>125775.38</v>
          </cell>
          <cell r="BD278">
            <v>0</v>
          </cell>
          <cell r="BE278">
            <v>3418.47</v>
          </cell>
          <cell r="BF278">
            <v>2745972.9</v>
          </cell>
          <cell r="BG278">
            <v>25821.35</v>
          </cell>
          <cell r="BH278">
            <v>33277.269999999997</v>
          </cell>
          <cell r="BI278">
            <v>2422.04</v>
          </cell>
          <cell r="BJ278">
            <v>0</v>
          </cell>
          <cell r="BK278">
            <v>0</v>
          </cell>
          <cell r="BL278">
            <v>0</v>
          </cell>
          <cell r="BM278">
            <v>0</v>
          </cell>
          <cell r="BN278">
            <v>0</v>
          </cell>
          <cell r="BO278">
            <v>0</v>
          </cell>
          <cell r="BP278">
            <v>57838508.899999999</v>
          </cell>
          <cell r="BQ278">
            <v>69580.600000000006</v>
          </cell>
          <cell r="BR278">
            <v>5808510.6699999999</v>
          </cell>
          <cell r="BS278">
            <v>971231.17</v>
          </cell>
        </row>
        <row r="279">
          <cell r="A279">
            <v>272</v>
          </cell>
          <cell r="B279" t="str">
            <v>Tamworth</v>
          </cell>
          <cell r="C279" t="str">
            <v>E3439</v>
          </cell>
          <cell r="D279">
            <v>92162</v>
          </cell>
          <cell r="G279">
            <v>11113</v>
          </cell>
          <cell r="H279">
            <v>0</v>
          </cell>
          <cell r="I279">
            <v>92162</v>
          </cell>
          <cell r="J279">
            <v>0</v>
          </cell>
          <cell r="K279">
            <v>0</v>
          </cell>
          <cell r="L279">
            <v>0</v>
          </cell>
          <cell r="M279">
            <v>0</v>
          </cell>
          <cell r="N279">
            <v>0</v>
          </cell>
          <cell r="O279">
            <v>0</v>
          </cell>
          <cell r="P279">
            <v>0</v>
          </cell>
          <cell r="Q279">
            <v>238544</v>
          </cell>
          <cell r="R279">
            <v>53673</v>
          </cell>
          <cell r="S279">
            <v>5964</v>
          </cell>
          <cell r="T279">
            <v>22848</v>
          </cell>
          <cell r="U279">
            <v>5141</v>
          </cell>
          <cell r="V279">
            <v>571</v>
          </cell>
          <cell r="W279">
            <v>0</v>
          </cell>
          <cell r="X279">
            <v>0</v>
          </cell>
          <cell r="Y279">
            <v>0</v>
          </cell>
          <cell r="Z279">
            <v>96819.410615711255</v>
          </cell>
          <cell r="AA279">
            <v>21784.367388535029</v>
          </cell>
          <cell r="AB279">
            <v>2420.4852653927815</v>
          </cell>
          <cell r="AC279">
            <v>113255.66029723993</v>
          </cell>
          <cell r="AD279">
            <v>25482.523566878979</v>
          </cell>
          <cell r="AE279">
            <v>2831.391507430998</v>
          </cell>
          <cell r="AF279">
            <v>0</v>
          </cell>
          <cell r="AG279">
            <v>0</v>
          </cell>
          <cell r="AH279">
            <v>0</v>
          </cell>
          <cell r="AI279">
            <v>0</v>
          </cell>
          <cell r="AJ279">
            <v>0</v>
          </cell>
          <cell r="AK279">
            <v>0</v>
          </cell>
          <cell r="AL279">
            <v>136085</v>
          </cell>
          <cell r="AM279">
            <v>30399</v>
          </cell>
          <cell r="AN279">
            <v>3378</v>
          </cell>
          <cell r="AO279">
            <v>-378112.76</v>
          </cell>
          <cell r="AP279">
            <v>-302490</v>
          </cell>
          <cell r="AQ279">
            <v>-68060</v>
          </cell>
          <cell r="AR279">
            <v>-7562</v>
          </cell>
          <cell r="AS279">
            <v>-756224.76</v>
          </cell>
          <cell r="AT279">
            <v>-491074</v>
          </cell>
          <cell r="AU279">
            <v>-392860</v>
          </cell>
          <cell r="AV279">
            <v>-88393</v>
          </cell>
          <cell r="AW279">
            <v>-9822</v>
          </cell>
          <cell r="AX279">
            <v>-982149</v>
          </cell>
          <cell r="AY279">
            <v>31733045</v>
          </cell>
          <cell r="AZ279">
            <v>1085187</v>
          </cell>
          <cell r="BA279">
            <v>644006</v>
          </cell>
          <cell r="BB279">
            <v>1071694</v>
          </cell>
          <cell r="BC279">
            <v>27488</v>
          </cell>
          <cell r="BD279">
            <v>0</v>
          </cell>
          <cell r="BE279">
            <v>94063</v>
          </cell>
          <cell r="BF279">
            <v>1712072</v>
          </cell>
          <cell r="BG279">
            <v>20148</v>
          </cell>
          <cell r="BH279">
            <v>4150</v>
          </cell>
          <cell r="BI279">
            <v>2308</v>
          </cell>
          <cell r="BJ279">
            <v>0</v>
          </cell>
          <cell r="BK279">
            <v>0</v>
          </cell>
          <cell r="BL279">
            <v>0</v>
          </cell>
          <cell r="BM279">
            <v>0</v>
          </cell>
          <cell r="BN279">
            <v>0</v>
          </cell>
          <cell r="BO279">
            <v>0</v>
          </cell>
          <cell r="BP279">
            <v>33038943</v>
          </cell>
          <cell r="BQ279">
            <v>165902</v>
          </cell>
          <cell r="BR279">
            <v>836109</v>
          </cell>
          <cell r="BS279">
            <v>601347</v>
          </cell>
        </row>
        <row r="280">
          <cell r="A280">
            <v>273</v>
          </cell>
          <cell r="B280" t="str">
            <v>Tandridge</v>
          </cell>
          <cell r="C280" t="str">
            <v>E3639</v>
          </cell>
          <cell r="D280">
            <v>128179</v>
          </cell>
          <cell r="G280">
            <v>80026</v>
          </cell>
          <cell r="H280">
            <v>0</v>
          </cell>
          <cell r="I280">
            <v>128179</v>
          </cell>
          <cell r="J280">
            <v>0</v>
          </cell>
          <cell r="K280">
            <v>0</v>
          </cell>
          <cell r="L280">
            <v>0</v>
          </cell>
          <cell r="M280">
            <v>0</v>
          </cell>
          <cell r="N280">
            <v>0</v>
          </cell>
          <cell r="O280">
            <v>0</v>
          </cell>
          <cell r="P280">
            <v>0</v>
          </cell>
          <cell r="Q280">
            <v>394712</v>
          </cell>
          <cell r="R280">
            <v>98678</v>
          </cell>
          <cell r="S280">
            <v>0</v>
          </cell>
          <cell r="T280">
            <v>3372</v>
          </cell>
          <cell r="U280">
            <v>843</v>
          </cell>
          <cell r="V280">
            <v>0</v>
          </cell>
          <cell r="W280">
            <v>4042</v>
          </cell>
          <cell r="X280">
            <v>1011</v>
          </cell>
          <cell r="Y280">
            <v>0</v>
          </cell>
          <cell r="Z280">
            <v>2021.231422505308</v>
          </cell>
          <cell r="AA280">
            <v>505.3078556263269</v>
          </cell>
          <cell r="AB280">
            <v>0</v>
          </cell>
          <cell r="AC280">
            <v>132997.02760084925</v>
          </cell>
          <cell r="AD280">
            <v>33249.256900212305</v>
          </cell>
          <cell r="AE280">
            <v>0</v>
          </cell>
          <cell r="AF280">
            <v>11107.15</v>
          </cell>
          <cell r="AG280">
            <v>0</v>
          </cell>
          <cell r="AH280">
            <v>0</v>
          </cell>
          <cell r="AI280">
            <v>4794</v>
          </cell>
          <cell r="AJ280">
            <v>1198.4999999999998</v>
          </cell>
          <cell r="AK280">
            <v>0</v>
          </cell>
          <cell r="AL280">
            <v>86518</v>
          </cell>
          <cell r="AM280">
            <v>21289</v>
          </cell>
          <cell r="AN280">
            <v>0</v>
          </cell>
          <cell r="AO280">
            <v>-103148.85</v>
          </cell>
          <cell r="AP280">
            <v>-82520</v>
          </cell>
          <cell r="AQ280">
            <v>-20630</v>
          </cell>
          <cell r="AR280">
            <v>0</v>
          </cell>
          <cell r="AS280">
            <v>-206298.85</v>
          </cell>
          <cell r="AT280">
            <v>-380000</v>
          </cell>
          <cell r="AU280">
            <v>-304000</v>
          </cell>
          <cell r="AV280">
            <v>-76000</v>
          </cell>
          <cell r="AW280">
            <v>0</v>
          </cell>
          <cell r="AX280">
            <v>-760000</v>
          </cell>
          <cell r="AY280">
            <v>19159494</v>
          </cell>
          <cell r="AZ280">
            <v>1926460.88</v>
          </cell>
          <cell r="BA280">
            <v>376842.54</v>
          </cell>
          <cell r="BB280">
            <v>2301385</v>
          </cell>
          <cell r="BC280">
            <v>30783</v>
          </cell>
          <cell r="BD280">
            <v>14436.13</v>
          </cell>
          <cell r="BE280">
            <v>3957.57</v>
          </cell>
          <cell r="BF280">
            <v>666355.34</v>
          </cell>
          <cell r="BG280">
            <v>50767</v>
          </cell>
          <cell r="BH280">
            <v>12988</v>
          </cell>
          <cell r="BI280">
            <v>37</v>
          </cell>
          <cell r="BJ280">
            <v>14436.13</v>
          </cell>
          <cell r="BK280">
            <v>5082</v>
          </cell>
          <cell r="BL280">
            <v>0</v>
          </cell>
          <cell r="BM280">
            <v>0</v>
          </cell>
          <cell r="BN280">
            <v>0</v>
          </cell>
          <cell r="BO280">
            <v>0</v>
          </cell>
          <cell r="BP280">
            <v>20098959.399999999</v>
          </cell>
          <cell r="BQ280">
            <v>0</v>
          </cell>
          <cell r="BR280">
            <v>659572.54</v>
          </cell>
          <cell r="BS280">
            <v>403103</v>
          </cell>
        </row>
        <row r="281">
          <cell r="A281">
            <v>274</v>
          </cell>
          <cell r="B281" t="str">
            <v>Taunton Deane</v>
          </cell>
          <cell r="C281" t="str">
            <v>E3333</v>
          </cell>
          <cell r="D281">
            <v>163775</v>
          </cell>
          <cell r="G281">
            <v>16645</v>
          </cell>
          <cell r="H281">
            <v>0</v>
          </cell>
          <cell r="I281">
            <v>163775</v>
          </cell>
          <cell r="J281">
            <v>0</v>
          </cell>
          <cell r="K281">
            <v>70000</v>
          </cell>
          <cell r="L281">
            <v>0</v>
          </cell>
          <cell r="M281">
            <v>0</v>
          </cell>
          <cell r="N281">
            <v>0</v>
          </cell>
          <cell r="O281">
            <v>0</v>
          </cell>
          <cell r="P281">
            <v>0</v>
          </cell>
          <cell r="Q281">
            <v>449504</v>
          </cell>
          <cell r="R281">
            <v>101138</v>
          </cell>
          <cell r="S281">
            <v>11238</v>
          </cell>
          <cell r="T281">
            <v>9701</v>
          </cell>
          <cell r="U281">
            <v>2183</v>
          </cell>
          <cell r="V281">
            <v>243</v>
          </cell>
          <cell r="W281">
            <v>18091</v>
          </cell>
          <cell r="X281">
            <v>4070</v>
          </cell>
          <cell r="Y281">
            <v>452</v>
          </cell>
          <cell r="Z281">
            <v>39722.048407643313</v>
          </cell>
          <cell r="AA281">
            <v>8937.4608917197438</v>
          </cell>
          <cell r="AB281">
            <v>993.05121019108276</v>
          </cell>
          <cell r="AC281">
            <v>199313.6305732484</v>
          </cell>
          <cell r="AD281">
            <v>44845.566878980884</v>
          </cell>
          <cell r="AE281">
            <v>4982.8407643312103</v>
          </cell>
          <cell r="AF281">
            <v>3974</v>
          </cell>
          <cell r="AG281">
            <v>0</v>
          </cell>
          <cell r="AH281">
            <v>0</v>
          </cell>
          <cell r="AI281">
            <v>1590</v>
          </cell>
          <cell r="AJ281">
            <v>357.65999999999997</v>
          </cell>
          <cell r="AK281">
            <v>39.74</v>
          </cell>
          <cell r="AL281">
            <v>166626</v>
          </cell>
          <cell r="AM281">
            <v>36932</v>
          </cell>
          <cell r="AN281">
            <v>4104</v>
          </cell>
          <cell r="AO281">
            <v>-208849</v>
          </cell>
          <cell r="AP281">
            <v>-167078</v>
          </cell>
          <cell r="AQ281">
            <v>-37593</v>
          </cell>
          <cell r="AR281">
            <v>-4177</v>
          </cell>
          <cell r="AS281">
            <v>-417697</v>
          </cell>
          <cell r="AT281">
            <v>-1471016</v>
          </cell>
          <cell r="AU281">
            <v>-1176812</v>
          </cell>
          <cell r="AV281">
            <v>-264783</v>
          </cell>
          <cell r="AW281">
            <v>-29420</v>
          </cell>
          <cell r="AX281">
            <v>-2942031</v>
          </cell>
          <cell r="AY281">
            <v>35616282</v>
          </cell>
          <cell r="AZ281">
            <v>2253790</v>
          </cell>
          <cell r="BA281">
            <v>771007</v>
          </cell>
          <cell r="BB281">
            <v>3017592</v>
          </cell>
          <cell r="BC281">
            <v>45268</v>
          </cell>
          <cell r="BD281">
            <v>36531</v>
          </cell>
          <cell r="BE281">
            <v>65638</v>
          </cell>
          <cell r="BF281">
            <v>1674108</v>
          </cell>
          <cell r="BG281">
            <v>136385</v>
          </cell>
          <cell r="BH281">
            <v>48231</v>
          </cell>
          <cell r="BI281">
            <v>2284</v>
          </cell>
          <cell r="BJ281">
            <v>11210</v>
          </cell>
          <cell r="BK281">
            <v>8676</v>
          </cell>
          <cell r="BL281">
            <v>0</v>
          </cell>
          <cell r="BM281">
            <v>0</v>
          </cell>
          <cell r="BN281">
            <v>0</v>
          </cell>
          <cell r="BO281">
            <v>0</v>
          </cell>
          <cell r="BP281">
            <v>39240158.299999997</v>
          </cell>
          <cell r="BQ281">
            <v>160845</v>
          </cell>
          <cell r="BR281">
            <v>1210537</v>
          </cell>
          <cell r="BS281">
            <v>706564.34</v>
          </cell>
        </row>
        <row r="282">
          <cell r="A282">
            <v>275</v>
          </cell>
          <cell r="B282" t="str">
            <v>Teignbridge</v>
          </cell>
          <cell r="C282" t="str">
            <v>E1137</v>
          </cell>
          <cell r="D282">
            <v>192475</v>
          </cell>
          <cell r="G282">
            <v>170251</v>
          </cell>
          <cell r="H282">
            <v>0</v>
          </cell>
          <cell r="I282">
            <v>192475</v>
          </cell>
          <cell r="J282">
            <v>0</v>
          </cell>
          <cell r="K282">
            <v>0</v>
          </cell>
          <cell r="L282">
            <v>0</v>
          </cell>
          <cell r="M282">
            <v>0</v>
          </cell>
          <cell r="N282">
            <v>0</v>
          </cell>
          <cell r="O282">
            <v>0</v>
          </cell>
          <cell r="P282">
            <v>0</v>
          </cell>
          <cell r="Q282">
            <v>686868</v>
          </cell>
          <cell r="R282">
            <v>154545</v>
          </cell>
          <cell r="S282">
            <v>17172</v>
          </cell>
          <cell r="T282">
            <v>4042</v>
          </cell>
          <cell r="U282">
            <v>910</v>
          </cell>
          <cell r="V282">
            <v>101</v>
          </cell>
          <cell r="W282">
            <v>0</v>
          </cell>
          <cell r="X282">
            <v>0</v>
          </cell>
          <cell r="Y282">
            <v>0</v>
          </cell>
          <cell r="Z282">
            <v>4042.4628450106161</v>
          </cell>
          <cell r="AA282">
            <v>909.55414012738845</v>
          </cell>
          <cell r="AB282">
            <v>101.0615711252654</v>
          </cell>
          <cell r="AC282">
            <v>181102.33545647562</v>
          </cell>
          <cell r="AD282">
            <v>40748.025477707</v>
          </cell>
          <cell r="AE282">
            <v>4527.5583864118898</v>
          </cell>
          <cell r="AF282">
            <v>15464</v>
          </cell>
          <cell r="AG282">
            <v>0</v>
          </cell>
          <cell r="AH282">
            <v>0</v>
          </cell>
          <cell r="AI282">
            <v>7142</v>
          </cell>
          <cell r="AJ282">
            <v>1606.8599999999997</v>
          </cell>
          <cell r="AK282">
            <v>178.54</v>
          </cell>
          <cell r="AL282">
            <v>136390</v>
          </cell>
          <cell r="AM282">
            <v>30228</v>
          </cell>
          <cell r="AN282">
            <v>3359</v>
          </cell>
          <cell r="AO282">
            <v>-200000</v>
          </cell>
          <cell r="AP282">
            <v>-160000</v>
          </cell>
          <cell r="AQ282">
            <v>-36000</v>
          </cell>
          <cell r="AR282">
            <v>-4000</v>
          </cell>
          <cell r="AS282">
            <v>-400000</v>
          </cell>
          <cell r="AT282">
            <v>-176493</v>
          </cell>
          <cell r="AU282">
            <v>-141195</v>
          </cell>
          <cell r="AV282">
            <v>-31769</v>
          </cell>
          <cell r="AW282">
            <v>-3530</v>
          </cell>
          <cell r="AX282">
            <v>-352987</v>
          </cell>
          <cell r="AY282">
            <v>30103025</v>
          </cell>
          <cell r="AZ282">
            <v>3361462</v>
          </cell>
          <cell r="BA282">
            <v>558565</v>
          </cell>
          <cell r="BB282">
            <v>2011152</v>
          </cell>
          <cell r="BC282">
            <v>72272</v>
          </cell>
          <cell r="BD282">
            <v>49032</v>
          </cell>
          <cell r="BE282">
            <v>0</v>
          </cell>
          <cell r="BF282">
            <v>945437</v>
          </cell>
          <cell r="BG282">
            <v>90246</v>
          </cell>
          <cell r="BH282">
            <v>52837</v>
          </cell>
          <cell r="BI282">
            <v>7211</v>
          </cell>
          <cell r="BJ282">
            <v>34237</v>
          </cell>
          <cell r="BK282">
            <v>3142</v>
          </cell>
          <cell r="BL282">
            <v>0</v>
          </cell>
          <cell r="BM282">
            <v>0</v>
          </cell>
          <cell r="BN282">
            <v>0</v>
          </cell>
          <cell r="BO282">
            <v>0</v>
          </cell>
          <cell r="BP282">
            <v>30634866</v>
          </cell>
          <cell r="BQ282">
            <v>96938</v>
          </cell>
          <cell r="BR282">
            <v>805564</v>
          </cell>
          <cell r="BS282">
            <v>485660</v>
          </cell>
        </row>
        <row r="283">
          <cell r="A283">
            <v>276</v>
          </cell>
          <cell r="B283" t="str">
            <v>Telford and the Wrekin</v>
          </cell>
          <cell r="C283" t="str">
            <v>E3201</v>
          </cell>
          <cell r="D283">
            <v>210461</v>
          </cell>
          <cell r="G283">
            <v>-11036</v>
          </cell>
          <cell r="H283">
            <v>0</v>
          </cell>
          <cell r="I283">
            <v>210461</v>
          </cell>
          <cell r="J283">
            <v>0</v>
          </cell>
          <cell r="K283">
            <v>0</v>
          </cell>
          <cell r="L283">
            <v>0</v>
          </cell>
          <cell r="M283">
            <v>0</v>
          </cell>
          <cell r="N283">
            <v>0</v>
          </cell>
          <cell r="O283">
            <v>0</v>
          </cell>
          <cell r="P283">
            <v>0</v>
          </cell>
          <cell r="Q283">
            <v>542748</v>
          </cell>
          <cell r="R283">
            <v>0</v>
          </cell>
          <cell r="S283">
            <v>11076</v>
          </cell>
          <cell r="T283">
            <v>120611</v>
          </cell>
          <cell r="U283">
            <v>0</v>
          </cell>
          <cell r="V283">
            <v>2461</v>
          </cell>
          <cell r="W283">
            <v>217888</v>
          </cell>
          <cell r="X283">
            <v>0</v>
          </cell>
          <cell r="Y283">
            <v>4447</v>
          </cell>
          <cell r="Z283">
            <v>153798.2579193206</v>
          </cell>
          <cell r="AA283">
            <v>2.7224229446630748E-12</v>
          </cell>
          <cell r="AB283">
            <v>3138.7399575371551</v>
          </cell>
          <cell r="AC283">
            <v>148560.50955414012</v>
          </cell>
          <cell r="AD283">
            <v>2.6297081992514652E-12</v>
          </cell>
          <cell r="AE283">
            <v>3031.8471337579617</v>
          </cell>
          <cell r="AF283">
            <v>7189.2</v>
          </cell>
          <cell r="AG283">
            <v>0</v>
          </cell>
          <cell r="AH283">
            <v>0</v>
          </cell>
          <cell r="AI283">
            <v>0</v>
          </cell>
          <cell r="AJ283">
            <v>0</v>
          </cell>
          <cell r="AK283">
            <v>0</v>
          </cell>
          <cell r="AL283">
            <v>351166</v>
          </cell>
          <cell r="AM283">
            <v>0</v>
          </cell>
          <cell r="AN283">
            <v>7117</v>
          </cell>
          <cell r="AO283">
            <v>-643000</v>
          </cell>
          <cell r="AP283">
            <v>-630140</v>
          </cell>
          <cell r="AQ283">
            <v>0</v>
          </cell>
          <cell r="AR283">
            <v>-12860</v>
          </cell>
          <cell r="AS283">
            <v>-1286000</v>
          </cell>
          <cell r="AT283">
            <v>-2052000</v>
          </cell>
          <cell r="AU283">
            <v>-2010960</v>
          </cell>
          <cell r="AV283">
            <v>0</v>
          </cell>
          <cell r="AW283">
            <v>-41040</v>
          </cell>
          <cell r="AX283">
            <v>-4104000</v>
          </cell>
          <cell r="AY283">
            <v>62476715</v>
          </cell>
          <cell r="AZ283">
            <v>2438258.35</v>
          </cell>
          <cell r="BA283">
            <v>1345333.31</v>
          </cell>
          <cell r="BB283">
            <v>3919823.05</v>
          </cell>
          <cell r="BC283">
            <v>33416.54</v>
          </cell>
          <cell r="BD283">
            <v>7756.11</v>
          </cell>
          <cell r="BE283">
            <v>147792.13</v>
          </cell>
          <cell r="BF283">
            <v>2153338.61</v>
          </cell>
          <cell r="BG283">
            <v>216311.75</v>
          </cell>
          <cell r="BH283">
            <v>44941.88</v>
          </cell>
          <cell r="BI283">
            <v>2322.0300000000002</v>
          </cell>
          <cell r="BJ283">
            <v>7756.11</v>
          </cell>
          <cell r="BK283">
            <v>0</v>
          </cell>
          <cell r="BL283">
            <v>0</v>
          </cell>
          <cell r="BM283">
            <v>0</v>
          </cell>
          <cell r="BN283">
            <v>0</v>
          </cell>
          <cell r="BO283">
            <v>0</v>
          </cell>
          <cell r="BP283">
            <v>68497240</v>
          </cell>
          <cell r="BQ283">
            <v>1098654.05</v>
          </cell>
          <cell r="BR283">
            <v>3191696.21</v>
          </cell>
          <cell r="BS283">
            <v>1594884.26</v>
          </cell>
        </row>
        <row r="284">
          <cell r="A284">
            <v>277</v>
          </cell>
          <cell r="B284" t="str">
            <v>Tendring</v>
          </cell>
          <cell r="C284" t="str">
            <v>E1542</v>
          </cell>
          <cell r="D284">
            <v>293126</v>
          </cell>
          <cell r="G284">
            <v>75845</v>
          </cell>
          <cell r="H284">
            <v>0</v>
          </cell>
          <cell r="I284">
            <v>293126</v>
          </cell>
          <cell r="J284">
            <v>0</v>
          </cell>
          <cell r="K284">
            <v>0</v>
          </cell>
          <cell r="L284">
            <v>0</v>
          </cell>
          <cell r="M284">
            <v>0</v>
          </cell>
          <cell r="N284">
            <v>0</v>
          </cell>
          <cell r="O284">
            <v>0</v>
          </cell>
          <cell r="P284">
            <v>0</v>
          </cell>
          <cell r="Q284">
            <v>829940</v>
          </cell>
          <cell r="R284">
            <v>186736</v>
          </cell>
          <cell r="S284">
            <v>20748</v>
          </cell>
          <cell r="T284">
            <v>0</v>
          </cell>
          <cell r="U284">
            <v>0</v>
          </cell>
          <cell r="V284">
            <v>0</v>
          </cell>
          <cell r="W284">
            <v>0</v>
          </cell>
          <cell r="X284">
            <v>0</v>
          </cell>
          <cell r="Y284">
            <v>0</v>
          </cell>
          <cell r="Z284">
            <v>0</v>
          </cell>
          <cell r="AA284">
            <v>0</v>
          </cell>
          <cell r="AB284">
            <v>0</v>
          </cell>
          <cell r="AC284">
            <v>60636.942675159233</v>
          </cell>
          <cell r="AD284">
            <v>13643.312101910824</v>
          </cell>
          <cell r="AE284">
            <v>1515.9235668789809</v>
          </cell>
          <cell r="AF284">
            <v>0</v>
          </cell>
          <cell r="AG284">
            <v>0</v>
          </cell>
          <cell r="AH284">
            <v>0</v>
          </cell>
          <cell r="AI284">
            <v>0</v>
          </cell>
          <cell r="AJ284">
            <v>0</v>
          </cell>
          <cell r="AK284">
            <v>0</v>
          </cell>
          <cell r="AL284">
            <v>107741</v>
          </cell>
          <cell r="AM284">
            <v>23542</v>
          </cell>
          <cell r="AN284">
            <v>2616</v>
          </cell>
          <cell r="AO284">
            <v>-59591</v>
          </cell>
          <cell r="AP284">
            <v>-47674</v>
          </cell>
          <cell r="AQ284">
            <v>-10727</v>
          </cell>
          <cell r="AR284">
            <v>-1192</v>
          </cell>
          <cell r="AS284">
            <v>-119184</v>
          </cell>
          <cell r="AT284">
            <v>-789000</v>
          </cell>
          <cell r="AU284">
            <v>-631200</v>
          </cell>
          <cell r="AV284">
            <v>-142020</v>
          </cell>
          <cell r="AW284">
            <v>-15780</v>
          </cell>
          <cell r="AX284">
            <v>-1578000</v>
          </cell>
          <cell r="AY284">
            <v>24034437</v>
          </cell>
          <cell r="AZ284">
            <v>4059294</v>
          </cell>
          <cell r="BA284">
            <v>462785</v>
          </cell>
          <cell r="BB284">
            <v>1996996</v>
          </cell>
          <cell r="BC284">
            <v>114939</v>
          </cell>
          <cell r="BD284">
            <v>43889</v>
          </cell>
          <cell r="BE284">
            <v>1624</v>
          </cell>
          <cell r="BF284">
            <v>523121</v>
          </cell>
          <cell r="BG284">
            <v>27954</v>
          </cell>
          <cell r="BH284">
            <v>131</v>
          </cell>
          <cell r="BI284">
            <v>0</v>
          </cell>
          <cell r="BJ284">
            <v>43889</v>
          </cell>
          <cell r="BK284">
            <v>0</v>
          </cell>
          <cell r="BL284">
            <v>0</v>
          </cell>
          <cell r="BM284">
            <v>0</v>
          </cell>
          <cell r="BN284">
            <v>0</v>
          </cell>
          <cell r="BO284">
            <v>0</v>
          </cell>
          <cell r="BP284">
            <v>25699448</v>
          </cell>
          <cell r="BQ284">
            <v>37057</v>
          </cell>
          <cell r="BR284">
            <v>515701</v>
          </cell>
          <cell r="BS284">
            <v>527675</v>
          </cell>
        </row>
        <row r="285">
          <cell r="A285">
            <v>278</v>
          </cell>
          <cell r="B285" t="str">
            <v>Test Valley</v>
          </cell>
          <cell r="C285" t="str">
            <v>E1742</v>
          </cell>
          <cell r="D285">
            <v>187158</v>
          </cell>
          <cell r="G285">
            <v>32913</v>
          </cell>
          <cell r="H285">
            <v>0</v>
          </cell>
          <cell r="I285">
            <v>187158</v>
          </cell>
          <cell r="J285">
            <v>0</v>
          </cell>
          <cell r="K285">
            <v>0</v>
          </cell>
          <cell r="L285">
            <v>0</v>
          </cell>
          <cell r="M285">
            <v>0</v>
          </cell>
          <cell r="N285">
            <v>0</v>
          </cell>
          <cell r="O285">
            <v>0</v>
          </cell>
          <cell r="P285">
            <v>0</v>
          </cell>
          <cell r="Q285">
            <v>447932</v>
          </cell>
          <cell r="R285">
            <v>100785</v>
          </cell>
          <cell r="S285">
            <v>11198</v>
          </cell>
          <cell r="T285">
            <v>12127</v>
          </cell>
          <cell r="U285">
            <v>2729</v>
          </cell>
          <cell r="V285">
            <v>303</v>
          </cell>
          <cell r="W285">
            <v>24660</v>
          </cell>
          <cell r="X285">
            <v>5548</v>
          </cell>
          <cell r="Y285">
            <v>616</v>
          </cell>
          <cell r="Z285">
            <v>68721.868365180475</v>
          </cell>
          <cell r="AA285">
            <v>15462.420382165603</v>
          </cell>
          <cell r="AB285">
            <v>1718.0467091295118</v>
          </cell>
          <cell r="AC285">
            <v>260334.60721868367</v>
          </cell>
          <cell r="AD285">
            <v>58575.286624203807</v>
          </cell>
          <cell r="AE285">
            <v>6508.3651804670917</v>
          </cell>
          <cell r="AF285">
            <v>0</v>
          </cell>
          <cell r="AG285">
            <v>0</v>
          </cell>
          <cell r="AH285">
            <v>0</v>
          </cell>
          <cell r="AI285">
            <v>31380</v>
          </cell>
          <cell r="AJ285">
            <v>7060.6007999999983</v>
          </cell>
          <cell r="AK285">
            <v>784.51119999999992</v>
          </cell>
          <cell r="AL285">
            <v>196167</v>
          </cell>
          <cell r="AM285">
            <v>43690</v>
          </cell>
          <cell r="AN285">
            <v>4854</v>
          </cell>
          <cell r="AO285">
            <v>-425138</v>
          </cell>
          <cell r="AP285">
            <v>-340110</v>
          </cell>
          <cell r="AQ285">
            <v>-76525</v>
          </cell>
          <cell r="AR285">
            <v>-8503</v>
          </cell>
          <cell r="AS285">
            <v>-850276</v>
          </cell>
          <cell r="AT285">
            <v>-1817422</v>
          </cell>
          <cell r="AU285">
            <v>-1453938</v>
          </cell>
          <cell r="AV285">
            <v>-327136</v>
          </cell>
          <cell r="AW285">
            <v>-36349</v>
          </cell>
          <cell r="AX285">
            <v>-3634845</v>
          </cell>
          <cell r="AY285">
            <v>44040856</v>
          </cell>
          <cell r="AZ285">
            <v>2257762</v>
          </cell>
          <cell r="BA285">
            <v>929224</v>
          </cell>
          <cell r="BB285">
            <v>2555551</v>
          </cell>
          <cell r="BC285">
            <v>73811</v>
          </cell>
          <cell r="BD285">
            <v>22687</v>
          </cell>
          <cell r="BE285">
            <v>16638</v>
          </cell>
          <cell r="BF285">
            <v>1717976</v>
          </cell>
          <cell r="BG285">
            <v>165065</v>
          </cell>
          <cell r="BH285">
            <v>53052</v>
          </cell>
          <cell r="BI285">
            <v>18453</v>
          </cell>
          <cell r="BJ285">
            <v>43214</v>
          </cell>
          <cell r="BK285">
            <v>20675</v>
          </cell>
          <cell r="BL285">
            <v>0</v>
          </cell>
          <cell r="BM285">
            <v>0</v>
          </cell>
          <cell r="BN285">
            <v>0</v>
          </cell>
          <cell r="BO285">
            <v>0</v>
          </cell>
          <cell r="BP285">
            <v>48224798</v>
          </cell>
          <cell r="BQ285">
            <v>402335</v>
          </cell>
          <cell r="BR285">
            <v>3357963</v>
          </cell>
          <cell r="BS285">
            <v>1060083</v>
          </cell>
        </row>
        <row r="286">
          <cell r="A286">
            <v>279</v>
          </cell>
          <cell r="B286" t="str">
            <v>Tewkesbury</v>
          </cell>
          <cell r="C286" t="str">
            <v>E1636</v>
          </cell>
          <cell r="D286">
            <v>124101</v>
          </cell>
          <cell r="G286">
            <v>-28631</v>
          </cell>
          <cell r="H286">
            <v>0</v>
          </cell>
          <cell r="I286">
            <v>124101</v>
          </cell>
          <cell r="J286">
            <v>0</v>
          </cell>
          <cell r="K286">
            <v>0</v>
          </cell>
          <cell r="L286">
            <v>0</v>
          </cell>
          <cell r="M286">
            <v>0</v>
          </cell>
          <cell r="N286">
            <v>0</v>
          </cell>
          <cell r="O286">
            <v>0</v>
          </cell>
          <cell r="P286">
            <v>0</v>
          </cell>
          <cell r="Q286">
            <v>325269</v>
          </cell>
          <cell r="R286">
            <v>81317</v>
          </cell>
          <cell r="S286">
            <v>0</v>
          </cell>
          <cell r="T286">
            <v>242</v>
          </cell>
          <cell r="U286">
            <v>61</v>
          </cell>
          <cell r="V286">
            <v>0</v>
          </cell>
          <cell r="W286">
            <v>0</v>
          </cell>
          <cell r="X286">
            <v>0</v>
          </cell>
          <cell r="Y286">
            <v>0</v>
          </cell>
          <cell r="Z286">
            <v>12127.388535031847</v>
          </cell>
          <cell r="AA286">
            <v>3031.8471337579608</v>
          </cell>
          <cell r="AB286">
            <v>0</v>
          </cell>
          <cell r="AC286">
            <v>80849.25690021232</v>
          </cell>
          <cell r="AD286">
            <v>20212.314225053073</v>
          </cell>
          <cell r="AE286">
            <v>0</v>
          </cell>
          <cell r="AF286">
            <v>2149</v>
          </cell>
          <cell r="AG286">
            <v>0</v>
          </cell>
          <cell r="AH286">
            <v>0</v>
          </cell>
          <cell r="AI286">
            <v>12123</v>
          </cell>
          <cell r="AJ286">
            <v>3030.6999999999994</v>
          </cell>
          <cell r="AK286">
            <v>0</v>
          </cell>
          <cell r="AL286">
            <v>153207</v>
          </cell>
          <cell r="AM286">
            <v>37972</v>
          </cell>
          <cell r="AN286">
            <v>0</v>
          </cell>
          <cell r="AO286">
            <v>-108500</v>
          </cell>
          <cell r="AP286">
            <v>-86800</v>
          </cell>
          <cell r="AQ286">
            <v>-21700</v>
          </cell>
          <cell r="AR286">
            <v>0</v>
          </cell>
          <cell r="AS286">
            <v>-217000</v>
          </cell>
          <cell r="AT286">
            <v>-1465968</v>
          </cell>
          <cell r="AU286">
            <v>-1172774</v>
          </cell>
          <cell r="AV286">
            <v>-293194</v>
          </cell>
          <cell r="AW286">
            <v>0</v>
          </cell>
          <cell r="AX286">
            <v>-2931936</v>
          </cell>
          <cell r="AY286">
            <v>32375708</v>
          </cell>
          <cell r="AZ286">
            <v>1605095.2</v>
          </cell>
          <cell r="BA286">
            <v>653534.19999999995</v>
          </cell>
          <cell r="BB286">
            <v>1088348.3500000001</v>
          </cell>
          <cell r="BC286">
            <v>33080.120000000003</v>
          </cell>
          <cell r="BD286">
            <v>7024.98</v>
          </cell>
          <cell r="BE286">
            <v>13975.26</v>
          </cell>
          <cell r="BF286">
            <v>710735</v>
          </cell>
          <cell r="BG286">
            <v>40941.660000000003</v>
          </cell>
          <cell r="BH286">
            <v>4806.6499999999996</v>
          </cell>
          <cell r="BI286">
            <v>357.96</v>
          </cell>
          <cell r="BJ286">
            <v>2738.86</v>
          </cell>
          <cell r="BK286">
            <v>0</v>
          </cell>
          <cell r="BL286">
            <v>0</v>
          </cell>
          <cell r="BM286">
            <v>0</v>
          </cell>
          <cell r="BN286">
            <v>0</v>
          </cell>
          <cell r="BO286">
            <v>0</v>
          </cell>
          <cell r="BP286">
            <v>35624088</v>
          </cell>
          <cell r="BQ286">
            <v>115143.66</v>
          </cell>
          <cell r="BR286">
            <v>886919.85</v>
          </cell>
          <cell r="BS286">
            <v>-355756.63</v>
          </cell>
        </row>
        <row r="287">
          <cell r="A287">
            <v>280</v>
          </cell>
          <cell r="B287" t="str">
            <v>Thanet</v>
          </cell>
          <cell r="C287" t="str">
            <v>E2242</v>
          </cell>
          <cell r="D287">
            <v>192561</v>
          </cell>
          <cell r="G287">
            <v>559491</v>
          </cell>
          <cell r="H287">
            <v>0</v>
          </cell>
          <cell r="I287">
            <v>192561</v>
          </cell>
          <cell r="J287">
            <v>0</v>
          </cell>
          <cell r="K287">
            <v>0</v>
          </cell>
          <cell r="L287">
            <v>0</v>
          </cell>
          <cell r="M287">
            <v>0</v>
          </cell>
          <cell r="N287">
            <v>0</v>
          </cell>
          <cell r="O287">
            <v>0</v>
          </cell>
          <cell r="P287">
            <v>0</v>
          </cell>
          <cell r="Q287">
            <v>656337</v>
          </cell>
          <cell r="R287">
            <v>147676</v>
          </cell>
          <cell r="S287">
            <v>16408</v>
          </cell>
          <cell r="T287">
            <v>4455</v>
          </cell>
          <cell r="U287">
            <v>1002</v>
          </cell>
          <cell r="V287">
            <v>111</v>
          </cell>
          <cell r="W287">
            <v>0</v>
          </cell>
          <cell r="X287">
            <v>0</v>
          </cell>
          <cell r="Y287">
            <v>0</v>
          </cell>
          <cell r="Z287">
            <v>97019.108280254775</v>
          </cell>
          <cell r="AA287">
            <v>21829.299363057318</v>
          </cell>
          <cell r="AB287">
            <v>2425.4777070063692</v>
          </cell>
          <cell r="AC287">
            <v>319216.31252653932</v>
          </cell>
          <cell r="AD287">
            <v>71823.670318471326</v>
          </cell>
          <cell r="AE287">
            <v>7980.4078131634824</v>
          </cell>
          <cell r="AF287">
            <v>0</v>
          </cell>
          <cell r="AG287">
            <v>0</v>
          </cell>
          <cell r="AH287">
            <v>0</v>
          </cell>
          <cell r="AI287">
            <v>0</v>
          </cell>
          <cell r="AJ287">
            <v>0</v>
          </cell>
          <cell r="AK287">
            <v>0</v>
          </cell>
          <cell r="AL287">
            <v>137793</v>
          </cell>
          <cell r="AM287">
            <v>30543</v>
          </cell>
          <cell r="AN287">
            <v>3394</v>
          </cell>
          <cell r="AO287">
            <v>-542333</v>
          </cell>
          <cell r="AP287">
            <v>-433865</v>
          </cell>
          <cell r="AQ287">
            <v>-97620</v>
          </cell>
          <cell r="AR287">
            <v>-10846</v>
          </cell>
          <cell r="AS287">
            <v>-1084664</v>
          </cell>
          <cell r="AT287">
            <v>-254140</v>
          </cell>
          <cell r="AU287">
            <v>-203313</v>
          </cell>
          <cell r="AV287">
            <v>-45746</v>
          </cell>
          <cell r="AW287">
            <v>-5083</v>
          </cell>
          <cell r="AX287">
            <v>-508282</v>
          </cell>
          <cell r="AY287">
            <v>29955144</v>
          </cell>
          <cell r="AZ287">
            <v>3338812.42</v>
          </cell>
          <cell r="BA287">
            <v>635769.97</v>
          </cell>
          <cell r="BB287">
            <v>3398978.4</v>
          </cell>
          <cell r="BC287">
            <v>36860.080000000002</v>
          </cell>
          <cell r="BD287">
            <v>4980.84</v>
          </cell>
          <cell r="BE287">
            <v>2363.14</v>
          </cell>
          <cell r="BF287">
            <v>1173583.79</v>
          </cell>
          <cell r="BG287">
            <v>147752.29</v>
          </cell>
          <cell r="BH287">
            <v>30791.47</v>
          </cell>
          <cell r="BI287">
            <v>0</v>
          </cell>
          <cell r="BJ287">
            <v>718.27</v>
          </cell>
          <cell r="BK287">
            <v>0</v>
          </cell>
          <cell r="BL287">
            <v>0</v>
          </cell>
          <cell r="BM287">
            <v>0</v>
          </cell>
          <cell r="BN287">
            <v>0</v>
          </cell>
          <cell r="BO287">
            <v>0</v>
          </cell>
          <cell r="BP287">
            <v>31061347</v>
          </cell>
          <cell r="BQ287">
            <v>571362</v>
          </cell>
          <cell r="BR287">
            <v>2073649</v>
          </cell>
          <cell r="BS287">
            <v>1369065</v>
          </cell>
        </row>
        <row r="288">
          <cell r="A288">
            <v>281</v>
          </cell>
          <cell r="B288" t="str">
            <v>Three Rivers</v>
          </cell>
          <cell r="C288" t="str">
            <v>E1938</v>
          </cell>
          <cell r="D288">
            <v>95561</v>
          </cell>
          <cell r="G288">
            <v>-226128</v>
          </cell>
          <cell r="H288">
            <v>0</v>
          </cell>
          <cell r="I288">
            <v>95561</v>
          </cell>
          <cell r="J288">
            <v>0</v>
          </cell>
          <cell r="K288">
            <v>0</v>
          </cell>
          <cell r="L288">
            <v>0</v>
          </cell>
          <cell r="M288">
            <v>0</v>
          </cell>
          <cell r="N288">
            <v>0</v>
          </cell>
          <cell r="O288">
            <v>0</v>
          </cell>
          <cell r="P288">
            <v>0</v>
          </cell>
          <cell r="Q288">
            <v>181911</v>
          </cell>
          <cell r="R288">
            <v>45478</v>
          </cell>
          <cell r="S288">
            <v>0</v>
          </cell>
          <cell r="T288">
            <v>0</v>
          </cell>
          <cell r="U288">
            <v>0</v>
          </cell>
          <cell r="V288">
            <v>0</v>
          </cell>
          <cell r="W288">
            <v>0</v>
          </cell>
          <cell r="X288">
            <v>0</v>
          </cell>
          <cell r="Y288">
            <v>0</v>
          </cell>
          <cell r="Z288">
            <v>2856</v>
          </cell>
          <cell r="AA288">
            <v>713.99999999999989</v>
          </cell>
          <cell r="AB288">
            <v>0</v>
          </cell>
          <cell r="AC288">
            <v>212229.29936305733</v>
          </cell>
          <cell r="AD288">
            <v>53057.324840764319</v>
          </cell>
          <cell r="AE288">
            <v>0</v>
          </cell>
          <cell r="AF288">
            <v>0</v>
          </cell>
          <cell r="AG288">
            <v>0</v>
          </cell>
          <cell r="AH288">
            <v>0</v>
          </cell>
          <cell r="AI288">
            <v>0</v>
          </cell>
          <cell r="AJ288">
            <v>0</v>
          </cell>
          <cell r="AK288">
            <v>0</v>
          </cell>
          <cell r="AL288">
            <v>115814</v>
          </cell>
          <cell r="AM288">
            <v>28700</v>
          </cell>
          <cell r="AN288">
            <v>0</v>
          </cell>
          <cell r="AO288">
            <v>-501500</v>
          </cell>
          <cell r="AP288">
            <v>-401200</v>
          </cell>
          <cell r="AQ288">
            <v>-100300</v>
          </cell>
          <cell r="AR288">
            <v>0</v>
          </cell>
          <cell r="AS288">
            <v>-1003000</v>
          </cell>
          <cell r="AT288">
            <v>-643754</v>
          </cell>
          <cell r="AU288">
            <v>-515002</v>
          </cell>
          <cell r="AV288">
            <v>-128751</v>
          </cell>
          <cell r="AW288">
            <v>0</v>
          </cell>
          <cell r="AX288">
            <v>-1287507</v>
          </cell>
          <cell r="AY288">
            <v>25284055</v>
          </cell>
          <cell r="AZ288">
            <v>874437</v>
          </cell>
          <cell r="BA288">
            <v>542662</v>
          </cell>
          <cell r="BB288">
            <v>2200285</v>
          </cell>
          <cell r="BC288">
            <v>25396</v>
          </cell>
          <cell r="BD288">
            <v>2897</v>
          </cell>
          <cell r="BE288">
            <v>14915</v>
          </cell>
          <cell r="BF288">
            <v>1244041</v>
          </cell>
          <cell r="BG288">
            <v>102058</v>
          </cell>
          <cell r="BH288">
            <v>139415</v>
          </cell>
          <cell r="BI288">
            <v>6349</v>
          </cell>
          <cell r="BJ288">
            <v>2897</v>
          </cell>
          <cell r="BK288">
            <v>0</v>
          </cell>
          <cell r="BL288">
            <v>0</v>
          </cell>
          <cell r="BM288">
            <v>0</v>
          </cell>
          <cell r="BN288">
            <v>0</v>
          </cell>
          <cell r="BO288">
            <v>0</v>
          </cell>
          <cell r="BP288">
            <v>26869271</v>
          </cell>
          <cell r="BQ288">
            <v>249961</v>
          </cell>
          <cell r="BR288">
            <v>1842462</v>
          </cell>
          <cell r="BS288">
            <v>-1327583</v>
          </cell>
        </row>
        <row r="289">
          <cell r="A289">
            <v>282</v>
          </cell>
          <cell r="B289" t="str">
            <v>Thurrock</v>
          </cell>
          <cell r="C289" t="str">
            <v>E1502</v>
          </cell>
          <cell r="D289">
            <v>224944</v>
          </cell>
          <cell r="G289">
            <v>708274</v>
          </cell>
          <cell r="H289">
            <v>0</v>
          </cell>
          <cell r="I289">
            <v>224944</v>
          </cell>
          <cell r="J289">
            <v>0</v>
          </cell>
          <cell r="K289">
            <v>0</v>
          </cell>
          <cell r="L289">
            <v>0</v>
          </cell>
          <cell r="M289">
            <v>0</v>
          </cell>
          <cell r="N289">
            <v>0</v>
          </cell>
          <cell r="O289">
            <v>0</v>
          </cell>
          <cell r="P289">
            <v>0</v>
          </cell>
          <cell r="Q289">
            <v>434540</v>
          </cell>
          <cell r="R289">
            <v>0</v>
          </cell>
          <cell r="S289">
            <v>8868</v>
          </cell>
          <cell r="T289">
            <v>96564</v>
          </cell>
          <cell r="U289">
            <v>0</v>
          </cell>
          <cell r="V289">
            <v>1971</v>
          </cell>
          <cell r="W289">
            <v>35382</v>
          </cell>
          <cell r="X289">
            <v>0</v>
          </cell>
          <cell r="Y289">
            <v>722</v>
          </cell>
          <cell r="Z289">
            <v>11570.387685774946</v>
          </cell>
          <cell r="AA289">
            <v>2.0481044025170162E-13</v>
          </cell>
          <cell r="AB289">
            <v>236.13036093418259</v>
          </cell>
          <cell r="AC289">
            <v>221949.40127388536</v>
          </cell>
          <cell r="AD289">
            <v>3.9287840496816894E-12</v>
          </cell>
          <cell r="AE289">
            <v>4529.5796178343953</v>
          </cell>
          <cell r="AF289">
            <v>11264</v>
          </cell>
          <cell r="AG289">
            <v>0</v>
          </cell>
          <cell r="AH289">
            <v>0</v>
          </cell>
          <cell r="AI289">
            <v>0</v>
          </cell>
          <cell r="AJ289">
            <v>0</v>
          </cell>
          <cell r="AK289">
            <v>0</v>
          </cell>
          <cell r="AL289">
            <v>564523</v>
          </cell>
          <cell r="AM289">
            <v>0</v>
          </cell>
          <cell r="AN289">
            <v>11472</v>
          </cell>
          <cell r="AO289">
            <v>-131424</v>
          </cell>
          <cell r="AP289">
            <v>-128795</v>
          </cell>
          <cell r="AQ289">
            <v>0</v>
          </cell>
          <cell r="AR289">
            <v>-2628</v>
          </cell>
          <cell r="AS289">
            <v>-262847</v>
          </cell>
          <cell r="AT289">
            <v>-6498537</v>
          </cell>
          <cell r="AU289">
            <v>-6368567</v>
          </cell>
          <cell r="AV289">
            <v>0</v>
          </cell>
          <cell r="AW289">
            <v>-129971</v>
          </cell>
          <cell r="AX289">
            <v>-12997075</v>
          </cell>
          <cell r="AY289">
            <v>98144411</v>
          </cell>
          <cell r="AZ289">
            <v>1835219</v>
          </cell>
          <cell r="BA289">
            <v>2228643</v>
          </cell>
          <cell r="BB289">
            <v>2836033</v>
          </cell>
          <cell r="BC289">
            <v>33111</v>
          </cell>
          <cell r="BD289">
            <v>111</v>
          </cell>
          <cell r="BE289">
            <v>1599406</v>
          </cell>
          <cell r="BF289">
            <v>9743407.3599999994</v>
          </cell>
          <cell r="BG289">
            <v>40811</v>
          </cell>
          <cell r="BH289">
            <v>25969</v>
          </cell>
          <cell r="BI289">
            <v>892</v>
          </cell>
          <cell r="BJ289">
            <v>0</v>
          </cell>
          <cell r="BK289">
            <v>0</v>
          </cell>
          <cell r="BL289">
            <v>0</v>
          </cell>
          <cell r="BM289">
            <v>0</v>
          </cell>
          <cell r="BN289">
            <v>0</v>
          </cell>
          <cell r="BO289">
            <v>0</v>
          </cell>
          <cell r="BP289">
            <v>105098628</v>
          </cell>
          <cell r="BQ289">
            <v>-5465345.5</v>
          </cell>
          <cell r="BR289">
            <v>2368265</v>
          </cell>
          <cell r="BS289">
            <v>128865</v>
          </cell>
        </row>
        <row r="290">
          <cell r="A290">
            <v>283</v>
          </cell>
          <cell r="B290" t="str">
            <v>Tonbridge and Malling</v>
          </cell>
          <cell r="C290" t="str">
            <v>E2243</v>
          </cell>
          <cell r="D290">
            <v>167622</v>
          </cell>
          <cell r="G290">
            <v>90620</v>
          </cell>
          <cell r="H290">
            <v>0</v>
          </cell>
          <cell r="I290">
            <v>167622</v>
          </cell>
          <cell r="J290">
            <v>0</v>
          </cell>
          <cell r="K290">
            <v>0</v>
          </cell>
          <cell r="L290">
            <v>0</v>
          </cell>
          <cell r="M290">
            <v>0</v>
          </cell>
          <cell r="N290">
            <v>0</v>
          </cell>
          <cell r="O290">
            <v>0</v>
          </cell>
          <cell r="P290">
            <v>0</v>
          </cell>
          <cell r="Q290">
            <v>318973</v>
          </cell>
          <cell r="R290">
            <v>71769</v>
          </cell>
          <cell r="S290">
            <v>7974</v>
          </cell>
          <cell r="T290">
            <v>0</v>
          </cell>
          <cell r="U290">
            <v>0</v>
          </cell>
          <cell r="V290">
            <v>0</v>
          </cell>
          <cell r="W290">
            <v>0</v>
          </cell>
          <cell r="X290">
            <v>0</v>
          </cell>
          <cell r="Y290">
            <v>0</v>
          </cell>
          <cell r="Z290">
            <v>124103.6093418259</v>
          </cell>
          <cell r="AA290">
            <v>27923.312101910822</v>
          </cell>
          <cell r="AB290">
            <v>3102.5902335456476</v>
          </cell>
          <cell r="AC290">
            <v>303508.11040339706</v>
          </cell>
          <cell r="AD290">
            <v>68289.324840764311</v>
          </cell>
          <cell r="AE290">
            <v>7587.702760084926</v>
          </cell>
          <cell r="AF290">
            <v>273503</v>
          </cell>
          <cell r="AG290">
            <v>0</v>
          </cell>
          <cell r="AH290">
            <v>0</v>
          </cell>
          <cell r="AI290">
            <v>119146</v>
          </cell>
          <cell r="AJ290">
            <v>26807.939999999995</v>
          </cell>
          <cell r="AK290">
            <v>2978.66</v>
          </cell>
          <cell r="AL290">
            <v>226889</v>
          </cell>
          <cell r="AM290">
            <v>50650</v>
          </cell>
          <cell r="AN290">
            <v>5628</v>
          </cell>
          <cell r="AO290">
            <v>-205000</v>
          </cell>
          <cell r="AP290">
            <v>-164000</v>
          </cell>
          <cell r="AQ290">
            <v>-36900</v>
          </cell>
          <cell r="AR290">
            <v>-4100</v>
          </cell>
          <cell r="AS290">
            <v>-410000</v>
          </cell>
          <cell r="AT290">
            <v>-1070000</v>
          </cell>
          <cell r="AU290">
            <v>-856000</v>
          </cell>
          <cell r="AV290">
            <v>-192600</v>
          </cell>
          <cell r="AW290">
            <v>-21400</v>
          </cell>
          <cell r="AX290">
            <v>-2140000</v>
          </cell>
          <cell r="AY290">
            <v>49116429</v>
          </cell>
          <cell r="AZ290">
            <v>1580725</v>
          </cell>
          <cell r="BA290">
            <v>1077625</v>
          </cell>
          <cell r="BB290">
            <v>4319358</v>
          </cell>
          <cell r="BC290">
            <v>83602</v>
          </cell>
          <cell r="BD290">
            <v>10671</v>
          </cell>
          <cell r="BE290">
            <v>19696</v>
          </cell>
          <cell r="BF290">
            <v>2009074</v>
          </cell>
          <cell r="BG290">
            <v>77201</v>
          </cell>
          <cell r="BH290">
            <v>0</v>
          </cell>
          <cell r="BI290">
            <v>17561</v>
          </cell>
          <cell r="BJ290">
            <v>3468</v>
          </cell>
          <cell r="BK290">
            <v>17464</v>
          </cell>
          <cell r="BL290">
            <v>0</v>
          </cell>
          <cell r="BM290">
            <v>0</v>
          </cell>
          <cell r="BN290">
            <v>0</v>
          </cell>
          <cell r="BO290">
            <v>0</v>
          </cell>
          <cell r="BP290">
            <v>52294876</v>
          </cell>
          <cell r="BQ290">
            <v>369174</v>
          </cell>
          <cell r="BR290">
            <v>1722236</v>
          </cell>
          <cell r="BS290">
            <v>1959057</v>
          </cell>
        </row>
        <row r="291">
          <cell r="A291">
            <v>284</v>
          </cell>
          <cell r="B291" t="str">
            <v>Torbay</v>
          </cell>
          <cell r="C291" t="str">
            <v>E1102</v>
          </cell>
          <cell r="D291">
            <v>205044</v>
          </cell>
          <cell r="G291">
            <v>56123</v>
          </cell>
          <cell r="H291">
            <v>0</v>
          </cell>
          <cell r="I291">
            <v>205044</v>
          </cell>
          <cell r="J291">
            <v>0</v>
          </cell>
          <cell r="K291">
            <v>0</v>
          </cell>
          <cell r="L291">
            <v>0</v>
          </cell>
          <cell r="M291">
            <v>0</v>
          </cell>
          <cell r="N291">
            <v>0</v>
          </cell>
          <cell r="O291">
            <v>0</v>
          </cell>
          <cell r="P291">
            <v>0</v>
          </cell>
          <cell r="Q291">
            <v>930935</v>
          </cell>
          <cell r="R291">
            <v>0</v>
          </cell>
          <cell r="S291">
            <v>18999</v>
          </cell>
          <cell r="T291">
            <v>98050</v>
          </cell>
          <cell r="U291">
            <v>0</v>
          </cell>
          <cell r="V291">
            <v>2001</v>
          </cell>
          <cell r="W291">
            <v>24760</v>
          </cell>
          <cell r="X291">
            <v>0</v>
          </cell>
          <cell r="Y291">
            <v>505</v>
          </cell>
          <cell r="Z291">
            <v>99040.339702760073</v>
          </cell>
          <cell r="AA291">
            <v>1.7531387995009769E-12</v>
          </cell>
          <cell r="AB291">
            <v>2021.2314225053078</v>
          </cell>
          <cell r="AC291">
            <v>247600.84925690023</v>
          </cell>
          <cell r="AD291">
            <v>4.3828469987524427E-12</v>
          </cell>
          <cell r="AE291">
            <v>5053.07855626327</v>
          </cell>
          <cell r="AF291">
            <v>0</v>
          </cell>
          <cell r="AG291">
            <v>0</v>
          </cell>
          <cell r="AH291">
            <v>0</v>
          </cell>
          <cell r="AI291">
            <v>11566</v>
          </cell>
          <cell r="AJ291">
            <v>2.0473206463478277E-13</v>
          </cell>
          <cell r="AK291">
            <v>236.04</v>
          </cell>
          <cell r="AL291">
            <v>184484</v>
          </cell>
          <cell r="AM291">
            <v>0</v>
          </cell>
          <cell r="AN291">
            <v>3721</v>
          </cell>
          <cell r="AO291">
            <v>-455833</v>
          </cell>
          <cell r="AP291">
            <v>-446717</v>
          </cell>
          <cell r="AQ291">
            <v>0</v>
          </cell>
          <cell r="AR291">
            <v>-9117</v>
          </cell>
          <cell r="AS291">
            <v>-911667</v>
          </cell>
          <cell r="AT291">
            <v>-1263579</v>
          </cell>
          <cell r="AU291">
            <v>-1238307</v>
          </cell>
          <cell r="AV291">
            <v>0</v>
          </cell>
          <cell r="AW291">
            <v>-25272</v>
          </cell>
          <cell r="AX291">
            <v>-2527158</v>
          </cell>
          <cell r="AY291">
            <v>32618771</v>
          </cell>
          <cell r="AZ291">
            <v>3921386</v>
          </cell>
          <cell r="BA291">
            <v>705691</v>
          </cell>
          <cell r="BB291">
            <v>3272465</v>
          </cell>
          <cell r="BC291">
            <v>143012</v>
          </cell>
          <cell r="BD291">
            <v>0</v>
          </cell>
          <cell r="BE291">
            <v>640</v>
          </cell>
          <cell r="BF291">
            <v>1489060</v>
          </cell>
          <cell r="BG291">
            <v>70771</v>
          </cell>
          <cell r="BH291">
            <v>326113</v>
          </cell>
          <cell r="BI291">
            <v>4779</v>
          </cell>
          <cell r="BJ291">
            <v>0</v>
          </cell>
          <cell r="BK291">
            <v>0</v>
          </cell>
          <cell r="BL291">
            <v>0</v>
          </cell>
          <cell r="BM291">
            <v>0</v>
          </cell>
          <cell r="BN291">
            <v>0</v>
          </cell>
          <cell r="BO291">
            <v>0</v>
          </cell>
          <cell r="BP291">
            <v>35963299</v>
          </cell>
          <cell r="BQ291">
            <v>340563</v>
          </cell>
          <cell r="BR291">
            <v>1549305</v>
          </cell>
          <cell r="BS291">
            <v>-417096.65</v>
          </cell>
        </row>
        <row r="292">
          <cell r="A292">
            <v>285</v>
          </cell>
          <cell r="B292" t="str">
            <v>Torridge</v>
          </cell>
          <cell r="C292" t="str">
            <v>E1139</v>
          </cell>
          <cell r="D292">
            <v>124189</v>
          </cell>
          <cell r="G292">
            <v>151711</v>
          </cell>
          <cell r="H292">
            <v>0</v>
          </cell>
          <cell r="I292">
            <v>124189</v>
          </cell>
          <cell r="J292">
            <v>0</v>
          </cell>
          <cell r="K292">
            <v>199033</v>
          </cell>
          <cell r="L292">
            <v>0</v>
          </cell>
          <cell r="M292">
            <v>0</v>
          </cell>
          <cell r="N292">
            <v>0</v>
          </cell>
          <cell r="O292">
            <v>0</v>
          </cell>
          <cell r="P292">
            <v>0</v>
          </cell>
          <cell r="Q292">
            <v>521401</v>
          </cell>
          <cell r="R292">
            <v>117315</v>
          </cell>
          <cell r="S292">
            <v>13035</v>
          </cell>
          <cell r="T292">
            <v>0</v>
          </cell>
          <cell r="U292">
            <v>0</v>
          </cell>
          <cell r="V292">
            <v>0</v>
          </cell>
          <cell r="W292">
            <v>0</v>
          </cell>
          <cell r="X292">
            <v>0</v>
          </cell>
          <cell r="Y292">
            <v>0</v>
          </cell>
          <cell r="Z292">
            <v>13095.558386411889</v>
          </cell>
          <cell r="AA292">
            <v>2946.5006369426746</v>
          </cell>
          <cell r="AB292">
            <v>327.38895966029725</v>
          </cell>
          <cell r="AC292">
            <v>120650.94182590235</v>
          </cell>
          <cell r="AD292">
            <v>27146.461910828024</v>
          </cell>
          <cell r="AE292">
            <v>3016.2735456475589</v>
          </cell>
          <cell r="AF292">
            <v>0</v>
          </cell>
          <cell r="AG292">
            <v>0</v>
          </cell>
          <cell r="AH292">
            <v>0</v>
          </cell>
          <cell r="AI292">
            <v>0</v>
          </cell>
          <cell r="AJ292">
            <v>0</v>
          </cell>
          <cell r="AK292">
            <v>0</v>
          </cell>
          <cell r="AL292">
            <v>49156</v>
          </cell>
          <cell r="AM292">
            <v>10288</v>
          </cell>
          <cell r="AN292">
            <v>1143</v>
          </cell>
          <cell r="AO292">
            <v>-54707</v>
          </cell>
          <cell r="AP292">
            <v>-43765</v>
          </cell>
          <cell r="AQ292">
            <v>-9847</v>
          </cell>
          <cell r="AR292">
            <v>-1094</v>
          </cell>
          <cell r="AS292">
            <v>-109413</v>
          </cell>
          <cell r="AT292">
            <v>-317077</v>
          </cell>
          <cell r="AU292">
            <v>-253661</v>
          </cell>
          <cell r="AV292">
            <v>-57074</v>
          </cell>
          <cell r="AW292">
            <v>-6342</v>
          </cell>
          <cell r="AX292">
            <v>-634154</v>
          </cell>
          <cell r="AY292">
            <v>9674037</v>
          </cell>
          <cell r="AZ292">
            <v>2554339</v>
          </cell>
          <cell r="BA292">
            <v>181360</v>
          </cell>
          <cell r="BB292">
            <v>1054518</v>
          </cell>
          <cell r="BC292">
            <v>10716</v>
          </cell>
          <cell r="BD292">
            <v>58287</v>
          </cell>
          <cell r="BE292">
            <v>3355</v>
          </cell>
          <cell r="BF292">
            <v>415107</v>
          </cell>
          <cell r="BG292">
            <v>64575</v>
          </cell>
          <cell r="BH292">
            <v>19569</v>
          </cell>
          <cell r="BI292">
            <v>2220</v>
          </cell>
          <cell r="BJ292">
            <v>14718</v>
          </cell>
          <cell r="BK292">
            <v>5336</v>
          </cell>
          <cell r="BL292">
            <v>300</v>
          </cell>
          <cell r="BM292">
            <v>300</v>
          </cell>
          <cell r="BN292">
            <v>0</v>
          </cell>
          <cell r="BO292">
            <v>0</v>
          </cell>
          <cell r="BP292">
            <v>10419387</v>
          </cell>
          <cell r="BQ292">
            <v>24290</v>
          </cell>
          <cell r="BR292">
            <v>332068</v>
          </cell>
          <cell r="BS292">
            <v>136162</v>
          </cell>
        </row>
        <row r="293">
          <cell r="A293">
            <v>286</v>
          </cell>
          <cell r="B293" t="str">
            <v>Tower Hamlets</v>
          </cell>
          <cell r="C293" t="str">
            <v>E5020</v>
          </cell>
          <cell r="D293">
            <v>946111</v>
          </cell>
          <cell r="G293">
            <v>551436</v>
          </cell>
          <cell r="H293">
            <v>0</v>
          </cell>
          <cell r="I293">
            <v>946111</v>
          </cell>
          <cell r="J293">
            <v>0</v>
          </cell>
          <cell r="K293">
            <v>0</v>
          </cell>
          <cell r="L293">
            <v>0</v>
          </cell>
          <cell r="M293">
            <v>0</v>
          </cell>
          <cell r="N293">
            <v>0</v>
          </cell>
          <cell r="O293">
            <v>0</v>
          </cell>
          <cell r="P293">
            <v>0</v>
          </cell>
          <cell r="Q293">
            <v>820002</v>
          </cell>
          <cell r="R293">
            <v>546668</v>
          </cell>
          <cell r="S293">
            <v>0</v>
          </cell>
          <cell r="T293">
            <v>0</v>
          </cell>
          <cell r="U293">
            <v>0</v>
          </cell>
          <cell r="V293">
            <v>0</v>
          </cell>
          <cell r="W293">
            <v>909554</v>
          </cell>
          <cell r="X293">
            <v>606370</v>
          </cell>
          <cell r="Y293">
            <v>0</v>
          </cell>
          <cell r="Z293">
            <v>3335031.847133758</v>
          </cell>
          <cell r="AA293">
            <v>2223354.5647558388</v>
          </cell>
          <cell r="AB293">
            <v>0</v>
          </cell>
          <cell r="AC293">
            <v>1434757.9872611465</v>
          </cell>
          <cell r="AD293">
            <v>956505.3248407644</v>
          </cell>
          <cell r="AE293">
            <v>0</v>
          </cell>
          <cell r="AF293">
            <v>0</v>
          </cell>
          <cell r="AG293">
            <v>0</v>
          </cell>
          <cell r="AH293">
            <v>0</v>
          </cell>
          <cell r="AI293">
            <v>0</v>
          </cell>
          <cell r="AJ293">
            <v>0</v>
          </cell>
          <cell r="AK293">
            <v>0</v>
          </cell>
          <cell r="AL293">
            <v>1097396</v>
          </cell>
          <cell r="AM293">
            <v>724902</v>
          </cell>
          <cell r="AN293">
            <v>0</v>
          </cell>
          <cell r="AO293">
            <v>-2544836</v>
          </cell>
          <cell r="AP293">
            <v>-1526901.6</v>
          </cell>
          <cell r="AQ293">
            <v>-1017934.4</v>
          </cell>
          <cell r="AR293">
            <v>0</v>
          </cell>
          <cell r="AS293">
            <v>-5089672</v>
          </cell>
          <cell r="AT293">
            <v>-13750000</v>
          </cell>
          <cell r="AU293">
            <v>-8250000</v>
          </cell>
          <cell r="AV293">
            <v>-5500000</v>
          </cell>
          <cell r="AW293">
            <v>0</v>
          </cell>
          <cell r="AX293">
            <v>-27500000</v>
          </cell>
          <cell r="AY293">
            <v>320861853</v>
          </cell>
          <cell r="AZ293">
            <v>5356531.4800000004</v>
          </cell>
          <cell r="BA293">
            <v>6666527.7400000002</v>
          </cell>
          <cell r="BB293">
            <v>12099410.1</v>
          </cell>
          <cell r="BC293">
            <v>0</v>
          </cell>
          <cell r="BD293">
            <v>0</v>
          </cell>
          <cell r="BE293">
            <v>208993.42</v>
          </cell>
          <cell r="BF293">
            <v>9138226</v>
          </cell>
          <cell r="BG293">
            <v>569318.98</v>
          </cell>
          <cell r="BH293">
            <v>299738.59999999998</v>
          </cell>
          <cell r="BI293">
            <v>0</v>
          </cell>
          <cell r="BJ293">
            <v>0</v>
          </cell>
          <cell r="BK293">
            <v>0</v>
          </cell>
          <cell r="BL293">
            <v>0</v>
          </cell>
          <cell r="BM293">
            <v>0</v>
          </cell>
          <cell r="BN293">
            <v>0</v>
          </cell>
          <cell r="BO293">
            <v>0</v>
          </cell>
          <cell r="BP293">
            <v>352905248</v>
          </cell>
          <cell r="BQ293">
            <v>1264107</v>
          </cell>
          <cell r="BR293">
            <v>12436764</v>
          </cell>
          <cell r="BS293">
            <v>22949202</v>
          </cell>
        </row>
        <row r="294">
          <cell r="A294">
            <v>287</v>
          </cell>
          <cell r="B294" t="str">
            <v>Trafford</v>
          </cell>
          <cell r="C294" t="str">
            <v>E4209</v>
          </cell>
          <cell r="D294">
            <v>457357</v>
          </cell>
          <cell r="G294">
            <v>45126</v>
          </cell>
          <cell r="H294">
            <v>0</v>
          </cell>
          <cell r="I294">
            <v>457357</v>
          </cell>
          <cell r="J294">
            <v>0</v>
          </cell>
          <cell r="K294">
            <v>75192</v>
          </cell>
          <cell r="L294">
            <v>0</v>
          </cell>
          <cell r="M294">
            <v>0</v>
          </cell>
          <cell r="N294">
            <v>0</v>
          </cell>
          <cell r="O294">
            <v>0</v>
          </cell>
          <cell r="P294">
            <v>0</v>
          </cell>
          <cell r="Q294">
            <v>950068</v>
          </cell>
          <cell r="R294">
            <v>0</v>
          </cell>
          <cell r="S294">
            <v>19389</v>
          </cell>
          <cell r="T294">
            <v>0</v>
          </cell>
          <cell r="U294">
            <v>0</v>
          </cell>
          <cell r="V294">
            <v>0</v>
          </cell>
          <cell r="W294">
            <v>0</v>
          </cell>
          <cell r="X294">
            <v>0</v>
          </cell>
          <cell r="Y294">
            <v>0</v>
          </cell>
          <cell r="Z294">
            <v>597228.10445859877</v>
          </cell>
          <cell r="AA294">
            <v>1.0571689931810817E-11</v>
          </cell>
          <cell r="AB294">
            <v>12188.328662420383</v>
          </cell>
          <cell r="AC294">
            <v>707382.04789639066</v>
          </cell>
          <cell r="AD294">
            <v>1.2521553520106316E-11</v>
          </cell>
          <cell r="AE294">
            <v>14436.368324416137</v>
          </cell>
          <cell r="AF294">
            <v>0</v>
          </cell>
          <cell r="AG294">
            <v>0</v>
          </cell>
          <cell r="AH294">
            <v>0</v>
          </cell>
          <cell r="AI294">
            <v>0</v>
          </cell>
          <cell r="AJ294">
            <v>0</v>
          </cell>
          <cell r="AK294">
            <v>0</v>
          </cell>
          <cell r="AL294">
            <v>809772</v>
          </cell>
          <cell r="AM294">
            <v>0</v>
          </cell>
          <cell r="AN294">
            <v>16411</v>
          </cell>
          <cell r="AO294">
            <v>-1844968.41</v>
          </cell>
          <cell r="AP294">
            <v>-1808069</v>
          </cell>
          <cell r="AQ294">
            <v>0</v>
          </cell>
          <cell r="AR294">
            <v>-36900</v>
          </cell>
          <cell r="AS294">
            <v>-3689937.41</v>
          </cell>
          <cell r="AT294">
            <v>-18411440</v>
          </cell>
          <cell r="AU294">
            <v>-18043211</v>
          </cell>
          <cell r="AV294">
            <v>0</v>
          </cell>
          <cell r="AW294">
            <v>-368229</v>
          </cell>
          <cell r="AX294">
            <v>-36822880</v>
          </cell>
          <cell r="AY294">
            <v>119936297</v>
          </cell>
          <cell r="AZ294">
            <v>3831890.34</v>
          </cell>
          <cell r="BA294">
            <v>3177844.26</v>
          </cell>
          <cell r="BB294">
            <v>4585360.63</v>
          </cell>
          <cell r="BC294">
            <v>59346</v>
          </cell>
          <cell r="BD294">
            <v>482.78</v>
          </cell>
          <cell r="BE294">
            <v>1710.71</v>
          </cell>
          <cell r="BF294">
            <v>9846406.6799999997</v>
          </cell>
          <cell r="BG294">
            <v>126381</v>
          </cell>
          <cell r="BH294">
            <v>277646.46000000002</v>
          </cell>
          <cell r="BI294">
            <v>10668</v>
          </cell>
          <cell r="BJ294">
            <v>482.77</v>
          </cell>
          <cell r="BK294">
            <v>0</v>
          </cell>
          <cell r="BL294">
            <v>0</v>
          </cell>
          <cell r="BM294">
            <v>0</v>
          </cell>
          <cell r="BN294">
            <v>0</v>
          </cell>
          <cell r="BO294">
            <v>0</v>
          </cell>
          <cell r="BP294">
            <v>159886433</v>
          </cell>
          <cell r="BQ294">
            <v>1824111.79</v>
          </cell>
          <cell r="BR294">
            <v>6277241.6900000004</v>
          </cell>
          <cell r="BS294">
            <v>4928445.7699999996</v>
          </cell>
        </row>
        <row r="295">
          <cell r="A295">
            <v>288</v>
          </cell>
          <cell r="B295" t="str">
            <v>Tunbridge Wells</v>
          </cell>
          <cell r="C295" t="str">
            <v>E2244</v>
          </cell>
          <cell r="D295">
            <v>178970</v>
          </cell>
          <cell r="G295">
            <v>68455</v>
          </cell>
          <cell r="H295">
            <v>0</v>
          </cell>
          <cell r="I295">
            <v>178970</v>
          </cell>
          <cell r="J295">
            <v>0</v>
          </cell>
          <cell r="K295">
            <v>0</v>
          </cell>
          <cell r="L295">
            <v>0</v>
          </cell>
          <cell r="M295">
            <v>0</v>
          </cell>
          <cell r="N295">
            <v>0</v>
          </cell>
          <cell r="O295">
            <v>0</v>
          </cell>
          <cell r="P295">
            <v>0</v>
          </cell>
          <cell r="Q295">
            <v>423996</v>
          </cell>
          <cell r="R295">
            <v>95399</v>
          </cell>
          <cell r="S295">
            <v>10600</v>
          </cell>
          <cell r="T295">
            <v>0</v>
          </cell>
          <cell r="U295">
            <v>0</v>
          </cell>
          <cell r="V295">
            <v>0</v>
          </cell>
          <cell r="W295">
            <v>0</v>
          </cell>
          <cell r="X295">
            <v>0</v>
          </cell>
          <cell r="Y295">
            <v>0</v>
          </cell>
          <cell r="Z295">
            <v>14130.024628450108</v>
          </cell>
          <cell r="AA295">
            <v>3179.2555414012736</v>
          </cell>
          <cell r="AB295">
            <v>353.25061571125269</v>
          </cell>
          <cell r="AC295">
            <v>329091.24076433125</v>
          </cell>
          <cell r="AD295">
            <v>74045.529171974515</v>
          </cell>
          <cell r="AE295">
            <v>8227.2810191082808</v>
          </cell>
          <cell r="AF295">
            <v>0</v>
          </cell>
          <cell r="AG295">
            <v>0</v>
          </cell>
          <cell r="AH295">
            <v>0</v>
          </cell>
          <cell r="AI295">
            <v>0</v>
          </cell>
          <cell r="AJ295">
            <v>0</v>
          </cell>
          <cell r="AK295">
            <v>0</v>
          </cell>
          <cell r="AL295">
            <v>221116</v>
          </cell>
          <cell r="AM295">
            <v>49324</v>
          </cell>
          <cell r="AN295">
            <v>5480</v>
          </cell>
          <cell r="AO295">
            <v>-950528</v>
          </cell>
          <cell r="AP295">
            <v>-760424</v>
          </cell>
          <cell r="AQ295">
            <v>-171096</v>
          </cell>
          <cell r="AR295">
            <v>-19010</v>
          </cell>
          <cell r="AS295">
            <v>-1901058</v>
          </cell>
          <cell r="AT295">
            <v>-877340</v>
          </cell>
          <cell r="AU295">
            <v>-701871</v>
          </cell>
          <cell r="AV295">
            <v>-157921</v>
          </cell>
          <cell r="AW295">
            <v>-17546</v>
          </cell>
          <cell r="AX295">
            <v>-1754678</v>
          </cell>
          <cell r="AY295">
            <v>47656804</v>
          </cell>
          <cell r="AZ295">
            <v>2079439</v>
          </cell>
          <cell r="BA295">
            <v>1008791</v>
          </cell>
          <cell r="BB295">
            <v>3730383</v>
          </cell>
          <cell r="BC295">
            <v>18188</v>
          </cell>
          <cell r="BD295">
            <v>12050</v>
          </cell>
          <cell r="BE295">
            <v>745</v>
          </cell>
          <cell r="BF295">
            <v>1926072</v>
          </cell>
          <cell r="BG295">
            <v>26744</v>
          </cell>
          <cell r="BH295">
            <v>12104</v>
          </cell>
          <cell r="BI295">
            <v>0</v>
          </cell>
          <cell r="BJ295">
            <v>6988</v>
          </cell>
          <cell r="BK295">
            <v>30839</v>
          </cell>
          <cell r="BL295">
            <v>0</v>
          </cell>
          <cell r="BM295">
            <v>0</v>
          </cell>
          <cell r="BN295">
            <v>0</v>
          </cell>
          <cell r="BO295">
            <v>0</v>
          </cell>
          <cell r="BP295">
            <v>50558518</v>
          </cell>
          <cell r="BQ295">
            <v>190988</v>
          </cell>
          <cell r="BR295">
            <v>2046149</v>
          </cell>
          <cell r="BS295">
            <v>975310</v>
          </cell>
        </row>
        <row r="296">
          <cell r="A296">
            <v>289</v>
          </cell>
          <cell r="B296" t="str">
            <v>Uttlesford</v>
          </cell>
          <cell r="C296" t="str">
            <v>E1544</v>
          </cell>
          <cell r="D296">
            <v>139025</v>
          </cell>
          <cell r="G296">
            <v>54765</v>
          </cell>
          <cell r="H296">
            <v>0</v>
          </cell>
          <cell r="I296">
            <v>139025</v>
          </cell>
          <cell r="J296">
            <v>0</v>
          </cell>
          <cell r="K296">
            <v>0</v>
          </cell>
          <cell r="L296">
            <v>0</v>
          </cell>
          <cell r="M296">
            <v>0</v>
          </cell>
          <cell r="N296">
            <v>0</v>
          </cell>
          <cell r="O296">
            <v>0</v>
          </cell>
          <cell r="P296">
            <v>0</v>
          </cell>
          <cell r="Q296">
            <v>327524</v>
          </cell>
          <cell r="R296">
            <v>73693</v>
          </cell>
          <cell r="S296">
            <v>8188</v>
          </cell>
          <cell r="T296">
            <v>2021</v>
          </cell>
          <cell r="U296">
            <v>455</v>
          </cell>
          <cell r="V296">
            <v>51</v>
          </cell>
          <cell r="W296">
            <v>4851</v>
          </cell>
          <cell r="X296">
            <v>1092</v>
          </cell>
          <cell r="Y296">
            <v>121</v>
          </cell>
          <cell r="Z296">
            <v>2021.231422505308</v>
          </cell>
          <cell r="AA296">
            <v>454.77707006369423</v>
          </cell>
          <cell r="AB296">
            <v>50.530785562632701</v>
          </cell>
          <cell r="AC296">
            <v>111167.72823779195</v>
          </cell>
          <cell r="AD296">
            <v>25012.738853503182</v>
          </cell>
          <cell r="AE296">
            <v>2779.1932059447986</v>
          </cell>
          <cell r="AF296">
            <v>0</v>
          </cell>
          <cell r="AG296">
            <v>0</v>
          </cell>
          <cell r="AH296">
            <v>0</v>
          </cell>
          <cell r="AI296">
            <v>4768</v>
          </cell>
          <cell r="AJ296">
            <v>1072.7099999999998</v>
          </cell>
          <cell r="AK296">
            <v>119.19</v>
          </cell>
          <cell r="AL296">
            <v>175564</v>
          </cell>
          <cell r="AM296">
            <v>39170</v>
          </cell>
          <cell r="AN296">
            <v>4352</v>
          </cell>
          <cell r="AO296">
            <v>-192922</v>
          </cell>
          <cell r="AP296">
            <v>-154338</v>
          </cell>
          <cell r="AQ296">
            <v>-34726</v>
          </cell>
          <cell r="AR296">
            <v>-3859</v>
          </cell>
          <cell r="AS296">
            <v>-385845</v>
          </cell>
          <cell r="AT296">
            <v>-5762291</v>
          </cell>
          <cell r="AU296">
            <v>-4609833</v>
          </cell>
          <cell r="AV296">
            <v>-1037213</v>
          </cell>
          <cell r="AW296">
            <v>-115246</v>
          </cell>
          <cell r="AX296">
            <v>-11524583</v>
          </cell>
          <cell r="AY296">
            <v>28917346</v>
          </cell>
          <cell r="AZ296">
            <v>1623609</v>
          </cell>
          <cell r="BA296">
            <v>801179</v>
          </cell>
          <cell r="BB296">
            <v>1696864</v>
          </cell>
          <cell r="BC296">
            <v>51853</v>
          </cell>
          <cell r="BD296">
            <v>47826</v>
          </cell>
          <cell r="BE296">
            <v>0</v>
          </cell>
          <cell r="BF296">
            <v>2229721</v>
          </cell>
          <cell r="BG296">
            <v>36100</v>
          </cell>
          <cell r="BH296">
            <v>92220</v>
          </cell>
          <cell r="BI296">
            <v>160</v>
          </cell>
          <cell r="BJ296">
            <v>43940</v>
          </cell>
          <cell r="BK296">
            <v>81143</v>
          </cell>
          <cell r="BL296">
            <v>0</v>
          </cell>
          <cell r="BM296">
            <v>0</v>
          </cell>
          <cell r="BN296">
            <v>0</v>
          </cell>
          <cell r="BO296">
            <v>0</v>
          </cell>
          <cell r="BP296">
            <v>41214130</v>
          </cell>
          <cell r="BQ296">
            <v>328242</v>
          </cell>
          <cell r="BR296">
            <v>868614</v>
          </cell>
          <cell r="BS296">
            <v>371382</v>
          </cell>
        </row>
        <row r="297">
          <cell r="A297">
            <v>290</v>
          </cell>
          <cell r="B297" t="str">
            <v>Vale of White Horse</v>
          </cell>
          <cell r="C297" t="str">
            <v>E3134</v>
          </cell>
          <cell r="D297">
            <v>187524</v>
          </cell>
          <cell r="E297">
            <v>1185931</v>
          </cell>
          <cell r="G297">
            <v>1117834</v>
          </cell>
          <cell r="H297">
            <v>-454</v>
          </cell>
          <cell r="I297">
            <v>187524</v>
          </cell>
          <cell r="J297">
            <v>0</v>
          </cell>
          <cell r="K297">
            <v>324675</v>
          </cell>
          <cell r="L297">
            <v>0</v>
          </cell>
          <cell r="M297">
            <v>168263</v>
          </cell>
          <cell r="N297">
            <v>168263</v>
          </cell>
          <cell r="O297">
            <v>0</v>
          </cell>
          <cell r="P297">
            <v>0</v>
          </cell>
          <cell r="Q297">
            <v>320035</v>
          </cell>
          <cell r="R297">
            <v>80009</v>
          </cell>
          <cell r="S297">
            <v>0</v>
          </cell>
          <cell r="T297">
            <v>0</v>
          </cell>
          <cell r="U297">
            <v>0</v>
          </cell>
          <cell r="V297">
            <v>0</v>
          </cell>
          <cell r="W297">
            <v>0</v>
          </cell>
          <cell r="X297">
            <v>0</v>
          </cell>
          <cell r="Y297">
            <v>0</v>
          </cell>
          <cell r="Z297">
            <v>57402.972399150749</v>
          </cell>
          <cell r="AA297">
            <v>14350.743099787682</v>
          </cell>
          <cell r="AB297">
            <v>0</v>
          </cell>
          <cell r="AC297">
            <v>159339.40929087051</v>
          </cell>
          <cell r="AD297">
            <v>39834.852322717612</v>
          </cell>
          <cell r="AE297">
            <v>0</v>
          </cell>
          <cell r="AF297">
            <v>15436</v>
          </cell>
          <cell r="AG297">
            <v>0</v>
          </cell>
          <cell r="AH297">
            <v>0</v>
          </cell>
          <cell r="AI297">
            <v>6975</v>
          </cell>
          <cell r="AJ297">
            <v>1743.7</v>
          </cell>
          <cell r="AK297">
            <v>0</v>
          </cell>
          <cell r="AL297">
            <v>241090</v>
          </cell>
          <cell r="AM297">
            <v>58467</v>
          </cell>
          <cell r="AN297">
            <v>0</v>
          </cell>
          <cell r="AO297">
            <v>-279940</v>
          </cell>
          <cell r="AP297">
            <v>-223952</v>
          </cell>
          <cell r="AQ297">
            <v>-55988</v>
          </cell>
          <cell r="AR297">
            <v>0</v>
          </cell>
          <cell r="AS297">
            <v>-559880</v>
          </cell>
          <cell r="AT297">
            <v>-2930393</v>
          </cell>
          <cell r="AU297">
            <v>-2344315</v>
          </cell>
          <cell r="AV297">
            <v>-586079</v>
          </cell>
          <cell r="AW297">
            <v>0</v>
          </cell>
          <cell r="AX297">
            <v>-5860787</v>
          </cell>
          <cell r="AY297">
            <v>46456060</v>
          </cell>
          <cell r="AZ297">
            <v>1573490</v>
          </cell>
          <cell r="BA297">
            <v>1222847</v>
          </cell>
          <cell r="BB297">
            <v>6486174</v>
          </cell>
          <cell r="BC297">
            <v>78604</v>
          </cell>
          <cell r="BD297">
            <v>35483</v>
          </cell>
          <cell r="BE297">
            <v>6988</v>
          </cell>
          <cell r="BF297">
            <v>1976584</v>
          </cell>
          <cell r="BG297">
            <v>159927</v>
          </cell>
          <cell r="BH297">
            <v>5486</v>
          </cell>
          <cell r="BI297">
            <v>4913</v>
          </cell>
          <cell r="BJ297">
            <v>14271</v>
          </cell>
          <cell r="BK297">
            <v>0</v>
          </cell>
          <cell r="BL297">
            <v>196410</v>
          </cell>
          <cell r="BM297">
            <v>196410</v>
          </cell>
          <cell r="BN297">
            <v>268150</v>
          </cell>
          <cell r="BO297">
            <v>0</v>
          </cell>
          <cell r="BP297">
            <v>51136887</v>
          </cell>
          <cell r="BQ297">
            <v>180439</v>
          </cell>
          <cell r="BR297">
            <v>1245286</v>
          </cell>
          <cell r="BS297">
            <v>331677</v>
          </cell>
        </row>
        <row r="298">
          <cell r="A298">
            <v>291</v>
          </cell>
          <cell r="B298" t="str">
            <v>Wakefield</v>
          </cell>
          <cell r="C298" t="str">
            <v>E4705</v>
          </cell>
          <cell r="D298">
            <v>458655</v>
          </cell>
          <cell r="G298">
            <v>324396</v>
          </cell>
          <cell r="H298">
            <v>0</v>
          </cell>
          <cell r="I298">
            <v>458655</v>
          </cell>
          <cell r="J298">
            <v>0</v>
          </cell>
          <cell r="K298">
            <v>0</v>
          </cell>
          <cell r="L298">
            <v>0</v>
          </cell>
          <cell r="M298">
            <v>0</v>
          </cell>
          <cell r="N298">
            <v>0</v>
          </cell>
          <cell r="O298">
            <v>0</v>
          </cell>
          <cell r="P298">
            <v>0</v>
          </cell>
          <cell r="Q298">
            <v>1832246</v>
          </cell>
          <cell r="R298">
            <v>0</v>
          </cell>
          <cell r="S298">
            <v>37393</v>
          </cell>
          <cell r="T298">
            <v>0</v>
          </cell>
          <cell r="U298">
            <v>0</v>
          </cell>
          <cell r="V298">
            <v>0</v>
          </cell>
          <cell r="W298">
            <v>0</v>
          </cell>
          <cell r="X298">
            <v>0</v>
          </cell>
          <cell r="Y298">
            <v>0</v>
          </cell>
          <cell r="Z298">
            <v>0</v>
          </cell>
          <cell r="AA298">
            <v>0</v>
          </cell>
          <cell r="AB298">
            <v>0</v>
          </cell>
          <cell r="AC298">
            <v>495201.69851380045</v>
          </cell>
          <cell r="AD298">
            <v>8.7656939975048855E-12</v>
          </cell>
          <cell r="AE298">
            <v>10106.15711252654</v>
          </cell>
          <cell r="AF298">
            <v>0</v>
          </cell>
          <cell r="AG298">
            <v>0</v>
          </cell>
          <cell r="AH298">
            <v>0</v>
          </cell>
          <cell r="AI298">
            <v>0</v>
          </cell>
          <cell r="AJ298">
            <v>0</v>
          </cell>
          <cell r="AK298">
            <v>0</v>
          </cell>
          <cell r="AL298">
            <v>630749</v>
          </cell>
          <cell r="AM298">
            <v>0</v>
          </cell>
          <cell r="AN298">
            <v>12773</v>
          </cell>
          <cell r="AO298">
            <v>-510000</v>
          </cell>
          <cell r="AP298">
            <v>-499800</v>
          </cell>
          <cell r="AQ298">
            <v>0</v>
          </cell>
          <cell r="AR298">
            <v>-10200</v>
          </cell>
          <cell r="AS298">
            <v>-1020000</v>
          </cell>
          <cell r="AT298">
            <v>-2161517</v>
          </cell>
          <cell r="AU298">
            <v>-2118288</v>
          </cell>
          <cell r="AV298">
            <v>0</v>
          </cell>
          <cell r="AW298">
            <v>-43231</v>
          </cell>
          <cell r="AX298">
            <v>-4323036</v>
          </cell>
          <cell r="AY298">
            <v>113163251</v>
          </cell>
          <cell r="AZ298">
            <v>6919899.7400000002</v>
          </cell>
          <cell r="BA298">
            <v>2411728.3199999998</v>
          </cell>
          <cell r="BB298">
            <v>6227958.4900000002</v>
          </cell>
          <cell r="BC298">
            <v>62980.2</v>
          </cell>
          <cell r="BD298">
            <v>9208.64</v>
          </cell>
          <cell r="BE298">
            <v>263269.03999999998</v>
          </cell>
          <cell r="BF298">
            <v>6969095.5800000001</v>
          </cell>
          <cell r="BG298">
            <v>694187.07</v>
          </cell>
          <cell r="BH298">
            <v>447372.3</v>
          </cell>
          <cell r="BI298">
            <v>0</v>
          </cell>
          <cell r="BJ298">
            <v>0</v>
          </cell>
          <cell r="BK298">
            <v>0</v>
          </cell>
          <cell r="BL298">
            <v>0</v>
          </cell>
          <cell r="BM298">
            <v>0</v>
          </cell>
          <cell r="BN298">
            <v>0</v>
          </cell>
          <cell r="BO298">
            <v>0</v>
          </cell>
          <cell r="BP298">
            <v>118963083</v>
          </cell>
          <cell r="BQ298">
            <v>1206812.51</v>
          </cell>
          <cell r="BR298">
            <v>1644829.43</v>
          </cell>
          <cell r="BS298">
            <v>1068862.53</v>
          </cell>
        </row>
        <row r="299">
          <cell r="A299">
            <v>292</v>
          </cell>
          <cell r="B299" t="str">
            <v>Walsall</v>
          </cell>
          <cell r="C299" t="str">
            <v>E4606</v>
          </cell>
          <cell r="D299">
            <v>343486</v>
          </cell>
          <cell r="E299">
            <v>172541</v>
          </cell>
          <cell r="G299">
            <v>124925</v>
          </cell>
          <cell r="H299">
            <v>0</v>
          </cell>
          <cell r="I299">
            <v>343486</v>
          </cell>
          <cell r="J299">
            <v>0</v>
          </cell>
          <cell r="K299">
            <v>0</v>
          </cell>
          <cell r="L299">
            <v>0</v>
          </cell>
          <cell r="M299">
            <v>62901</v>
          </cell>
          <cell r="N299">
            <v>62901</v>
          </cell>
          <cell r="O299">
            <v>0</v>
          </cell>
          <cell r="P299">
            <v>0</v>
          </cell>
          <cell r="Q299">
            <v>1297849</v>
          </cell>
          <cell r="R299">
            <v>0</v>
          </cell>
          <cell r="S299">
            <v>26487</v>
          </cell>
          <cell r="T299">
            <v>35691</v>
          </cell>
          <cell r="U299">
            <v>0</v>
          </cell>
          <cell r="V299">
            <v>728</v>
          </cell>
          <cell r="W299">
            <v>0</v>
          </cell>
          <cell r="X299">
            <v>0</v>
          </cell>
          <cell r="Y299">
            <v>0</v>
          </cell>
          <cell r="Z299">
            <v>63205.563991507435</v>
          </cell>
          <cell r="AA299">
            <v>1.1188181190655337E-12</v>
          </cell>
          <cell r="AB299">
            <v>1289.9094692144374</v>
          </cell>
          <cell r="AC299">
            <v>439982.74751592352</v>
          </cell>
          <cell r="AD299">
            <v>7.7882489912311103E-12</v>
          </cell>
          <cell r="AE299">
            <v>8979.2397452229307</v>
          </cell>
          <cell r="AF299">
            <v>0</v>
          </cell>
          <cell r="AG299">
            <v>0</v>
          </cell>
          <cell r="AH299">
            <v>0</v>
          </cell>
          <cell r="AI299">
            <v>0</v>
          </cell>
          <cell r="AJ299">
            <v>0</v>
          </cell>
          <cell r="AK299">
            <v>0</v>
          </cell>
          <cell r="AL299">
            <v>361313</v>
          </cell>
          <cell r="AM299">
            <v>0</v>
          </cell>
          <cell r="AN299">
            <v>7286</v>
          </cell>
          <cell r="AO299">
            <v>-1352149</v>
          </cell>
          <cell r="AP299">
            <v>-1325106</v>
          </cell>
          <cell r="AQ299">
            <v>0</v>
          </cell>
          <cell r="AR299">
            <v>-27043</v>
          </cell>
          <cell r="AS299">
            <v>-2704298</v>
          </cell>
          <cell r="AT299">
            <v>-1913771</v>
          </cell>
          <cell r="AU299">
            <v>-1875497</v>
          </cell>
          <cell r="AV299">
            <v>0</v>
          </cell>
          <cell r="AW299">
            <v>-38276</v>
          </cell>
          <cell r="AX299">
            <v>-3827544</v>
          </cell>
          <cell r="AY299">
            <v>64067649</v>
          </cell>
          <cell r="AZ299">
            <v>5171215</v>
          </cell>
          <cell r="BA299">
            <v>1349305</v>
          </cell>
          <cell r="BB299">
            <v>4522886</v>
          </cell>
          <cell r="BC299">
            <v>26301</v>
          </cell>
          <cell r="BD299">
            <v>0</v>
          </cell>
          <cell r="BE299">
            <v>108910</v>
          </cell>
          <cell r="BF299">
            <v>3205916</v>
          </cell>
          <cell r="BG299">
            <v>167795</v>
          </cell>
          <cell r="BH299">
            <v>55297</v>
          </cell>
          <cell r="BI299">
            <v>2014</v>
          </cell>
          <cell r="BJ299">
            <v>0</v>
          </cell>
          <cell r="BK299">
            <v>0</v>
          </cell>
          <cell r="BL299">
            <v>0</v>
          </cell>
          <cell r="BM299">
            <v>0</v>
          </cell>
          <cell r="BN299">
            <v>0</v>
          </cell>
          <cell r="BO299">
            <v>0</v>
          </cell>
          <cell r="BP299">
            <v>69552504</v>
          </cell>
          <cell r="BQ299">
            <v>923599</v>
          </cell>
          <cell r="BR299">
            <v>6173254</v>
          </cell>
          <cell r="BS299">
            <v>1509215</v>
          </cell>
        </row>
        <row r="300">
          <cell r="A300">
            <v>293</v>
          </cell>
          <cell r="B300" t="str">
            <v>Waltham Forest</v>
          </cell>
          <cell r="C300" t="str">
            <v>E5049</v>
          </cell>
          <cell r="D300">
            <v>291662</v>
          </cell>
          <cell r="G300">
            <v>209633</v>
          </cell>
          <cell r="H300">
            <v>0</v>
          </cell>
          <cell r="I300">
            <v>291662</v>
          </cell>
          <cell r="J300">
            <v>0</v>
          </cell>
          <cell r="K300">
            <v>0</v>
          </cell>
          <cell r="L300">
            <v>0</v>
          </cell>
          <cell r="M300">
            <v>0</v>
          </cell>
          <cell r="N300">
            <v>0</v>
          </cell>
          <cell r="O300">
            <v>0</v>
          </cell>
          <cell r="P300">
            <v>0</v>
          </cell>
          <cell r="Q300">
            <v>771827</v>
          </cell>
          <cell r="R300">
            <v>514552</v>
          </cell>
          <cell r="S300">
            <v>0</v>
          </cell>
          <cell r="T300">
            <v>0</v>
          </cell>
          <cell r="U300">
            <v>0</v>
          </cell>
          <cell r="V300">
            <v>0</v>
          </cell>
          <cell r="W300">
            <v>15159</v>
          </cell>
          <cell r="X300">
            <v>10106</v>
          </cell>
          <cell r="Y300">
            <v>0</v>
          </cell>
          <cell r="Z300">
            <v>24254.777070063694</v>
          </cell>
          <cell r="AA300">
            <v>16169.851380042464</v>
          </cell>
          <cell r="AB300">
            <v>0</v>
          </cell>
          <cell r="AC300">
            <v>454777.07006369426</v>
          </cell>
          <cell r="AD300">
            <v>303184.71337579621</v>
          </cell>
          <cell r="AE300">
            <v>0</v>
          </cell>
          <cell r="AF300">
            <v>0</v>
          </cell>
          <cell r="AG300">
            <v>0</v>
          </cell>
          <cell r="AH300">
            <v>0</v>
          </cell>
          <cell r="AI300">
            <v>0</v>
          </cell>
          <cell r="AJ300">
            <v>0</v>
          </cell>
          <cell r="AK300">
            <v>0</v>
          </cell>
          <cell r="AL300">
            <v>177842</v>
          </cell>
          <cell r="AM300">
            <v>116497</v>
          </cell>
          <cell r="AN300">
            <v>0</v>
          </cell>
          <cell r="AO300">
            <v>-1753943</v>
          </cell>
          <cell r="AP300">
            <v>-1052366</v>
          </cell>
          <cell r="AQ300">
            <v>-701577</v>
          </cell>
          <cell r="AR300">
            <v>0</v>
          </cell>
          <cell r="AS300">
            <v>-3507886</v>
          </cell>
          <cell r="AT300">
            <v>-481064</v>
          </cell>
          <cell r="AU300">
            <v>-288638</v>
          </cell>
          <cell r="AV300">
            <v>-192426</v>
          </cell>
          <cell r="AW300">
            <v>0</v>
          </cell>
          <cell r="AX300">
            <v>-962128</v>
          </cell>
          <cell r="AY300">
            <v>54724611</v>
          </cell>
          <cell r="AZ300">
            <v>5070904</v>
          </cell>
          <cell r="BA300">
            <v>950261</v>
          </cell>
          <cell r="BB300">
            <v>4484916</v>
          </cell>
          <cell r="BC300">
            <v>32913</v>
          </cell>
          <cell r="BD300">
            <v>0</v>
          </cell>
          <cell r="BE300">
            <v>9818</v>
          </cell>
          <cell r="BF300">
            <v>1468536</v>
          </cell>
          <cell r="BG300">
            <v>138571</v>
          </cell>
          <cell r="BH300">
            <v>31570</v>
          </cell>
          <cell r="BI300">
            <v>2883</v>
          </cell>
          <cell r="BJ300">
            <v>0</v>
          </cell>
          <cell r="BK300">
            <v>0</v>
          </cell>
          <cell r="BL300">
            <v>0</v>
          </cell>
          <cell r="BM300">
            <v>0</v>
          </cell>
          <cell r="BN300">
            <v>0</v>
          </cell>
          <cell r="BO300">
            <v>0</v>
          </cell>
          <cell r="BP300">
            <v>57786871</v>
          </cell>
          <cell r="BQ300">
            <v>1080835</v>
          </cell>
          <cell r="BR300">
            <v>6494083</v>
          </cell>
          <cell r="BS300">
            <v>1756694</v>
          </cell>
        </row>
        <row r="301">
          <cell r="A301">
            <v>294</v>
          </cell>
          <cell r="B301" t="str">
            <v>Wandsworth</v>
          </cell>
          <cell r="C301" t="str">
            <v>E5021</v>
          </cell>
          <cell r="D301">
            <v>477094</v>
          </cell>
          <cell r="G301">
            <v>160828</v>
          </cell>
          <cell r="H301">
            <v>0</v>
          </cell>
          <cell r="I301">
            <v>477094</v>
          </cell>
          <cell r="J301">
            <v>0</v>
          </cell>
          <cell r="K301">
            <v>0</v>
          </cell>
          <cell r="L301">
            <v>0</v>
          </cell>
          <cell r="M301">
            <v>0</v>
          </cell>
          <cell r="N301">
            <v>0</v>
          </cell>
          <cell r="O301">
            <v>0</v>
          </cell>
          <cell r="P301">
            <v>0</v>
          </cell>
          <cell r="Q301">
            <v>508094</v>
          </cell>
          <cell r="R301">
            <v>338730</v>
          </cell>
          <cell r="S301">
            <v>0</v>
          </cell>
          <cell r="T301">
            <v>53483</v>
          </cell>
          <cell r="U301">
            <v>35656</v>
          </cell>
          <cell r="V301">
            <v>0</v>
          </cell>
          <cell r="W301">
            <v>30319</v>
          </cell>
          <cell r="X301">
            <v>20212</v>
          </cell>
          <cell r="Y301">
            <v>0</v>
          </cell>
          <cell r="Z301">
            <v>15785.91847133758</v>
          </cell>
          <cell r="AA301">
            <v>10523.945647558387</v>
          </cell>
          <cell r="AB301">
            <v>0</v>
          </cell>
          <cell r="AC301">
            <v>571547.75286624196</v>
          </cell>
          <cell r="AD301">
            <v>381031.83524416137</v>
          </cell>
          <cell r="AE301">
            <v>0</v>
          </cell>
          <cell r="AF301">
            <v>0</v>
          </cell>
          <cell r="AG301">
            <v>0</v>
          </cell>
          <cell r="AH301">
            <v>0</v>
          </cell>
          <cell r="AI301">
            <v>0</v>
          </cell>
          <cell r="AJ301">
            <v>0</v>
          </cell>
          <cell r="AK301">
            <v>0</v>
          </cell>
          <cell r="AL301">
            <v>329415</v>
          </cell>
          <cell r="AM301">
            <v>216233</v>
          </cell>
          <cell r="AN301">
            <v>0</v>
          </cell>
          <cell r="AO301">
            <v>-1294500</v>
          </cell>
          <cell r="AP301">
            <v>-776700</v>
          </cell>
          <cell r="AQ301">
            <v>-517800</v>
          </cell>
          <cell r="AR301">
            <v>0</v>
          </cell>
          <cell r="AS301">
            <v>-2589000</v>
          </cell>
          <cell r="AT301">
            <v>-2957240</v>
          </cell>
          <cell r="AU301">
            <v>-1774344</v>
          </cell>
          <cell r="AV301">
            <v>-1182895</v>
          </cell>
          <cell r="AW301">
            <v>0</v>
          </cell>
          <cell r="AX301">
            <v>-5914479</v>
          </cell>
          <cell r="AY301">
            <v>95052859</v>
          </cell>
          <cell r="AZ301">
            <v>3531649.32</v>
          </cell>
          <cell r="BA301">
            <v>1837941.58</v>
          </cell>
          <cell r="BB301">
            <v>8368961.54</v>
          </cell>
          <cell r="BC301">
            <v>29142.959999999999</v>
          </cell>
          <cell r="BD301">
            <v>0</v>
          </cell>
          <cell r="BE301">
            <v>150861.97</v>
          </cell>
          <cell r="BF301">
            <v>4298070.0999999996</v>
          </cell>
          <cell r="BG301">
            <v>161330.84</v>
          </cell>
          <cell r="BH301">
            <v>602817.19999999995</v>
          </cell>
          <cell r="BI301">
            <v>1321.32</v>
          </cell>
          <cell r="BJ301">
            <v>0</v>
          </cell>
          <cell r="BK301">
            <v>0</v>
          </cell>
          <cell r="BL301">
            <v>0</v>
          </cell>
          <cell r="BM301">
            <v>0</v>
          </cell>
          <cell r="BN301">
            <v>0</v>
          </cell>
          <cell r="BO301">
            <v>0</v>
          </cell>
          <cell r="BP301">
            <v>103055665</v>
          </cell>
          <cell r="BQ301">
            <v>917486</v>
          </cell>
          <cell r="BR301">
            <v>3845349</v>
          </cell>
          <cell r="BS301">
            <v>1338189</v>
          </cell>
        </row>
        <row r="302">
          <cell r="A302">
            <v>295</v>
          </cell>
          <cell r="B302" t="str">
            <v>Warrington</v>
          </cell>
          <cell r="C302" t="str">
            <v>E0602</v>
          </cell>
          <cell r="D302">
            <v>306743</v>
          </cell>
          <cell r="G302">
            <v>84792</v>
          </cell>
          <cell r="H302">
            <v>0</v>
          </cell>
          <cell r="I302">
            <v>306743</v>
          </cell>
          <cell r="J302">
            <v>0</v>
          </cell>
          <cell r="K302">
            <v>0</v>
          </cell>
          <cell r="L302">
            <v>0</v>
          </cell>
          <cell r="M302">
            <v>0</v>
          </cell>
          <cell r="N302">
            <v>0</v>
          </cell>
          <cell r="O302">
            <v>0</v>
          </cell>
          <cell r="P302">
            <v>0</v>
          </cell>
          <cell r="Q302">
            <v>665741</v>
          </cell>
          <cell r="R302">
            <v>0</v>
          </cell>
          <cell r="S302">
            <v>13587</v>
          </cell>
          <cell r="T302">
            <v>0</v>
          </cell>
          <cell r="U302">
            <v>0</v>
          </cell>
          <cell r="V302">
            <v>0</v>
          </cell>
          <cell r="W302">
            <v>0</v>
          </cell>
          <cell r="X302">
            <v>0</v>
          </cell>
          <cell r="Y302">
            <v>0</v>
          </cell>
          <cell r="Z302">
            <v>0</v>
          </cell>
          <cell r="AA302">
            <v>0</v>
          </cell>
          <cell r="AB302">
            <v>0</v>
          </cell>
          <cell r="AC302">
            <v>506702.26276008488</v>
          </cell>
          <cell r="AD302">
            <v>8.9692684749029381E-12</v>
          </cell>
          <cell r="AE302">
            <v>10340.862505307856</v>
          </cell>
          <cell r="AF302">
            <v>0</v>
          </cell>
          <cell r="AG302">
            <v>0</v>
          </cell>
          <cell r="AH302">
            <v>0</v>
          </cell>
          <cell r="AI302">
            <v>0</v>
          </cell>
          <cell r="AJ302">
            <v>0</v>
          </cell>
          <cell r="AK302">
            <v>0</v>
          </cell>
          <cell r="AL302">
            <v>543814</v>
          </cell>
          <cell r="AM302">
            <v>0</v>
          </cell>
          <cell r="AN302">
            <v>11032</v>
          </cell>
          <cell r="AO302">
            <v>-3482550.09</v>
          </cell>
          <cell r="AP302">
            <v>-3412899</v>
          </cell>
          <cell r="AQ302">
            <v>0</v>
          </cell>
          <cell r="AR302">
            <v>-69651</v>
          </cell>
          <cell r="AS302">
            <v>-6965100.0899999999</v>
          </cell>
          <cell r="AT302">
            <v>-2065092</v>
          </cell>
          <cell r="AU302">
            <v>-2023791</v>
          </cell>
          <cell r="AV302">
            <v>0</v>
          </cell>
          <cell r="AW302">
            <v>-41302</v>
          </cell>
          <cell r="AX302">
            <v>-4130185</v>
          </cell>
          <cell r="AY302">
            <v>96354076</v>
          </cell>
          <cell r="AZ302">
            <v>2725196.01</v>
          </cell>
          <cell r="BA302">
            <v>2061860.2</v>
          </cell>
          <cell r="BB302">
            <v>3469293.51</v>
          </cell>
          <cell r="BC302">
            <v>68279.259999999995</v>
          </cell>
          <cell r="BD302">
            <v>1736.81</v>
          </cell>
          <cell r="BE302">
            <v>88104.66</v>
          </cell>
          <cell r="BF302">
            <v>4143025.97</v>
          </cell>
          <cell r="BG302">
            <v>161746.91</v>
          </cell>
          <cell r="BH302">
            <v>503753.08</v>
          </cell>
          <cell r="BI302">
            <v>4390.49</v>
          </cell>
          <cell r="BJ302">
            <v>868.4</v>
          </cell>
          <cell r="BK302">
            <v>3395.7</v>
          </cell>
          <cell r="BL302">
            <v>0</v>
          </cell>
          <cell r="BM302">
            <v>0</v>
          </cell>
          <cell r="BN302">
            <v>0</v>
          </cell>
          <cell r="BO302">
            <v>0</v>
          </cell>
          <cell r="BP302">
            <v>104789605</v>
          </cell>
          <cell r="BQ302">
            <v>7263.18</v>
          </cell>
          <cell r="BR302">
            <v>10939253.699999999</v>
          </cell>
          <cell r="BS302">
            <v>-1547612.4</v>
          </cell>
        </row>
        <row r="303">
          <cell r="A303">
            <v>296</v>
          </cell>
          <cell r="B303" t="str">
            <v>Warwick</v>
          </cell>
          <cell r="C303" t="str">
            <v>E3735</v>
          </cell>
          <cell r="D303">
            <v>213591</v>
          </cell>
          <cell r="G303">
            <v>39155</v>
          </cell>
          <cell r="H303">
            <v>0</v>
          </cell>
          <cell r="I303">
            <v>213591</v>
          </cell>
          <cell r="J303">
            <v>0</v>
          </cell>
          <cell r="K303">
            <v>0</v>
          </cell>
          <cell r="L303">
            <v>0</v>
          </cell>
          <cell r="M303">
            <v>0</v>
          </cell>
          <cell r="N303">
            <v>0</v>
          </cell>
          <cell r="O303">
            <v>0</v>
          </cell>
          <cell r="P303">
            <v>0</v>
          </cell>
          <cell r="Q303">
            <v>415258</v>
          </cell>
          <cell r="R303">
            <v>103815</v>
          </cell>
          <cell r="S303">
            <v>0</v>
          </cell>
          <cell r="T303">
            <v>6064</v>
          </cell>
          <cell r="U303">
            <v>1516</v>
          </cell>
          <cell r="V303">
            <v>0</v>
          </cell>
          <cell r="W303">
            <v>0</v>
          </cell>
          <cell r="X303">
            <v>0</v>
          </cell>
          <cell r="Y303">
            <v>0</v>
          </cell>
          <cell r="Z303">
            <v>29227.006369426756</v>
          </cell>
          <cell r="AA303">
            <v>7306.7515923566871</v>
          </cell>
          <cell r="AB303">
            <v>0</v>
          </cell>
          <cell r="AC303">
            <v>388884.92569002125</v>
          </cell>
          <cell r="AD303">
            <v>97221.231422505283</v>
          </cell>
          <cell r="AE303">
            <v>0</v>
          </cell>
          <cell r="AF303">
            <v>0</v>
          </cell>
          <cell r="AG303">
            <v>0</v>
          </cell>
          <cell r="AH303">
            <v>0</v>
          </cell>
          <cell r="AI303">
            <v>0</v>
          </cell>
          <cell r="AJ303">
            <v>0</v>
          </cell>
          <cell r="AK303">
            <v>0</v>
          </cell>
          <cell r="AL303">
            <v>294558</v>
          </cell>
          <cell r="AM303">
            <v>73073</v>
          </cell>
          <cell r="AN303">
            <v>0</v>
          </cell>
          <cell r="AO303">
            <v>-375000</v>
          </cell>
          <cell r="AP303">
            <v>-300000</v>
          </cell>
          <cell r="AQ303">
            <v>-75000</v>
          </cell>
          <cell r="AR303">
            <v>0</v>
          </cell>
          <cell r="AS303">
            <v>-750000</v>
          </cell>
          <cell r="AT303">
            <v>-3276579</v>
          </cell>
          <cell r="AU303">
            <v>-2621262</v>
          </cell>
          <cell r="AV303">
            <v>-655315</v>
          </cell>
          <cell r="AW303">
            <v>0</v>
          </cell>
          <cell r="AX303">
            <v>-6553156</v>
          </cell>
          <cell r="AY303">
            <v>60078559</v>
          </cell>
          <cell r="AZ303">
            <v>2624921.86</v>
          </cell>
          <cell r="BA303">
            <v>1316471.24</v>
          </cell>
          <cell r="BB303">
            <v>4030595.75</v>
          </cell>
          <cell r="BC303">
            <v>59848.77</v>
          </cell>
          <cell r="BD303">
            <v>9308.15</v>
          </cell>
          <cell r="BE303">
            <v>56085.74</v>
          </cell>
          <cell r="BF303">
            <v>2884453.95</v>
          </cell>
          <cell r="BG303">
            <v>6653.94</v>
          </cell>
          <cell r="BH303">
            <v>91808.29</v>
          </cell>
          <cell r="BI303">
            <v>0</v>
          </cell>
          <cell r="BJ303">
            <v>11107.58</v>
          </cell>
          <cell r="BK303">
            <v>0</v>
          </cell>
          <cell r="BL303">
            <v>0</v>
          </cell>
          <cell r="BM303">
            <v>0</v>
          </cell>
          <cell r="BN303">
            <v>0</v>
          </cell>
          <cell r="BO303">
            <v>0</v>
          </cell>
          <cell r="BP303">
            <v>67389680</v>
          </cell>
          <cell r="BQ303">
            <v>367367</v>
          </cell>
          <cell r="BR303">
            <v>1147235</v>
          </cell>
          <cell r="BS303">
            <v>735255.54</v>
          </cell>
        </row>
        <row r="304">
          <cell r="A304">
            <v>297</v>
          </cell>
          <cell r="B304" t="str">
            <v>Watford</v>
          </cell>
          <cell r="C304" t="str">
            <v>E1939</v>
          </cell>
          <cell r="D304">
            <v>174144</v>
          </cell>
          <cell r="G304">
            <v>201210</v>
          </cell>
          <cell r="H304">
            <v>0</v>
          </cell>
          <cell r="I304">
            <v>174144</v>
          </cell>
          <cell r="J304">
            <v>0</v>
          </cell>
          <cell r="K304">
            <v>0</v>
          </cell>
          <cell r="L304">
            <v>0</v>
          </cell>
          <cell r="M304">
            <v>0</v>
          </cell>
          <cell r="N304">
            <v>0</v>
          </cell>
          <cell r="O304">
            <v>0</v>
          </cell>
          <cell r="P304">
            <v>0</v>
          </cell>
          <cell r="Q304">
            <v>269557</v>
          </cell>
          <cell r="R304">
            <v>67389</v>
          </cell>
          <cell r="S304">
            <v>0</v>
          </cell>
          <cell r="T304">
            <v>0</v>
          </cell>
          <cell r="U304">
            <v>0</v>
          </cell>
          <cell r="V304">
            <v>0</v>
          </cell>
          <cell r="W304">
            <v>0</v>
          </cell>
          <cell r="X304">
            <v>0</v>
          </cell>
          <cell r="Y304">
            <v>0</v>
          </cell>
          <cell r="Z304">
            <v>285600</v>
          </cell>
          <cell r="AA304">
            <v>71399.999999999985</v>
          </cell>
          <cell r="AB304">
            <v>0</v>
          </cell>
          <cell r="AC304">
            <v>404246.2845010616</v>
          </cell>
          <cell r="AD304">
            <v>101061.57112526537</v>
          </cell>
          <cell r="AE304">
            <v>0</v>
          </cell>
          <cell r="AF304">
            <v>0</v>
          </cell>
          <cell r="AG304">
            <v>0</v>
          </cell>
          <cell r="AH304">
            <v>0</v>
          </cell>
          <cell r="AI304">
            <v>0</v>
          </cell>
          <cell r="AJ304">
            <v>0</v>
          </cell>
          <cell r="AK304">
            <v>0</v>
          </cell>
          <cell r="AL304">
            <v>278669</v>
          </cell>
          <cell r="AM304">
            <v>69205</v>
          </cell>
          <cell r="AN304">
            <v>0</v>
          </cell>
          <cell r="AO304">
            <v>-1022000</v>
          </cell>
          <cell r="AP304">
            <v>-817600</v>
          </cell>
          <cell r="AQ304">
            <v>-204400</v>
          </cell>
          <cell r="AR304">
            <v>0</v>
          </cell>
          <cell r="AS304">
            <v>-2044000</v>
          </cell>
          <cell r="AT304">
            <v>-3019581</v>
          </cell>
          <cell r="AU304">
            <v>-2415664</v>
          </cell>
          <cell r="AV304">
            <v>-603916</v>
          </cell>
          <cell r="AW304">
            <v>0</v>
          </cell>
          <cell r="AX304">
            <v>-6039161</v>
          </cell>
          <cell r="AY304">
            <v>55119988</v>
          </cell>
          <cell r="AZ304">
            <v>1256651</v>
          </cell>
          <cell r="BA304">
            <v>1317531</v>
          </cell>
          <cell r="BB304">
            <v>2418447</v>
          </cell>
          <cell r="BC304">
            <v>0</v>
          </cell>
          <cell r="BD304">
            <v>0</v>
          </cell>
          <cell r="BE304">
            <v>49113</v>
          </cell>
          <cell r="BF304">
            <v>2905737</v>
          </cell>
          <cell r="BG304">
            <v>266689</v>
          </cell>
          <cell r="BH304">
            <v>28577</v>
          </cell>
          <cell r="BI304">
            <v>0</v>
          </cell>
          <cell r="BJ304">
            <v>0</v>
          </cell>
          <cell r="BK304">
            <v>0</v>
          </cell>
          <cell r="BL304">
            <v>0</v>
          </cell>
          <cell r="BM304">
            <v>0</v>
          </cell>
          <cell r="BN304">
            <v>0</v>
          </cell>
          <cell r="BO304">
            <v>0</v>
          </cell>
          <cell r="BP304">
            <v>66092944</v>
          </cell>
          <cell r="BQ304">
            <v>1139140</v>
          </cell>
          <cell r="BR304">
            <v>4903978</v>
          </cell>
          <cell r="BS304">
            <v>-2264760</v>
          </cell>
        </row>
        <row r="305">
          <cell r="A305">
            <v>298</v>
          </cell>
          <cell r="B305" t="str">
            <v>Waveney</v>
          </cell>
          <cell r="C305" t="str">
            <v>E3537</v>
          </cell>
          <cell r="D305">
            <v>205447</v>
          </cell>
          <cell r="E305">
            <v>0</v>
          </cell>
          <cell r="G305">
            <v>24514</v>
          </cell>
          <cell r="H305">
            <v>0</v>
          </cell>
          <cell r="I305">
            <v>205447</v>
          </cell>
          <cell r="J305">
            <v>0</v>
          </cell>
          <cell r="K305">
            <v>0</v>
          </cell>
          <cell r="L305">
            <v>0</v>
          </cell>
          <cell r="M305">
            <v>23103</v>
          </cell>
          <cell r="N305">
            <v>23103</v>
          </cell>
          <cell r="O305">
            <v>0</v>
          </cell>
          <cell r="P305">
            <v>0</v>
          </cell>
          <cell r="Q305">
            <v>609722</v>
          </cell>
          <cell r="R305">
            <v>152430</v>
          </cell>
          <cell r="S305">
            <v>0</v>
          </cell>
          <cell r="T305">
            <v>0</v>
          </cell>
          <cell r="U305">
            <v>0</v>
          </cell>
          <cell r="V305">
            <v>0</v>
          </cell>
          <cell r="W305">
            <v>0</v>
          </cell>
          <cell r="X305">
            <v>0</v>
          </cell>
          <cell r="Y305">
            <v>0</v>
          </cell>
          <cell r="Z305">
            <v>9055.8727133757966</v>
          </cell>
          <cell r="AA305">
            <v>2263.9681783439482</v>
          </cell>
          <cell r="AB305">
            <v>0</v>
          </cell>
          <cell r="AC305">
            <v>211250.82527388536</v>
          </cell>
          <cell r="AD305">
            <v>52812.706318471326</v>
          </cell>
          <cell r="AE305">
            <v>0</v>
          </cell>
          <cell r="AF305">
            <v>0</v>
          </cell>
          <cell r="AG305">
            <v>0</v>
          </cell>
          <cell r="AH305">
            <v>0</v>
          </cell>
          <cell r="AI305">
            <v>7198</v>
          </cell>
          <cell r="AJ305">
            <v>1799.5679999999995</v>
          </cell>
          <cell r="AK305">
            <v>0</v>
          </cell>
          <cell r="AL305">
            <v>112809</v>
          </cell>
          <cell r="AM305">
            <v>27596</v>
          </cell>
          <cell r="AN305">
            <v>0</v>
          </cell>
          <cell r="AO305">
            <v>-289500</v>
          </cell>
          <cell r="AP305">
            <v>-231600</v>
          </cell>
          <cell r="AQ305">
            <v>-57900</v>
          </cell>
          <cell r="AR305">
            <v>0</v>
          </cell>
          <cell r="AS305">
            <v>-579000</v>
          </cell>
          <cell r="AT305">
            <v>-562652</v>
          </cell>
          <cell r="AU305">
            <v>-450121</v>
          </cell>
          <cell r="AV305">
            <v>-112531</v>
          </cell>
          <cell r="AW305">
            <v>0</v>
          </cell>
          <cell r="AX305">
            <v>-1125304</v>
          </cell>
          <cell r="AY305">
            <v>25515804</v>
          </cell>
          <cell r="AZ305">
            <v>2984968.24</v>
          </cell>
          <cell r="BA305">
            <v>498624.3</v>
          </cell>
          <cell r="BB305">
            <v>1848389.36</v>
          </cell>
          <cell r="BC305">
            <v>61908.2</v>
          </cell>
          <cell r="BD305">
            <v>18845.650000000001</v>
          </cell>
          <cell r="BE305">
            <v>8396.18</v>
          </cell>
          <cell r="BF305">
            <v>864230.41</v>
          </cell>
          <cell r="BG305">
            <v>84254.399999999994</v>
          </cell>
          <cell r="BH305">
            <v>3465</v>
          </cell>
          <cell r="BI305">
            <v>258.11</v>
          </cell>
          <cell r="BJ305">
            <v>11280.44</v>
          </cell>
          <cell r="BK305">
            <v>0</v>
          </cell>
          <cell r="BL305">
            <v>0</v>
          </cell>
          <cell r="BM305">
            <v>0</v>
          </cell>
          <cell r="BN305">
            <v>0</v>
          </cell>
          <cell r="BO305">
            <v>0</v>
          </cell>
          <cell r="BP305">
            <v>27569224.899999999</v>
          </cell>
          <cell r="BQ305">
            <v>243390.28</v>
          </cell>
          <cell r="BR305">
            <v>1183454.6599999999</v>
          </cell>
          <cell r="BS305">
            <v>-642904</v>
          </cell>
        </row>
        <row r="306">
          <cell r="A306">
            <v>299</v>
          </cell>
          <cell r="B306" t="str">
            <v>Waverley</v>
          </cell>
          <cell r="C306" t="str">
            <v>E3640</v>
          </cell>
          <cell r="D306">
            <v>180822</v>
          </cell>
          <cell r="G306">
            <v>19642</v>
          </cell>
          <cell r="H306">
            <v>0</v>
          </cell>
          <cell r="I306">
            <v>180822</v>
          </cell>
          <cell r="J306">
            <v>0</v>
          </cell>
          <cell r="K306">
            <v>0</v>
          </cell>
          <cell r="L306">
            <v>0</v>
          </cell>
          <cell r="M306">
            <v>0</v>
          </cell>
          <cell r="N306">
            <v>0</v>
          </cell>
          <cell r="O306">
            <v>0</v>
          </cell>
          <cell r="P306">
            <v>0</v>
          </cell>
          <cell r="Q306">
            <v>407922</v>
          </cell>
          <cell r="R306">
            <v>101980</v>
          </cell>
          <cell r="S306">
            <v>0</v>
          </cell>
          <cell r="T306">
            <v>40425</v>
          </cell>
          <cell r="U306">
            <v>10106</v>
          </cell>
          <cell r="V306">
            <v>0</v>
          </cell>
          <cell r="W306">
            <v>40425</v>
          </cell>
          <cell r="X306">
            <v>10106</v>
          </cell>
          <cell r="Y306">
            <v>0</v>
          </cell>
          <cell r="Z306">
            <v>40424.62845010616</v>
          </cell>
          <cell r="AA306">
            <v>10106.157112526536</v>
          </cell>
          <cell r="AB306">
            <v>0</v>
          </cell>
          <cell r="AC306">
            <v>262760.08492569003</v>
          </cell>
          <cell r="AD306">
            <v>65690.021231422492</v>
          </cell>
          <cell r="AE306">
            <v>0</v>
          </cell>
          <cell r="AF306">
            <v>30019</v>
          </cell>
          <cell r="AG306">
            <v>0</v>
          </cell>
          <cell r="AH306">
            <v>0</v>
          </cell>
          <cell r="AI306">
            <v>12494</v>
          </cell>
          <cell r="AJ306">
            <v>3123.4609999999993</v>
          </cell>
          <cell r="AK306">
            <v>0</v>
          </cell>
          <cell r="AL306">
            <v>147687</v>
          </cell>
          <cell r="AM306">
            <v>36442</v>
          </cell>
          <cell r="AN306">
            <v>0</v>
          </cell>
          <cell r="AO306">
            <v>-184687</v>
          </cell>
          <cell r="AP306">
            <v>-147749</v>
          </cell>
          <cell r="AQ306">
            <v>-36937</v>
          </cell>
          <cell r="AR306">
            <v>0</v>
          </cell>
          <cell r="AS306">
            <v>-369373</v>
          </cell>
          <cell r="AT306">
            <v>-269480</v>
          </cell>
          <cell r="AU306">
            <v>-215584</v>
          </cell>
          <cell r="AV306">
            <v>-53896</v>
          </cell>
          <cell r="AW306">
            <v>0</v>
          </cell>
          <cell r="AX306">
            <v>-538960</v>
          </cell>
          <cell r="AY306">
            <v>35116644</v>
          </cell>
          <cell r="AZ306">
            <v>1980729</v>
          </cell>
          <cell r="BA306">
            <v>716137</v>
          </cell>
          <cell r="BB306">
            <v>4698268</v>
          </cell>
          <cell r="BC306">
            <v>42536</v>
          </cell>
          <cell r="BD306">
            <v>6703</v>
          </cell>
          <cell r="BE306">
            <v>0</v>
          </cell>
          <cell r="BF306">
            <v>1141941</v>
          </cell>
          <cell r="BG306">
            <v>61732</v>
          </cell>
          <cell r="BH306">
            <v>370567</v>
          </cell>
          <cell r="BI306">
            <v>0</v>
          </cell>
          <cell r="BJ306">
            <v>4022</v>
          </cell>
          <cell r="BK306">
            <v>6394</v>
          </cell>
          <cell r="BL306">
            <v>0</v>
          </cell>
          <cell r="BM306">
            <v>0</v>
          </cell>
          <cell r="BN306">
            <v>0</v>
          </cell>
          <cell r="BO306">
            <v>0</v>
          </cell>
          <cell r="BP306">
            <v>36130774</v>
          </cell>
          <cell r="BQ306">
            <v>123627</v>
          </cell>
          <cell r="BR306">
            <v>2202374.9</v>
          </cell>
          <cell r="BS306">
            <v>777205.63</v>
          </cell>
        </row>
        <row r="307">
          <cell r="A307">
            <v>300</v>
          </cell>
          <cell r="B307" t="str">
            <v>Wealden</v>
          </cell>
          <cell r="C307" t="str">
            <v>E1437</v>
          </cell>
          <cell r="D307">
            <v>209532</v>
          </cell>
          <cell r="G307">
            <v>88457</v>
          </cell>
          <cell r="H307">
            <v>0</v>
          </cell>
          <cell r="I307">
            <v>209532</v>
          </cell>
          <cell r="J307">
            <v>0</v>
          </cell>
          <cell r="K307">
            <v>0</v>
          </cell>
          <cell r="L307">
            <v>0</v>
          </cell>
          <cell r="M307">
            <v>0</v>
          </cell>
          <cell r="N307">
            <v>0</v>
          </cell>
          <cell r="O307">
            <v>0</v>
          </cell>
          <cell r="P307">
            <v>0</v>
          </cell>
          <cell r="Q307">
            <v>865873</v>
          </cell>
          <cell r="R307">
            <v>194822</v>
          </cell>
          <cell r="S307">
            <v>21647</v>
          </cell>
          <cell r="T307">
            <v>0</v>
          </cell>
          <cell r="U307">
            <v>0</v>
          </cell>
          <cell r="V307">
            <v>0</v>
          </cell>
          <cell r="W307">
            <v>28298</v>
          </cell>
          <cell r="X307">
            <v>6367</v>
          </cell>
          <cell r="Y307">
            <v>707</v>
          </cell>
          <cell r="Z307">
            <v>23455.582165605098</v>
          </cell>
          <cell r="AA307">
            <v>5277.5059872611455</v>
          </cell>
          <cell r="AB307">
            <v>586.38955414012742</v>
          </cell>
          <cell r="AC307">
            <v>358397.07515923568</v>
          </cell>
          <cell r="AD307">
            <v>80639.341910828007</v>
          </cell>
          <cell r="AE307">
            <v>8959.9268789808921</v>
          </cell>
          <cell r="AF307">
            <v>3775</v>
          </cell>
          <cell r="AG307">
            <v>0</v>
          </cell>
          <cell r="AH307">
            <v>0</v>
          </cell>
          <cell r="AI307">
            <v>1510</v>
          </cell>
          <cell r="AJ307">
            <v>339.65999999999991</v>
          </cell>
          <cell r="AK307">
            <v>37.74</v>
          </cell>
          <cell r="AL307">
            <v>123774</v>
          </cell>
          <cell r="AM307">
            <v>27349</v>
          </cell>
          <cell r="AN307">
            <v>3039</v>
          </cell>
          <cell r="AO307">
            <v>-133370</v>
          </cell>
          <cell r="AP307">
            <v>-106695</v>
          </cell>
          <cell r="AQ307">
            <v>-24006</v>
          </cell>
          <cell r="AR307">
            <v>-2668</v>
          </cell>
          <cell r="AS307">
            <v>-266739</v>
          </cell>
          <cell r="AT307">
            <v>-431278</v>
          </cell>
          <cell r="AU307">
            <v>-345022</v>
          </cell>
          <cell r="AV307">
            <v>-77630</v>
          </cell>
          <cell r="AW307">
            <v>-8625</v>
          </cell>
          <cell r="AX307">
            <v>-862555</v>
          </cell>
          <cell r="AY307">
            <v>27984596</v>
          </cell>
          <cell r="AZ307">
            <v>4230888</v>
          </cell>
          <cell r="BA307">
            <v>505360</v>
          </cell>
          <cell r="BB307">
            <v>2455654</v>
          </cell>
          <cell r="BC307">
            <v>126889</v>
          </cell>
          <cell r="BD307">
            <v>72014</v>
          </cell>
          <cell r="BE307">
            <v>19077</v>
          </cell>
          <cell r="BF307">
            <v>1044393</v>
          </cell>
          <cell r="BG307">
            <v>75673</v>
          </cell>
          <cell r="BH307">
            <v>21774</v>
          </cell>
          <cell r="BI307">
            <v>0</v>
          </cell>
          <cell r="BJ307">
            <v>15888</v>
          </cell>
          <cell r="BK307">
            <v>20038</v>
          </cell>
          <cell r="BL307">
            <v>0</v>
          </cell>
          <cell r="BM307">
            <v>0</v>
          </cell>
          <cell r="BN307">
            <v>0</v>
          </cell>
          <cell r="BO307">
            <v>0</v>
          </cell>
          <cell r="BP307">
            <v>28758679</v>
          </cell>
          <cell r="BQ307">
            <v>286855</v>
          </cell>
          <cell r="BR307">
            <v>1452156</v>
          </cell>
          <cell r="BS307">
            <v>453762</v>
          </cell>
        </row>
        <row r="308">
          <cell r="A308">
            <v>301</v>
          </cell>
          <cell r="B308" t="str">
            <v>Wellingborough</v>
          </cell>
          <cell r="C308" t="str">
            <v>E2837</v>
          </cell>
          <cell r="D308">
            <v>112434</v>
          </cell>
          <cell r="G308">
            <v>11994</v>
          </cell>
          <cell r="H308">
            <v>0</v>
          </cell>
          <cell r="I308">
            <v>112434</v>
          </cell>
          <cell r="J308">
            <v>0</v>
          </cell>
          <cell r="K308">
            <v>0</v>
          </cell>
          <cell r="L308">
            <v>0</v>
          </cell>
          <cell r="M308">
            <v>0</v>
          </cell>
          <cell r="N308">
            <v>0</v>
          </cell>
          <cell r="O308">
            <v>0</v>
          </cell>
          <cell r="P308">
            <v>0</v>
          </cell>
          <cell r="Q308">
            <v>376086</v>
          </cell>
          <cell r="R308">
            <v>94022</v>
          </cell>
          <cell r="S308">
            <v>0</v>
          </cell>
          <cell r="T308">
            <v>0</v>
          </cell>
          <cell r="U308">
            <v>0</v>
          </cell>
          <cell r="V308">
            <v>0</v>
          </cell>
          <cell r="W308">
            <v>0</v>
          </cell>
          <cell r="X308">
            <v>0</v>
          </cell>
          <cell r="Y308">
            <v>0</v>
          </cell>
          <cell r="Z308">
            <v>0</v>
          </cell>
          <cell r="AA308">
            <v>0</v>
          </cell>
          <cell r="AB308">
            <v>0</v>
          </cell>
          <cell r="AC308">
            <v>93470.056322717632</v>
          </cell>
          <cell r="AD308">
            <v>23367.514080679401</v>
          </cell>
          <cell r="AE308">
            <v>0</v>
          </cell>
          <cell r="AF308">
            <v>0</v>
          </cell>
          <cell r="AG308">
            <v>0</v>
          </cell>
          <cell r="AH308">
            <v>0</v>
          </cell>
          <cell r="AI308">
            <v>0</v>
          </cell>
          <cell r="AJ308">
            <v>0</v>
          </cell>
          <cell r="AK308">
            <v>0</v>
          </cell>
          <cell r="AL308">
            <v>129060</v>
          </cell>
          <cell r="AM308">
            <v>31967</v>
          </cell>
          <cell r="AN308">
            <v>0</v>
          </cell>
          <cell r="AO308">
            <v>-100560</v>
          </cell>
          <cell r="AP308">
            <v>-80448</v>
          </cell>
          <cell r="AQ308">
            <v>-20112</v>
          </cell>
          <cell r="AR308">
            <v>0</v>
          </cell>
          <cell r="AS308">
            <v>-201120</v>
          </cell>
          <cell r="AT308">
            <v>-102321.79999999999</v>
          </cell>
          <cell r="AU308">
            <v>-81858</v>
          </cell>
          <cell r="AV308">
            <v>-20465</v>
          </cell>
          <cell r="AW308">
            <v>0</v>
          </cell>
          <cell r="AX308">
            <v>-204644.8</v>
          </cell>
          <cell r="AY308">
            <v>27708108</v>
          </cell>
          <cell r="AZ308">
            <v>1832656.68</v>
          </cell>
          <cell r="BA308">
            <v>555115.30000000005</v>
          </cell>
          <cell r="BB308">
            <v>1628086.8</v>
          </cell>
          <cell r="BC308">
            <v>2901.36</v>
          </cell>
          <cell r="BD308">
            <v>2413.87</v>
          </cell>
          <cell r="BE308">
            <v>121110.11</v>
          </cell>
          <cell r="BF308">
            <v>1355249.73</v>
          </cell>
          <cell r="BG308">
            <v>89598.79</v>
          </cell>
          <cell r="BH308">
            <v>11238.52</v>
          </cell>
          <cell r="BI308">
            <v>0</v>
          </cell>
          <cell r="BJ308">
            <v>0</v>
          </cell>
          <cell r="BK308">
            <v>0</v>
          </cell>
          <cell r="BL308">
            <v>0</v>
          </cell>
          <cell r="BM308">
            <v>0</v>
          </cell>
          <cell r="BN308">
            <v>0</v>
          </cell>
          <cell r="BO308">
            <v>0</v>
          </cell>
          <cell r="BP308">
            <v>28175666.800000001</v>
          </cell>
          <cell r="BQ308">
            <v>64973.19</v>
          </cell>
          <cell r="BR308">
            <v>599693.57999999996</v>
          </cell>
          <cell r="BS308">
            <v>289284</v>
          </cell>
        </row>
        <row r="309">
          <cell r="A309">
            <v>302</v>
          </cell>
          <cell r="B309" t="str">
            <v>Welwyn Hatfield</v>
          </cell>
          <cell r="C309" t="str">
            <v>E1940</v>
          </cell>
          <cell r="D309">
            <v>152796</v>
          </cell>
          <cell r="G309">
            <v>52590</v>
          </cell>
          <cell r="H309">
            <v>0</v>
          </cell>
          <cell r="I309">
            <v>152796</v>
          </cell>
          <cell r="J309">
            <v>0</v>
          </cell>
          <cell r="K309">
            <v>0</v>
          </cell>
          <cell r="L309">
            <v>0</v>
          </cell>
          <cell r="M309">
            <v>0</v>
          </cell>
          <cell r="N309">
            <v>0</v>
          </cell>
          <cell r="O309">
            <v>0</v>
          </cell>
          <cell r="P309">
            <v>0</v>
          </cell>
          <cell r="Q309">
            <v>237569</v>
          </cell>
          <cell r="R309">
            <v>59392</v>
          </cell>
          <cell r="S309">
            <v>0</v>
          </cell>
          <cell r="T309">
            <v>0</v>
          </cell>
          <cell r="U309">
            <v>0</v>
          </cell>
          <cell r="V309">
            <v>0</v>
          </cell>
          <cell r="W309">
            <v>200692</v>
          </cell>
          <cell r="X309">
            <v>50173</v>
          </cell>
          <cell r="Y309">
            <v>0</v>
          </cell>
          <cell r="Z309">
            <v>26489.450530785562</v>
          </cell>
          <cell r="AA309">
            <v>6622.3626326963886</v>
          </cell>
          <cell r="AB309">
            <v>0</v>
          </cell>
          <cell r="AC309">
            <v>227590.65817409768</v>
          </cell>
          <cell r="AD309">
            <v>56897.664543524406</v>
          </cell>
          <cell r="AE309">
            <v>0</v>
          </cell>
          <cell r="AF309">
            <v>0</v>
          </cell>
          <cell r="AG309">
            <v>0</v>
          </cell>
          <cell r="AH309">
            <v>0</v>
          </cell>
          <cell r="AI309">
            <v>0</v>
          </cell>
          <cell r="AJ309">
            <v>0</v>
          </cell>
          <cell r="AK309">
            <v>0</v>
          </cell>
          <cell r="AL309">
            <v>234413</v>
          </cell>
          <cell r="AM309">
            <v>58198</v>
          </cell>
          <cell r="AN309">
            <v>0</v>
          </cell>
          <cell r="AO309">
            <v>-90047.07</v>
          </cell>
          <cell r="AP309">
            <v>-72038</v>
          </cell>
          <cell r="AQ309">
            <v>-18010</v>
          </cell>
          <cell r="AR309">
            <v>0</v>
          </cell>
          <cell r="AS309">
            <v>-180095.07</v>
          </cell>
          <cell r="AT309">
            <v>-696626.72</v>
          </cell>
          <cell r="AU309">
            <v>-557301</v>
          </cell>
          <cell r="AV309">
            <v>-139325</v>
          </cell>
          <cell r="AW309">
            <v>0</v>
          </cell>
          <cell r="AX309">
            <v>-1393252.72</v>
          </cell>
          <cell r="AY309">
            <v>55057772</v>
          </cell>
          <cell r="AZ309">
            <v>1168968.78</v>
          </cell>
          <cell r="BA309">
            <v>1183428.05</v>
          </cell>
          <cell r="BB309">
            <v>5438860.2000000002</v>
          </cell>
          <cell r="BC309">
            <v>43426.2</v>
          </cell>
          <cell r="BD309">
            <v>0</v>
          </cell>
          <cell r="BE309">
            <v>232798.85</v>
          </cell>
          <cell r="BF309">
            <v>1846969.94</v>
          </cell>
          <cell r="BG309">
            <v>235686.87</v>
          </cell>
          <cell r="BH309">
            <v>49198.16</v>
          </cell>
          <cell r="BI309">
            <v>5516.59</v>
          </cell>
          <cell r="BJ309">
            <v>0</v>
          </cell>
          <cell r="BK309">
            <v>0</v>
          </cell>
          <cell r="BL309">
            <v>0</v>
          </cell>
          <cell r="BM309">
            <v>0</v>
          </cell>
          <cell r="BN309">
            <v>0</v>
          </cell>
          <cell r="BO309">
            <v>0</v>
          </cell>
          <cell r="BP309">
            <v>57111300.600000001</v>
          </cell>
          <cell r="BQ309">
            <v>306776.24</v>
          </cell>
          <cell r="BR309">
            <v>898551.61</v>
          </cell>
          <cell r="BS309">
            <v>11752.33</v>
          </cell>
        </row>
        <row r="310">
          <cell r="A310">
            <v>303</v>
          </cell>
          <cell r="B310" t="str">
            <v>West Berkshire</v>
          </cell>
          <cell r="C310" t="str">
            <v>E0302</v>
          </cell>
          <cell r="D310">
            <v>259810</v>
          </cell>
          <cell r="G310">
            <v>78625</v>
          </cell>
          <cell r="H310">
            <v>0</v>
          </cell>
          <cell r="I310">
            <v>259810</v>
          </cell>
          <cell r="J310">
            <v>0</v>
          </cell>
          <cell r="K310">
            <v>0</v>
          </cell>
          <cell r="L310">
            <v>0</v>
          </cell>
          <cell r="M310">
            <v>0</v>
          </cell>
          <cell r="N310">
            <v>0</v>
          </cell>
          <cell r="O310">
            <v>0</v>
          </cell>
          <cell r="P310">
            <v>0</v>
          </cell>
          <cell r="Q310">
            <v>445681</v>
          </cell>
          <cell r="R310">
            <v>0</v>
          </cell>
          <cell r="S310">
            <v>9096</v>
          </cell>
          <cell r="T310">
            <v>0</v>
          </cell>
          <cell r="U310">
            <v>0</v>
          </cell>
          <cell r="V310">
            <v>0</v>
          </cell>
          <cell r="W310">
            <v>0</v>
          </cell>
          <cell r="X310">
            <v>0</v>
          </cell>
          <cell r="Y310">
            <v>0</v>
          </cell>
          <cell r="Z310">
            <v>66852.229299363054</v>
          </cell>
          <cell r="AA310">
            <v>1.1833686896631594E-12</v>
          </cell>
          <cell r="AB310">
            <v>1364.3312101910828</v>
          </cell>
          <cell r="AC310">
            <v>200556.68789808918</v>
          </cell>
          <cell r="AD310">
            <v>3.5501060689894785E-12</v>
          </cell>
          <cell r="AE310">
            <v>4092.9936305732485</v>
          </cell>
          <cell r="AF310">
            <v>19872</v>
          </cell>
          <cell r="AG310">
            <v>0</v>
          </cell>
          <cell r="AH310">
            <v>0</v>
          </cell>
          <cell r="AI310">
            <v>0</v>
          </cell>
          <cell r="AJ310">
            <v>0</v>
          </cell>
          <cell r="AK310">
            <v>0</v>
          </cell>
          <cell r="AL310">
            <v>435931</v>
          </cell>
          <cell r="AM310">
            <v>0</v>
          </cell>
          <cell r="AN310">
            <v>8840</v>
          </cell>
          <cell r="AO310">
            <v>-250000</v>
          </cell>
          <cell r="AP310">
            <v>-245000</v>
          </cell>
          <cell r="AQ310">
            <v>0</v>
          </cell>
          <cell r="AR310">
            <v>-5000</v>
          </cell>
          <cell r="AS310">
            <v>-500000</v>
          </cell>
          <cell r="AT310">
            <v>-345000</v>
          </cell>
          <cell r="AU310">
            <v>-338100</v>
          </cell>
          <cell r="AV310">
            <v>0</v>
          </cell>
          <cell r="AW310">
            <v>-6900</v>
          </cell>
          <cell r="AX310">
            <v>-690000</v>
          </cell>
          <cell r="AY310">
            <v>78774029</v>
          </cell>
          <cell r="AZ310">
            <v>2027677</v>
          </cell>
          <cell r="BA310">
            <v>1548436</v>
          </cell>
          <cell r="BB310">
            <v>3756292</v>
          </cell>
          <cell r="BC310">
            <v>35227</v>
          </cell>
          <cell r="BD310">
            <v>26782</v>
          </cell>
          <cell r="BE310">
            <v>62393</v>
          </cell>
          <cell r="BF310">
            <v>2760676</v>
          </cell>
          <cell r="BG310">
            <v>39380</v>
          </cell>
          <cell r="BH310">
            <v>38951</v>
          </cell>
          <cell r="BI310">
            <v>0</v>
          </cell>
          <cell r="BJ310">
            <v>10994</v>
          </cell>
          <cell r="BK310">
            <v>45092</v>
          </cell>
          <cell r="BL310">
            <v>0</v>
          </cell>
          <cell r="BM310">
            <v>0</v>
          </cell>
          <cell r="BN310">
            <v>0</v>
          </cell>
          <cell r="BO310">
            <v>0</v>
          </cell>
          <cell r="BP310">
            <v>79825012</v>
          </cell>
          <cell r="BQ310">
            <v>142497</v>
          </cell>
          <cell r="BR310">
            <v>1972611</v>
          </cell>
          <cell r="BS310">
            <v>1849516</v>
          </cell>
        </row>
        <row r="311">
          <cell r="A311">
            <v>304</v>
          </cell>
          <cell r="B311" t="str">
            <v>West Devon</v>
          </cell>
          <cell r="C311" t="str">
            <v>E1140</v>
          </cell>
          <cell r="D311">
            <v>84601</v>
          </cell>
          <cell r="G311">
            <v>64232</v>
          </cell>
          <cell r="H311">
            <v>0</v>
          </cell>
          <cell r="I311">
            <v>84601</v>
          </cell>
          <cell r="J311">
            <v>0</v>
          </cell>
          <cell r="K311">
            <v>0</v>
          </cell>
          <cell r="L311">
            <v>0</v>
          </cell>
          <cell r="M311">
            <v>0</v>
          </cell>
          <cell r="N311">
            <v>0</v>
          </cell>
          <cell r="O311">
            <v>0</v>
          </cell>
          <cell r="P311">
            <v>0</v>
          </cell>
          <cell r="Q311">
            <v>305998</v>
          </cell>
          <cell r="R311">
            <v>68849</v>
          </cell>
          <cell r="S311">
            <v>7650</v>
          </cell>
          <cell r="T311">
            <v>4042</v>
          </cell>
          <cell r="U311">
            <v>910</v>
          </cell>
          <cell r="V311">
            <v>101</v>
          </cell>
          <cell r="W311">
            <v>4042</v>
          </cell>
          <cell r="X311">
            <v>910</v>
          </cell>
          <cell r="Y311">
            <v>101</v>
          </cell>
          <cell r="Z311">
            <v>8084.9256900212322</v>
          </cell>
          <cell r="AA311">
            <v>1819.1082802547769</v>
          </cell>
          <cell r="AB311">
            <v>202.1231422505308</v>
          </cell>
          <cell r="AC311">
            <v>166145.22292993631</v>
          </cell>
          <cell r="AD311">
            <v>37382.67515923566</v>
          </cell>
          <cell r="AE311">
            <v>4153.6305732484079</v>
          </cell>
          <cell r="AF311">
            <v>0</v>
          </cell>
          <cell r="AG311">
            <v>0</v>
          </cell>
          <cell r="AH311">
            <v>0</v>
          </cell>
          <cell r="AI311">
            <v>0</v>
          </cell>
          <cell r="AJ311">
            <v>0</v>
          </cell>
          <cell r="AK311">
            <v>0</v>
          </cell>
          <cell r="AL311">
            <v>43700</v>
          </cell>
          <cell r="AM311">
            <v>9630</v>
          </cell>
          <cell r="AN311">
            <v>1070</v>
          </cell>
          <cell r="AO311">
            <v>-41133</v>
          </cell>
          <cell r="AP311">
            <v>-32906</v>
          </cell>
          <cell r="AQ311">
            <v>-7404</v>
          </cell>
          <cell r="AR311">
            <v>-823</v>
          </cell>
          <cell r="AS311">
            <v>-82266</v>
          </cell>
          <cell r="AT311">
            <v>-183872</v>
          </cell>
          <cell r="AU311">
            <v>-147097</v>
          </cell>
          <cell r="AV311">
            <v>-33096</v>
          </cell>
          <cell r="AW311">
            <v>-3677</v>
          </cell>
          <cell r="AX311">
            <v>-367742</v>
          </cell>
          <cell r="AY311">
            <v>10031166</v>
          </cell>
          <cell r="AZ311">
            <v>1295342</v>
          </cell>
          <cell r="BA311">
            <v>176698</v>
          </cell>
          <cell r="BB311">
            <v>714362</v>
          </cell>
          <cell r="BC311">
            <v>73156</v>
          </cell>
          <cell r="BD311">
            <v>45740</v>
          </cell>
          <cell r="BE311">
            <v>8956</v>
          </cell>
          <cell r="BF311">
            <v>223480</v>
          </cell>
          <cell r="BG311">
            <v>65660</v>
          </cell>
          <cell r="BH311">
            <v>20846</v>
          </cell>
          <cell r="BI311">
            <v>8372</v>
          </cell>
          <cell r="BJ311">
            <v>15780</v>
          </cell>
          <cell r="BK311">
            <v>0</v>
          </cell>
          <cell r="BL311">
            <v>0</v>
          </cell>
          <cell r="BM311">
            <v>0</v>
          </cell>
          <cell r="BN311">
            <v>0</v>
          </cell>
          <cell r="BO311">
            <v>0</v>
          </cell>
          <cell r="BP311">
            <v>10421378</v>
          </cell>
          <cell r="BQ311">
            <v>44081</v>
          </cell>
          <cell r="BR311">
            <v>540667</v>
          </cell>
          <cell r="BS311">
            <v>22923</v>
          </cell>
        </row>
        <row r="312">
          <cell r="A312">
            <v>305</v>
          </cell>
          <cell r="B312" t="str">
            <v>West Dorset</v>
          </cell>
          <cell r="C312" t="str">
            <v>E1237</v>
          </cell>
          <cell r="D312">
            <v>206892</v>
          </cell>
          <cell r="G312">
            <v>35860</v>
          </cell>
          <cell r="H312">
            <v>0</v>
          </cell>
          <cell r="I312">
            <v>206892</v>
          </cell>
          <cell r="J312">
            <v>0</v>
          </cell>
          <cell r="K312">
            <v>0</v>
          </cell>
          <cell r="L312">
            <v>0</v>
          </cell>
          <cell r="M312">
            <v>0</v>
          </cell>
          <cell r="N312">
            <v>0</v>
          </cell>
          <cell r="O312">
            <v>0</v>
          </cell>
          <cell r="P312">
            <v>0</v>
          </cell>
          <cell r="Q312">
            <v>713569</v>
          </cell>
          <cell r="R312">
            <v>160553</v>
          </cell>
          <cell r="S312">
            <v>17839</v>
          </cell>
          <cell r="T312">
            <v>4042</v>
          </cell>
          <cell r="U312">
            <v>910</v>
          </cell>
          <cell r="V312">
            <v>101</v>
          </cell>
          <cell r="W312">
            <v>4042</v>
          </cell>
          <cell r="X312">
            <v>910</v>
          </cell>
          <cell r="Y312">
            <v>101</v>
          </cell>
          <cell r="Z312">
            <v>4042.4628450106161</v>
          </cell>
          <cell r="AA312">
            <v>909.55414012738845</v>
          </cell>
          <cell r="AB312">
            <v>101.0615711252654</v>
          </cell>
          <cell r="AC312">
            <v>330274.34836518043</v>
          </cell>
          <cell r="AD312">
            <v>74311.728382165587</v>
          </cell>
          <cell r="AE312">
            <v>8256.8587091295103</v>
          </cell>
          <cell r="AF312">
            <v>0</v>
          </cell>
          <cell r="AG312">
            <v>0</v>
          </cell>
          <cell r="AH312">
            <v>0</v>
          </cell>
          <cell r="AI312">
            <v>4274</v>
          </cell>
          <cell r="AJ312">
            <v>961.61399999999981</v>
          </cell>
          <cell r="AK312">
            <v>106.846</v>
          </cell>
          <cell r="AL312">
            <v>116256</v>
          </cell>
          <cell r="AM312">
            <v>25663</v>
          </cell>
          <cell r="AN312">
            <v>2851</v>
          </cell>
          <cell r="AO312">
            <v>-731000</v>
          </cell>
          <cell r="AP312">
            <v>-584800</v>
          </cell>
          <cell r="AQ312">
            <v>-131580</v>
          </cell>
          <cell r="AR312">
            <v>-14620</v>
          </cell>
          <cell r="AS312">
            <v>-1462000</v>
          </cell>
          <cell r="AT312">
            <v>-781378</v>
          </cell>
          <cell r="AU312">
            <v>-625103</v>
          </cell>
          <cell r="AV312">
            <v>-140649</v>
          </cell>
          <cell r="AW312">
            <v>-15627</v>
          </cell>
          <cell r="AX312">
            <v>-1562757</v>
          </cell>
          <cell r="AY312">
            <v>27684837</v>
          </cell>
          <cell r="AZ312">
            <v>3574523.76</v>
          </cell>
          <cell r="BA312">
            <v>534990.39</v>
          </cell>
          <cell r="BB312">
            <v>2740369.36</v>
          </cell>
          <cell r="BC312">
            <v>103637.59</v>
          </cell>
          <cell r="BD312">
            <v>85460.56</v>
          </cell>
          <cell r="BE312">
            <v>18158.95</v>
          </cell>
          <cell r="BF312">
            <v>872358.01</v>
          </cell>
          <cell r="BG312">
            <v>154386.9</v>
          </cell>
          <cell r="BH312">
            <v>7202.19</v>
          </cell>
          <cell r="BI312">
            <v>1450.67</v>
          </cell>
          <cell r="BJ312">
            <v>72672.5</v>
          </cell>
          <cell r="BK312">
            <v>0</v>
          </cell>
          <cell r="BL312">
            <v>0</v>
          </cell>
          <cell r="BM312">
            <v>0</v>
          </cell>
          <cell r="BN312">
            <v>0</v>
          </cell>
          <cell r="BO312">
            <v>0</v>
          </cell>
          <cell r="BP312">
            <v>29413806.199999999</v>
          </cell>
          <cell r="BQ312">
            <v>3841.65</v>
          </cell>
          <cell r="BR312">
            <v>1785417.27</v>
          </cell>
          <cell r="BS312">
            <v>315952.93</v>
          </cell>
        </row>
        <row r="313">
          <cell r="A313">
            <v>306</v>
          </cell>
          <cell r="B313" t="str">
            <v>West Lancashire</v>
          </cell>
          <cell r="C313" t="str">
            <v>E2343</v>
          </cell>
          <cell r="D313">
            <v>132942</v>
          </cell>
          <cell r="G313">
            <v>59548</v>
          </cell>
          <cell r="H313">
            <v>0</v>
          </cell>
          <cell r="I313">
            <v>132942</v>
          </cell>
          <cell r="J313">
            <v>0</v>
          </cell>
          <cell r="K313">
            <v>0</v>
          </cell>
          <cell r="L313">
            <v>0</v>
          </cell>
          <cell r="M313">
            <v>0</v>
          </cell>
          <cell r="N313">
            <v>0</v>
          </cell>
          <cell r="O313">
            <v>0</v>
          </cell>
          <cell r="P313">
            <v>0</v>
          </cell>
          <cell r="Q313">
            <v>386248</v>
          </cell>
          <cell r="R313">
            <v>86906</v>
          </cell>
          <cell r="S313">
            <v>9656</v>
          </cell>
          <cell r="T313">
            <v>752</v>
          </cell>
          <cell r="U313">
            <v>169</v>
          </cell>
          <cell r="V313">
            <v>19</v>
          </cell>
          <cell r="W313">
            <v>0</v>
          </cell>
          <cell r="X313">
            <v>0</v>
          </cell>
          <cell r="Y313">
            <v>0</v>
          </cell>
          <cell r="Z313">
            <v>163587.55668789812</v>
          </cell>
          <cell r="AA313">
            <v>36807.200254777068</v>
          </cell>
          <cell r="AB313">
            <v>4089.6889171974526</v>
          </cell>
          <cell r="AC313">
            <v>208995.32908704886</v>
          </cell>
          <cell r="AD313">
            <v>47023.949044585977</v>
          </cell>
          <cell r="AE313">
            <v>5224.8832271762212</v>
          </cell>
          <cell r="AF313">
            <v>0</v>
          </cell>
          <cell r="AG313">
            <v>0</v>
          </cell>
          <cell r="AH313">
            <v>0</v>
          </cell>
          <cell r="AI313">
            <v>0</v>
          </cell>
          <cell r="AJ313">
            <v>0</v>
          </cell>
          <cell r="AK313">
            <v>0</v>
          </cell>
          <cell r="AL313">
            <v>128442</v>
          </cell>
          <cell r="AM313">
            <v>28582</v>
          </cell>
          <cell r="AN313">
            <v>3176</v>
          </cell>
          <cell r="AO313">
            <v>-708020</v>
          </cell>
          <cell r="AP313">
            <v>-566416</v>
          </cell>
          <cell r="AQ313">
            <v>-127444</v>
          </cell>
          <cell r="AR313">
            <v>-14160</v>
          </cell>
          <cell r="AS313">
            <v>-1416040</v>
          </cell>
          <cell r="AT313">
            <v>-1072936</v>
          </cell>
          <cell r="AU313">
            <v>-858350</v>
          </cell>
          <cell r="AV313">
            <v>-193129</v>
          </cell>
          <cell r="AW313">
            <v>-21458</v>
          </cell>
          <cell r="AX313">
            <v>-2145873</v>
          </cell>
          <cell r="AY313">
            <v>27406849</v>
          </cell>
          <cell r="AZ313">
            <v>1865947</v>
          </cell>
          <cell r="BA313">
            <v>612568</v>
          </cell>
          <cell r="BB313">
            <v>2322037</v>
          </cell>
          <cell r="BC313">
            <v>0</v>
          </cell>
          <cell r="BD313">
            <v>5263</v>
          </cell>
          <cell r="BE313">
            <v>157191</v>
          </cell>
          <cell r="BF313">
            <v>2209432</v>
          </cell>
          <cell r="BG313">
            <v>9061</v>
          </cell>
          <cell r="BH313">
            <v>25233</v>
          </cell>
          <cell r="BI313">
            <v>0</v>
          </cell>
          <cell r="BJ313">
            <v>0</v>
          </cell>
          <cell r="BK313">
            <v>0</v>
          </cell>
          <cell r="BL313">
            <v>0</v>
          </cell>
          <cell r="BM313">
            <v>0</v>
          </cell>
          <cell r="BN313">
            <v>0</v>
          </cell>
          <cell r="BO313">
            <v>0</v>
          </cell>
          <cell r="BP313">
            <v>30307677</v>
          </cell>
          <cell r="BQ313">
            <v>68499</v>
          </cell>
          <cell r="BR313">
            <v>4833417</v>
          </cell>
          <cell r="BS313">
            <v>908738</v>
          </cell>
        </row>
        <row r="314">
          <cell r="A314">
            <v>307</v>
          </cell>
          <cell r="B314" t="str">
            <v>West Lindsey</v>
          </cell>
          <cell r="C314" t="str">
            <v>E2537</v>
          </cell>
          <cell r="D314">
            <v>107102</v>
          </cell>
          <cell r="G314">
            <v>-21369</v>
          </cell>
          <cell r="H314">
            <v>0</v>
          </cell>
          <cell r="I314">
            <v>107102</v>
          </cell>
          <cell r="J314">
            <v>0</v>
          </cell>
          <cell r="K314">
            <v>0</v>
          </cell>
          <cell r="L314">
            <v>0</v>
          </cell>
          <cell r="M314">
            <v>0</v>
          </cell>
          <cell r="N314">
            <v>0</v>
          </cell>
          <cell r="O314">
            <v>0</v>
          </cell>
          <cell r="P314">
            <v>0</v>
          </cell>
          <cell r="Q314">
            <v>328510</v>
          </cell>
          <cell r="R314">
            <v>82128</v>
          </cell>
          <cell r="S314">
            <v>0</v>
          </cell>
          <cell r="T314">
            <v>404</v>
          </cell>
          <cell r="U314">
            <v>101</v>
          </cell>
          <cell r="V314">
            <v>0</v>
          </cell>
          <cell r="W314">
            <v>12127</v>
          </cell>
          <cell r="X314">
            <v>3032</v>
          </cell>
          <cell r="Y314">
            <v>0</v>
          </cell>
          <cell r="Z314">
            <v>19028.681104033971</v>
          </cell>
          <cell r="AA314">
            <v>4757.1702760084918</v>
          </cell>
          <cell r="AB314">
            <v>0</v>
          </cell>
          <cell r="AC314">
            <v>133401.27388535033</v>
          </cell>
          <cell r="AD314">
            <v>33350.318471337574</v>
          </cell>
          <cell r="AE314">
            <v>0</v>
          </cell>
          <cell r="AF314">
            <v>0</v>
          </cell>
          <cell r="AG314">
            <v>0</v>
          </cell>
          <cell r="AH314">
            <v>0</v>
          </cell>
          <cell r="AI314">
            <v>0</v>
          </cell>
          <cell r="AJ314">
            <v>0</v>
          </cell>
          <cell r="AK314">
            <v>0</v>
          </cell>
          <cell r="AL314">
            <v>69680</v>
          </cell>
          <cell r="AM314">
            <v>17136</v>
          </cell>
          <cell r="AN314">
            <v>0</v>
          </cell>
          <cell r="AO314">
            <v>-130304</v>
          </cell>
          <cell r="AP314">
            <v>-104243</v>
          </cell>
          <cell r="AQ314">
            <v>-26061</v>
          </cell>
          <cell r="AR314">
            <v>0</v>
          </cell>
          <cell r="AS314">
            <v>-260608</v>
          </cell>
          <cell r="AT314">
            <v>-247140</v>
          </cell>
          <cell r="AU314">
            <v>-197711</v>
          </cell>
          <cell r="AV314">
            <v>-49428</v>
          </cell>
          <cell r="AW314">
            <v>0</v>
          </cell>
          <cell r="AX314">
            <v>-494279</v>
          </cell>
          <cell r="AY314">
            <v>13912374</v>
          </cell>
          <cell r="AZ314">
            <v>1582471.46</v>
          </cell>
          <cell r="BA314">
            <v>317773.19</v>
          </cell>
          <cell r="BB314">
            <v>1339282.46</v>
          </cell>
          <cell r="BC314">
            <v>24576.78</v>
          </cell>
          <cell r="BD314">
            <v>33780.42</v>
          </cell>
          <cell r="BE314">
            <v>17693.23</v>
          </cell>
          <cell r="BF314">
            <v>674017.59</v>
          </cell>
          <cell r="BG314">
            <v>31212.11</v>
          </cell>
          <cell r="BH314">
            <v>40202.11</v>
          </cell>
          <cell r="BI314">
            <v>1738.01</v>
          </cell>
          <cell r="BJ314">
            <v>6475.53</v>
          </cell>
          <cell r="BK314">
            <v>232.56</v>
          </cell>
          <cell r="BL314">
            <v>0</v>
          </cell>
          <cell r="BM314">
            <v>0</v>
          </cell>
          <cell r="BN314">
            <v>0</v>
          </cell>
          <cell r="BO314">
            <v>0</v>
          </cell>
          <cell r="BP314">
            <v>14636904</v>
          </cell>
          <cell r="BQ314">
            <v>109039.15</v>
          </cell>
          <cell r="BR314">
            <v>529906.97</v>
          </cell>
          <cell r="BS314">
            <v>457947.63</v>
          </cell>
        </row>
        <row r="315">
          <cell r="A315">
            <v>308</v>
          </cell>
          <cell r="B315" t="str">
            <v>West Oxfordshire</v>
          </cell>
          <cell r="C315" t="str">
            <v>E3135</v>
          </cell>
          <cell r="D315">
            <v>164331</v>
          </cell>
          <cell r="G315">
            <v>64473</v>
          </cell>
          <cell r="H315">
            <v>0</v>
          </cell>
          <cell r="I315">
            <v>164331</v>
          </cell>
          <cell r="J315">
            <v>0</v>
          </cell>
          <cell r="K315">
            <v>0</v>
          </cell>
          <cell r="L315">
            <v>0</v>
          </cell>
          <cell r="M315">
            <v>0</v>
          </cell>
          <cell r="N315">
            <v>0</v>
          </cell>
          <cell r="O315">
            <v>0</v>
          </cell>
          <cell r="P315">
            <v>0</v>
          </cell>
          <cell r="Q315">
            <v>446728</v>
          </cell>
          <cell r="R315">
            <v>111682</v>
          </cell>
          <cell r="S315">
            <v>0</v>
          </cell>
          <cell r="T315">
            <v>0</v>
          </cell>
          <cell r="U315">
            <v>0</v>
          </cell>
          <cell r="V315">
            <v>0</v>
          </cell>
          <cell r="W315">
            <v>0</v>
          </cell>
          <cell r="X315">
            <v>0</v>
          </cell>
          <cell r="Y315">
            <v>0</v>
          </cell>
          <cell r="Z315">
            <v>4463.6874734607218</v>
          </cell>
          <cell r="AA315">
            <v>1115.9218683651802</v>
          </cell>
          <cell r="AB315">
            <v>0</v>
          </cell>
          <cell r="AC315">
            <v>86813.910828025488</v>
          </cell>
          <cell r="AD315">
            <v>21703.477707006365</v>
          </cell>
          <cell r="AE315">
            <v>0</v>
          </cell>
          <cell r="AF315">
            <v>5857.46</v>
          </cell>
          <cell r="AG315">
            <v>0</v>
          </cell>
          <cell r="AH315">
            <v>0</v>
          </cell>
          <cell r="AI315">
            <v>3030</v>
          </cell>
          <cell r="AJ315">
            <v>757.49999999999989</v>
          </cell>
          <cell r="AK315">
            <v>0</v>
          </cell>
          <cell r="AL315">
            <v>139508</v>
          </cell>
          <cell r="AM315">
            <v>34441</v>
          </cell>
          <cell r="AN315">
            <v>0</v>
          </cell>
          <cell r="AO315">
            <v>-49917</v>
          </cell>
          <cell r="AP315">
            <v>-39934</v>
          </cell>
          <cell r="AQ315">
            <v>-9983</v>
          </cell>
          <cell r="AR315">
            <v>0</v>
          </cell>
          <cell r="AS315">
            <v>-99834</v>
          </cell>
          <cell r="AT315">
            <v>-1089626</v>
          </cell>
          <cell r="AU315">
            <v>-871701</v>
          </cell>
          <cell r="AV315">
            <v>-217925</v>
          </cell>
          <cell r="AW315">
            <v>0</v>
          </cell>
          <cell r="AX315">
            <v>-2179252</v>
          </cell>
          <cell r="AY315">
            <v>30455706</v>
          </cell>
          <cell r="AZ315">
            <v>2201983.08</v>
          </cell>
          <cell r="BA315">
            <v>570909.16</v>
          </cell>
          <cell r="BB315">
            <v>2231633.7999999998</v>
          </cell>
          <cell r="BC315">
            <v>62718.65</v>
          </cell>
          <cell r="BD315">
            <v>42962.99</v>
          </cell>
          <cell r="BE315">
            <v>115.28</v>
          </cell>
          <cell r="BF315">
            <v>816180.43</v>
          </cell>
          <cell r="BG315">
            <v>75719.11</v>
          </cell>
          <cell r="BH315">
            <v>0</v>
          </cell>
          <cell r="BI315">
            <v>0</v>
          </cell>
          <cell r="BJ315">
            <v>3373.53</v>
          </cell>
          <cell r="BK315">
            <v>0</v>
          </cell>
          <cell r="BL315">
            <v>0</v>
          </cell>
          <cell r="BM315">
            <v>0</v>
          </cell>
          <cell r="BN315">
            <v>0</v>
          </cell>
          <cell r="BO315">
            <v>0</v>
          </cell>
          <cell r="BP315">
            <v>32956934</v>
          </cell>
          <cell r="BQ315">
            <v>60904.800000000003</v>
          </cell>
          <cell r="BR315">
            <v>896942.97</v>
          </cell>
          <cell r="BS315">
            <v>439766</v>
          </cell>
        </row>
        <row r="316">
          <cell r="A316">
            <v>309</v>
          </cell>
          <cell r="B316" t="str">
            <v>West Somerset</v>
          </cell>
          <cell r="C316" t="str">
            <v>E3335</v>
          </cell>
          <cell r="D316">
            <v>75158</v>
          </cell>
          <cell r="G316">
            <v>53793</v>
          </cell>
          <cell r="H316">
            <v>0</v>
          </cell>
          <cell r="I316">
            <v>75158</v>
          </cell>
          <cell r="J316">
            <v>0</v>
          </cell>
          <cell r="K316">
            <v>0</v>
          </cell>
          <cell r="L316">
            <v>0</v>
          </cell>
          <cell r="M316">
            <v>0</v>
          </cell>
          <cell r="N316">
            <v>0</v>
          </cell>
          <cell r="O316">
            <v>0</v>
          </cell>
          <cell r="P316">
            <v>0</v>
          </cell>
          <cell r="Q316">
            <v>253623</v>
          </cell>
          <cell r="R316">
            <v>57065</v>
          </cell>
          <cell r="S316">
            <v>6341</v>
          </cell>
          <cell r="T316">
            <v>1213</v>
          </cell>
          <cell r="U316">
            <v>273</v>
          </cell>
          <cell r="V316">
            <v>30</v>
          </cell>
          <cell r="W316">
            <v>202</v>
          </cell>
          <cell r="X316">
            <v>46</v>
          </cell>
          <cell r="Y316">
            <v>5</v>
          </cell>
          <cell r="Z316">
            <v>2021.231422505308</v>
          </cell>
          <cell r="AA316">
            <v>454.77707006369423</v>
          </cell>
          <cell r="AB316">
            <v>50.530785562632701</v>
          </cell>
          <cell r="AC316">
            <v>84891.719745222945</v>
          </cell>
          <cell r="AD316">
            <v>19100.636942675155</v>
          </cell>
          <cell r="AE316">
            <v>2122.2929936305732</v>
          </cell>
          <cell r="AF316">
            <v>0</v>
          </cell>
          <cell r="AG316">
            <v>0</v>
          </cell>
          <cell r="AH316">
            <v>0</v>
          </cell>
          <cell r="AI316">
            <v>0</v>
          </cell>
          <cell r="AJ316">
            <v>0</v>
          </cell>
          <cell r="AK316">
            <v>0</v>
          </cell>
          <cell r="AL316">
            <v>50905</v>
          </cell>
          <cell r="AM316">
            <v>11274</v>
          </cell>
          <cell r="AN316">
            <v>1253</v>
          </cell>
          <cell r="AO316">
            <v>-37500</v>
          </cell>
          <cell r="AP316">
            <v>-30000</v>
          </cell>
          <cell r="AQ316">
            <v>-6750</v>
          </cell>
          <cell r="AR316">
            <v>-750</v>
          </cell>
          <cell r="AS316">
            <v>-75000</v>
          </cell>
          <cell r="AT316">
            <v>-924750</v>
          </cell>
          <cell r="AU316">
            <v>-739800</v>
          </cell>
          <cell r="AV316">
            <v>-166455</v>
          </cell>
          <cell r="AW316">
            <v>-18495</v>
          </cell>
          <cell r="AX316">
            <v>-1849500</v>
          </cell>
          <cell r="AY316">
            <v>10470678</v>
          </cell>
          <cell r="AZ316">
            <v>1246018</v>
          </cell>
          <cell r="BA316">
            <v>219789</v>
          </cell>
          <cell r="BB316">
            <v>521645</v>
          </cell>
          <cell r="BC316">
            <v>11114</v>
          </cell>
          <cell r="BD316">
            <v>39775</v>
          </cell>
          <cell r="BE316">
            <v>0</v>
          </cell>
          <cell r="BF316">
            <v>129421</v>
          </cell>
          <cell r="BG316">
            <v>27490</v>
          </cell>
          <cell r="BH316">
            <v>82531</v>
          </cell>
          <cell r="BI316">
            <v>2298</v>
          </cell>
          <cell r="BJ316">
            <v>39775</v>
          </cell>
          <cell r="BK316">
            <v>57794</v>
          </cell>
          <cell r="BL316">
            <v>0</v>
          </cell>
          <cell r="BM316">
            <v>0</v>
          </cell>
          <cell r="BN316">
            <v>0</v>
          </cell>
          <cell r="BO316">
            <v>0</v>
          </cell>
          <cell r="BP316">
            <v>11590884</v>
          </cell>
          <cell r="BQ316">
            <v>16110</v>
          </cell>
          <cell r="BR316">
            <v>418904</v>
          </cell>
          <cell r="BS316">
            <v>136671</v>
          </cell>
        </row>
        <row r="317">
          <cell r="A317">
            <v>310</v>
          </cell>
          <cell r="B317" t="str">
            <v>Westminster</v>
          </cell>
          <cell r="C317" t="str">
            <v>E5022</v>
          </cell>
          <cell r="D317">
            <v>3154688</v>
          </cell>
          <cell r="G317">
            <v>3937633</v>
          </cell>
          <cell r="H317">
            <v>0</v>
          </cell>
          <cell r="I317">
            <v>3154688</v>
          </cell>
          <cell r="J317">
            <v>0</v>
          </cell>
          <cell r="K317">
            <v>0</v>
          </cell>
          <cell r="L317">
            <v>0</v>
          </cell>
          <cell r="M317">
            <v>0</v>
          </cell>
          <cell r="N317">
            <v>0</v>
          </cell>
          <cell r="O317">
            <v>0</v>
          </cell>
          <cell r="P317">
            <v>0</v>
          </cell>
          <cell r="Q317">
            <v>285635</v>
          </cell>
          <cell r="R317">
            <v>190423</v>
          </cell>
          <cell r="S317">
            <v>0</v>
          </cell>
          <cell r="T317">
            <v>0</v>
          </cell>
          <cell r="U317">
            <v>0</v>
          </cell>
          <cell r="V317">
            <v>0</v>
          </cell>
          <cell r="W317">
            <v>0</v>
          </cell>
          <cell r="X317">
            <v>0</v>
          </cell>
          <cell r="Y317">
            <v>0</v>
          </cell>
          <cell r="Z317">
            <v>0</v>
          </cell>
          <cell r="AA317">
            <v>0</v>
          </cell>
          <cell r="AB317">
            <v>0</v>
          </cell>
          <cell r="AC317">
            <v>909554.14012738853</v>
          </cell>
          <cell r="AD317">
            <v>606369.42675159243</v>
          </cell>
          <cell r="AE317">
            <v>0</v>
          </cell>
          <cell r="AF317">
            <v>0</v>
          </cell>
          <cell r="AG317">
            <v>0</v>
          </cell>
          <cell r="AH317">
            <v>0</v>
          </cell>
          <cell r="AI317">
            <v>0</v>
          </cell>
          <cell r="AJ317">
            <v>0</v>
          </cell>
          <cell r="AK317">
            <v>0</v>
          </cell>
          <cell r="AL317">
            <v>5587692</v>
          </cell>
          <cell r="AM317">
            <v>3702802</v>
          </cell>
          <cell r="AN317">
            <v>0</v>
          </cell>
          <cell r="AO317">
            <v>-16069822</v>
          </cell>
          <cell r="AP317">
            <v>-9641894</v>
          </cell>
          <cell r="AQ317">
            <v>-6427929</v>
          </cell>
          <cell r="AR317">
            <v>0</v>
          </cell>
          <cell r="AS317">
            <v>-32139645</v>
          </cell>
          <cell r="AT317">
            <v>-81592343</v>
          </cell>
          <cell r="AU317">
            <v>-48955406</v>
          </cell>
          <cell r="AV317">
            <v>-32636937</v>
          </cell>
          <cell r="AW317">
            <v>0</v>
          </cell>
          <cell r="AX317">
            <v>-163184686</v>
          </cell>
          <cell r="AY317">
            <v>1533485574</v>
          </cell>
          <cell r="AZ317">
            <v>1854069</v>
          </cell>
          <cell r="BA317">
            <v>36189158</v>
          </cell>
          <cell r="BB317">
            <v>64530319</v>
          </cell>
          <cell r="BC317">
            <v>22231</v>
          </cell>
          <cell r="BD317">
            <v>0</v>
          </cell>
          <cell r="BE317">
            <v>5896652</v>
          </cell>
          <cell r="BF317">
            <v>108643180</v>
          </cell>
          <cell r="BG317">
            <v>405259</v>
          </cell>
          <cell r="BH317">
            <v>20874</v>
          </cell>
          <cell r="BI317">
            <v>5558</v>
          </cell>
          <cell r="BJ317">
            <v>0</v>
          </cell>
          <cell r="BK317">
            <v>0</v>
          </cell>
          <cell r="BL317">
            <v>0</v>
          </cell>
          <cell r="BM317">
            <v>0</v>
          </cell>
          <cell r="BN317">
            <v>0</v>
          </cell>
          <cell r="BO317">
            <v>0</v>
          </cell>
          <cell r="BP317">
            <v>1735368278</v>
          </cell>
          <cell r="BQ317">
            <v>11115293</v>
          </cell>
          <cell r="BR317">
            <v>51186391</v>
          </cell>
          <cell r="BS317">
            <v>50858625</v>
          </cell>
        </row>
        <row r="318">
          <cell r="A318">
            <v>311</v>
          </cell>
          <cell r="B318" t="str">
            <v>Weymouth and Portland</v>
          </cell>
          <cell r="C318" t="str">
            <v>E1238</v>
          </cell>
          <cell r="D318">
            <v>108024</v>
          </cell>
          <cell r="G318">
            <v>19529</v>
          </cell>
          <cell r="H318">
            <v>0</v>
          </cell>
          <cell r="I318">
            <v>108024</v>
          </cell>
          <cell r="J318">
            <v>0</v>
          </cell>
          <cell r="K318">
            <v>0</v>
          </cell>
          <cell r="L318">
            <v>0</v>
          </cell>
          <cell r="M318">
            <v>0</v>
          </cell>
          <cell r="N318">
            <v>0</v>
          </cell>
          <cell r="O318">
            <v>0</v>
          </cell>
          <cell r="P318">
            <v>0</v>
          </cell>
          <cell r="Q318">
            <v>304287</v>
          </cell>
          <cell r="R318">
            <v>68465</v>
          </cell>
          <cell r="S318">
            <v>7607</v>
          </cell>
          <cell r="T318">
            <v>4042</v>
          </cell>
          <cell r="U318">
            <v>910</v>
          </cell>
          <cell r="V318">
            <v>101</v>
          </cell>
          <cell r="W318">
            <v>4042</v>
          </cell>
          <cell r="X318">
            <v>910</v>
          </cell>
          <cell r="Y318">
            <v>101</v>
          </cell>
          <cell r="Z318">
            <v>4042.4628450106161</v>
          </cell>
          <cell r="AA318">
            <v>909.55414012738845</v>
          </cell>
          <cell r="AB318">
            <v>101.0615711252654</v>
          </cell>
          <cell r="AC318">
            <v>199261.95172823779</v>
          </cell>
          <cell r="AD318">
            <v>44833.939138853493</v>
          </cell>
          <cell r="AE318">
            <v>4981.5487932059441</v>
          </cell>
          <cell r="AF318">
            <v>0</v>
          </cell>
          <cell r="AG318">
            <v>0</v>
          </cell>
          <cell r="AH318">
            <v>0</v>
          </cell>
          <cell r="AI318">
            <v>1831</v>
          </cell>
          <cell r="AJ318">
            <v>411.92279999999994</v>
          </cell>
          <cell r="AK318">
            <v>45.769200000000005</v>
          </cell>
          <cell r="AL318">
            <v>64455</v>
          </cell>
          <cell r="AM318">
            <v>14244</v>
          </cell>
          <cell r="AN318">
            <v>1583</v>
          </cell>
          <cell r="AO318">
            <v>-811000</v>
          </cell>
          <cell r="AP318">
            <v>-648800</v>
          </cell>
          <cell r="AQ318">
            <v>-145980</v>
          </cell>
          <cell r="AR318">
            <v>-16220</v>
          </cell>
          <cell r="AS318">
            <v>-1622000</v>
          </cell>
          <cell r="AT318">
            <v>-395899</v>
          </cell>
          <cell r="AU318">
            <v>-316718</v>
          </cell>
          <cell r="AV318">
            <v>-71262</v>
          </cell>
          <cell r="AW318">
            <v>-7918</v>
          </cell>
          <cell r="AX318">
            <v>-791797</v>
          </cell>
          <cell r="AY318">
            <v>13978348</v>
          </cell>
          <cell r="AZ318">
            <v>1500619.7</v>
          </cell>
          <cell r="BA318">
            <v>307402.03000000003</v>
          </cell>
          <cell r="BB318">
            <v>1093661.2</v>
          </cell>
          <cell r="BC318">
            <v>69612.070000000007</v>
          </cell>
          <cell r="BD318">
            <v>0</v>
          </cell>
          <cell r="BE318">
            <v>0</v>
          </cell>
          <cell r="BF318">
            <v>523356.5</v>
          </cell>
          <cell r="BG318">
            <v>25172.61</v>
          </cell>
          <cell r="BH318">
            <v>87682.25</v>
          </cell>
          <cell r="BI318">
            <v>0</v>
          </cell>
          <cell r="BJ318">
            <v>0</v>
          </cell>
          <cell r="BK318">
            <v>0</v>
          </cell>
          <cell r="BL318">
            <v>0</v>
          </cell>
          <cell r="BM318">
            <v>0</v>
          </cell>
          <cell r="BN318">
            <v>0</v>
          </cell>
          <cell r="BO318">
            <v>0</v>
          </cell>
          <cell r="BP318">
            <v>15314532.699999999</v>
          </cell>
          <cell r="BQ318">
            <v>-26035.13</v>
          </cell>
          <cell r="BR318">
            <v>1844766.75</v>
          </cell>
          <cell r="BS318">
            <v>252489.05</v>
          </cell>
        </row>
        <row r="319">
          <cell r="A319">
            <v>312</v>
          </cell>
          <cell r="B319" t="str">
            <v>Wigan</v>
          </cell>
          <cell r="C319" t="str">
            <v>E4210</v>
          </cell>
          <cell r="D319">
            <v>387845</v>
          </cell>
          <cell r="G319">
            <v>383400</v>
          </cell>
          <cell r="H319">
            <v>0</v>
          </cell>
          <cell r="I319">
            <v>387845</v>
          </cell>
          <cell r="J319">
            <v>0</v>
          </cell>
          <cell r="K319">
            <v>0</v>
          </cell>
          <cell r="L319">
            <v>0</v>
          </cell>
          <cell r="M319">
            <v>0</v>
          </cell>
          <cell r="N319">
            <v>0</v>
          </cell>
          <cell r="O319">
            <v>0</v>
          </cell>
          <cell r="P319">
            <v>0</v>
          </cell>
          <cell r="Q319">
            <v>793852</v>
          </cell>
          <cell r="R319">
            <v>0</v>
          </cell>
          <cell r="S319">
            <v>16201</v>
          </cell>
          <cell r="T319">
            <v>0</v>
          </cell>
          <cell r="U319">
            <v>0</v>
          </cell>
          <cell r="V319">
            <v>0</v>
          </cell>
          <cell r="W319">
            <v>0</v>
          </cell>
          <cell r="X319">
            <v>0</v>
          </cell>
          <cell r="Y319">
            <v>0</v>
          </cell>
          <cell r="Z319">
            <v>0</v>
          </cell>
          <cell r="AA319">
            <v>0</v>
          </cell>
          <cell r="AB319">
            <v>0</v>
          </cell>
          <cell r="AC319">
            <v>622501.71354564757</v>
          </cell>
          <cell r="AD319">
            <v>1.1019064656361474E-11</v>
          </cell>
          <cell r="AE319">
            <v>12704.116602972399</v>
          </cell>
          <cell r="AF319">
            <v>0</v>
          </cell>
          <cell r="AG319">
            <v>0</v>
          </cell>
          <cell r="AH319">
            <v>0</v>
          </cell>
          <cell r="AI319">
            <v>0</v>
          </cell>
          <cell r="AJ319">
            <v>0</v>
          </cell>
          <cell r="AK319">
            <v>0</v>
          </cell>
          <cell r="AL319">
            <v>441652</v>
          </cell>
          <cell r="AM319">
            <v>0</v>
          </cell>
          <cell r="AN319">
            <v>8929</v>
          </cell>
          <cell r="AO319">
            <v>-3758280</v>
          </cell>
          <cell r="AP319">
            <v>-879580</v>
          </cell>
          <cell r="AQ319">
            <v>0</v>
          </cell>
          <cell r="AR319">
            <v>-46847</v>
          </cell>
          <cell r="AS319">
            <v>-4684707</v>
          </cell>
          <cell r="AT319">
            <v>-1916577</v>
          </cell>
          <cell r="AU319">
            <v>-1878245</v>
          </cell>
          <cell r="AV319">
            <v>0</v>
          </cell>
          <cell r="AW319">
            <v>-38331</v>
          </cell>
          <cell r="AX319">
            <v>-3833153</v>
          </cell>
          <cell r="AY319">
            <v>73063138</v>
          </cell>
          <cell r="AZ319">
            <v>6318895</v>
          </cell>
          <cell r="BA319">
            <v>1571585</v>
          </cell>
          <cell r="BB319">
            <v>4828158</v>
          </cell>
          <cell r="BC319">
            <v>156786</v>
          </cell>
          <cell r="BD319">
            <v>0</v>
          </cell>
          <cell r="BE319">
            <v>79431</v>
          </cell>
          <cell r="BF319">
            <v>4418725</v>
          </cell>
          <cell r="BG319">
            <v>449106</v>
          </cell>
          <cell r="BH319">
            <v>785358</v>
          </cell>
          <cell r="BI319">
            <v>27516</v>
          </cell>
          <cell r="BJ319">
            <v>0</v>
          </cell>
          <cell r="BK319">
            <v>0</v>
          </cell>
          <cell r="BL319">
            <v>0</v>
          </cell>
          <cell r="BM319">
            <v>0</v>
          </cell>
          <cell r="BN319">
            <v>0</v>
          </cell>
          <cell r="BO319">
            <v>0</v>
          </cell>
          <cell r="BP319">
            <v>80605453</v>
          </cell>
          <cell r="BQ319">
            <v>1646383</v>
          </cell>
          <cell r="BR319">
            <v>7070283</v>
          </cell>
          <cell r="BS319">
            <v>235978</v>
          </cell>
        </row>
        <row r="320">
          <cell r="A320">
            <v>313</v>
          </cell>
          <cell r="B320" t="str">
            <v>Wiltshire UA</v>
          </cell>
          <cell r="C320" t="str">
            <v>E3902</v>
          </cell>
          <cell r="D320">
            <v>616399</v>
          </cell>
          <cell r="G320">
            <v>184570</v>
          </cell>
          <cell r="H320">
            <v>0</v>
          </cell>
          <cell r="I320">
            <v>616399</v>
          </cell>
          <cell r="J320">
            <v>0</v>
          </cell>
          <cell r="K320">
            <v>255473</v>
          </cell>
          <cell r="L320">
            <v>0</v>
          </cell>
          <cell r="M320">
            <v>0</v>
          </cell>
          <cell r="N320">
            <v>0</v>
          </cell>
          <cell r="O320">
            <v>0</v>
          </cell>
          <cell r="P320">
            <v>0</v>
          </cell>
          <cell r="Q320">
            <v>2191574</v>
          </cell>
          <cell r="R320">
            <v>0</v>
          </cell>
          <cell r="S320">
            <v>44726</v>
          </cell>
          <cell r="T320">
            <v>0</v>
          </cell>
          <cell r="U320">
            <v>0</v>
          </cell>
          <cell r="V320">
            <v>0</v>
          </cell>
          <cell r="W320">
            <v>49520</v>
          </cell>
          <cell r="X320">
            <v>0</v>
          </cell>
          <cell r="Y320">
            <v>1011</v>
          </cell>
          <cell r="Z320">
            <v>89136.305732484077</v>
          </cell>
          <cell r="AA320">
            <v>1.5778249195508793E-12</v>
          </cell>
          <cell r="AB320">
            <v>1819.1082802547771</v>
          </cell>
          <cell r="AC320">
            <v>1067159.6602972399</v>
          </cell>
          <cell r="AD320">
            <v>1.8890070564623027E-11</v>
          </cell>
          <cell r="AE320">
            <v>21778.768577494691</v>
          </cell>
          <cell r="AF320">
            <v>16286</v>
          </cell>
          <cell r="AG320">
            <v>0</v>
          </cell>
          <cell r="AH320">
            <v>0</v>
          </cell>
          <cell r="AI320">
            <v>11494</v>
          </cell>
          <cell r="AJ320">
            <v>2.0345704287993982E-13</v>
          </cell>
          <cell r="AK320">
            <v>234.57</v>
          </cell>
          <cell r="AL320">
            <v>747822</v>
          </cell>
          <cell r="AM320">
            <v>0</v>
          </cell>
          <cell r="AN320">
            <v>15073</v>
          </cell>
          <cell r="AO320">
            <v>-464150</v>
          </cell>
          <cell r="AP320">
            <v>-454867</v>
          </cell>
          <cell r="AQ320">
            <v>0</v>
          </cell>
          <cell r="AR320">
            <v>-9283</v>
          </cell>
          <cell r="AS320">
            <v>-928300</v>
          </cell>
          <cell r="AT320">
            <v>-1539878</v>
          </cell>
          <cell r="AU320">
            <v>-1509080</v>
          </cell>
          <cell r="AV320">
            <v>0</v>
          </cell>
          <cell r="AW320">
            <v>-30797</v>
          </cell>
          <cell r="AX320">
            <v>-3079755</v>
          </cell>
          <cell r="AY320">
            <v>131366376</v>
          </cell>
          <cell r="AZ320">
            <v>8723804</v>
          </cell>
          <cell r="BA320">
            <v>2678493</v>
          </cell>
          <cell r="BB320">
            <v>9019016</v>
          </cell>
          <cell r="BC320">
            <v>159842</v>
          </cell>
          <cell r="BD320">
            <v>230017</v>
          </cell>
          <cell r="BE320">
            <v>388637</v>
          </cell>
          <cell r="BF320">
            <v>4418589</v>
          </cell>
          <cell r="BG320">
            <v>213030.27</v>
          </cell>
          <cell r="BH320">
            <v>599805.24</v>
          </cell>
          <cell r="BI320">
            <v>624</v>
          </cell>
          <cell r="BJ320">
            <v>238053</v>
          </cell>
          <cell r="BK320">
            <v>0</v>
          </cell>
          <cell r="BL320">
            <v>0</v>
          </cell>
          <cell r="BM320">
            <v>0</v>
          </cell>
          <cell r="BN320">
            <v>0</v>
          </cell>
          <cell r="BO320">
            <v>0</v>
          </cell>
          <cell r="BP320">
            <v>136878000</v>
          </cell>
          <cell r="BQ320">
            <v>1428976</v>
          </cell>
          <cell r="BR320">
            <v>6796002.7599999998</v>
          </cell>
          <cell r="BS320">
            <v>1924093</v>
          </cell>
        </row>
        <row r="321">
          <cell r="A321">
            <v>314</v>
          </cell>
          <cell r="B321" t="str">
            <v>Winchester</v>
          </cell>
          <cell r="C321" t="str">
            <v>E1743</v>
          </cell>
          <cell r="D321">
            <v>197633</v>
          </cell>
          <cell r="G321">
            <v>168214</v>
          </cell>
          <cell r="H321">
            <v>0</v>
          </cell>
          <cell r="I321">
            <v>197633</v>
          </cell>
          <cell r="J321">
            <v>0</v>
          </cell>
          <cell r="K321">
            <v>0</v>
          </cell>
          <cell r="L321">
            <v>0</v>
          </cell>
          <cell r="M321">
            <v>0</v>
          </cell>
          <cell r="N321">
            <v>0</v>
          </cell>
          <cell r="O321">
            <v>0</v>
          </cell>
          <cell r="P321">
            <v>0</v>
          </cell>
          <cell r="Q321">
            <v>473568</v>
          </cell>
          <cell r="R321">
            <v>106553</v>
          </cell>
          <cell r="S321">
            <v>11839</v>
          </cell>
          <cell r="T321">
            <v>22848</v>
          </cell>
          <cell r="U321">
            <v>5141</v>
          </cell>
          <cell r="V321">
            <v>571</v>
          </cell>
          <cell r="W321">
            <v>31625</v>
          </cell>
          <cell r="X321">
            <v>7116</v>
          </cell>
          <cell r="Y321">
            <v>791</v>
          </cell>
          <cell r="Z321">
            <v>32467.553732484081</v>
          </cell>
          <cell r="AA321">
            <v>7305.1995898089162</v>
          </cell>
          <cell r="AB321">
            <v>811.68884331210199</v>
          </cell>
          <cell r="AC321">
            <v>278394.30997876858</v>
          </cell>
          <cell r="AD321">
            <v>62638.719745222916</v>
          </cell>
          <cell r="AE321">
            <v>6959.8577494692145</v>
          </cell>
          <cell r="AF321">
            <v>0</v>
          </cell>
          <cell r="AG321">
            <v>0</v>
          </cell>
          <cell r="AH321">
            <v>0</v>
          </cell>
          <cell r="AI321">
            <v>5306</v>
          </cell>
          <cell r="AJ321">
            <v>1193.9444999999996</v>
          </cell>
          <cell r="AK321">
            <v>132.66049999999998</v>
          </cell>
          <cell r="AL321">
            <v>224502</v>
          </cell>
          <cell r="AM321">
            <v>50041</v>
          </cell>
          <cell r="AN321">
            <v>5560</v>
          </cell>
          <cell r="AO321">
            <v>-584062</v>
          </cell>
          <cell r="AP321">
            <v>-467250</v>
          </cell>
          <cell r="AQ321">
            <v>-105131</v>
          </cell>
          <cell r="AR321">
            <v>-11681</v>
          </cell>
          <cell r="AS321">
            <v>-1168124</v>
          </cell>
          <cell r="AT321">
            <v>-1429816</v>
          </cell>
          <cell r="AU321">
            <v>-1143852</v>
          </cell>
          <cell r="AV321">
            <v>-257367</v>
          </cell>
          <cell r="AW321">
            <v>-28596</v>
          </cell>
          <cell r="AX321">
            <v>-2859631</v>
          </cell>
          <cell r="AY321">
            <v>50890515</v>
          </cell>
          <cell r="AZ321">
            <v>2244746</v>
          </cell>
          <cell r="BA321">
            <v>1042220</v>
          </cell>
          <cell r="BB321">
            <v>3156188</v>
          </cell>
          <cell r="BC321">
            <v>42962</v>
          </cell>
          <cell r="BD321">
            <v>14651</v>
          </cell>
          <cell r="BE321">
            <v>1482</v>
          </cell>
          <cell r="BF321">
            <v>1299546</v>
          </cell>
          <cell r="BG321">
            <v>72273</v>
          </cell>
          <cell r="BH321">
            <v>178757</v>
          </cell>
          <cell r="BI321">
            <v>3898</v>
          </cell>
          <cell r="BJ321">
            <v>8448</v>
          </cell>
          <cell r="BK321">
            <v>9331</v>
          </cell>
          <cell r="BL321">
            <v>0</v>
          </cell>
          <cell r="BM321">
            <v>0</v>
          </cell>
          <cell r="BN321">
            <v>0</v>
          </cell>
          <cell r="BO321">
            <v>0</v>
          </cell>
          <cell r="BP321">
            <v>54392434</v>
          </cell>
          <cell r="BQ321">
            <v>131525</v>
          </cell>
          <cell r="BR321">
            <v>2128622.62</v>
          </cell>
          <cell r="BS321">
            <v>494704.42</v>
          </cell>
        </row>
        <row r="322">
          <cell r="A322">
            <v>315</v>
          </cell>
          <cell r="B322" t="str">
            <v>Windsor and Maidenhead</v>
          </cell>
          <cell r="C322" t="str">
            <v>E0305</v>
          </cell>
          <cell r="D322">
            <v>248540</v>
          </cell>
          <cell r="G322">
            <v>43274</v>
          </cell>
          <cell r="H322">
            <v>0</v>
          </cell>
          <cell r="I322">
            <v>248540</v>
          </cell>
          <cell r="J322">
            <v>0</v>
          </cell>
          <cell r="K322">
            <v>0</v>
          </cell>
          <cell r="L322">
            <v>0</v>
          </cell>
          <cell r="M322">
            <v>0</v>
          </cell>
          <cell r="N322">
            <v>0</v>
          </cell>
          <cell r="O322">
            <v>0</v>
          </cell>
          <cell r="P322">
            <v>0</v>
          </cell>
          <cell r="Q322">
            <v>417944</v>
          </cell>
          <cell r="R322">
            <v>0</v>
          </cell>
          <cell r="S322">
            <v>8529</v>
          </cell>
          <cell r="T322">
            <v>0</v>
          </cell>
          <cell r="U322">
            <v>0</v>
          </cell>
          <cell r="V322">
            <v>0</v>
          </cell>
          <cell r="W322">
            <v>24760</v>
          </cell>
          <cell r="X322">
            <v>0</v>
          </cell>
          <cell r="Y322">
            <v>505</v>
          </cell>
          <cell r="Z322">
            <v>47623.547346072184</v>
          </cell>
          <cell r="AA322">
            <v>8.4299679174004483E-13</v>
          </cell>
          <cell r="AB322">
            <v>971.90912951167729</v>
          </cell>
          <cell r="AC322">
            <v>510975.47706496809</v>
          </cell>
          <cell r="AD322">
            <v>9.0449097521739671E-12</v>
          </cell>
          <cell r="AE322">
            <v>10428.070960509554</v>
          </cell>
          <cell r="AF322">
            <v>181143.9</v>
          </cell>
          <cell r="AG322">
            <v>0</v>
          </cell>
          <cell r="AH322">
            <v>0</v>
          </cell>
          <cell r="AI322">
            <v>90129</v>
          </cell>
          <cell r="AJ322">
            <v>1.5953959507652993E-12</v>
          </cell>
          <cell r="AK322">
            <v>1839.3663000000001</v>
          </cell>
          <cell r="AL322">
            <v>381573</v>
          </cell>
          <cell r="AM322">
            <v>0</v>
          </cell>
          <cell r="AN322">
            <v>7733</v>
          </cell>
          <cell r="AO322">
            <v>-1121432.1000000001</v>
          </cell>
          <cell r="AP322">
            <v>-1099003</v>
          </cell>
          <cell r="AQ322">
            <v>0</v>
          </cell>
          <cell r="AR322">
            <v>-22429</v>
          </cell>
          <cell r="AS322">
            <v>-2242864.1</v>
          </cell>
          <cell r="AT322">
            <v>-2501435</v>
          </cell>
          <cell r="AU322">
            <v>-2451406</v>
          </cell>
          <cell r="AV322">
            <v>0</v>
          </cell>
          <cell r="AW322">
            <v>-50028</v>
          </cell>
          <cell r="AX322">
            <v>-5002869</v>
          </cell>
          <cell r="AY322">
            <v>71338632</v>
          </cell>
          <cell r="AZ322">
            <v>1651565.48</v>
          </cell>
          <cell r="BA322">
            <v>1570106.47</v>
          </cell>
          <cell r="BB322">
            <v>5277030.2699999996</v>
          </cell>
          <cell r="BC322">
            <v>0</v>
          </cell>
          <cell r="BD322">
            <v>10573.95</v>
          </cell>
          <cell r="BE322">
            <v>18072.650000000001</v>
          </cell>
          <cell r="BF322">
            <v>3875396.05</v>
          </cell>
          <cell r="BG322">
            <v>207561.69</v>
          </cell>
          <cell r="BH322">
            <v>163343.57999999999</v>
          </cell>
          <cell r="BI322">
            <v>0</v>
          </cell>
          <cell r="BJ322">
            <v>0</v>
          </cell>
          <cell r="BK322">
            <v>27165.64</v>
          </cell>
          <cell r="BL322">
            <v>0</v>
          </cell>
          <cell r="BM322">
            <v>0</v>
          </cell>
          <cell r="BN322">
            <v>0</v>
          </cell>
          <cell r="BO322">
            <v>0</v>
          </cell>
          <cell r="BP322">
            <v>77937012.099999994</v>
          </cell>
          <cell r="BQ322">
            <v>825856.54</v>
          </cell>
          <cell r="BR322">
            <v>4945113.4400000004</v>
          </cell>
          <cell r="BS322">
            <v>1067230.49</v>
          </cell>
        </row>
        <row r="323">
          <cell r="A323">
            <v>316</v>
          </cell>
          <cell r="B323" t="str">
            <v>Wirral</v>
          </cell>
          <cell r="C323" t="str">
            <v>E4305</v>
          </cell>
          <cell r="D323">
            <v>339424</v>
          </cell>
          <cell r="E323">
            <v>2861</v>
          </cell>
          <cell r="G323">
            <v>70362</v>
          </cell>
          <cell r="H323">
            <v>0</v>
          </cell>
          <cell r="I323">
            <v>339424</v>
          </cell>
          <cell r="J323">
            <v>0</v>
          </cell>
          <cell r="K323">
            <v>0</v>
          </cell>
          <cell r="L323">
            <v>0</v>
          </cell>
          <cell r="M323">
            <v>0</v>
          </cell>
          <cell r="N323">
            <v>0</v>
          </cell>
          <cell r="O323">
            <v>0</v>
          </cell>
          <cell r="P323">
            <v>0</v>
          </cell>
          <cell r="Q323">
            <v>1457185</v>
          </cell>
          <cell r="R323">
            <v>0</v>
          </cell>
          <cell r="S323">
            <v>29738</v>
          </cell>
          <cell r="T323">
            <v>9904</v>
          </cell>
          <cell r="U323">
            <v>0</v>
          </cell>
          <cell r="V323">
            <v>202</v>
          </cell>
          <cell r="W323">
            <v>24760</v>
          </cell>
          <cell r="X323">
            <v>0</v>
          </cell>
          <cell r="Y323">
            <v>505</v>
          </cell>
          <cell r="Z323">
            <v>45048.993715498931</v>
          </cell>
          <cell r="AA323">
            <v>7.9742394864701687E-13</v>
          </cell>
          <cell r="AB323">
            <v>919.3672186836518</v>
          </cell>
          <cell r="AC323">
            <v>651232.32569002127</v>
          </cell>
          <cell r="AD323">
            <v>1.1527632690708713E-11</v>
          </cell>
          <cell r="AE323">
            <v>13290.455626326964</v>
          </cell>
          <cell r="AF323">
            <v>323623</v>
          </cell>
          <cell r="AG323">
            <v>0</v>
          </cell>
          <cell r="AH323">
            <v>0</v>
          </cell>
          <cell r="AI323">
            <v>0</v>
          </cell>
          <cell r="AJ323">
            <v>0</v>
          </cell>
          <cell r="AK323">
            <v>0</v>
          </cell>
          <cell r="AL323">
            <v>352589</v>
          </cell>
          <cell r="AM323">
            <v>0</v>
          </cell>
          <cell r="AN323">
            <v>7122</v>
          </cell>
          <cell r="AO323">
            <v>-1796651</v>
          </cell>
          <cell r="AP323">
            <v>-1760718</v>
          </cell>
          <cell r="AQ323">
            <v>0</v>
          </cell>
          <cell r="AR323">
            <v>-35933</v>
          </cell>
          <cell r="AS323">
            <v>-3593302</v>
          </cell>
          <cell r="AT323">
            <v>-1595922</v>
          </cell>
          <cell r="AU323">
            <v>-1564002</v>
          </cell>
          <cell r="AV323">
            <v>0</v>
          </cell>
          <cell r="AW323">
            <v>-31918</v>
          </cell>
          <cell r="AX323">
            <v>-3191842</v>
          </cell>
          <cell r="AY323">
            <v>62936364</v>
          </cell>
          <cell r="AZ323">
            <v>5815423.3799999999</v>
          </cell>
          <cell r="BA323">
            <v>1346091.35</v>
          </cell>
          <cell r="BB323">
            <v>4634656</v>
          </cell>
          <cell r="BC323">
            <v>30992</v>
          </cell>
          <cell r="BD323">
            <v>565</v>
          </cell>
          <cell r="BE323">
            <v>123546</v>
          </cell>
          <cell r="BF323">
            <v>3710641</v>
          </cell>
          <cell r="BG323">
            <v>567801</v>
          </cell>
          <cell r="BH323">
            <v>140899</v>
          </cell>
          <cell r="BI323">
            <v>7748</v>
          </cell>
          <cell r="BJ323">
            <v>565</v>
          </cell>
          <cell r="BK323">
            <v>0</v>
          </cell>
          <cell r="BL323">
            <v>0</v>
          </cell>
          <cell r="BM323">
            <v>0</v>
          </cell>
          <cell r="BN323">
            <v>0</v>
          </cell>
          <cell r="BO323">
            <v>0</v>
          </cell>
          <cell r="BP323">
            <v>68305283.400000006</v>
          </cell>
          <cell r="BQ323">
            <v>1011021</v>
          </cell>
          <cell r="BR323">
            <v>6435015.8899999997</v>
          </cell>
          <cell r="BS323">
            <v>1027620</v>
          </cell>
        </row>
        <row r="324">
          <cell r="A324">
            <v>317</v>
          </cell>
          <cell r="B324" t="str">
            <v>Woking</v>
          </cell>
          <cell r="C324" t="str">
            <v>E3641</v>
          </cell>
          <cell r="D324">
            <v>136562</v>
          </cell>
          <cell r="G324">
            <v>-37944</v>
          </cell>
          <cell r="H324">
            <v>0</v>
          </cell>
          <cell r="I324">
            <v>136562</v>
          </cell>
          <cell r="J324">
            <v>0</v>
          </cell>
          <cell r="K324">
            <v>0</v>
          </cell>
          <cell r="L324">
            <v>0</v>
          </cell>
          <cell r="M324">
            <v>0</v>
          </cell>
          <cell r="N324">
            <v>0</v>
          </cell>
          <cell r="O324">
            <v>0</v>
          </cell>
          <cell r="P324">
            <v>0</v>
          </cell>
          <cell r="Q324">
            <v>196810</v>
          </cell>
          <cell r="R324">
            <v>49202</v>
          </cell>
          <cell r="S324">
            <v>0</v>
          </cell>
          <cell r="T324">
            <v>0</v>
          </cell>
          <cell r="U324">
            <v>0</v>
          </cell>
          <cell r="V324">
            <v>0</v>
          </cell>
          <cell r="W324">
            <v>20212</v>
          </cell>
          <cell r="X324">
            <v>5053</v>
          </cell>
          <cell r="Y324">
            <v>0</v>
          </cell>
          <cell r="Z324">
            <v>59104.849256900212</v>
          </cell>
          <cell r="AA324">
            <v>14776.212314225049</v>
          </cell>
          <cell r="AB324">
            <v>0</v>
          </cell>
          <cell r="AC324">
            <v>184550.55626326965</v>
          </cell>
          <cell r="AD324">
            <v>46137.639065817399</v>
          </cell>
          <cell r="AE324">
            <v>0</v>
          </cell>
          <cell r="AF324">
            <v>0</v>
          </cell>
          <cell r="AG324">
            <v>0</v>
          </cell>
          <cell r="AH324">
            <v>0</v>
          </cell>
          <cell r="AI324">
            <v>0</v>
          </cell>
          <cell r="AJ324">
            <v>0</v>
          </cell>
          <cell r="AK324">
            <v>0</v>
          </cell>
          <cell r="AL324">
            <v>183271</v>
          </cell>
          <cell r="AM324">
            <v>45455</v>
          </cell>
          <cell r="AN324">
            <v>0</v>
          </cell>
          <cell r="AO324">
            <v>-143500</v>
          </cell>
          <cell r="AP324">
            <v>-114800</v>
          </cell>
          <cell r="AQ324">
            <v>-28700</v>
          </cell>
          <cell r="AR324">
            <v>0</v>
          </cell>
          <cell r="AS324">
            <v>-287000</v>
          </cell>
          <cell r="AT324">
            <v>-2515000</v>
          </cell>
          <cell r="AU324">
            <v>-2012000</v>
          </cell>
          <cell r="AV324">
            <v>-503000</v>
          </cell>
          <cell r="AW324">
            <v>0</v>
          </cell>
          <cell r="AX324">
            <v>-5030000</v>
          </cell>
          <cell r="AY324">
            <v>38740684</v>
          </cell>
          <cell r="AZ324">
            <v>966127.73</v>
          </cell>
          <cell r="BA324">
            <v>878328.7</v>
          </cell>
          <cell r="BB324">
            <v>2168139.17</v>
          </cell>
          <cell r="BC324">
            <v>0</v>
          </cell>
          <cell r="BD324">
            <v>682.95</v>
          </cell>
          <cell r="BE324">
            <v>7111.88</v>
          </cell>
          <cell r="BF324">
            <v>1480444.29</v>
          </cell>
          <cell r="BG324">
            <v>294018.69</v>
          </cell>
          <cell r="BH324">
            <v>42296.83</v>
          </cell>
          <cell r="BI324">
            <v>0</v>
          </cell>
          <cell r="BJ324">
            <v>0</v>
          </cell>
          <cell r="BK324">
            <v>0</v>
          </cell>
          <cell r="BL324">
            <v>0</v>
          </cell>
          <cell r="BM324">
            <v>0</v>
          </cell>
          <cell r="BN324">
            <v>0</v>
          </cell>
          <cell r="BO324">
            <v>0</v>
          </cell>
          <cell r="BP324">
            <v>44360345.200000003</v>
          </cell>
          <cell r="BQ324">
            <v>-35146.51</v>
          </cell>
          <cell r="BR324">
            <v>1359094.69</v>
          </cell>
          <cell r="BS324">
            <v>1057670</v>
          </cell>
        </row>
        <row r="325">
          <cell r="A325">
            <v>318</v>
          </cell>
          <cell r="B325" t="str">
            <v>Wokingham</v>
          </cell>
          <cell r="C325" t="str">
            <v>E0306</v>
          </cell>
          <cell r="D325">
            <v>180513</v>
          </cell>
          <cell r="G325">
            <v>26997</v>
          </cell>
          <cell r="H325">
            <v>0</v>
          </cell>
          <cell r="I325">
            <v>180513</v>
          </cell>
          <cell r="J325">
            <v>0</v>
          </cell>
          <cell r="K325">
            <v>0</v>
          </cell>
          <cell r="L325">
            <v>0</v>
          </cell>
          <cell r="M325">
            <v>0</v>
          </cell>
          <cell r="N325">
            <v>0</v>
          </cell>
          <cell r="O325">
            <v>0</v>
          </cell>
          <cell r="P325">
            <v>0</v>
          </cell>
          <cell r="Q325">
            <v>401561</v>
          </cell>
          <cell r="R325">
            <v>0</v>
          </cell>
          <cell r="S325">
            <v>8195</v>
          </cell>
          <cell r="T325">
            <v>6933</v>
          </cell>
          <cell r="U325">
            <v>0</v>
          </cell>
          <cell r="V325">
            <v>141</v>
          </cell>
          <cell r="W325">
            <v>0</v>
          </cell>
          <cell r="X325">
            <v>0</v>
          </cell>
          <cell r="Y325">
            <v>0</v>
          </cell>
          <cell r="Z325">
            <v>54320.655116772818</v>
          </cell>
          <cell r="AA325">
            <v>9.6154403736230075E-13</v>
          </cell>
          <cell r="AB325">
            <v>1108.5847983014862</v>
          </cell>
          <cell r="AC325">
            <v>261886.92305732484</v>
          </cell>
          <cell r="AD325">
            <v>4.6357285048864604E-12</v>
          </cell>
          <cell r="AE325">
            <v>5344.631082802548</v>
          </cell>
          <cell r="AF325">
            <v>67781</v>
          </cell>
          <cell r="AG325">
            <v>0</v>
          </cell>
          <cell r="AH325">
            <v>0</v>
          </cell>
          <cell r="AI325">
            <v>33662</v>
          </cell>
          <cell r="AJ325">
            <v>5.958641566272683E-13</v>
          </cell>
          <cell r="AK325">
            <v>686.98460000000011</v>
          </cell>
          <cell r="AL325">
            <v>277846</v>
          </cell>
          <cell r="AM325">
            <v>0</v>
          </cell>
          <cell r="AN325">
            <v>5631</v>
          </cell>
          <cell r="AO325">
            <v>-375000</v>
          </cell>
          <cell r="AP325">
            <v>-367500</v>
          </cell>
          <cell r="AQ325">
            <v>0</v>
          </cell>
          <cell r="AR325">
            <v>-7500</v>
          </cell>
          <cell r="AS325">
            <v>-750000</v>
          </cell>
          <cell r="AT325">
            <v>-625000</v>
          </cell>
          <cell r="AU325">
            <v>-612500</v>
          </cell>
          <cell r="AV325">
            <v>0</v>
          </cell>
          <cell r="AW325">
            <v>-12500</v>
          </cell>
          <cell r="AX325">
            <v>-1250000</v>
          </cell>
          <cell r="AY325">
            <v>50963364</v>
          </cell>
          <cell r="AZ325">
            <v>1590307</v>
          </cell>
          <cell r="BA325">
            <v>1115232</v>
          </cell>
          <cell r="BB325">
            <v>5296561</v>
          </cell>
          <cell r="BC325">
            <v>52903</v>
          </cell>
          <cell r="BD325">
            <v>4814</v>
          </cell>
          <cell r="BE325">
            <v>88455</v>
          </cell>
          <cell r="BF325">
            <v>1723330</v>
          </cell>
          <cell r="BG325">
            <v>5460</v>
          </cell>
          <cell r="BH325">
            <v>29453</v>
          </cell>
          <cell r="BI325">
            <v>796</v>
          </cell>
          <cell r="BJ325">
            <v>810</v>
          </cell>
          <cell r="BK325">
            <v>0</v>
          </cell>
          <cell r="BL325">
            <v>7304</v>
          </cell>
          <cell r="BM325">
            <v>7304</v>
          </cell>
          <cell r="BN325">
            <v>0</v>
          </cell>
          <cell r="BO325">
            <v>0</v>
          </cell>
          <cell r="BP325">
            <v>53498530.399999999</v>
          </cell>
          <cell r="BQ325">
            <v>378066</v>
          </cell>
          <cell r="BR325">
            <v>2280385</v>
          </cell>
          <cell r="BS325">
            <v>2686329</v>
          </cell>
        </row>
        <row r="326">
          <cell r="A326">
            <v>319</v>
          </cell>
          <cell r="B326" t="str">
            <v>Wolverhampton</v>
          </cell>
          <cell r="C326" t="str">
            <v>E4607</v>
          </cell>
          <cell r="D326">
            <v>346243</v>
          </cell>
          <cell r="E326">
            <v>86889</v>
          </cell>
          <cell r="G326">
            <v>303589</v>
          </cell>
          <cell r="H326">
            <v>0</v>
          </cell>
          <cell r="I326">
            <v>346243</v>
          </cell>
          <cell r="J326">
            <v>1632</v>
          </cell>
          <cell r="K326">
            <v>0</v>
          </cell>
          <cell r="L326">
            <v>0</v>
          </cell>
          <cell r="M326">
            <v>0</v>
          </cell>
          <cell r="N326">
            <v>0</v>
          </cell>
          <cell r="O326">
            <v>0</v>
          </cell>
          <cell r="P326">
            <v>0</v>
          </cell>
          <cell r="Q326">
            <v>1203442</v>
          </cell>
          <cell r="R326">
            <v>0</v>
          </cell>
          <cell r="S326">
            <v>24560</v>
          </cell>
          <cell r="T326">
            <v>0</v>
          </cell>
          <cell r="U326">
            <v>0</v>
          </cell>
          <cell r="V326">
            <v>0</v>
          </cell>
          <cell r="W326">
            <v>0</v>
          </cell>
          <cell r="X326">
            <v>0</v>
          </cell>
          <cell r="Y326">
            <v>0</v>
          </cell>
          <cell r="Z326">
            <v>4952.0169851380042</v>
          </cell>
          <cell r="AA326">
            <v>8.7656939975048857E-14</v>
          </cell>
          <cell r="AB326">
            <v>101.0615711252654</v>
          </cell>
          <cell r="AC326">
            <v>495201.69851380045</v>
          </cell>
          <cell r="AD326">
            <v>8.7656939975048855E-12</v>
          </cell>
          <cell r="AE326">
            <v>10106.15711252654</v>
          </cell>
          <cell r="AF326">
            <v>0</v>
          </cell>
          <cell r="AG326">
            <v>0</v>
          </cell>
          <cell r="AH326">
            <v>0</v>
          </cell>
          <cell r="AI326">
            <v>0</v>
          </cell>
          <cell r="AJ326">
            <v>0</v>
          </cell>
          <cell r="AK326">
            <v>0</v>
          </cell>
          <cell r="AL326">
            <v>390252</v>
          </cell>
          <cell r="AM326">
            <v>0</v>
          </cell>
          <cell r="AN326">
            <v>7889</v>
          </cell>
          <cell r="AO326">
            <v>-1297499</v>
          </cell>
          <cell r="AP326">
            <v>-1271549</v>
          </cell>
          <cell r="AQ326">
            <v>0</v>
          </cell>
          <cell r="AR326">
            <v>-25950</v>
          </cell>
          <cell r="AS326">
            <v>-2594998</v>
          </cell>
          <cell r="AT326">
            <v>-786177</v>
          </cell>
          <cell r="AU326">
            <v>-770453</v>
          </cell>
          <cell r="AV326">
            <v>0</v>
          </cell>
          <cell r="AW326">
            <v>-15724</v>
          </cell>
          <cell r="AX326">
            <v>-1572354</v>
          </cell>
          <cell r="AY326">
            <v>71609371</v>
          </cell>
          <cell r="AZ326">
            <v>4825496</v>
          </cell>
          <cell r="BA326">
            <v>1442262</v>
          </cell>
          <cell r="BB326">
            <v>4027612</v>
          </cell>
          <cell r="BC326">
            <v>13291</v>
          </cell>
          <cell r="BD326">
            <v>0</v>
          </cell>
          <cell r="BE326">
            <v>11856</v>
          </cell>
          <cell r="BF326">
            <v>3675115</v>
          </cell>
          <cell r="BG326">
            <v>424796</v>
          </cell>
          <cell r="BH326">
            <v>369373</v>
          </cell>
          <cell r="BI326">
            <v>1754</v>
          </cell>
          <cell r="BJ326">
            <v>0</v>
          </cell>
          <cell r="BK326">
            <v>0</v>
          </cell>
          <cell r="BL326">
            <v>0</v>
          </cell>
          <cell r="BM326">
            <v>0</v>
          </cell>
          <cell r="BN326">
            <v>0</v>
          </cell>
          <cell r="BO326">
            <v>0</v>
          </cell>
          <cell r="BP326">
            <v>76192033</v>
          </cell>
          <cell r="BQ326">
            <v>0</v>
          </cell>
          <cell r="BR326">
            <v>7067811</v>
          </cell>
          <cell r="BS326">
            <v>388893</v>
          </cell>
        </row>
        <row r="327">
          <cell r="A327">
            <v>320</v>
          </cell>
          <cell r="B327" t="str">
            <v>Worcester</v>
          </cell>
          <cell r="C327" t="str">
            <v>E1837</v>
          </cell>
          <cell r="D327">
            <v>139191</v>
          </cell>
          <cell r="G327">
            <v>29041</v>
          </cell>
          <cell r="H327">
            <v>0</v>
          </cell>
          <cell r="I327">
            <v>139191</v>
          </cell>
          <cell r="J327">
            <v>0</v>
          </cell>
          <cell r="K327">
            <v>0</v>
          </cell>
          <cell r="L327">
            <v>0</v>
          </cell>
          <cell r="M327">
            <v>0</v>
          </cell>
          <cell r="N327">
            <v>0</v>
          </cell>
          <cell r="O327">
            <v>0</v>
          </cell>
          <cell r="P327">
            <v>0</v>
          </cell>
          <cell r="Q327">
            <v>342097</v>
          </cell>
          <cell r="R327">
            <v>76972</v>
          </cell>
          <cell r="S327">
            <v>8552</v>
          </cell>
          <cell r="T327">
            <v>0</v>
          </cell>
          <cell r="U327">
            <v>0</v>
          </cell>
          <cell r="V327">
            <v>0</v>
          </cell>
          <cell r="W327">
            <v>0</v>
          </cell>
          <cell r="X327">
            <v>0</v>
          </cell>
          <cell r="Y327">
            <v>0</v>
          </cell>
          <cell r="Z327">
            <v>28099.967728237792</v>
          </cell>
          <cell r="AA327">
            <v>6322.4927388535016</v>
          </cell>
          <cell r="AB327">
            <v>702.49919320594472</v>
          </cell>
          <cell r="AC327">
            <v>213185.74607218686</v>
          </cell>
          <cell r="AD327">
            <v>47966.792866242031</v>
          </cell>
          <cell r="AE327">
            <v>5329.6436518046712</v>
          </cell>
          <cell r="AF327">
            <v>29378</v>
          </cell>
          <cell r="AG327">
            <v>0</v>
          </cell>
          <cell r="AH327">
            <v>0</v>
          </cell>
          <cell r="AI327">
            <v>29666</v>
          </cell>
          <cell r="AJ327">
            <v>6674.7599999999984</v>
          </cell>
          <cell r="AK327">
            <v>741.64</v>
          </cell>
          <cell r="AL327">
            <v>172146</v>
          </cell>
          <cell r="AM327">
            <v>38400</v>
          </cell>
          <cell r="AN327">
            <v>4267</v>
          </cell>
          <cell r="AO327">
            <v>-147384</v>
          </cell>
          <cell r="AP327">
            <v>-117907</v>
          </cell>
          <cell r="AQ327">
            <v>-26529</v>
          </cell>
          <cell r="AR327">
            <v>-2948</v>
          </cell>
          <cell r="AS327">
            <v>-294768</v>
          </cell>
          <cell r="AT327">
            <v>-1064211</v>
          </cell>
          <cell r="AU327">
            <v>-851369</v>
          </cell>
          <cell r="AV327">
            <v>-191558</v>
          </cell>
          <cell r="AW327">
            <v>-21284</v>
          </cell>
          <cell r="AX327">
            <v>-2128422</v>
          </cell>
          <cell r="AY327">
            <v>37397944</v>
          </cell>
          <cell r="AZ327">
            <v>1668266</v>
          </cell>
          <cell r="BA327">
            <v>813931</v>
          </cell>
          <cell r="BB327">
            <v>3279573</v>
          </cell>
          <cell r="BC327">
            <v>17239</v>
          </cell>
          <cell r="BD327">
            <v>0</v>
          </cell>
          <cell r="BE327">
            <v>44561</v>
          </cell>
          <cell r="BF327">
            <v>1690453</v>
          </cell>
          <cell r="BG327">
            <v>196620</v>
          </cell>
          <cell r="BH327">
            <v>20631</v>
          </cell>
          <cell r="BI327">
            <v>4310</v>
          </cell>
          <cell r="BJ327">
            <v>0</v>
          </cell>
          <cell r="BK327">
            <v>0</v>
          </cell>
          <cell r="BL327">
            <v>0</v>
          </cell>
          <cell r="BM327">
            <v>0</v>
          </cell>
          <cell r="BN327">
            <v>0</v>
          </cell>
          <cell r="BO327">
            <v>0</v>
          </cell>
          <cell r="BP327">
            <v>40126153</v>
          </cell>
          <cell r="BQ327">
            <v>207468</v>
          </cell>
          <cell r="BR327">
            <v>1233929</v>
          </cell>
          <cell r="BS327">
            <v>632567</v>
          </cell>
        </row>
        <row r="328">
          <cell r="A328">
            <v>321</v>
          </cell>
          <cell r="B328" t="str">
            <v>Worthing</v>
          </cell>
          <cell r="C328" t="str">
            <v>E3837</v>
          </cell>
          <cell r="D328">
            <v>132502</v>
          </cell>
          <cell r="G328">
            <v>-6061</v>
          </cell>
          <cell r="H328">
            <v>0</v>
          </cell>
          <cell r="I328">
            <v>132502</v>
          </cell>
          <cell r="J328">
            <v>0</v>
          </cell>
          <cell r="K328">
            <v>0</v>
          </cell>
          <cell r="L328">
            <v>0</v>
          </cell>
          <cell r="M328">
            <v>0</v>
          </cell>
          <cell r="N328">
            <v>0</v>
          </cell>
          <cell r="O328">
            <v>0</v>
          </cell>
          <cell r="P328">
            <v>0</v>
          </cell>
          <cell r="Q328">
            <v>396879</v>
          </cell>
          <cell r="R328">
            <v>99220</v>
          </cell>
          <cell r="S328">
            <v>0</v>
          </cell>
          <cell r="T328">
            <v>0</v>
          </cell>
          <cell r="U328">
            <v>0</v>
          </cell>
          <cell r="V328">
            <v>0</v>
          </cell>
          <cell r="W328">
            <v>9742</v>
          </cell>
          <cell r="X328">
            <v>2436</v>
          </cell>
          <cell r="Y328">
            <v>0</v>
          </cell>
          <cell r="Z328">
            <v>0</v>
          </cell>
          <cell r="AA328">
            <v>0</v>
          </cell>
          <cell r="AB328">
            <v>0</v>
          </cell>
          <cell r="AC328">
            <v>479031.84713375795</v>
          </cell>
          <cell r="AD328">
            <v>119757.96178343946</v>
          </cell>
          <cell r="AE328">
            <v>0</v>
          </cell>
          <cell r="AF328">
            <v>0</v>
          </cell>
          <cell r="AG328">
            <v>0</v>
          </cell>
          <cell r="AH328">
            <v>0</v>
          </cell>
          <cell r="AI328">
            <v>0</v>
          </cell>
          <cell r="AJ328">
            <v>0</v>
          </cell>
          <cell r="AK328">
            <v>0</v>
          </cell>
          <cell r="AL328">
            <v>127711</v>
          </cell>
          <cell r="AM328">
            <v>31576</v>
          </cell>
          <cell r="AN328">
            <v>0</v>
          </cell>
          <cell r="AO328">
            <v>-400040</v>
          </cell>
          <cell r="AP328">
            <v>-320032</v>
          </cell>
          <cell r="AQ328">
            <v>-80008</v>
          </cell>
          <cell r="AR328">
            <v>0</v>
          </cell>
          <cell r="AS328">
            <v>-800080</v>
          </cell>
          <cell r="AT328">
            <v>-825389</v>
          </cell>
          <cell r="AU328">
            <v>-660312</v>
          </cell>
          <cell r="AV328">
            <v>-165078</v>
          </cell>
          <cell r="AW328">
            <v>0</v>
          </cell>
          <cell r="AX328">
            <v>-1650779</v>
          </cell>
          <cell r="AY328">
            <v>29449566</v>
          </cell>
          <cell r="AZ328">
            <v>1945097</v>
          </cell>
          <cell r="BA328">
            <v>592734</v>
          </cell>
          <cell r="BB328">
            <v>1613119</v>
          </cell>
          <cell r="BC328">
            <v>38575</v>
          </cell>
          <cell r="BD328">
            <v>0</v>
          </cell>
          <cell r="BE328">
            <v>13512</v>
          </cell>
          <cell r="BF328">
            <v>1034634</v>
          </cell>
          <cell r="BG328">
            <v>84475</v>
          </cell>
          <cell r="BH328">
            <v>1719</v>
          </cell>
          <cell r="BI328">
            <v>0</v>
          </cell>
          <cell r="BJ328">
            <v>0</v>
          </cell>
          <cell r="BK328">
            <v>0</v>
          </cell>
          <cell r="BL328">
            <v>0</v>
          </cell>
          <cell r="BM328">
            <v>0</v>
          </cell>
          <cell r="BN328">
            <v>0</v>
          </cell>
          <cell r="BO328">
            <v>0</v>
          </cell>
          <cell r="BP328">
            <v>31898676</v>
          </cell>
          <cell r="BQ328">
            <v>645233</v>
          </cell>
          <cell r="BR328">
            <v>1555593</v>
          </cell>
          <cell r="BS328">
            <v>-123531</v>
          </cell>
        </row>
        <row r="329">
          <cell r="A329">
            <v>322</v>
          </cell>
          <cell r="B329" t="str">
            <v>Wychavon</v>
          </cell>
          <cell r="C329" t="str">
            <v>E1838</v>
          </cell>
          <cell r="D329">
            <v>188752</v>
          </cell>
          <cell r="G329">
            <v>31316</v>
          </cell>
          <cell r="H329">
            <v>0</v>
          </cell>
          <cell r="I329">
            <v>188752</v>
          </cell>
          <cell r="J329">
            <v>0</v>
          </cell>
          <cell r="K329">
            <v>0</v>
          </cell>
          <cell r="L329">
            <v>0</v>
          </cell>
          <cell r="M329">
            <v>0</v>
          </cell>
          <cell r="N329">
            <v>0</v>
          </cell>
          <cell r="O329">
            <v>0</v>
          </cell>
          <cell r="P329">
            <v>0</v>
          </cell>
          <cell r="Q329">
            <v>577776</v>
          </cell>
          <cell r="R329">
            <v>129999</v>
          </cell>
          <cell r="S329">
            <v>14444</v>
          </cell>
          <cell r="T329">
            <v>0</v>
          </cell>
          <cell r="U329">
            <v>0</v>
          </cell>
          <cell r="V329">
            <v>0</v>
          </cell>
          <cell r="W329">
            <v>0</v>
          </cell>
          <cell r="X329">
            <v>0</v>
          </cell>
          <cell r="Y329">
            <v>0</v>
          </cell>
          <cell r="Z329">
            <v>19888.108704883227</v>
          </cell>
          <cell r="AA329">
            <v>4474.824458598725</v>
          </cell>
          <cell r="AB329">
            <v>497.20271762208068</v>
          </cell>
          <cell r="AC329">
            <v>218592.94437367303</v>
          </cell>
          <cell r="AD329">
            <v>49183.41248407642</v>
          </cell>
          <cell r="AE329">
            <v>5464.8236093418254</v>
          </cell>
          <cell r="AF329">
            <v>4908</v>
          </cell>
          <cell r="AG329">
            <v>0</v>
          </cell>
          <cell r="AH329">
            <v>0</v>
          </cell>
          <cell r="AI329">
            <v>3043</v>
          </cell>
          <cell r="AJ329">
            <v>684.71999999999991</v>
          </cell>
          <cell r="AK329">
            <v>76.08</v>
          </cell>
          <cell r="AL329">
            <v>166908</v>
          </cell>
          <cell r="AM329">
            <v>37103</v>
          </cell>
          <cell r="AN329">
            <v>4123</v>
          </cell>
          <cell r="AO329">
            <v>-97500</v>
          </cell>
          <cell r="AP329">
            <v>-78000</v>
          </cell>
          <cell r="AQ329">
            <v>-17550</v>
          </cell>
          <cell r="AR329">
            <v>-1950</v>
          </cell>
          <cell r="AS329">
            <v>-195000</v>
          </cell>
          <cell r="AT329">
            <v>-772461</v>
          </cell>
          <cell r="AU329">
            <v>-617968</v>
          </cell>
          <cell r="AV329">
            <v>-139042</v>
          </cell>
          <cell r="AW329">
            <v>-15449</v>
          </cell>
          <cell r="AX329">
            <v>-1544920</v>
          </cell>
          <cell r="AY329">
            <v>36815364</v>
          </cell>
          <cell r="AZ329">
            <v>2852924</v>
          </cell>
          <cell r="BA329">
            <v>734148</v>
          </cell>
          <cell r="BB329">
            <v>1714537</v>
          </cell>
          <cell r="BC329">
            <v>34331</v>
          </cell>
          <cell r="BD329">
            <v>65180</v>
          </cell>
          <cell r="BE329">
            <v>171128</v>
          </cell>
          <cell r="BF329">
            <v>1685356</v>
          </cell>
          <cell r="BG329">
            <v>193198</v>
          </cell>
          <cell r="BH329">
            <v>64003</v>
          </cell>
          <cell r="BI329">
            <v>8106</v>
          </cell>
          <cell r="BJ329">
            <v>47237</v>
          </cell>
          <cell r="BK329">
            <v>25944</v>
          </cell>
          <cell r="BL329">
            <v>0</v>
          </cell>
          <cell r="BM329">
            <v>0</v>
          </cell>
          <cell r="BN329">
            <v>0</v>
          </cell>
          <cell r="BO329">
            <v>0</v>
          </cell>
          <cell r="BP329">
            <v>38814062</v>
          </cell>
          <cell r="BQ329">
            <v>145454.04</v>
          </cell>
          <cell r="BR329">
            <v>428604</v>
          </cell>
          <cell r="BS329">
            <v>476873</v>
          </cell>
        </row>
        <row r="330">
          <cell r="A330">
            <v>323</v>
          </cell>
          <cell r="B330" t="str">
            <v>Wycombe</v>
          </cell>
          <cell r="C330" t="str">
            <v>E0435</v>
          </cell>
          <cell r="D330">
            <v>247286</v>
          </cell>
          <cell r="G330">
            <v>-36390</v>
          </cell>
          <cell r="H330">
            <v>0</v>
          </cell>
          <cell r="I330">
            <v>247286</v>
          </cell>
          <cell r="J330">
            <v>0</v>
          </cell>
          <cell r="K330">
            <v>0</v>
          </cell>
          <cell r="L330">
            <v>0</v>
          </cell>
          <cell r="M330">
            <v>0</v>
          </cell>
          <cell r="N330">
            <v>0</v>
          </cell>
          <cell r="O330">
            <v>0</v>
          </cell>
          <cell r="P330">
            <v>0</v>
          </cell>
          <cell r="Q330">
            <v>405535</v>
          </cell>
          <cell r="R330">
            <v>91245</v>
          </cell>
          <cell r="S330">
            <v>10138</v>
          </cell>
          <cell r="T330">
            <v>42688</v>
          </cell>
          <cell r="U330">
            <v>9605</v>
          </cell>
          <cell r="V330">
            <v>1067</v>
          </cell>
          <cell r="W330">
            <v>20212</v>
          </cell>
          <cell r="X330">
            <v>4548</v>
          </cell>
          <cell r="Y330">
            <v>505</v>
          </cell>
          <cell r="Z330">
            <v>310454.62196178344</v>
          </cell>
          <cell r="AA330">
            <v>69852.289941401265</v>
          </cell>
          <cell r="AB330">
            <v>7761.3655490445863</v>
          </cell>
          <cell r="AC330">
            <v>161011.29511677285</v>
          </cell>
          <cell r="AD330">
            <v>36227.541401273877</v>
          </cell>
          <cell r="AE330">
            <v>4025.2823779193209</v>
          </cell>
          <cell r="AF330">
            <v>0</v>
          </cell>
          <cell r="AG330">
            <v>0</v>
          </cell>
          <cell r="AH330">
            <v>0</v>
          </cell>
          <cell r="AI330">
            <v>10257</v>
          </cell>
          <cell r="AJ330">
            <v>2307.8699999999994</v>
          </cell>
          <cell r="AK330">
            <v>256.43</v>
          </cell>
          <cell r="AL330">
            <v>285849</v>
          </cell>
          <cell r="AM330">
            <v>63714</v>
          </cell>
          <cell r="AN330">
            <v>7079</v>
          </cell>
          <cell r="AO330">
            <v>-1053631</v>
          </cell>
          <cell r="AP330">
            <v>-842904</v>
          </cell>
          <cell r="AQ330">
            <v>-189653</v>
          </cell>
          <cell r="AR330">
            <v>-21073</v>
          </cell>
          <cell r="AS330">
            <v>-2107261</v>
          </cell>
          <cell r="AT330">
            <v>-2559540</v>
          </cell>
          <cell r="AU330">
            <v>-2047632</v>
          </cell>
          <cell r="AV330">
            <v>-460717</v>
          </cell>
          <cell r="AW330">
            <v>-51191</v>
          </cell>
          <cell r="AX330">
            <v>-5119080</v>
          </cell>
          <cell r="AY330">
            <v>62704841</v>
          </cell>
          <cell r="AZ330">
            <v>2115949.75</v>
          </cell>
          <cell r="BA330">
            <v>1383696.7</v>
          </cell>
          <cell r="BB330">
            <v>3875774.7</v>
          </cell>
          <cell r="BC330">
            <v>33533.39</v>
          </cell>
          <cell r="BD330">
            <v>17710.099999999999</v>
          </cell>
          <cell r="BE330">
            <v>37189.78</v>
          </cell>
          <cell r="BF330">
            <v>3166913.93</v>
          </cell>
          <cell r="BG330">
            <v>55312.76</v>
          </cell>
          <cell r="BH330">
            <v>366657.18</v>
          </cell>
          <cell r="BI330">
            <v>3047.39</v>
          </cell>
          <cell r="BJ330">
            <v>14471.46</v>
          </cell>
          <cell r="BK330">
            <v>23216.3</v>
          </cell>
          <cell r="BL330">
            <v>0</v>
          </cell>
          <cell r="BM330">
            <v>0</v>
          </cell>
          <cell r="BN330">
            <v>0</v>
          </cell>
          <cell r="BO330">
            <v>0</v>
          </cell>
          <cell r="BP330">
            <v>69746165</v>
          </cell>
          <cell r="BQ330">
            <v>567663</v>
          </cell>
          <cell r="BR330">
            <v>3122394</v>
          </cell>
          <cell r="BS330">
            <v>1435537.53</v>
          </cell>
        </row>
        <row r="331">
          <cell r="A331">
            <v>324</v>
          </cell>
          <cell r="B331" t="str">
            <v>Wyre</v>
          </cell>
          <cell r="C331" t="str">
            <v>E2344</v>
          </cell>
          <cell r="D331">
            <v>154288</v>
          </cell>
          <cell r="G331">
            <v>90941</v>
          </cell>
          <cell r="H331">
            <v>0</v>
          </cell>
          <cell r="I331">
            <v>154288</v>
          </cell>
          <cell r="J331">
            <v>0</v>
          </cell>
          <cell r="K331">
            <v>0</v>
          </cell>
          <cell r="L331">
            <v>0</v>
          </cell>
          <cell r="M331">
            <v>0</v>
          </cell>
          <cell r="N331">
            <v>0</v>
          </cell>
          <cell r="O331">
            <v>0</v>
          </cell>
          <cell r="P331">
            <v>0</v>
          </cell>
          <cell r="Q331">
            <v>558261</v>
          </cell>
          <cell r="R331">
            <v>125609</v>
          </cell>
          <cell r="S331">
            <v>13957</v>
          </cell>
          <cell r="T331">
            <v>0</v>
          </cell>
          <cell r="U331">
            <v>0</v>
          </cell>
          <cell r="V331">
            <v>0</v>
          </cell>
          <cell r="W331">
            <v>0</v>
          </cell>
          <cell r="X331">
            <v>0</v>
          </cell>
          <cell r="Y331">
            <v>0</v>
          </cell>
          <cell r="Z331">
            <v>0</v>
          </cell>
          <cell r="AA331">
            <v>0</v>
          </cell>
          <cell r="AB331">
            <v>0</v>
          </cell>
          <cell r="AC331">
            <v>296887.76900212315</v>
          </cell>
          <cell r="AD331">
            <v>66799.748025477689</v>
          </cell>
          <cell r="AE331">
            <v>7422.1942250530783</v>
          </cell>
          <cell r="AF331">
            <v>0</v>
          </cell>
          <cell r="AG331">
            <v>0</v>
          </cell>
          <cell r="AH331">
            <v>0</v>
          </cell>
          <cell r="AI331">
            <v>0</v>
          </cell>
          <cell r="AJ331">
            <v>0</v>
          </cell>
          <cell r="AK331">
            <v>0</v>
          </cell>
          <cell r="AL331">
            <v>109805</v>
          </cell>
          <cell r="AM331">
            <v>24338</v>
          </cell>
          <cell r="AN331">
            <v>2704</v>
          </cell>
          <cell r="AO331">
            <v>-191608.85</v>
          </cell>
          <cell r="AP331">
            <v>-153287</v>
          </cell>
          <cell r="AQ331">
            <v>-34490</v>
          </cell>
          <cell r="AR331">
            <v>-3832</v>
          </cell>
          <cell r="AS331">
            <v>-383217.85</v>
          </cell>
          <cell r="AT331">
            <v>-559043.67999999993</v>
          </cell>
          <cell r="AU331">
            <v>-447235</v>
          </cell>
          <cell r="AV331">
            <v>-100628</v>
          </cell>
          <cell r="AW331">
            <v>-11181</v>
          </cell>
          <cell r="AX331">
            <v>-1118087.6800000002</v>
          </cell>
          <cell r="AY331">
            <v>25313428</v>
          </cell>
          <cell r="AZ331">
            <v>2687403.44</v>
          </cell>
          <cell r="BA331">
            <v>477079.16</v>
          </cell>
          <cell r="BB331">
            <v>1613567.85</v>
          </cell>
          <cell r="BC331">
            <v>20375.599999999999</v>
          </cell>
          <cell r="BD331">
            <v>4610.54</v>
          </cell>
          <cell r="BE331">
            <v>0</v>
          </cell>
          <cell r="BF331">
            <v>830683.87</v>
          </cell>
          <cell r="BG331">
            <v>3014.4</v>
          </cell>
          <cell r="BH331">
            <v>80705.899999999994</v>
          </cell>
          <cell r="BI331">
            <v>0</v>
          </cell>
          <cell r="BJ331">
            <v>38.15</v>
          </cell>
          <cell r="BK331">
            <v>0</v>
          </cell>
          <cell r="BL331">
            <v>0</v>
          </cell>
          <cell r="BM331">
            <v>0</v>
          </cell>
          <cell r="BN331">
            <v>0</v>
          </cell>
          <cell r="BO331">
            <v>0</v>
          </cell>
          <cell r="BP331">
            <v>26599704.300000001</v>
          </cell>
          <cell r="BQ331">
            <v>65899.66</v>
          </cell>
          <cell r="BR331">
            <v>948135</v>
          </cell>
          <cell r="BS331">
            <v>462153</v>
          </cell>
        </row>
        <row r="332">
          <cell r="A332">
            <v>325</v>
          </cell>
          <cell r="B332" t="str">
            <v>Wyre Forest</v>
          </cell>
          <cell r="C332" t="str">
            <v>E1839</v>
          </cell>
          <cell r="D332">
            <v>137170</v>
          </cell>
          <cell r="G332">
            <v>18378</v>
          </cell>
          <cell r="H332">
            <v>0</v>
          </cell>
          <cell r="I332">
            <v>137170</v>
          </cell>
          <cell r="J332">
            <v>0</v>
          </cell>
          <cell r="K332">
            <v>0</v>
          </cell>
          <cell r="L332">
            <v>0</v>
          </cell>
          <cell r="M332">
            <v>0</v>
          </cell>
          <cell r="N332">
            <v>0</v>
          </cell>
          <cell r="O332">
            <v>0</v>
          </cell>
          <cell r="P332">
            <v>0</v>
          </cell>
          <cell r="Q332">
            <v>407381</v>
          </cell>
          <cell r="R332">
            <v>91661</v>
          </cell>
          <cell r="S332">
            <v>10185</v>
          </cell>
          <cell r="T332">
            <v>0</v>
          </cell>
          <cell r="U332">
            <v>0</v>
          </cell>
          <cell r="V332">
            <v>0</v>
          </cell>
          <cell r="W332">
            <v>0</v>
          </cell>
          <cell r="X332">
            <v>0</v>
          </cell>
          <cell r="Y332">
            <v>0</v>
          </cell>
          <cell r="Z332">
            <v>31421.659447983013</v>
          </cell>
          <cell r="AA332">
            <v>7069.8733757961763</v>
          </cell>
          <cell r="AB332">
            <v>785.54148619957527</v>
          </cell>
          <cell r="AC332">
            <v>127337.5796178344</v>
          </cell>
          <cell r="AD332">
            <v>28650.955414012733</v>
          </cell>
          <cell r="AE332">
            <v>3183.43949044586</v>
          </cell>
          <cell r="AF332">
            <v>61056</v>
          </cell>
          <cell r="AG332">
            <v>0</v>
          </cell>
          <cell r="AH332">
            <v>0</v>
          </cell>
          <cell r="AI332">
            <v>36971</v>
          </cell>
          <cell r="AJ332">
            <v>8318.4983999999986</v>
          </cell>
          <cell r="AK332">
            <v>924.27760000000001</v>
          </cell>
          <cell r="AL332">
            <v>123709</v>
          </cell>
          <cell r="AM332">
            <v>27507</v>
          </cell>
          <cell r="AN332">
            <v>3056</v>
          </cell>
          <cell r="AO332">
            <v>-634976</v>
          </cell>
          <cell r="AP332">
            <v>-507982</v>
          </cell>
          <cell r="AQ332">
            <v>-114296</v>
          </cell>
          <cell r="AR332">
            <v>-12700</v>
          </cell>
          <cell r="AS332">
            <v>-1269954</v>
          </cell>
          <cell r="AT332">
            <v>-612704</v>
          </cell>
          <cell r="AU332">
            <v>-490163</v>
          </cell>
          <cell r="AV332">
            <v>-110286</v>
          </cell>
          <cell r="AW332">
            <v>-12254</v>
          </cell>
          <cell r="AX332">
            <v>-1225407</v>
          </cell>
          <cell r="AY332">
            <v>26217648</v>
          </cell>
          <cell r="AZ332">
            <v>2001130.39</v>
          </cell>
          <cell r="BA332">
            <v>551528.12</v>
          </cell>
          <cell r="BB332">
            <v>1632452.23</v>
          </cell>
          <cell r="BC332">
            <v>45242.97</v>
          </cell>
          <cell r="BD332">
            <v>9645.77</v>
          </cell>
          <cell r="BE332">
            <v>105868.04</v>
          </cell>
          <cell r="BF332">
            <v>1689643.04</v>
          </cell>
          <cell r="BG332">
            <v>112809.57</v>
          </cell>
          <cell r="BH332">
            <v>268071</v>
          </cell>
          <cell r="BI332">
            <v>0</v>
          </cell>
          <cell r="BJ332">
            <v>6193.43</v>
          </cell>
          <cell r="BK332">
            <v>0</v>
          </cell>
          <cell r="BL332">
            <v>0</v>
          </cell>
          <cell r="BM332">
            <v>0</v>
          </cell>
          <cell r="BN332">
            <v>0</v>
          </cell>
          <cell r="BO332">
            <v>0</v>
          </cell>
          <cell r="BP332">
            <v>27881372.399999999</v>
          </cell>
          <cell r="BQ332">
            <v>133915</v>
          </cell>
          <cell r="BR332">
            <v>2264699</v>
          </cell>
          <cell r="BS332">
            <v>190475</v>
          </cell>
        </row>
        <row r="333">
          <cell r="A333">
            <v>326</v>
          </cell>
          <cell r="B333" t="str">
            <v>York</v>
          </cell>
          <cell r="C333" t="str">
            <v>E2701</v>
          </cell>
          <cell r="D333">
            <v>294970</v>
          </cell>
          <cell r="G333">
            <v>101000</v>
          </cell>
          <cell r="H333">
            <v>0</v>
          </cell>
          <cell r="I333">
            <v>294970</v>
          </cell>
          <cell r="J333">
            <v>0</v>
          </cell>
          <cell r="K333">
            <v>0</v>
          </cell>
          <cell r="L333">
            <v>0</v>
          </cell>
          <cell r="M333">
            <v>0</v>
          </cell>
          <cell r="N333">
            <v>0</v>
          </cell>
          <cell r="O333">
            <v>0</v>
          </cell>
          <cell r="P333">
            <v>0</v>
          </cell>
          <cell r="Q333">
            <v>742803</v>
          </cell>
          <cell r="R333">
            <v>0</v>
          </cell>
          <cell r="S333">
            <v>15159</v>
          </cell>
          <cell r="T333">
            <v>49520</v>
          </cell>
          <cell r="U333">
            <v>0</v>
          </cell>
          <cell r="V333">
            <v>1011</v>
          </cell>
          <cell r="W333">
            <v>123800</v>
          </cell>
          <cell r="X333">
            <v>0</v>
          </cell>
          <cell r="Y333">
            <v>2527</v>
          </cell>
          <cell r="Z333">
            <v>148560.50955414012</v>
          </cell>
          <cell r="AA333">
            <v>2.6297081992514652E-12</v>
          </cell>
          <cell r="AB333">
            <v>3031.8471337579617</v>
          </cell>
          <cell r="AC333">
            <v>623954.14012738853</v>
          </cell>
          <cell r="AD333">
            <v>1.1044774436856155E-11</v>
          </cell>
          <cell r="AE333">
            <v>12733.75796178344</v>
          </cell>
          <cell r="AF333">
            <v>0</v>
          </cell>
          <cell r="AG333">
            <v>0</v>
          </cell>
          <cell r="AH333">
            <v>0</v>
          </cell>
          <cell r="AI333">
            <v>0</v>
          </cell>
          <cell r="AJ333">
            <v>0</v>
          </cell>
          <cell r="AK333">
            <v>0</v>
          </cell>
          <cell r="AL333">
            <v>491020</v>
          </cell>
          <cell r="AM333">
            <v>0</v>
          </cell>
          <cell r="AN333">
            <v>9957</v>
          </cell>
          <cell r="AO333">
            <v>-1050268.76</v>
          </cell>
          <cell r="AP333">
            <v>-1029263</v>
          </cell>
          <cell r="AQ333">
            <v>0</v>
          </cell>
          <cell r="AR333">
            <v>-21005</v>
          </cell>
          <cell r="AS333">
            <v>-2100536.7599999998</v>
          </cell>
          <cell r="AT333">
            <v>-6091196</v>
          </cell>
          <cell r="AU333">
            <v>-5969372</v>
          </cell>
          <cell r="AV333">
            <v>0</v>
          </cell>
          <cell r="AW333">
            <v>-121824</v>
          </cell>
          <cell r="AX333">
            <v>-12182392</v>
          </cell>
          <cell r="AY333">
            <v>82874177</v>
          </cell>
          <cell r="AZ333">
            <v>2989326.78</v>
          </cell>
          <cell r="BA333">
            <v>1956292.83</v>
          </cell>
          <cell r="BB333">
            <v>8307529.2599999998</v>
          </cell>
          <cell r="BC333">
            <v>149728.48000000001</v>
          </cell>
          <cell r="BD333">
            <v>10321.41</v>
          </cell>
          <cell r="BE333">
            <v>12834.8</v>
          </cell>
          <cell r="BF333">
            <v>3028624.44</v>
          </cell>
          <cell r="BG333">
            <v>120479.3</v>
          </cell>
          <cell r="BH333">
            <v>9086.6299999999992</v>
          </cell>
          <cell r="BI333">
            <v>21482.99</v>
          </cell>
          <cell r="BJ333">
            <v>5317.01</v>
          </cell>
          <cell r="BK333">
            <v>37990.11</v>
          </cell>
          <cell r="BL333">
            <v>0</v>
          </cell>
          <cell r="BM333">
            <v>0</v>
          </cell>
          <cell r="BN333">
            <v>0</v>
          </cell>
          <cell r="BO333">
            <v>0</v>
          </cell>
          <cell r="BP333">
            <v>95878784.700000003</v>
          </cell>
          <cell r="BQ333">
            <v>458472.92</v>
          </cell>
          <cell r="BR333">
            <v>3762081.41</v>
          </cell>
          <cell r="BS333">
            <v>1230356.3799999999</v>
          </cell>
        </row>
        <row r="334">
          <cell r="A334">
            <v>327</v>
          </cell>
          <cell r="B334" t="str">
            <v>ZZZZ</v>
          </cell>
          <cell r="C334" t="str">
            <v>EZZZZ</v>
          </cell>
        </row>
      </sheetData>
      <sheetData sheetId="7">
        <row r="6">
          <cell r="A6" t="str">
            <v>E3831</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RC4 Form"/>
      <sheetName val="Main Validation"/>
      <sheetName val="Validation"/>
      <sheetName val="Parameters"/>
      <sheetName val="Data"/>
      <sheetName val="Sheet1"/>
      <sheetName val="Sheet2"/>
    </sheetNames>
    <sheetDataSet>
      <sheetData sheetId="0" refreshError="1"/>
      <sheetData sheetId="1">
        <row r="20">
          <cell r="E20" t="str">
            <v>E3831</v>
          </cell>
        </row>
      </sheetData>
      <sheetData sheetId="2" refreshError="1"/>
      <sheetData sheetId="3" refreshError="1"/>
      <sheetData sheetId="4" refreshError="1"/>
      <sheetData sheetId="5">
        <row r="12">
          <cell r="A12">
            <v>1</v>
          </cell>
          <cell r="B12" t="str">
            <v>Adur</v>
          </cell>
          <cell r="C12" t="str">
            <v>E3831</v>
          </cell>
        </row>
        <row r="13">
          <cell r="A13">
            <v>2</v>
          </cell>
          <cell r="B13" t="str">
            <v>Allerdale</v>
          </cell>
          <cell r="C13" t="str">
            <v>E0931</v>
          </cell>
        </row>
        <row r="14">
          <cell r="A14">
            <v>3</v>
          </cell>
          <cell r="B14" t="str">
            <v>Amber Valley</v>
          </cell>
          <cell r="C14" t="str">
            <v>E1031</v>
          </cell>
        </row>
        <row r="15">
          <cell r="A15">
            <v>4</v>
          </cell>
          <cell r="B15" t="str">
            <v>Arun</v>
          </cell>
          <cell r="C15" t="str">
            <v>E3832</v>
          </cell>
        </row>
        <row r="16">
          <cell r="A16">
            <v>5</v>
          </cell>
          <cell r="B16" t="str">
            <v>Ashfield</v>
          </cell>
          <cell r="C16" t="str">
            <v>E3031</v>
          </cell>
        </row>
        <row r="17">
          <cell r="A17">
            <v>6</v>
          </cell>
          <cell r="B17" t="str">
            <v>Ashford</v>
          </cell>
          <cell r="C17" t="str">
            <v>E2231</v>
          </cell>
        </row>
        <row r="18">
          <cell r="A18">
            <v>7</v>
          </cell>
          <cell r="B18" t="str">
            <v>Aylesbury Vale</v>
          </cell>
          <cell r="C18" t="str">
            <v>E0431</v>
          </cell>
        </row>
        <row r="19">
          <cell r="A19">
            <v>8</v>
          </cell>
          <cell r="B19" t="str">
            <v>Babergh</v>
          </cell>
          <cell r="C19" t="str">
            <v>E3531</v>
          </cell>
        </row>
        <row r="20">
          <cell r="A20">
            <v>9</v>
          </cell>
          <cell r="B20" t="str">
            <v>Barking and Dagenham</v>
          </cell>
          <cell r="C20" t="str">
            <v>E5030</v>
          </cell>
        </row>
        <row r="21">
          <cell r="A21">
            <v>10</v>
          </cell>
          <cell r="B21" t="str">
            <v>Barnet</v>
          </cell>
          <cell r="C21" t="str">
            <v>E5031</v>
          </cell>
        </row>
        <row r="22">
          <cell r="A22">
            <v>11</v>
          </cell>
          <cell r="B22" t="str">
            <v>Barnsley</v>
          </cell>
          <cell r="C22" t="str">
            <v>E4401</v>
          </cell>
        </row>
        <row r="23">
          <cell r="A23">
            <v>12</v>
          </cell>
          <cell r="B23" t="str">
            <v>Barrow-in-Furness</v>
          </cell>
          <cell r="C23" t="str">
            <v>E0932</v>
          </cell>
        </row>
        <row r="24">
          <cell r="A24">
            <v>13</v>
          </cell>
          <cell r="B24" t="str">
            <v>Basildon</v>
          </cell>
          <cell r="C24" t="str">
            <v>E1531</v>
          </cell>
        </row>
        <row r="25">
          <cell r="A25">
            <v>14</v>
          </cell>
          <cell r="B25" t="str">
            <v>Basingstoke &amp; Deane</v>
          </cell>
          <cell r="C25" t="str">
            <v>E1731</v>
          </cell>
        </row>
        <row r="26">
          <cell r="A26">
            <v>15</v>
          </cell>
          <cell r="B26" t="str">
            <v>Bassetlaw</v>
          </cell>
          <cell r="C26" t="str">
            <v>E3032</v>
          </cell>
        </row>
        <row r="27">
          <cell r="A27">
            <v>16</v>
          </cell>
          <cell r="B27" t="str">
            <v>Bath &amp; North East Somerset</v>
          </cell>
          <cell r="C27" t="str">
            <v>E0101</v>
          </cell>
        </row>
        <row r="28">
          <cell r="A28">
            <v>17</v>
          </cell>
          <cell r="B28" t="str">
            <v>Bedford</v>
          </cell>
          <cell r="C28" t="str">
            <v>E0202</v>
          </cell>
        </row>
        <row r="29">
          <cell r="A29">
            <v>18</v>
          </cell>
          <cell r="B29" t="str">
            <v>Bexley</v>
          </cell>
          <cell r="C29" t="str">
            <v>E5032</v>
          </cell>
        </row>
        <row r="30">
          <cell r="A30">
            <v>19</v>
          </cell>
          <cell r="B30" t="str">
            <v>Birmingham</v>
          </cell>
          <cell r="C30" t="str">
            <v>E4601</v>
          </cell>
        </row>
        <row r="31">
          <cell r="A31">
            <v>20</v>
          </cell>
          <cell r="B31" t="str">
            <v>Blaby</v>
          </cell>
          <cell r="C31" t="str">
            <v>E2431</v>
          </cell>
        </row>
        <row r="32">
          <cell r="A32">
            <v>21</v>
          </cell>
          <cell r="B32" t="str">
            <v>Blackburn with Darwen</v>
          </cell>
          <cell r="C32" t="str">
            <v>E2301</v>
          </cell>
        </row>
        <row r="33">
          <cell r="A33">
            <v>22</v>
          </cell>
          <cell r="B33" t="str">
            <v>Blackpool</v>
          </cell>
          <cell r="C33" t="str">
            <v>E2302</v>
          </cell>
        </row>
        <row r="34">
          <cell r="A34">
            <v>23</v>
          </cell>
          <cell r="B34" t="str">
            <v>Bolsover</v>
          </cell>
          <cell r="C34" t="str">
            <v>E1032</v>
          </cell>
        </row>
        <row r="35">
          <cell r="A35">
            <v>24</v>
          </cell>
          <cell r="B35" t="str">
            <v>Bolton</v>
          </cell>
          <cell r="C35" t="str">
            <v>E4201</v>
          </cell>
        </row>
        <row r="36">
          <cell r="A36">
            <v>25</v>
          </cell>
          <cell r="B36" t="str">
            <v>Boston</v>
          </cell>
          <cell r="C36" t="str">
            <v>E2531</v>
          </cell>
        </row>
        <row r="37">
          <cell r="A37">
            <v>26</v>
          </cell>
          <cell r="B37" t="str">
            <v>Bournemouth</v>
          </cell>
          <cell r="C37" t="str">
            <v>E1202</v>
          </cell>
        </row>
        <row r="38">
          <cell r="A38">
            <v>27</v>
          </cell>
          <cell r="B38" t="str">
            <v>Bracknell Forest</v>
          </cell>
          <cell r="C38" t="str">
            <v>E0301</v>
          </cell>
        </row>
        <row r="39">
          <cell r="A39">
            <v>28</v>
          </cell>
          <cell r="B39" t="str">
            <v>Bradford</v>
          </cell>
          <cell r="C39" t="str">
            <v>E4701</v>
          </cell>
        </row>
        <row r="40">
          <cell r="A40">
            <v>29</v>
          </cell>
          <cell r="B40" t="str">
            <v>Braintree</v>
          </cell>
          <cell r="C40" t="str">
            <v>E1532</v>
          </cell>
        </row>
        <row r="41">
          <cell r="A41">
            <v>30</v>
          </cell>
          <cell r="B41" t="str">
            <v>Breckland</v>
          </cell>
          <cell r="C41" t="str">
            <v>E2631</v>
          </cell>
        </row>
        <row r="42">
          <cell r="A42">
            <v>31</v>
          </cell>
          <cell r="B42" t="str">
            <v>Brent</v>
          </cell>
          <cell r="C42" t="str">
            <v>E5033</v>
          </cell>
        </row>
        <row r="43">
          <cell r="A43">
            <v>32</v>
          </cell>
          <cell r="B43" t="str">
            <v>Brentwood</v>
          </cell>
          <cell r="C43" t="str">
            <v>E1533</v>
          </cell>
        </row>
        <row r="44">
          <cell r="A44">
            <v>33</v>
          </cell>
          <cell r="B44" t="str">
            <v>Brighton &amp; Hove</v>
          </cell>
          <cell r="C44" t="str">
            <v>E1401</v>
          </cell>
        </row>
        <row r="45">
          <cell r="A45">
            <v>34</v>
          </cell>
          <cell r="B45" t="str">
            <v>Bristol</v>
          </cell>
          <cell r="C45" t="str">
            <v>E0102</v>
          </cell>
        </row>
        <row r="46">
          <cell r="A46">
            <v>35</v>
          </cell>
          <cell r="B46" t="str">
            <v>Broadland</v>
          </cell>
          <cell r="C46" t="str">
            <v>E2632</v>
          </cell>
        </row>
        <row r="47">
          <cell r="A47">
            <v>36</v>
          </cell>
          <cell r="B47" t="str">
            <v>Bromley</v>
          </cell>
          <cell r="C47" t="str">
            <v>E5034</v>
          </cell>
        </row>
        <row r="48">
          <cell r="A48">
            <v>37</v>
          </cell>
          <cell r="B48" t="str">
            <v>Bromsgrove</v>
          </cell>
          <cell r="C48" t="str">
            <v>E1831</v>
          </cell>
        </row>
        <row r="49">
          <cell r="A49">
            <v>38</v>
          </cell>
          <cell r="B49" t="str">
            <v>Broxbourne</v>
          </cell>
          <cell r="C49" t="str">
            <v>E1931</v>
          </cell>
        </row>
        <row r="50">
          <cell r="A50">
            <v>39</v>
          </cell>
          <cell r="B50" t="str">
            <v>Broxtowe</v>
          </cell>
          <cell r="C50" t="str">
            <v>E3033</v>
          </cell>
        </row>
        <row r="51">
          <cell r="A51">
            <v>40</v>
          </cell>
          <cell r="B51" t="str">
            <v>Burnley</v>
          </cell>
          <cell r="C51" t="str">
            <v>E2333</v>
          </cell>
        </row>
        <row r="52">
          <cell r="A52">
            <v>41</v>
          </cell>
          <cell r="B52" t="str">
            <v>Bury</v>
          </cell>
          <cell r="C52" t="str">
            <v>E4202</v>
          </cell>
        </row>
        <row r="53">
          <cell r="A53">
            <v>42</v>
          </cell>
          <cell r="B53" t="str">
            <v>Calderdale</v>
          </cell>
          <cell r="C53" t="str">
            <v>E4702</v>
          </cell>
        </row>
        <row r="54">
          <cell r="A54">
            <v>43</v>
          </cell>
          <cell r="B54" t="str">
            <v>Cambridge</v>
          </cell>
          <cell r="C54" t="str">
            <v>E0531</v>
          </cell>
        </row>
        <row r="55">
          <cell r="A55">
            <v>44</v>
          </cell>
          <cell r="B55" t="str">
            <v>Camden</v>
          </cell>
          <cell r="C55" t="str">
            <v>E5011</v>
          </cell>
        </row>
        <row r="56">
          <cell r="A56">
            <v>45</v>
          </cell>
          <cell r="B56" t="str">
            <v>Cannock Chase</v>
          </cell>
          <cell r="C56" t="str">
            <v>E3431</v>
          </cell>
        </row>
        <row r="57">
          <cell r="A57">
            <v>46</v>
          </cell>
          <cell r="B57" t="str">
            <v>Canterbury</v>
          </cell>
          <cell r="C57" t="str">
            <v>E2232</v>
          </cell>
        </row>
        <row r="58">
          <cell r="A58">
            <v>47</v>
          </cell>
          <cell r="B58" t="str">
            <v>Carlisle</v>
          </cell>
          <cell r="C58" t="str">
            <v>E0933</v>
          </cell>
        </row>
        <row r="59">
          <cell r="A59">
            <v>48</v>
          </cell>
          <cell r="B59" t="str">
            <v>Castle Point</v>
          </cell>
          <cell r="C59" t="str">
            <v>E1534</v>
          </cell>
        </row>
        <row r="60">
          <cell r="A60">
            <v>49</v>
          </cell>
          <cell r="B60" t="str">
            <v>Central Bedfordshire UA</v>
          </cell>
          <cell r="C60" t="str">
            <v>E0203</v>
          </cell>
        </row>
        <row r="61">
          <cell r="A61">
            <v>50</v>
          </cell>
          <cell r="B61" t="str">
            <v>Charnwood</v>
          </cell>
          <cell r="C61" t="str">
            <v>E2432</v>
          </cell>
        </row>
        <row r="62">
          <cell r="A62">
            <v>51</v>
          </cell>
          <cell r="B62" t="str">
            <v>Chelmsford</v>
          </cell>
          <cell r="C62" t="str">
            <v>E1535</v>
          </cell>
        </row>
        <row r="63">
          <cell r="A63">
            <v>52</v>
          </cell>
          <cell r="B63" t="str">
            <v>Cheltenham</v>
          </cell>
          <cell r="C63" t="str">
            <v>E1631</v>
          </cell>
        </row>
        <row r="64">
          <cell r="A64">
            <v>53</v>
          </cell>
          <cell r="B64" t="str">
            <v>Cherwell</v>
          </cell>
          <cell r="C64" t="str">
            <v>E3131</v>
          </cell>
        </row>
        <row r="65">
          <cell r="A65">
            <v>54</v>
          </cell>
          <cell r="B65" t="str">
            <v>Cheshire East UA</v>
          </cell>
          <cell r="C65" t="str">
            <v>E0603</v>
          </cell>
        </row>
        <row r="66">
          <cell r="A66">
            <v>55</v>
          </cell>
          <cell r="B66" t="str">
            <v>Cheshire West and Chester UA</v>
          </cell>
          <cell r="C66" t="str">
            <v>E0604</v>
          </cell>
        </row>
        <row r="67">
          <cell r="A67">
            <v>56</v>
          </cell>
          <cell r="B67" t="str">
            <v>Chesterfield</v>
          </cell>
          <cell r="C67" t="str">
            <v>E1033</v>
          </cell>
        </row>
        <row r="68">
          <cell r="A68">
            <v>57</v>
          </cell>
          <cell r="B68" t="str">
            <v>Chichester</v>
          </cell>
          <cell r="C68" t="str">
            <v>E3833</v>
          </cell>
        </row>
        <row r="69">
          <cell r="A69">
            <v>58</v>
          </cell>
          <cell r="B69" t="str">
            <v>Chiltern</v>
          </cell>
          <cell r="C69" t="str">
            <v>E0432</v>
          </cell>
        </row>
        <row r="70">
          <cell r="A70">
            <v>59</v>
          </cell>
          <cell r="B70" t="str">
            <v>Chorley</v>
          </cell>
          <cell r="C70" t="str">
            <v>E2334</v>
          </cell>
        </row>
        <row r="71">
          <cell r="A71">
            <v>60</v>
          </cell>
          <cell r="B71" t="str">
            <v>Christchurch</v>
          </cell>
          <cell r="C71" t="str">
            <v>E1232</v>
          </cell>
        </row>
        <row r="72">
          <cell r="A72">
            <v>61</v>
          </cell>
          <cell r="B72" t="str">
            <v>City of London</v>
          </cell>
          <cell r="C72" t="str">
            <v>E5010</v>
          </cell>
        </row>
        <row r="73">
          <cell r="A73">
            <v>62</v>
          </cell>
          <cell r="B73" t="str">
            <v>Colchester</v>
          </cell>
          <cell r="C73" t="str">
            <v>E1536</v>
          </cell>
        </row>
        <row r="74">
          <cell r="A74">
            <v>63</v>
          </cell>
          <cell r="B74" t="str">
            <v>Copeland</v>
          </cell>
          <cell r="C74" t="str">
            <v>E0934</v>
          </cell>
        </row>
        <row r="75">
          <cell r="A75">
            <v>64</v>
          </cell>
          <cell r="B75" t="str">
            <v>Corby</v>
          </cell>
          <cell r="C75" t="str">
            <v>E2831</v>
          </cell>
        </row>
        <row r="76">
          <cell r="A76">
            <v>65</v>
          </cell>
          <cell r="B76" t="str">
            <v>Cornwall UA</v>
          </cell>
          <cell r="C76" t="str">
            <v>E0801</v>
          </cell>
        </row>
        <row r="77">
          <cell r="A77">
            <v>66</v>
          </cell>
          <cell r="B77" t="str">
            <v>Cotswold</v>
          </cell>
          <cell r="C77" t="str">
            <v>E1632</v>
          </cell>
        </row>
        <row r="78">
          <cell r="A78">
            <v>67</v>
          </cell>
          <cell r="B78" t="str">
            <v>Coventry</v>
          </cell>
          <cell r="C78" t="str">
            <v>E4602</v>
          </cell>
        </row>
        <row r="79">
          <cell r="A79">
            <v>68</v>
          </cell>
          <cell r="B79" t="str">
            <v>Craven</v>
          </cell>
          <cell r="C79" t="str">
            <v>E2731</v>
          </cell>
        </row>
        <row r="80">
          <cell r="A80">
            <v>69</v>
          </cell>
          <cell r="B80" t="str">
            <v>Crawley</v>
          </cell>
          <cell r="C80" t="str">
            <v>E3834</v>
          </cell>
        </row>
        <row r="81">
          <cell r="A81">
            <v>70</v>
          </cell>
          <cell r="B81" t="str">
            <v>Croydon</v>
          </cell>
          <cell r="C81" t="str">
            <v>E5035</v>
          </cell>
        </row>
        <row r="82">
          <cell r="A82">
            <v>71</v>
          </cell>
          <cell r="B82" t="str">
            <v>Dacorum</v>
          </cell>
          <cell r="C82" t="str">
            <v>E1932</v>
          </cell>
        </row>
        <row r="83">
          <cell r="A83">
            <v>72</v>
          </cell>
          <cell r="B83" t="str">
            <v>Darlington</v>
          </cell>
          <cell r="C83" t="str">
            <v>E1301</v>
          </cell>
        </row>
        <row r="84">
          <cell r="A84">
            <v>73</v>
          </cell>
          <cell r="B84" t="str">
            <v>Dartford</v>
          </cell>
          <cell r="C84" t="str">
            <v>E2233</v>
          </cell>
        </row>
        <row r="85">
          <cell r="A85">
            <v>74</v>
          </cell>
          <cell r="B85" t="str">
            <v>Daventry</v>
          </cell>
          <cell r="C85" t="str">
            <v>E2832</v>
          </cell>
        </row>
        <row r="86">
          <cell r="A86">
            <v>75</v>
          </cell>
          <cell r="B86" t="str">
            <v>Derby</v>
          </cell>
          <cell r="C86" t="str">
            <v>E1001</v>
          </cell>
        </row>
        <row r="87">
          <cell r="A87">
            <v>76</v>
          </cell>
          <cell r="B87" t="str">
            <v>Derbyshire Dales</v>
          </cell>
          <cell r="C87" t="str">
            <v>E1035</v>
          </cell>
        </row>
        <row r="88">
          <cell r="A88">
            <v>77</v>
          </cell>
          <cell r="B88" t="str">
            <v>Doncaster</v>
          </cell>
          <cell r="C88" t="str">
            <v>E4402</v>
          </cell>
        </row>
        <row r="89">
          <cell r="A89">
            <v>78</v>
          </cell>
          <cell r="B89" t="str">
            <v>Dover</v>
          </cell>
          <cell r="C89" t="str">
            <v>E2234</v>
          </cell>
        </row>
        <row r="90">
          <cell r="A90">
            <v>79</v>
          </cell>
          <cell r="B90" t="str">
            <v>Dudley</v>
          </cell>
          <cell r="C90" t="str">
            <v>E4603</v>
          </cell>
        </row>
        <row r="91">
          <cell r="A91">
            <v>80</v>
          </cell>
          <cell r="B91" t="str">
            <v>Durham</v>
          </cell>
          <cell r="C91" t="str">
            <v>E1302</v>
          </cell>
        </row>
        <row r="92">
          <cell r="A92">
            <v>81</v>
          </cell>
          <cell r="B92" t="str">
            <v>Ealing</v>
          </cell>
          <cell r="C92" t="str">
            <v>E5036</v>
          </cell>
        </row>
        <row r="93">
          <cell r="A93">
            <v>82</v>
          </cell>
          <cell r="B93" t="str">
            <v>East Cambridgeshire</v>
          </cell>
          <cell r="C93" t="str">
            <v>E0532</v>
          </cell>
        </row>
        <row r="94">
          <cell r="A94">
            <v>83</v>
          </cell>
          <cell r="B94" t="str">
            <v>East Devon</v>
          </cell>
          <cell r="C94" t="str">
            <v>E1131</v>
          </cell>
        </row>
        <row r="95">
          <cell r="A95">
            <v>84</v>
          </cell>
          <cell r="B95" t="str">
            <v>East Dorset</v>
          </cell>
          <cell r="C95" t="str">
            <v>E1233</v>
          </cell>
        </row>
        <row r="96">
          <cell r="A96">
            <v>85</v>
          </cell>
          <cell r="B96" t="str">
            <v>East Hampshire</v>
          </cell>
          <cell r="C96" t="str">
            <v>E1732</v>
          </cell>
        </row>
        <row r="97">
          <cell r="A97">
            <v>86</v>
          </cell>
          <cell r="B97" t="str">
            <v>East Hertfordshire</v>
          </cell>
          <cell r="C97" t="str">
            <v>E1933</v>
          </cell>
        </row>
        <row r="98">
          <cell r="A98">
            <v>87</v>
          </cell>
          <cell r="B98" t="str">
            <v>East Lindsey</v>
          </cell>
          <cell r="C98" t="str">
            <v>E2532</v>
          </cell>
        </row>
        <row r="99">
          <cell r="A99">
            <v>88</v>
          </cell>
          <cell r="B99" t="str">
            <v>East Northamptonshire</v>
          </cell>
          <cell r="C99" t="str">
            <v>E2833</v>
          </cell>
        </row>
        <row r="100">
          <cell r="A100">
            <v>89</v>
          </cell>
          <cell r="B100" t="str">
            <v>East Riding of Yorkshire</v>
          </cell>
          <cell r="C100" t="str">
            <v>E2001</v>
          </cell>
        </row>
        <row r="101">
          <cell r="A101">
            <v>90</v>
          </cell>
          <cell r="B101" t="str">
            <v>East Staffordshire</v>
          </cell>
          <cell r="C101" t="str">
            <v>E3432</v>
          </cell>
        </row>
        <row r="102">
          <cell r="A102">
            <v>91</v>
          </cell>
          <cell r="B102" t="str">
            <v>Eastbourne</v>
          </cell>
          <cell r="C102" t="str">
            <v>E1432</v>
          </cell>
        </row>
        <row r="103">
          <cell r="A103">
            <v>92</v>
          </cell>
          <cell r="B103" t="str">
            <v>Eastleigh</v>
          </cell>
          <cell r="C103" t="str">
            <v>E1733</v>
          </cell>
        </row>
        <row r="104">
          <cell r="A104">
            <v>93</v>
          </cell>
          <cell r="B104" t="str">
            <v>Eden</v>
          </cell>
          <cell r="C104" t="str">
            <v>E0935</v>
          </cell>
        </row>
        <row r="105">
          <cell r="A105">
            <v>94</v>
          </cell>
          <cell r="B105" t="str">
            <v>Elmbridge</v>
          </cell>
          <cell r="C105" t="str">
            <v>E3631</v>
          </cell>
        </row>
        <row r="106">
          <cell r="A106">
            <v>95</v>
          </cell>
          <cell r="B106" t="str">
            <v>Enfield</v>
          </cell>
          <cell r="C106" t="str">
            <v>E5037</v>
          </cell>
        </row>
        <row r="107">
          <cell r="A107">
            <v>96</v>
          </cell>
          <cell r="B107" t="str">
            <v>Epping Forest</v>
          </cell>
          <cell r="C107" t="str">
            <v>E1537</v>
          </cell>
        </row>
        <row r="108">
          <cell r="A108">
            <v>97</v>
          </cell>
          <cell r="B108" t="str">
            <v>Epsom &amp; Ewell</v>
          </cell>
          <cell r="C108" t="str">
            <v>E3632</v>
          </cell>
        </row>
        <row r="109">
          <cell r="A109">
            <v>98</v>
          </cell>
          <cell r="B109" t="str">
            <v>Erewash</v>
          </cell>
          <cell r="C109" t="str">
            <v>E1036</v>
          </cell>
        </row>
        <row r="110">
          <cell r="A110">
            <v>99</v>
          </cell>
          <cell r="B110" t="str">
            <v>Exeter</v>
          </cell>
          <cell r="C110" t="str">
            <v>E1132</v>
          </cell>
        </row>
        <row r="111">
          <cell r="A111">
            <v>100</v>
          </cell>
          <cell r="B111" t="str">
            <v>Fareham</v>
          </cell>
          <cell r="C111" t="str">
            <v>E1734</v>
          </cell>
        </row>
        <row r="112">
          <cell r="A112">
            <v>101</v>
          </cell>
          <cell r="B112" t="str">
            <v>Fenland</v>
          </cell>
          <cell r="C112" t="str">
            <v>E0533</v>
          </cell>
        </row>
        <row r="113">
          <cell r="A113">
            <v>102</v>
          </cell>
          <cell r="B113" t="str">
            <v>Forest Heath</v>
          </cell>
          <cell r="C113" t="str">
            <v>E3532</v>
          </cell>
        </row>
        <row r="114">
          <cell r="A114">
            <v>103</v>
          </cell>
          <cell r="B114" t="str">
            <v>Forest of Dean</v>
          </cell>
          <cell r="C114" t="str">
            <v>E1633</v>
          </cell>
        </row>
        <row r="115">
          <cell r="A115">
            <v>104</v>
          </cell>
          <cell r="B115" t="str">
            <v>Fylde</v>
          </cell>
          <cell r="C115" t="str">
            <v>E2335</v>
          </cell>
        </row>
        <row r="116">
          <cell r="A116">
            <v>105</v>
          </cell>
          <cell r="B116" t="str">
            <v>Gateshead</v>
          </cell>
          <cell r="C116" t="str">
            <v>E4501</v>
          </cell>
        </row>
        <row r="117">
          <cell r="A117">
            <v>106</v>
          </cell>
          <cell r="B117" t="str">
            <v>Gedling</v>
          </cell>
          <cell r="C117" t="str">
            <v>E3034</v>
          </cell>
        </row>
        <row r="118">
          <cell r="A118">
            <v>107</v>
          </cell>
          <cell r="B118" t="str">
            <v>Gloucester</v>
          </cell>
          <cell r="C118" t="str">
            <v>E1634</v>
          </cell>
        </row>
        <row r="119">
          <cell r="A119">
            <v>108</v>
          </cell>
          <cell r="B119" t="str">
            <v>Gosport</v>
          </cell>
          <cell r="C119" t="str">
            <v>E1735</v>
          </cell>
        </row>
        <row r="120">
          <cell r="A120">
            <v>109</v>
          </cell>
          <cell r="B120" t="str">
            <v>Gravesham</v>
          </cell>
          <cell r="C120" t="str">
            <v>E2236</v>
          </cell>
        </row>
        <row r="121">
          <cell r="A121">
            <v>110</v>
          </cell>
          <cell r="B121" t="str">
            <v>Great Yarmouth</v>
          </cell>
          <cell r="C121" t="str">
            <v>E2633</v>
          </cell>
        </row>
        <row r="122">
          <cell r="A122">
            <v>111</v>
          </cell>
          <cell r="B122" t="str">
            <v>Greenwich</v>
          </cell>
          <cell r="C122" t="str">
            <v>E5012</v>
          </cell>
        </row>
        <row r="123">
          <cell r="A123">
            <v>112</v>
          </cell>
          <cell r="B123" t="str">
            <v>Guildford</v>
          </cell>
          <cell r="C123" t="str">
            <v>E3633</v>
          </cell>
        </row>
        <row r="124">
          <cell r="A124">
            <v>113</v>
          </cell>
          <cell r="B124" t="str">
            <v>Hackney</v>
          </cell>
          <cell r="C124" t="str">
            <v>E5013</v>
          </cell>
        </row>
        <row r="125">
          <cell r="A125">
            <v>114</v>
          </cell>
          <cell r="B125" t="str">
            <v>Halton</v>
          </cell>
          <cell r="C125" t="str">
            <v>E0601</v>
          </cell>
        </row>
        <row r="126">
          <cell r="A126">
            <v>115</v>
          </cell>
          <cell r="B126" t="str">
            <v>Hambleton</v>
          </cell>
          <cell r="C126" t="str">
            <v>E2732</v>
          </cell>
        </row>
        <row r="127">
          <cell r="A127">
            <v>116</v>
          </cell>
          <cell r="B127" t="str">
            <v>Hammersmith and Fulham</v>
          </cell>
          <cell r="C127" t="str">
            <v>E5014</v>
          </cell>
        </row>
        <row r="128">
          <cell r="A128">
            <v>117</v>
          </cell>
          <cell r="B128" t="str">
            <v>Harborough</v>
          </cell>
          <cell r="C128" t="str">
            <v>E2433</v>
          </cell>
        </row>
        <row r="129">
          <cell r="A129">
            <v>118</v>
          </cell>
          <cell r="B129" t="str">
            <v>Haringey</v>
          </cell>
          <cell r="C129" t="str">
            <v>E5038</v>
          </cell>
        </row>
        <row r="130">
          <cell r="A130">
            <v>119</v>
          </cell>
          <cell r="B130" t="str">
            <v>Harlow</v>
          </cell>
          <cell r="C130" t="str">
            <v>E1538</v>
          </cell>
        </row>
        <row r="131">
          <cell r="A131">
            <v>120</v>
          </cell>
          <cell r="B131" t="str">
            <v>Harrogate</v>
          </cell>
          <cell r="C131" t="str">
            <v>E2753</v>
          </cell>
        </row>
        <row r="132">
          <cell r="A132">
            <v>121</v>
          </cell>
          <cell r="B132" t="str">
            <v>Harrow</v>
          </cell>
          <cell r="C132" t="str">
            <v>E5039</v>
          </cell>
        </row>
        <row r="133">
          <cell r="A133">
            <v>122</v>
          </cell>
          <cell r="B133" t="str">
            <v>Hart</v>
          </cell>
          <cell r="C133" t="str">
            <v>E1736</v>
          </cell>
        </row>
        <row r="134">
          <cell r="A134">
            <v>123</v>
          </cell>
          <cell r="B134" t="str">
            <v>Hartlepool</v>
          </cell>
          <cell r="C134" t="str">
            <v>E0701</v>
          </cell>
        </row>
        <row r="135">
          <cell r="A135">
            <v>124</v>
          </cell>
          <cell r="B135" t="str">
            <v>Hastings</v>
          </cell>
          <cell r="C135" t="str">
            <v>E1433</v>
          </cell>
        </row>
        <row r="136">
          <cell r="A136">
            <v>125</v>
          </cell>
          <cell r="B136" t="str">
            <v>Havant</v>
          </cell>
          <cell r="C136" t="str">
            <v>E1737</v>
          </cell>
        </row>
        <row r="137">
          <cell r="A137">
            <v>126</v>
          </cell>
          <cell r="B137" t="str">
            <v>Havering</v>
          </cell>
          <cell r="C137" t="str">
            <v>E5040</v>
          </cell>
        </row>
        <row r="138">
          <cell r="A138">
            <v>127</v>
          </cell>
          <cell r="B138" t="str">
            <v>Herefordshire</v>
          </cell>
          <cell r="C138" t="str">
            <v>E1801</v>
          </cell>
        </row>
        <row r="139">
          <cell r="A139">
            <v>128</v>
          </cell>
          <cell r="B139" t="str">
            <v>Hertsmere</v>
          </cell>
          <cell r="C139" t="str">
            <v>E1934</v>
          </cell>
        </row>
        <row r="140">
          <cell r="A140">
            <v>129</v>
          </cell>
          <cell r="B140" t="str">
            <v>High Peak</v>
          </cell>
          <cell r="C140" t="str">
            <v>E1037</v>
          </cell>
        </row>
        <row r="141">
          <cell r="A141">
            <v>130</v>
          </cell>
          <cell r="B141" t="str">
            <v>Hillingdon</v>
          </cell>
          <cell r="C141" t="str">
            <v>E5041</v>
          </cell>
        </row>
        <row r="142">
          <cell r="A142">
            <v>131</v>
          </cell>
          <cell r="B142" t="str">
            <v>Hinckley and Bosworth</v>
          </cell>
          <cell r="C142" t="str">
            <v>E2434</v>
          </cell>
        </row>
        <row r="143">
          <cell r="A143">
            <v>132</v>
          </cell>
          <cell r="B143" t="str">
            <v>Horsham</v>
          </cell>
          <cell r="C143" t="str">
            <v>E3835</v>
          </cell>
        </row>
        <row r="144">
          <cell r="A144">
            <v>133</v>
          </cell>
          <cell r="B144" t="str">
            <v>Hounslow</v>
          </cell>
          <cell r="C144" t="str">
            <v>E5042</v>
          </cell>
        </row>
        <row r="145">
          <cell r="A145">
            <v>134</v>
          </cell>
          <cell r="B145" t="str">
            <v>Huntingdonshire</v>
          </cell>
          <cell r="C145" t="str">
            <v>E0551</v>
          </cell>
        </row>
        <row r="146">
          <cell r="A146">
            <v>135</v>
          </cell>
          <cell r="B146" t="str">
            <v>Hyndburn</v>
          </cell>
          <cell r="C146" t="str">
            <v>E2336</v>
          </cell>
        </row>
        <row r="147">
          <cell r="A147">
            <v>136</v>
          </cell>
          <cell r="B147" t="str">
            <v>Ipswich</v>
          </cell>
          <cell r="C147" t="str">
            <v>E3533</v>
          </cell>
        </row>
        <row r="148">
          <cell r="A148">
            <v>137</v>
          </cell>
          <cell r="B148" t="str">
            <v>Isle of Wight Council</v>
          </cell>
          <cell r="C148" t="str">
            <v>E2101</v>
          </cell>
        </row>
        <row r="149">
          <cell r="A149">
            <v>138</v>
          </cell>
          <cell r="B149" t="str">
            <v>Isles of Scilly</v>
          </cell>
          <cell r="C149" t="str">
            <v>E4001</v>
          </cell>
        </row>
        <row r="150">
          <cell r="A150">
            <v>139</v>
          </cell>
          <cell r="B150" t="str">
            <v>Islington</v>
          </cell>
          <cell r="C150" t="str">
            <v>E5015</v>
          </cell>
        </row>
        <row r="151">
          <cell r="A151">
            <v>140</v>
          </cell>
          <cell r="B151" t="str">
            <v>Kensington and Chelsea</v>
          </cell>
          <cell r="C151" t="str">
            <v>E5016</v>
          </cell>
        </row>
        <row r="152">
          <cell r="A152">
            <v>141</v>
          </cell>
          <cell r="B152" t="str">
            <v>Kettering</v>
          </cell>
          <cell r="C152" t="str">
            <v>E2834</v>
          </cell>
        </row>
        <row r="153">
          <cell r="A153">
            <v>142</v>
          </cell>
          <cell r="B153" t="str">
            <v>Kings Lynn and West Norfolk</v>
          </cell>
          <cell r="C153" t="str">
            <v>E2634</v>
          </cell>
        </row>
        <row r="154">
          <cell r="A154">
            <v>143</v>
          </cell>
          <cell r="B154" t="str">
            <v>Kingston upon Hull</v>
          </cell>
          <cell r="C154" t="str">
            <v>E2002</v>
          </cell>
        </row>
        <row r="155">
          <cell r="A155">
            <v>144</v>
          </cell>
          <cell r="B155" t="str">
            <v>Kingston upon Thames</v>
          </cell>
          <cell r="C155" t="str">
            <v>E5043</v>
          </cell>
        </row>
        <row r="156">
          <cell r="A156">
            <v>145</v>
          </cell>
          <cell r="B156" t="str">
            <v>Kirklees</v>
          </cell>
          <cell r="C156" t="str">
            <v>E4703</v>
          </cell>
        </row>
        <row r="157">
          <cell r="A157">
            <v>146</v>
          </cell>
          <cell r="B157" t="str">
            <v>Knowsley</v>
          </cell>
          <cell r="C157" t="str">
            <v>E4301</v>
          </cell>
        </row>
        <row r="158">
          <cell r="A158">
            <v>147</v>
          </cell>
          <cell r="B158" t="str">
            <v>Lambeth</v>
          </cell>
          <cell r="C158" t="str">
            <v>E5017</v>
          </cell>
        </row>
        <row r="159">
          <cell r="A159">
            <v>148</v>
          </cell>
          <cell r="B159" t="str">
            <v>Lancaster</v>
          </cell>
          <cell r="C159" t="str">
            <v>E2337</v>
          </cell>
        </row>
        <row r="160">
          <cell r="A160">
            <v>149</v>
          </cell>
          <cell r="B160" t="str">
            <v>Leeds</v>
          </cell>
          <cell r="C160" t="str">
            <v>E4704</v>
          </cell>
        </row>
        <row r="161">
          <cell r="A161">
            <v>150</v>
          </cell>
          <cell r="B161" t="str">
            <v>Leicester</v>
          </cell>
          <cell r="C161" t="str">
            <v>E2401</v>
          </cell>
        </row>
        <row r="162">
          <cell r="A162">
            <v>151</v>
          </cell>
          <cell r="B162" t="str">
            <v>Lewes</v>
          </cell>
          <cell r="C162" t="str">
            <v>E1435</v>
          </cell>
        </row>
        <row r="163">
          <cell r="A163">
            <v>152</v>
          </cell>
          <cell r="B163" t="str">
            <v>Lewisham</v>
          </cell>
          <cell r="C163" t="str">
            <v>E5018</v>
          </cell>
        </row>
        <row r="164">
          <cell r="A164">
            <v>153</v>
          </cell>
          <cell r="B164" t="str">
            <v>Lichfield</v>
          </cell>
          <cell r="C164" t="str">
            <v>E3433</v>
          </cell>
        </row>
        <row r="165">
          <cell r="A165">
            <v>154</v>
          </cell>
          <cell r="B165" t="str">
            <v>Lincoln</v>
          </cell>
          <cell r="C165" t="str">
            <v>E2533</v>
          </cell>
        </row>
        <row r="166">
          <cell r="A166">
            <v>155</v>
          </cell>
          <cell r="B166" t="str">
            <v>Liverpool</v>
          </cell>
          <cell r="C166" t="str">
            <v>E4302</v>
          </cell>
        </row>
        <row r="167">
          <cell r="A167">
            <v>156</v>
          </cell>
          <cell r="B167" t="str">
            <v>Luton</v>
          </cell>
          <cell r="C167" t="str">
            <v>E0201</v>
          </cell>
        </row>
        <row r="168">
          <cell r="A168">
            <v>157</v>
          </cell>
          <cell r="B168" t="str">
            <v>Maidstone</v>
          </cell>
          <cell r="C168" t="str">
            <v>E2237</v>
          </cell>
        </row>
        <row r="169">
          <cell r="A169">
            <v>158</v>
          </cell>
          <cell r="B169" t="str">
            <v>Maldon</v>
          </cell>
          <cell r="C169" t="str">
            <v>E1539</v>
          </cell>
        </row>
        <row r="170">
          <cell r="A170">
            <v>159</v>
          </cell>
          <cell r="B170" t="str">
            <v>Malvern Hills</v>
          </cell>
          <cell r="C170" t="str">
            <v>E1851</v>
          </cell>
        </row>
        <row r="171">
          <cell r="A171">
            <v>160</v>
          </cell>
          <cell r="B171" t="str">
            <v>Manchester</v>
          </cell>
          <cell r="C171" t="str">
            <v>E4203</v>
          </cell>
        </row>
        <row r="172">
          <cell r="A172">
            <v>161</v>
          </cell>
          <cell r="B172" t="str">
            <v>Mansfield</v>
          </cell>
          <cell r="C172" t="str">
            <v>E3035</v>
          </cell>
        </row>
        <row r="173">
          <cell r="A173">
            <v>162</v>
          </cell>
          <cell r="B173" t="str">
            <v>Medway</v>
          </cell>
          <cell r="C173" t="str">
            <v>E2201</v>
          </cell>
        </row>
        <row r="174">
          <cell r="A174">
            <v>163</v>
          </cell>
          <cell r="B174" t="str">
            <v>Melton</v>
          </cell>
          <cell r="C174" t="str">
            <v>E2436</v>
          </cell>
        </row>
        <row r="175">
          <cell r="A175">
            <v>164</v>
          </cell>
          <cell r="B175" t="str">
            <v>Mendip</v>
          </cell>
          <cell r="C175" t="str">
            <v>E3331</v>
          </cell>
        </row>
        <row r="176">
          <cell r="A176">
            <v>165</v>
          </cell>
          <cell r="B176" t="str">
            <v>Merton</v>
          </cell>
          <cell r="C176" t="str">
            <v>E5044</v>
          </cell>
        </row>
        <row r="177">
          <cell r="A177">
            <v>166</v>
          </cell>
          <cell r="B177" t="str">
            <v>Mid Devon</v>
          </cell>
          <cell r="C177" t="str">
            <v>E1133</v>
          </cell>
        </row>
        <row r="178">
          <cell r="A178">
            <v>167</v>
          </cell>
          <cell r="B178" t="str">
            <v>Mid Suffolk</v>
          </cell>
          <cell r="C178" t="str">
            <v>E3534</v>
          </cell>
        </row>
        <row r="179">
          <cell r="A179">
            <v>168</v>
          </cell>
          <cell r="B179" t="str">
            <v>Mid Sussex</v>
          </cell>
          <cell r="C179" t="str">
            <v>E3836</v>
          </cell>
        </row>
        <row r="180">
          <cell r="A180">
            <v>169</v>
          </cell>
          <cell r="B180" t="str">
            <v>Middlesbrough</v>
          </cell>
          <cell r="C180" t="str">
            <v>E0702</v>
          </cell>
        </row>
        <row r="181">
          <cell r="A181">
            <v>170</v>
          </cell>
          <cell r="B181" t="str">
            <v>Milton Keynes</v>
          </cell>
          <cell r="C181" t="str">
            <v>E0401</v>
          </cell>
        </row>
        <row r="182">
          <cell r="A182">
            <v>171</v>
          </cell>
          <cell r="B182" t="str">
            <v>Mole Valley</v>
          </cell>
          <cell r="C182" t="str">
            <v>E3634</v>
          </cell>
        </row>
        <row r="183">
          <cell r="A183">
            <v>172</v>
          </cell>
          <cell r="B183" t="str">
            <v>New Forest</v>
          </cell>
          <cell r="C183" t="str">
            <v>E1738</v>
          </cell>
        </row>
        <row r="184">
          <cell r="A184">
            <v>173</v>
          </cell>
          <cell r="B184" t="str">
            <v>Newark and Sherwood</v>
          </cell>
          <cell r="C184" t="str">
            <v>E3036</v>
          </cell>
        </row>
        <row r="185">
          <cell r="A185">
            <v>174</v>
          </cell>
          <cell r="B185" t="str">
            <v>Newcastle upon Tyne</v>
          </cell>
          <cell r="C185" t="str">
            <v>E4502</v>
          </cell>
        </row>
        <row r="186">
          <cell r="A186">
            <v>175</v>
          </cell>
          <cell r="B186" t="str">
            <v>Newcastle-under-Lyme</v>
          </cell>
          <cell r="C186" t="str">
            <v>E3434</v>
          </cell>
        </row>
        <row r="187">
          <cell r="A187">
            <v>176</v>
          </cell>
          <cell r="B187" t="str">
            <v>Newham</v>
          </cell>
          <cell r="C187" t="str">
            <v>E5045</v>
          </cell>
        </row>
        <row r="188">
          <cell r="A188">
            <v>177</v>
          </cell>
          <cell r="B188" t="str">
            <v>North Devon</v>
          </cell>
          <cell r="C188" t="str">
            <v>E1134</v>
          </cell>
        </row>
        <row r="189">
          <cell r="A189">
            <v>178</v>
          </cell>
          <cell r="B189" t="str">
            <v>North Dorset</v>
          </cell>
          <cell r="C189" t="str">
            <v>E1234</v>
          </cell>
        </row>
        <row r="190">
          <cell r="A190">
            <v>179</v>
          </cell>
          <cell r="B190" t="str">
            <v>North East Derbyshire</v>
          </cell>
          <cell r="C190" t="str">
            <v>E1038</v>
          </cell>
        </row>
        <row r="191">
          <cell r="A191">
            <v>180</v>
          </cell>
          <cell r="B191" t="str">
            <v>North East Lincolnshire</v>
          </cell>
          <cell r="C191" t="str">
            <v>E2003</v>
          </cell>
        </row>
        <row r="192">
          <cell r="A192">
            <v>181</v>
          </cell>
          <cell r="B192" t="str">
            <v>North Hertfordshire</v>
          </cell>
          <cell r="C192" t="str">
            <v>E1935</v>
          </cell>
        </row>
        <row r="193">
          <cell r="A193">
            <v>182</v>
          </cell>
          <cell r="B193" t="str">
            <v>North Kesteven</v>
          </cell>
          <cell r="C193" t="str">
            <v>E2534</v>
          </cell>
        </row>
        <row r="194">
          <cell r="A194">
            <v>183</v>
          </cell>
          <cell r="B194" t="str">
            <v>North Lincolnshire</v>
          </cell>
          <cell r="C194" t="str">
            <v>E2004</v>
          </cell>
        </row>
        <row r="195">
          <cell r="A195">
            <v>184</v>
          </cell>
          <cell r="B195" t="str">
            <v>North Norfolk</v>
          </cell>
          <cell r="C195" t="str">
            <v>E2635</v>
          </cell>
        </row>
        <row r="196">
          <cell r="A196">
            <v>185</v>
          </cell>
          <cell r="B196" t="str">
            <v>North Somerset</v>
          </cell>
          <cell r="C196" t="str">
            <v>E0104</v>
          </cell>
        </row>
        <row r="197">
          <cell r="A197">
            <v>186</v>
          </cell>
          <cell r="B197" t="str">
            <v>North Tyneside</v>
          </cell>
          <cell r="C197" t="str">
            <v>E4503</v>
          </cell>
        </row>
        <row r="198">
          <cell r="A198">
            <v>187</v>
          </cell>
          <cell r="B198" t="str">
            <v>North Warwickshire</v>
          </cell>
          <cell r="C198" t="str">
            <v>E3731</v>
          </cell>
        </row>
        <row r="199">
          <cell r="A199">
            <v>188</v>
          </cell>
          <cell r="B199" t="str">
            <v>North West Leicestershire</v>
          </cell>
          <cell r="C199" t="str">
            <v>E2437</v>
          </cell>
        </row>
        <row r="200">
          <cell r="A200">
            <v>189</v>
          </cell>
          <cell r="B200" t="str">
            <v>Northampton</v>
          </cell>
          <cell r="C200" t="str">
            <v>E2835</v>
          </cell>
        </row>
        <row r="201">
          <cell r="A201">
            <v>190</v>
          </cell>
          <cell r="B201" t="str">
            <v>Northumberland UA</v>
          </cell>
          <cell r="C201" t="str">
            <v>E2901</v>
          </cell>
        </row>
        <row r="202">
          <cell r="A202">
            <v>191</v>
          </cell>
          <cell r="B202" t="str">
            <v>Norwich</v>
          </cell>
          <cell r="C202" t="str">
            <v>E2636</v>
          </cell>
        </row>
        <row r="203">
          <cell r="A203">
            <v>192</v>
          </cell>
          <cell r="B203" t="str">
            <v>Nottingham</v>
          </cell>
          <cell r="C203" t="str">
            <v>E3001</v>
          </cell>
        </row>
        <row r="204">
          <cell r="A204">
            <v>193</v>
          </cell>
          <cell r="B204" t="str">
            <v>Nuneaton and Bedworth</v>
          </cell>
          <cell r="C204" t="str">
            <v>E3732</v>
          </cell>
        </row>
        <row r="205">
          <cell r="A205">
            <v>194</v>
          </cell>
          <cell r="B205" t="str">
            <v>Oadby and Wigston</v>
          </cell>
          <cell r="C205" t="str">
            <v>E2438</v>
          </cell>
        </row>
        <row r="206">
          <cell r="A206">
            <v>195</v>
          </cell>
          <cell r="B206" t="str">
            <v>Oldham</v>
          </cell>
          <cell r="C206" t="str">
            <v>E4204</v>
          </cell>
        </row>
        <row r="207">
          <cell r="A207">
            <v>196</v>
          </cell>
          <cell r="B207" t="str">
            <v>Oxford</v>
          </cell>
          <cell r="C207" t="str">
            <v>E3132</v>
          </cell>
        </row>
        <row r="208">
          <cell r="A208">
            <v>197</v>
          </cell>
          <cell r="B208" t="str">
            <v>Pendle</v>
          </cell>
          <cell r="C208" t="str">
            <v>E2338</v>
          </cell>
        </row>
        <row r="209">
          <cell r="A209">
            <v>198</v>
          </cell>
          <cell r="B209" t="str">
            <v>Peterborough</v>
          </cell>
          <cell r="C209" t="str">
            <v>E0501</v>
          </cell>
        </row>
        <row r="210">
          <cell r="A210">
            <v>199</v>
          </cell>
          <cell r="B210" t="str">
            <v>Plymouth</v>
          </cell>
          <cell r="C210" t="str">
            <v>E1101</v>
          </cell>
        </row>
        <row r="211">
          <cell r="A211">
            <v>200</v>
          </cell>
          <cell r="B211" t="str">
            <v>Poole</v>
          </cell>
          <cell r="C211" t="str">
            <v>E1201</v>
          </cell>
        </row>
        <row r="212">
          <cell r="A212">
            <v>201</v>
          </cell>
          <cell r="B212" t="str">
            <v>Portsmouth</v>
          </cell>
          <cell r="C212" t="str">
            <v>E1701</v>
          </cell>
        </row>
        <row r="213">
          <cell r="A213">
            <v>202</v>
          </cell>
          <cell r="B213" t="str">
            <v>Preston</v>
          </cell>
          <cell r="C213" t="str">
            <v>E2339</v>
          </cell>
        </row>
        <row r="214">
          <cell r="A214">
            <v>203</v>
          </cell>
          <cell r="B214" t="str">
            <v>Purbeck</v>
          </cell>
          <cell r="C214" t="str">
            <v>E1236</v>
          </cell>
        </row>
        <row r="215">
          <cell r="A215">
            <v>204</v>
          </cell>
          <cell r="B215" t="str">
            <v>Reading</v>
          </cell>
          <cell r="C215" t="str">
            <v>E0303</v>
          </cell>
        </row>
        <row r="216">
          <cell r="A216">
            <v>205</v>
          </cell>
          <cell r="B216" t="str">
            <v>Redbridge</v>
          </cell>
          <cell r="C216" t="str">
            <v>E5046</v>
          </cell>
        </row>
        <row r="217">
          <cell r="A217">
            <v>206</v>
          </cell>
          <cell r="B217" t="str">
            <v>Redcar and Cleveland</v>
          </cell>
          <cell r="C217" t="str">
            <v>E0703</v>
          </cell>
        </row>
        <row r="218">
          <cell r="A218">
            <v>207</v>
          </cell>
          <cell r="B218" t="str">
            <v>Redditch</v>
          </cell>
          <cell r="C218" t="str">
            <v>E1835</v>
          </cell>
        </row>
        <row r="219">
          <cell r="A219">
            <v>208</v>
          </cell>
          <cell r="B219" t="str">
            <v>Reigate and Banstead</v>
          </cell>
          <cell r="C219" t="str">
            <v>E3635</v>
          </cell>
        </row>
        <row r="220">
          <cell r="A220">
            <v>209</v>
          </cell>
          <cell r="B220" t="str">
            <v>Ribble Valley</v>
          </cell>
          <cell r="C220" t="str">
            <v>E2340</v>
          </cell>
        </row>
        <row r="221">
          <cell r="A221">
            <v>210</v>
          </cell>
          <cell r="B221" t="str">
            <v>Richmond upon Thames</v>
          </cell>
          <cell r="C221" t="str">
            <v>E5047</v>
          </cell>
        </row>
        <row r="222">
          <cell r="A222">
            <v>211</v>
          </cell>
          <cell r="B222" t="str">
            <v>Richmondshire</v>
          </cell>
          <cell r="C222" t="str">
            <v>E2734</v>
          </cell>
        </row>
        <row r="223">
          <cell r="A223">
            <v>212</v>
          </cell>
          <cell r="B223" t="str">
            <v>Rochdale</v>
          </cell>
          <cell r="C223" t="str">
            <v>E4205</v>
          </cell>
        </row>
        <row r="224">
          <cell r="A224">
            <v>213</v>
          </cell>
          <cell r="B224" t="str">
            <v>Rochford</v>
          </cell>
          <cell r="C224" t="str">
            <v>E1540</v>
          </cell>
        </row>
        <row r="225">
          <cell r="A225">
            <v>214</v>
          </cell>
          <cell r="B225" t="str">
            <v>Rossendale</v>
          </cell>
          <cell r="C225" t="str">
            <v>E2341</v>
          </cell>
        </row>
        <row r="226">
          <cell r="A226">
            <v>215</v>
          </cell>
          <cell r="B226" t="str">
            <v>Rother</v>
          </cell>
          <cell r="C226" t="str">
            <v>E1436</v>
          </cell>
        </row>
        <row r="227">
          <cell r="A227">
            <v>216</v>
          </cell>
          <cell r="B227" t="str">
            <v>Rotherham</v>
          </cell>
          <cell r="C227" t="str">
            <v>E4403</v>
          </cell>
        </row>
        <row r="228">
          <cell r="A228">
            <v>217</v>
          </cell>
          <cell r="B228" t="str">
            <v>Rugby</v>
          </cell>
          <cell r="C228" t="str">
            <v>E3733</v>
          </cell>
        </row>
        <row r="229">
          <cell r="A229">
            <v>218</v>
          </cell>
          <cell r="B229" t="str">
            <v>Runnymede</v>
          </cell>
          <cell r="C229" t="str">
            <v>E3636</v>
          </cell>
        </row>
        <row r="230">
          <cell r="A230">
            <v>219</v>
          </cell>
          <cell r="B230" t="str">
            <v>Rushcliffe</v>
          </cell>
          <cell r="C230" t="str">
            <v>E3038</v>
          </cell>
        </row>
        <row r="231">
          <cell r="A231">
            <v>220</v>
          </cell>
          <cell r="B231" t="str">
            <v>Rushmoor</v>
          </cell>
          <cell r="C231" t="str">
            <v>E1740</v>
          </cell>
        </row>
        <row r="232">
          <cell r="A232">
            <v>221</v>
          </cell>
          <cell r="B232" t="str">
            <v>Rutland</v>
          </cell>
          <cell r="C232" t="str">
            <v>E2402</v>
          </cell>
        </row>
        <row r="233">
          <cell r="A233">
            <v>222</v>
          </cell>
          <cell r="B233" t="str">
            <v>Ryedale</v>
          </cell>
          <cell r="C233" t="str">
            <v>E2755</v>
          </cell>
        </row>
        <row r="234">
          <cell r="A234">
            <v>223</v>
          </cell>
          <cell r="B234" t="str">
            <v>Salford</v>
          </cell>
          <cell r="C234" t="str">
            <v>E4206</v>
          </cell>
        </row>
        <row r="235">
          <cell r="A235">
            <v>224</v>
          </cell>
          <cell r="B235" t="str">
            <v>Sandwell</v>
          </cell>
          <cell r="C235" t="str">
            <v>E4604</v>
          </cell>
        </row>
        <row r="236">
          <cell r="A236">
            <v>225</v>
          </cell>
          <cell r="B236" t="str">
            <v>Scarborough</v>
          </cell>
          <cell r="C236" t="str">
            <v>E2736</v>
          </cell>
        </row>
        <row r="237">
          <cell r="A237">
            <v>226</v>
          </cell>
          <cell r="B237" t="str">
            <v>Sedgemoor</v>
          </cell>
          <cell r="C237" t="str">
            <v>E3332</v>
          </cell>
        </row>
        <row r="238">
          <cell r="A238">
            <v>227</v>
          </cell>
          <cell r="B238" t="str">
            <v>Sefton</v>
          </cell>
          <cell r="C238" t="str">
            <v>E4304</v>
          </cell>
        </row>
        <row r="239">
          <cell r="A239">
            <v>228</v>
          </cell>
          <cell r="B239" t="str">
            <v>Selby</v>
          </cell>
          <cell r="C239" t="str">
            <v>E2757</v>
          </cell>
        </row>
        <row r="240">
          <cell r="A240">
            <v>229</v>
          </cell>
          <cell r="B240" t="str">
            <v>Sevenoaks</v>
          </cell>
          <cell r="C240" t="str">
            <v>E2239</v>
          </cell>
        </row>
        <row r="241">
          <cell r="A241">
            <v>230</v>
          </cell>
          <cell r="B241" t="str">
            <v>Sheffield</v>
          </cell>
          <cell r="C241" t="str">
            <v>E4404</v>
          </cell>
        </row>
        <row r="242">
          <cell r="A242">
            <v>231</v>
          </cell>
          <cell r="B242" t="str">
            <v>Shepway</v>
          </cell>
          <cell r="C242" t="str">
            <v>E2240</v>
          </cell>
        </row>
        <row r="243">
          <cell r="A243">
            <v>232</v>
          </cell>
          <cell r="B243" t="str">
            <v>Shropshire UA</v>
          </cell>
          <cell r="C243" t="str">
            <v>E3202</v>
          </cell>
        </row>
        <row r="244">
          <cell r="A244">
            <v>233</v>
          </cell>
          <cell r="B244" t="str">
            <v>Slough</v>
          </cell>
          <cell r="C244" t="str">
            <v>E0304</v>
          </cell>
        </row>
        <row r="245">
          <cell r="A245">
            <v>234</v>
          </cell>
          <cell r="B245" t="str">
            <v>Solihull</v>
          </cell>
          <cell r="C245" t="str">
            <v>E4605</v>
          </cell>
        </row>
        <row r="246">
          <cell r="A246">
            <v>235</v>
          </cell>
          <cell r="B246" t="str">
            <v>South Bucks</v>
          </cell>
          <cell r="C246" t="str">
            <v>E0434</v>
          </cell>
        </row>
        <row r="247">
          <cell r="A247">
            <v>236</v>
          </cell>
          <cell r="B247" t="str">
            <v>South Cambridgeshire</v>
          </cell>
          <cell r="C247" t="str">
            <v>E0536</v>
          </cell>
        </row>
        <row r="248">
          <cell r="A248">
            <v>237</v>
          </cell>
          <cell r="B248" t="str">
            <v>South Derbyshire</v>
          </cell>
          <cell r="C248" t="str">
            <v>E1039</v>
          </cell>
        </row>
        <row r="249">
          <cell r="A249">
            <v>238</v>
          </cell>
          <cell r="B249" t="str">
            <v>South Gloucestershire</v>
          </cell>
          <cell r="C249" t="str">
            <v>E0103</v>
          </cell>
        </row>
        <row r="250">
          <cell r="A250">
            <v>239</v>
          </cell>
          <cell r="B250" t="str">
            <v>South Hams</v>
          </cell>
          <cell r="C250" t="str">
            <v>E1136</v>
          </cell>
        </row>
        <row r="251">
          <cell r="A251">
            <v>240</v>
          </cell>
          <cell r="B251" t="str">
            <v>South Holland</v>
          </cell>
          <cell r="C251" t="str">
            <v>E2535</v>
          </cell>
        </row>
        <row r="252">
          <cell r="A252">
            <v>241</v>
          </cell>
          <cell r="B252" t="str">
            <v>South Kesteven</v>
          </cell>
          <cell r="C252" t="str">
            <v>E2536</v>
          </cell>
        </row>
        <row r="253">
          <cell r="A253">
            <v>242</v>
          </cell>
          <cell r="B253" t="str">
            <v>South Lakeland</v>
          </cell>
          <cell r="C253" t="str">
            <v>E0936</v>
          </cell>
        </row>
        <row r="254">
          <cell r="A254">
            <v>243</v>
          </cell>
          <cell r="B254" t="str">
            <v>South Norfolk</v>
          </cell>
          <cell r="C254" t="str">
            <v>E2637</v>
          </cell>
        </row>
        <row r="255">
          <cell r="A255">
            <v>244</v>
          </cell>
          <cell r="B255" t="str">
            <v>South Northamptonshire</v>
          </cell>
          <cell r="C255" t="str">
            <v>E2836</v>
          </cell>
        </row>
        <row r="256">
          <cell r="A256">
            <v>245</v>
          </cell>
          <cell r="B256" t="str">
            <v>South Oxfordshire</v>
          </cell>
          <cell r="C256" t="str">
            <v>E3133</v>
          </cell>
        </row>
        <row r="257">
          <cell r="A257">
            <v>246</v>
          </cell>
          <cell r="B257" t="str">
            <v>South Ribble</v>
          </cell>
          <cell r="C257" t="str">
            <v>E2342</v>
          </cell>
        </row>
        <row r="258">
          <cell r="A258">
            <v>247</v>
          </cell>
          <cell r="B258" t="str">
            <v>South Somerset</v>
          </cell>
          <cell r="C258" t="str">
            <v>E3334</v>
          </cell>
        </row>
        <row r="259">
          <cell r="A259">
            <v>248</v>
          </cell>
          <cell r="B259" t="str">
            <v>South Staffordshire</v>
          </cell>
          <cell r="C259" t="str">
            <v>E3435</v>
          </cell>
        </row>
        <row r="260">
          <cell r="A260">
            <v>249</v>
          </cell>
          <cell r="B260" t="str">
            <v>South Tyneside</v>
          </cell>
          <cell r="C260" t="str">
            <v>E4504</v>
          </cell>
        </row>
        <row r="261">
          <cell r="A261">
            <v>250</v>
          </cell>
          <cell r="B261" t="str">
            <v>Southampton</v>
          </cell>
          <cell r="C261" t="str">
            <v>E1702</v>
          </cell>
        </row>
        <row r="262">
          <cell r="A262">
            <v>251</v>
          </cell>
          <cell r="B262" t="str">
            <v>Southend-on-Sea</v>
          </cell>
          <cell r="C262" t="str">
            <v>E1501</v>
          </cell>
        </row>
        <row r="263">
          <cell r="A263">
            <v>252</v>
          </cell>
          <cell r="B263" t="str">
            <v>Southwark</v>
          </cell>
          <cell r="C263" t="str">
            <v>E5019</v>
          </cell>
        </row>
        <row r="264">
          <cell r="A264">
            <v>253</v>
          </cell>
          <cell r="B264" t="str">
            <v>Spelthorne</v>
          </cell>
          <cell r="C264" t="str">
            <v>E3637</v>
          </cell>
        </row>
        <row r="265">
          <cell r="A265">
            <v>254</v>
          </cell>
          <cell r="B265" t="str">
            <v>St Albans</v>
          </cell>
          <cell r="C265" t="str">
            <v>E1936</v>
          </cell>
        </row>
        <row r="266">
          <cell r="A266">
            <v>255</v>
          </cell>
          <cell r="B266" t="str">
            <v>St Edmundsbury</v>
          </cell>
          <cell r="C266" t="str">
            <v>E3535</v>
          </cell>
        </row>
        <row r="267">
          <cell r="A267">
            <v>256</v>
          </cell>
          <cell r="B267" t="str">
            <v>St Helens</v>
          </cell>
          <cell r="C267" t="str">
            <v>E4303</v>
          </cell>
        </row>
        <row r="268">
          <cell r="A268">
            <v>257</v>
          </cell>
          <cell r="B268" t="str">
            <v>Stafford</v>
          </cell>
          <cell r="C268" t="str">
            <v>E3436</v>
          </cell>
        </row>
        <row r="269">
          <cell r="A269">
            <v>258</v>
          </cell>
          <cell r="B269" t="str">
            <v>Staffordshire Moorlands</v>
          </cell>
          <cell r="C269" t="str">
            <v>E3437</v>
          </cell>
        </row>
        <row r="270">
          <cell r="A270">
            <v>259</v>
          </cell>
          <cell r="B270" t="str">
            <v>Stevenage</v>
          </cell>
          <cell r="C270" t="str">
            <v>E1937</v>
          </cell>
        </row>
        <row r="271">
          <cell r="A271">
            <v>260</v>
          </cell>
          <cell r="B271" t="str">
            <v>Stockport</v>
          </cell>
          <cell r="C271" t="str">
            <v>E4207</v>
          </cell>
        </row>
        <row r="272">
          <cell r="A272">
            <v>261</v>
          </cell>
          <cell r="B272" t="str">
            <v>Stockton-on-Tees</v>
          </cell>
          <cell r="C272" t="str">
            <v>E0704</v>
          </cell>
        </row>
        <row r="273">
          <cell r="A273">
            <v>262</v>
          </cell>
          <cell r="B273" t="str">
            <v>Stoke-on-Trent</v>
          </cell>
          <cell r="C273" t="str">
            <v>E3401</v>
          </cell>
        </row>
        <row r="274">
          <cell r="A274">
            <v>263</v>
          </cell>
          <cell r="B274" t="str">
            <v>Stratford-on-Avon</v>
          </cell>
          <cell r="C274" t="str">
            <v>E3734</v>
          </cell>
        </row>
        <row r="275">
          <cell r="A275">
            <v>264</v>
          </cell>
          <cell r="B275" t="str">
            <v>Stroud</v>
          </cell>
          <cell r="C275" t="str">
            <v>E1635</v>
          </cell>
        </row>
        <row r="276">
          <cell r="A276">
            <v>265</v>
          </cell>
          <cell r="B276" t="str">
            <v>Suffolk Coastal</v>
          </cell>
          <cell r="C276" t="str">
            <v>E3536</v>
          </cell>
        </row>
        <row r="277">
          <cell r="A277">
            <v>266</v>
          </cell>
          <cell r="B277" t="str">
            <v>Sunderland</v>
          </cell>
          <cell r="C277" t="str">
            <v>E4505</v>
          </cell>
        </row>
        <row r="278">
          <cell r="A278">
            <v>267</v>
          </cell>
          <cell r="B278" t="str">
            <v>Surrey Heath</v>
          </cell>
          <cell r="C278" t="str">
            <v>E3638</v>
          </cell>
        </row>
        <row r="279">
          <cell r="A279">
            <v>268</v>
          </cell>
          <cell r="B279" t="str">
            <v>Sutton</v>
          </cell>
          <cell r="C279" t="str">
            <v>E5048</v>
          </cell>
        </row>
        <row r="280">
          <cell r="A280">
            <v>269</v>
          </cell>
          <cell r="B280" t="str">
            <v>Swale</v>
          </cell>
          <cell r="C280" t="str">
            <v>E2241</v>
          </cell>
        </row>
        <row r="281">
          <cell r="A281">
            <v>270</v>
          </cell>
          <cell r="B281" t="str">
            <v>Swindon</v>
          </cell>
          <cell r="C281" t="str">
            <v>E3901</v>
          </cell>
        </row>
        <row r="282">
          <cell r="A282">
            <v>271</v>
          </cell>
          <cell r="B282" t="str">
            <v>Tameside</v>
          </cell>
          <cell r="C282" t="str">
            <v>E4208</v>
          </cell>
        </row>
        <row r="283">
          <cell r="A283">
            <v>272</v>
          </cell>
          <cell r="B283" t="str">
            <v>Tamworth</v>
          </cell>
          <cell r="C283" t="str">
            <v>E3439</v>
          </cell>
        </row>
        <row r="284">
          <cell r="A284">
            <v>273</v>
          </cell>
          <cell r="B284" t="str">
            <v>Tandridge</v>
          </cell>
          <cell r="C284" t="str">
            <v>E3639</v>
          </cell>
        </row>
        <row r="285">
          <cell r="A285">
            <v>274</v>
          </cell>
          <cell r="B285" t="str">
            <v>Taunton Deane</v>
          </cell>
          <cell r="C285" t="str">
            <v>E3333</v>
          </cell>
        </row>
        <row r="286">
          <cell r="A286">
            <v>275</v>
          </cell>
          <cell r="B286" t="str">
            <v>Teignbridge</v>
          </cell>
          <cell r="C286" t="str">
            <v>E1137</v>
          </cell>
        </row>
        <row r="287">
          <cell r="A287">
            <v>276</v>
          </cell>
          <cell r="B287" t="str">
            <v>Telford and the Wrekin</v>
          </cell>
          <cell r="C287" t="str">
            <v>E3201</v>
          </cell>
        </row>
        <row r="288">
          <cell r="A288">
            <v>277</v>
          </cell>
          <cell r="B288" t="str">
            <v>Tendring</v>
          </cell>
          <cell r="C288" t="str">
            <v>E1542</v>
          </cell>
        </row>
        <row r="289">
          <cell r="A289">
            <v>278</v>
          </cell>
          <cell r="B289" t="str">
            <v>Test Valley</v>
          </cell>
          <cell r="C289" t="str">
            <v>E1742</v>
          </cell>
        </row>
        <row r="290">
          <cell r="A290">
            <v>279</v>
          </cell>
          <cell r="B290" t="str">
            <v>Tewkesbury</v>
          </cell>
          <cell r="C290" t="str">
            <v>E1636</v>
          </cell>
        </row>
        <row r="291">
          <cell r="A291">
            <v>280</v>
          </cell>
          <cell r="B291" t="str">
            <v>Thanet</v>
          </cell>
          <cell r="C291" t="str">
            <v>E2242</v>
          </cell>
        </row>
        <row r="292">
          <cell r="A292">
            <v>281</v>
          </cell>
          <cell r="B292" t="str">
            <v>Three Rivers</v>
          </cell>
          <cell r="C292" t="str">
            <v>E1938</v>
          </cell>
        </row>
        <row r="293">
          <cell r="A293">
            <v>282</v>
          </cell>
          <cell r="B293" t="str">
            <v>Thurrock</v>
          </cell>
          <cell r="C293" t="str">
            <v>E1502</v>
          </cell>
        </row>
        <row r="294">
          <cell r="A294">
            <v>283</v>
          </cell>
          <cell r="B294" t="str">
            <v>Tonbridge and Malling</v>
          </cell>
          <cell r="C294" t="str">
            <v>E2243</v>
          </cell>
        </row>
        <row r="295">
          <cell r="A295">
            <v>284</v>
          </cell>
          <cell r="B295" t="str">
            <v>Torbay</v>
          </cell>
          <cell r="C295" t="str">
            <v>E1102</v>
          </cell>
        </row>
        <row r="296">
          <cell r="A296">
            <v>285</v>
          </cell>
          <cell r="B296" t="str">
            <v>Torridge</v>
          </cell>
          <cell r="C296" t="str">
            <v>E1139</v>
          </cell>
        </row>
        <row r="297">
          <cell r="A297">
            <v>286</v>
          </cell>
          <cell r="B297" t="str">
            <v>Tower Hamlets</v>
          </cell>
          <cell r="C297" t="str">
            <v>E5020</v>
          </cell>
        </row>
        <row r="298">
          <cell r="A298">
            <v>287</v>
          </cell>
          <cell r="B298" t="str">
            <v>Trafford</v>
          </cell>
          <cell r="C298" t="str">
            <v>E4209</v>
          </cell>
        </row>
        <row r="299">
          <cell r="A299">
            <v>288</v>
          </cell>
          <cell r="B299" t="str">
            <v>Tunbridge Wells</v>
          </cell>
          <cell r="C299" t="str">
            <v>E2244</v>
          </cell>
        </row>
        <row r="300">
          <cell r="A300">
            <v>289</v>
          </cell>
          <cell r="B300" t="str">
            <v>Uttlesford</v>
          </cell>
          <cell r="C300" t="str">
            <v>E1544</v>
          </cell>
        </row>
        <row r="301">
          <cell r="A301">
            <v>290</v>
          </cell>
          <cell r="B301" t="str">
            <v>Vale of White Horse</v>
          </cell>
          <cell r="C301" t="str">
            <v>E3134</v>
          </cell>
        </row>
        <row r="302">
          <cell r="A302">
            <v>291</v>
          </cell>
          <cell r="B302" t="str">
            <v>Wakefield</v>
          </cell>
          <cell r="C302" t="str">
            <v>E4705</v>
          </cell>
        </row>
        <row r="303">
          <cell r="A303">
            <v>292</v>
          </cell>
          <cell r="B303" t="str">
            <v>Walsall</v>
          </cell>
          <cell r="C303" t="str">
            <v>E4606</v>
          </cell>
        </row>
        <row r="304">
          <cell r="A304">
            <v>293</v>
          </cell>
          <cell r="B304" t="str">
            <v>Waltham Forest</v>
          </cell>
          <cell r="C304" t="str">
            <v>E5049</v>
          </cell>
        </row>
        <row r="305">
          <cell r="A305">
            <v>294</v>
          </cell>
          <cell r="B305" t="str">
            <v>Wandsworth</v>
          </cell>
          <cell r="C305" t="str">
            <v>E5021</v>
          </cell>
        </row>
        <row r="306">
          <cell r="A306">
            <v>295</v>
          </cell>
          <cell r="B306" t="str">
            <v>Warrington</v>
          </cell>
          <cell r="C306" t="str">
            <v>E0602</v>
          </cell>
        </row>
        <row r="307">
          <cell r="A307">
            <v>296</v>
          </cell>
          <cell r="B307" t="str">
            <v>Warwick</v>
          </cell>
          <cell r="C307" t="str">
            <v>E3735</v>
          </cell>
        </row>
        <row r="308">
          <cell r="A308">
            <v>297</v>
          </cell>
          <cell r="B308" t="str">
            <v>Watford</v>
          </cell>
          <cell r="C308" t="str">
            <v>E1939</v>
          </cell>
        </row>
        <row r="309">
          <cell r="A309">
            <v>298</v>
          </cell>
          <cell r="B309" t="str">
            <v>Waveney</v>
          </cell>
          <cell r="C309" t="str">
            <v>E3537</v>
          </cell>
        </row>
        <row r="310">
          <cell r="A310">
            <v>299</v>
          </cell>
          <cell r="B310" t="str">
            <v>Waverley</v>
          </cell>
          <cell r="C310" t="str">
            <v>E3640</v>
          </cell>
        </row>
        <row r="311">
          <cell r="A311">
            <v>300</v>
          </cell>
          <cell r="B311" t="str">
            <v>Wealden</v>
          </cell>
          <cell r="C311" t="str">
            <v>E1437</v>
          </cell>
        </row>
        <row r="312">
          <cell r="A312">
            <v>301</v>
          </cell>
          <cell r="B312" t="str">
            <v>Wellingborough</v>
          </cell>
          <cell r="C312" t="str">
            <v>E2837</v>
          </cell>
        </row>
        <row r="313">
          <cell r="A313">
            <v>302</v>
          </cell>
          <cell r="B313" t="str">
            <v>Welwyn Hatfield</v>
          </cell>
          <cell r="C313" t="str">
            <v>E1940</v>
          </cell>
        </row>
        <row r="314">
          <cell r="A314">
            <v>303</v>
          </cell>
          <cell r="B314" t="str">
            <v>West Berkshire</v>
          </cell>
          <cell r="C314" t="str">
            <v>E0302</v>
          </cell>
        </row>
        <row r="315">
          <cell r="A315">
            <v>304</v>
          </cell>
          <cell r="B315" t="str">
            <v>West Devon</v>
          </cell>
          <cell r="C315" t="str">
            <v>E1140</v>
          </cell>
        </row>
        <row r="316">
          <cell r="A316">
            <v>305</v>
          </cell>
          <cell r="B316" t="str">
            <v>West Dorset</v>
          </cell>
          <cell r="C316" t="str">
            <v>E1237</v>
          </cell>
        </row>
        <row r="317">
          <cell r="A317">
            <v>306</v>
          </cell>
          <cell r="B317" t="str">
            <v>West Lancashire</v>
          </cell>
          <cell r="C317" t="str">
            <v>E2343</v>
          </cell>
        </row>
        <row r="318">
          <cell r="A318">
            <v>307</v>
          </cell>
          <cell r="B318" t="str">
            <v>West Lindsey</v>
          </cell>
          <cell r="C318" t="str">
            <v>E2537</v>
          </cell>
        </row>
        <row r="319">
          <cell r="A319">
            <v>308</v>
          </cell>
          <cell r="B319" t="str">
            <v>West Oxfordshire</v>
          </cell>
          <cell r="C319" t="str">
            <v>E3135</v>
          </cell>
        </row>
        <row r="320">
          <cell r="A320">
            <v>309</v>
          </cell>
          <cell r="B320" t="str">
            <v>West Somerset</v>
          </cell>
          <cell r="C320" t="str">
            <v>E3335</v>
          </cell>
        </row>
        <row r="321">
          <cell r="A321">
            <v>310</v>
          </cell>
          <cell r="B321" t="str">
            <v>Westminster</v>
          </cell>
          <cell r="C321" t="str">
            <v>E5022</v>
          </cell>
        </row>
        <row r="322">
          <cell r="A322">
            <v>311</v>
          </cell>
          <cell r="B322" t="str">
            <v>Weymouth and Portland</v>
          </cell>
          <cell r="C322" t="str">
            <v>E1238</v>
          </cell>
        </row>
        <row r="323">
          <cell r="A323">
            <v>312</v>
          </cell>
          <cell r="B323" t="str">
            <v>Wigan</v>
          </cell>
          <cell r="C323" t="str">
            <v>E4210</v>
          </cell>
        </row>
        <row r="324">
          <cell r="A324">
            <v>313</v>
          </cell>
          <cell r="B324" t="str">
            <v>Wiltshire UA</v>
          </cell>
          <cell r="C324" t="str">
            <v>E3902</v>
          </cell>
        </row>
        <row r="325">
          <cell r="A325">
            <v>314</v>
          </cell>
          <cell r="B325" t="str">
            <v>Winchester</v>
          </cell>
          <cell r="C325" t="str">
            <v>E1743</v>
          </cell>
        </row>
        <row r="326">
          <cell r="A326">
            <v>315</v>
          </cell>
          <cell r="B326" t="str">
            <v>Windsor and Maidenhead</v>
          </cell>
          <cell r="C326" t="str">
            <v>E0305</v>
          </cell>
        </row>
        <row r="327">
          <cell r="A327">
            <v>316</v>
          </cell>
          <cell r="B327" t="str">
            <v>Wirral</v>
          </cell>
          <cell r="C327" t="str">
            <v>E4305</v>
          </cell>
        </row>
        <row r="328">
          <cell r="A328">
            <v>317</v>
          </cell>
          <cell r="B328" t="str">
            <v>Woking</v>
          </cell>
          <cell r="C328" t="str">
            <v>E3641</v>
          </cell>
        </row>
        <row r="329">
          <cell r="A329">
            <v>318</v>
          </cell>
          <cell r="B329" t="str">
            <v>Wokingham</v>
          </cell>
          <cell r="C329" t="str">
            <v>E0306</v>
          </cell>
        </row>
        <row r="330">
          <cell r="A330">
            <v>319</v>
          </cell>
          <cell r="B330" t="str">
            <v>Wolverhampton</v>
          </cell>
          <cell r="C330" t="str">
            <v>E4607</v>
          </cell>
        </row>
        <row r="331">
          <cell r="A331">
            <v>320</v>
          </cell>
          <cell r="B331" t="str">
            <v>Worcester</v>
          </cell>
          <cell r="C331" t="str">
            <v>E1837</v>
          </cell>
        </row>
        <row r="332">
          <cell r="A332">
            <v>321</v>
          </cell>
          <cell r="B332" t="str">
            <v>Worthing</v>
          </cell>
          <cell r="C332" t="str">
            <v>E3837</v>
          </cell>
        </row>
        <row r="333">
          <cell r="A333">
            <v>322</v>
          </cell>
          <cell r="B333" t="str">
            <v>Wychavon</v>
          </cell>
          <cell r="C333" t="str">
            <v>E1838</v>
          </cell>
        </row>
        <row r="334">
          <cell r="A334">
            <v>323</v>
          </cell>
          <cell r="B334" t="str">
            <v>Wycombe</v>
          </cell>
          <cell r="C334" t="str">
            <v>E0435</v>
          </cell>
        </row>
        <row r="335">
          <cell r="A335">
            <v>324</v>
          </cell>
          <cell r="B335" t="str">
            <v>Wyre</v>
          </cell>
          <cell r="C335" t="str">
            <v>E2344</v>
          </cell>
        </row>
        <row r="336">
          <cell r="A336">
            <v>325</v>
          </cell>
          <cell r="B336" t="str">
            <v>Wyre Forest</v>
          </cell>
          <cell r="C336" t="str">
            <v>E1839</v>
          </cell>
        </row>
        <row r="337">
          <cell r="A337">
            <v>326</v>
          </cell>
          <cell r="B337" t="str">
            <v>York</v>
          </cell>
          <cell r="C337" t="str">
            <v>E2701</v>
          </cell>
        </row>
        <row r="338">
          <cell r="A338">
            <v>327</v>
          </cell>
          <cell r="B338" t="str">
            <v>ZZZZ</v>
          </cell>
          <cell r="C338" t="str">
            <v>EZZZZ</v>
          </cell>
        </row>
      </sheetData>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X48"/>
  <sheetViews>
    <sheetView showGridLines="0" tabSelected="1" zoomScaleNormal="100" zoomScaleSheetLayoutView="100" workbookViewId="0"/>
  </sheetViews>
  <sheetFormatPr defaultColWidth="9.140625" defaultRowHeight="15" x14ac:dyDescent="0.2"/>
  <cols>
    <col min="1" max="2" width="1.7109375" style="5" customWidth="1"/>
    <col min="3" max="3" width="13.28515625" style="5" bestFit="1" customWidth="1"/>
    <col min="4" max="8" width="9.140625" style="5"/>
    <col min="9" max="9" width="13" style="5" bestFit="1" customWidth="1"/>
    <col min="10" max="10" width="3.7109375" style="5" customWidth="1"/>
    <col min="11" max="12" width="11.7109375" style="5" customWidth="1"/>
    <col min="13" max="13" width="3.7109375" style="5" customWidth="1"/>
    <col min="14" max="15" width="9.140625" style="5"/>
    <col min="16" max="16" width="3.7109375" style="5" customWidth="1"/>
    <col min="17" max="17" width="9.140625" style="5"/>
    <col min="18" max="18" width="3.7109375" style="5" customWidth="1"/>
    <col min="19" max="20" width="9.140625" style="5"/>
    <col min="21" max="21" width="1.5703125" style="5" customWidth="1"/>
    <col min="22" max="22" width="1.7109375" style="5" customWidth="1"/>
    <col min="23" max="23" width="16.28515625" style="5" bestFit="1" customWidth="1"/>
    <col min="24" max="16384" width="9.140625" style="5"/>
  </cols>
  <sheetData>
    <row r="1" spans="1:23" ht="18.75" customHeight="1" x14ac:dyDescent="0.2">
      <c r="A1" s="12"/>
      <c r="B1" s="13"/>
      <c r="C1" s="13"/>
      <c r="D1" s="13"/>
      <c r="E1" s="13"/>
      <c r="F1" s="46">
        <v>35</v>
      </c>
      <c r="G1" s="13"/>
      <c r="H1" s="13"/>
      <c r="I1" s="13"/>
      <c r="J1" s="13"/>
      <c r="K1" s="13"/>
      <c r="L1" s="13"/>
      <c r="M1" s="13"/>
      <c r="N1" s="13"/>
      <c r="O1" s="13"/>
      <c r="P1" s="13"/>
      <c r="Q1" s="13"/>
      <c r="R1" s="13"/>
      <c r="S1" s="13"/>
      <c r="T1" s="13"/>
      <c r="U1" s="13"/>
      <c r="V1" s="14"/>
    </row>
    <row r="2" spans="1:23" ht="18.75" customHeight="1" x14ac:dyDescent="0.2">
      <c r="A2" s="31"/>
      <c r="B2" s="29"/>
      <c r="C2" s="29"/>
      <c r="D2" s="29"/>
      <c r="E2" s="29"/>
      <c r="F2" s="79"/>
      <c r="G2" s="29"/>
      <c r="H2" s="29"/>
      <c r="I2" s="29"/>
      <c r="J2" s="29"/>
      <c r="K2" s="29"/>
      <c r="L2" s="29"/>
      <c r="M2" s="29"/>
      <c r="N2" s="29"/>
      <c r="O2" s="29"/>
      <c r="P2" s="29"/>
      <c r="Q2" s="29"/>
      <c r="R2" s="29"/>
      <c r="S2" s="29"/>
      <c r="T2" s="29"/>
      <c r="U2" s="29"/>
      <c r="V2" s="30"/>
    </row>
    <row r="3" spans="1:23" ht="18.75" customHeight="1" x14ac:dyDescent="0.3">
      <c r="A3" s="647" t="s">
        <v>826</v>
      </c>
      <c r="B3" s="648"/>
      <c r="C3" s="648"/>
      <c r="D3" s="648"/>
      <c r="E3" s="648"/>
      <c r="F3" s="648"/>
      <c r="G3" s="648"/>
      <c r="H3" s="648"/>
      <c r="I3" s="648"/>
      <c r="J3" s="648"/>
      <c r="K3" s="648"/>
      <c r="L3" s="648"/>
      <c r="M3" s="648"/>
      <c r="N3" s="648"/>
      <c r="O3" s="648"/>
      <c r="P3" s="648"/>
      <c r="Q3" s="648"/>
      <c r="R3" s="648"/>
      <c r="S3" s="648"/>
      <c r="T3" s="648"/>
      <c r="U3" s="648"/>
      <c r="V3" s="649"/>
    </row>
    <row r="4" spans="1:23" ht="18.75" customHeight="1" x14ac:dyDescent="0.3">
      <c r="A4" s="647" t="s">
        <v>927</v>
      </c>
      <c r="B4" s="648"/>
      <c r="C4" s="648"/>
      <c r="D4" s="648"/>
      <c r="E4" s="648"/>
      <c r="F4" s="648"/>
      <c r="G4" s="648"/>
      <c r="H4" s="648"/>
      <c r="I4" s="648"/>
      <c r="J4" s="648"/>
      <c r="K4" s="648"/>
      <c r="L4" s="648"/>
      <c r="M4" s="648"/>
      <c r="N4" s="648"/>
      <c r="O4" s="648"/>
      <c r="P4" s="648"/>
      <c r="Q4" s="648"/>
      <c r="R4" s="648"/>
      <c r="S4" s="648"/>
      <c r="T4" s="648"/>
      <c r="U4" s="648"/>
      <c r="V4" s="649"/>
    </row>
    <row r="5" spans="1:23" ht="18.75" customHeight="1" x14ac:dyDescent="0.2">
      <c r="A5" s="651"/>
      <c r="B5" s="652"/>
      <c r="C5" s="652"/>
      <c r="D5" s="652"/>
      <c r="E5" s="652"/>
      <c r="F5" s="652"/>
      <c r="G5" s="652"/>
      <c r="H5" s="652"/>
      <c r="I5" s="652"/>
      <c r="J5" s="652"/>
      <c r="K5" s="652"/>
      <c r="L5" s="652"/>
      <c r="M5" s="652"/>
      <c r="N5" s="652"/>
      <c r="O5" s="652"/>
      <c r="P5" s="652"/>
      <c r="Q5" s="652"/>
      <c r="R5" s="652"/>
      <c r="S5" s="652"/>
      <c r="T5" s="652"/>
      <c r="U5" s="652"/>
      <c r="V5" s="653"/>
    </row>
    <row r="6" spans="1:23" ht="18.75" customHeight="1" thickBot="1" x14ac:dyDescent="0.25">
      <c r="A6" s="656"/>
      <c r="B6" s="657"/>
      <c r="C6" s="657"/>
      <c r="D6" s="657"/>
      <c r="E6" s="657"/>
      <c r="F6" s="657"/>
      <c r="G6" s="657"/>
      <c r="H6" s="657"/>
      <c r="I6" s="657"/>
      <c r="J6" s="657"/>
      <c r="K6" s="657"/>
      <c r="L6" s="657"/>
      <c r="M6" s="657"/>
      <c r="N6" s="657"/>
      <c r="O6" s="657"/>
      <c r="P6" s="657"/>
      <c r="Q6" s="657"/>
      <c r="R6" s="657"/>
      <c r="S6" s="657"/>
      <c r="T6" s="657"/>
      <c r="U6" s="657"/>
      <c r="V6" s="658"/>
    </row>
    <row r="7" spans="1:23" x14ac:dyDescent="0.2">
      <c r="A7" s="12"/>
      <c r="B7" s="13"/>
      <c r="C7" s="13"/>
      <c r="D7" s="13"/>
      <c r="E7" s="13"/>
      <c r="F7" s="13"/>
      <c r="G7" s="13"/>
      <c r="H7" s="13"/>
      <c r="I7" s="13"/>
      <c r="J7" s="13"/>
      <c r="K7" s="13"/>
      <c r="L7" s="13"/>
      <c r="M7" s="13"/>
      <c r="N7" s="13"/>
      <c r="O7" s="13"/>
      <c r="P7" s="13"/>
      <c r="Q7" s="13"/>
      <c r="R7" s="13"/>
      <c r="S7" s="13"/>
      <c r="T7" s="13"/>
      <c r="U7" s="13"/>
      <c r="V7" s="14"/>
      <c r="W7" s="45"/>
    </row>
    <row r="8" spans="1:23" x14ac:dyDescent="0.2">
      <c r="A8" s="31"/>
      <c r="B8" s="29"/>
      <c r="C8" s="29"/>
      <c r="D8" s="29"/>
      <c r="E8" s="655" t="s">
        <v>534</v>
      </c>
      <c r="F8" s="655"/>
      <c r="G8" s="655"/>
      <c r="H8" s="655"/>
      <c r="I8" s="655"/>
      <c r="J8" s="655"/>
      <c r="K8" s="29"/>
      <c r="L8" s="25"/>
      <c r="M8" s="25"/>
      <c r="N8" s="25"/>
      <c r="O8" s="26"/>
      <c r="P8" s="29"/>
      <c r="Q8" s="29"/>
      <c r="R8" s="29"/>
      <c r="S8" s="29"/>
      <c r="T8" s="29"/>
      <c r="U8" s="29"/>
      <c r="V8" s="30"/>
      <c r="W8" s="45"/>
    </row>
    <row r="9" spans="1:23" x14ac:dyDescent="0.2">
      <c r="A9" s="31"/>
      <c r="B9" s="29"/>
      <c r="C9" s="29"/>
      <c r="D9" s="29"/>
      <c r="E9" s="29"/>
      <c r="F9" s="26"/>
      <c r="G9" s="26"/>
      <c r="H9" s="26"/>
      <c r="I9" s="26"/>
      <c r="J9" s="26"/>
      <c r="K9" s="26"/>
      <c r="L9" s="25"/>
      <c r="M9" s="25"/>
      <c r="N9" s="25"/>
      <c r="O9" s="26"/>
      <c r="P9" s="29"/>
      <c r="Q9" s="29"/>
      <c r="R9" s="29"/>
      <c r="S9" s="29"/>
      <c r="T9" s="29"/>
      <c r="U9" s="29"/>
      <c r="V9" s="30"/>
      <c r="W9" s="45"/>
    </row>
    <row r="10" spans="1:23" x14ac:dyDescent="0.2">
      <c r="A10" s="31"/>
      <c r="B10" s="29"/>
      <c r="C10" s="29"/>
      <c r="D10" s="29"/>
      <c r="E10" s="29"/>
      <c r="F10" s="27"/>
      <c r="G10" s="27"/>
      <c r="H10" s="27"/>
      <c r="I10" s="27"/>
      <c r="J10" s="27"/>
      <c r="K10" s="27"/>
      <c r="L10" s="28"/>
      <c r="M10" s="28"/>
      <c r="N10" s="28"/>
      <c r="O10" s="27"/>
      <c r="P10" s="29"/>
      <c r="Q10" s="29"/>
      <c r="R10" s="29"/>
      <c r="S10" s="29"/>
      <c r="T10" s="29"/>
      <c r="U10" s="29"/>
      <c r="V10" s="30"/>
      <c r="W10" s="77"/>
    </row>
    <row r="11" spans="1:23" ht="15.75" thickBot="1" x14ac:dyDescent="0.25">
      <c r="A11" s="32"/>
      <c r="B11" s="33"/>
      <c r="C11" s="33"/>
      <c r="D11" s="33"/>
      <c r="E11" s="33"/>
      <c r="F11" s="33"/>
      <c r="G11" s="33"/>
      <c r="H11" s="33"/>
      <c r="I11" s="33"/>
      <c r="J11" s="33"/>
      <c r="K11" s="33"/>
      <c r="L11" s="33"/>
      <c r="M11" s="33"/>
      <c r="N11" s="33"/>
      <c r="O11" s="33"/>
      <c r="P11" s="33"/>
      <c r="Q11" s="33"/>
      <c r="R11" s="33"/>
      <c r="S11" s="44"/>
      <c r="T11" s="78"/>
      <c r="U11" s="33"/>
      <c r="V11" s="34"/>
      <c r="W11" s="77"/>
    </row>
    <row r="12" spans="1:23" x14ac:dyDescent="0.2">
      <c r="A12" s="7"/>
      <c r="B12" s="6"/>
      <c r="C12" s="6"/>
      <c r="D12" s="6"/>
      <c r="E12" s="6"/>
      <c r="F12" s="6"/>
      <c r="G12" s="6"/>
      <c r="H12" s="6"/>
      <c r="I12" s="6"/>
      <c r="J12" s="6"/>
      <c r="K12" s="6"/>
      <c r="L12" s="6"/>
      <c r="M12" s="6"/>
      <c r="N12" s="6"/>
      <c r="O12" s="6"/>
      <c r="P12" s="6"/>
      <c r="Q12" s="6"/>
      <c r="R12" s="6"/>
      <c r="S12" s="6"/>
      <c r="T12" s="6"/>
      <c r="U12" s="6"/>
      <c r="V12" s="8"/>
      <c r="W12" s="77"/>
    </row>
    <row r="13" spans="1:23" ht="15.75" x14ac:dyDescent="0.2">
      <c r="A13" s="7"/>
      <c r="B13" s="6"/>
      <c r="C13" s="650" t="s">
        <v>824</v>
      </c>
      <c r="D13" s="650"/>
      <c r="E13" s="650"/>
      <c r="F13" s="650"/>
      <c r="G13" s="650"/>
      <c r="H13" s="47"/>
      <c r="I13" s="47"/>
      <c r="J13" s="6"/>
      <c r="K13" s="6"/>
      <c r="L13" s="6"/>
      <c r="M13" s="6"/>
      <c r="N13" s="6"/>
      <c r="O13" s="6"/>
      <c r="P13" s="6"/>
      <c r="Q13" s="6"/>
      <c r="R13" s="6"/>
      <c r="S13" s="6"/>
      <c r="T13" s="6"/>
      <c r="U13" s="6"/>
      <c r="V13" s="8"/>
      <c r="W13" s="77"/>
    </row>
    <row r="14" spans="1:23" ht="15.75" x14ac:dyDescent="0.25">
      <c r="A14" s="7"/>
      <c r="B14" s="6"/>
      <c r="C14" s="166"/>
      <c r="D14" s="166"/>
      <c r="E14" s="166"/>
      <c r="F14" s="166"/>
      <c r="G14" s="166"/>
      <c r="H14" s="47"/>
      <c r="I14" s="47"/>
      <c r="J14" s="6"/>
      <c r="K14" s="646" t="s">
        <v>538</v>
      </c>
      <c r="L14" s="646"/>
      <c r="M14" s="6"/>
      <c r="N14" s="6"/>
      <c r="O14" s="6"/>
      <c r="P14" s="6"/>
      <c r="Q14" s="6"/>
      <c r="R14" s="6"/>
      <c r="S14" s="6"/>
      <c r="T14" s="6"/>
      <c r="U14" s="6"/>
      <c r="V14" s="8"/>
      <c r="W14" s="45"/>
    </row>
    <row r="15" spans="1:23" ht="16.149999999999999" customHeight="1" thickBot="1" x14ac:dyDescent="0.25">
      <c r="A15" s="7"/>
      <c r="B15" s="6"/>
      <c r="C15" s="169" t="s">
        <v>825</v>
      </c>
      <c r="D15" s="47"/>
      <c r="E15" s="47"/>
      <c r="F15" s="47"/>
      <c r="G15" s="47"/>
      <c r="H15" s="47"/>
      <c r="I15" s="47"/>
      <c r="J15" s="6"/>
      <c r="K15" s="111"/>
      <c r="L15" s="111"/>
      <c r="M15" s="40"/>
      <c r="N15" s="40"/>
      <c r="O15" s="42"/>
      <c r="P15" s="41"/>
      <c r="Q15" s="40"/>
      <c r="R15" s="40"/>
      <c r="S15" s="40"/>
      <c r="T15" s="40"/>
      <c r="U15" s="6"/>
      <c r="V15" s="8"/>
      <c r="W15" s="45"/>
    </row>
    <row r="16" spans="1:23" ht="15.6" customHeight="1" thickBot="1" x14ac:dyDescent="0.25">
      <c r="A16" s="7"/>
      <c r="B16" s="6"/>
      <c r="C16" s="638" t="s">
        <v>887</v>
      </c>
      <c r="D16" s="654"/>
      <c r="E16" s="654"/>
      <c r="F16" s="654"/>
      <c r="G16" s="654"/>
      <c r="H16" s="654"/>
      <c r="I16" s="654"/>
      <c r="J16" s="40"/>
      <c r="K16" s="641">
        <f>VLOOKUP($F$1,Part1,6,FALSE)</f>
        <v>204637583</v>
      </c>
      <c r="L16" s="642"/>
      <c r="M16" s="40"/>
      <c r="N16" s="40"/>
      <c r="O16" s="42"/>
      <c r="P16" s="41"/>
      <c r="Q16" s="40"/>
      <c r="R16" s="40"/>
      <c r="S16" s="40"/>
      <c r="T16" s="40"/>
      <c r="U16" s="6"/>
      <c r="V16" s="8"/>
    </row>
    <row r="17" spans="1:22" x14ac:dyDescent="0.2">
      <c r="A17" s="7"/>
      <c r="B17" s="6"/>
      <c r="C17" s="638"/>
      <c r="D17" s="654"/>
      <c r="E17" s="654"/>
      <c r="F17" s="654"/>
      <c r="G17" s="654"/>
      <c r="H17" s="654"/>
      <c r="I17" s="654"/>
      <c r="J17" s="6"/>
      <c r="K17" s="40"/>
      <c r="L17" s="40"/>
      <c r="M17" s="40"/>
      <c r="N17" s="40"/>
      <c r="O17" s="42"/>
      <c r="P17" s="41"/>
      <c r="Q17" s="40"/>
      <c r="R17" s="40"/>
      <c r="S17" s="40"/>
      <c r="T17" s="40"/>
      <c r="U17" s="6"/>
      <c r="V17" s="8"/>
    </row>
    <row r="18" spans="1:22" x14ac:dyDescent="0.2">
      <c r="A18" s="7"/>
      <c r="B18" s="6"/>
      <c r="C18" s="654"/>
      <c r="D18" s="654"/>
      <c r="E18" s="654"/>
      <c r="F18" s="654"/>
      <c r="G18" s="654"/>
      <c r="H18" s="654"/>
      <c r="I18" s="654"/>
      <c r="J18" s="6"/>
      <c r="K18" s="40"/>
      <c r="L18" s="40"/>
      <c r="M18" s="40"/>
      <c r="N18" s="40"/>
      <c r="O18" s="42"/>
      <c r="P18" s="41"/>
      <c r="Q18" s="40"/>
      <c r="R18" s="40"/>
      <c r="S18" s="40"/>
      <c r="T18" s="40"/>
      <c r="U18" s="6"/>
      <c r="V18" s="8"/>
    </row>
    <row r="19" spans="1:22" x14ac:dyDescent="0.2">
      <c r="A19" s="7"/>
      <c r="B19" s="6"/>
      <c r="C19" s="47"/>
      <c r="D19" s="47"/>
      <c r="E19" s="47"/>
      <c r="F19" s="47"/>
      <c r="G19" s="47"/>
      <c r="H19" s="47"/>
      <c r="I19" s="47"/>
      <c r="J19" s="10"/>
      <c r="K19" s="40"/>
      <c r="L19" s="40"/>
      <c r="M19" s="40"/>
      <c r="N19" s="40"/>
      <c r="O19" s="42"/>
      <c r="P19" s="41"/>
      <c r="Q19" s="40"/>
      <c r="R19" s="40"/>
      <c r="S19" s="40"/>
      <c r="T19" s="40"/>
      <c r="U19" s="6"/>
      <c r="V19" s="8"/>
    </row>
    <row r="20" spans="1:22" ht="16.5" thickBot="1" x14ac:dyDescent="0.25">
      <c r="A20" s="7"/>
      <c r="B20" s="6"/>
      <c r="C20" s="659" t="s">
        <v>683</v>
      </c>
      <c r="D20" s="659"/>
      <c r="E20" s="659"/>
      <c r="F20" s="659"/>
      <c r="G20" s="659"/>
      <c r="H20" s="659"/>
      <c r="I20" s="659"/>
      <c r="J20" s="6"/>
      <c r="K20" s="40"/>
      <c r="L20" s="40"/>
      <c r="M20" s="40"/>
      <c r="N20" s="40"/>
      <c r="O20" s="42"/>
      <c r="P20" s="41"/>
      <c r="Q20" s="40"/>
      <c r="R20" s="40"/>
      <c r="S20" s="40"/>
      <c r="T20" s="40"/>
      <c r="U20" s="6"/>
      <c r="V20" s="8"/>
    </row>
    <row r="21" spans="1:22" ht="16.5" thickBot="1" x14ac:dyDescent="0.25">
      <c r="A21" s="7"/>
      <c r="B21" s="6"/>
      <c r="C21" s="47" t="s">
        <v>888</v>
      </c>
      <c r="D21" s="47"/>
      <c r="E21" s="47"/>
      <c r="F21" s="47"/>
      <c r="G21" s="47"/>
      <c r="H21" s="47"/>
      <c r="I21" s="47"/>
      <c r="J21" s="6"/>
      <c r="K21" s="641">
        <f>VLOOKUP($F$1,Part1,7,FALSE)</f>
        <v>0</v>
      </c>
      <c r="L21" s="642"/>
      <c r="M21" s="40"/>
      <c r="N21" s="40"/>
      <c r="O21" s="42"/>
      <c r="P21" s="41"/>
      <c r="Q21" s="40"/>
      <c r="R21" s="40"/>
      <c r="S21" s="40"/>
      <c r="T21" s="40"/>
      <c r="U21" s="6"/>
      <c r="V21" s="8"/>
    </row>
    <row r="22" spans="1:22" ht="15.75" thickBot="1" x14ac:dyDescent="0.25">
      <c r="A22" s="7"/>
      <c r="B22" s="6"/>
      <c r="C22" s="47"/>
      <c r="D22" s="47"/>
      <c r="E22" s="47"/>
      <c r="F22" s="47"/>
      <c r="G22" s="47"/>
      <c r="H22" s="47"/>
      <c r="I22" s="47"/>
      <c r="J22" s="6"/>
      <c r="K22" s="40"/>
      <c r="L22" s="40"/>
      <c r="M22" s="40"/>
      <c r="N22" s="40"/>
      <c r="O22" s="42"/>
      <c r="P22" s="41"/>
      <c r="Q22" s="40"/>
      <c r="R22" s="40"/>
      <c r="S22" s="40"/>
      <c r="T22" s="40"/>
      <c r="U22" s="6"/>
      <c r="V22" s="8"/>
    </row>
    <row r="23" spans="1:22" ht="16.5" thickBot="1" x14ac:dyDescent="0.25">
      <c r="A23" s="7"/>
      <c r="B23" s="6"/>
      <c r="C23" s="47" t="s">
        <v>889</v>
      </c>
      <c r="D23" s="47"/>
      <c r="E23" s="47"/>
      <c r="F23" s="47"/>
      <c r="G23" s="47"/>
      <c r="H23" s="47"/>
      <c r="I23" s="47"/>
      <c r="J23" s="6"/>
      <c r="K23" s="641">
        <f>VLOOKUP($F$1,Part1,8,FALSE)</f>
        <v>31922</v>
      </c>
      <c r="L23" s="642"/>
      <c r="M23" s="40"/>
      <c r="N23" s="40"/>
      <c r="O23" s="42"/>
      <c r="P23" s="41"/>
      <c r="Q23" s="40"/>
      <c r="R23" s="40"/>
      <c r="S23" s="40"/>
      <c r="T23" s="40"/>
      <c r="U23" s="6"/>
      <c r="V23" s="8"/>
    </row>
    <row r="24" spans="1:22" x14ac:dyDescent="0.2">
      <c r="A24" s="7"/>
      <c r="B24" s="6"/>
      <c r="C24" s="47"/>
      <c r="D24" s="47"/>
      <c r="E24" s="47"/>
      <c r="F24" s="47"/>
      <c r="G24" s="47"/>
      <c r="H24" s="47"/>
      <c r="I24" s="47"/>
      <c r="J24" s="6"/>
      <c r="K24" s="40"/>
      <c r="L24" s="40"/>
      <c r="M24" s="40"/>
      <c r="N24" s="40"/>
      <c r="O24" s="42"/>
      <c r="P24" s="41"/>
      <c r="Q24" s="40"/>
      <c r="R24" s="40"/>
      <c r="S24" s="40"/>
      <c r="T24" s="40"/>
      <c r="U24" s="6"/>
      <c r="V24" s="8"/>
    </row>
    <row r="25" spans="1:22" ht="16.5" thickBot="1" x14ac:dyDescent="0.25">
      <c r="A25" s="7"/>
      <c r="B25" s="6"/>
      <c r="C25" s="169" t="s">
        <v>1166</v>
      </c>
      <c r="D25" s="169"/>
      <c r="E25" s="169"/>
      <c r="F25" s="169"/>
      <c r="G25" s="47"/>
      <c r="H25" s="47"/>
      <c r="I25" s="47"/>
      <c r="J25" s="6"/>
      <c r="K25" s="40"/>
      <c r="L25" s="40"/>
      <c r="M25" s="40"/>
      <c r="N25" s="40"/>
      <c r="O25" s="42"/>
      <c r="P25" s="41"/>
      <c r="Q25" s="40"/>
      <c r="R25" s="40"/>
      <c r="S25" s="40"/>
      <c r="T25" s="40"/>
      <c r="U25" s="6"/>
      <c r="V25" s="8"/>
    </row>
    <row r="26" spans="1:22" ht="16.5" thickBot="1" x14ac:dyDescent="0.25">
      <c r="A26" s="7"/>
      <c r="B26" s="6"/>
      <c r="C26" s="47" t="s">
        <v>549</v>
      </c>
      <c r="D26" s="47"/>
      <c r="E26" s="47"/>
      <c r="F26" s="47"/>
      <c r="G26" s="47"/>
      <c r="H26" s="47"/>
      <c r="I26" s="47"/>
      <c r="J26" s="6"/>
      <c r="K26" s="641">
        <f>VLOOKUP($F$1,Part1,9,FALSE)</f>
        <v>722649</v>
      </c>
      <c r="L26" s="642"/>
      <c r="M26" s="40"/>
      <c r="N26" s="40"/>
      <c r="O26" s="48"/>
      <c r="P26" s="41"/>
      <c r="Q26" s="40"/>
      <c r="R26" s="40"/>
      <c r="S26" s="40"/>
      <c r="T26" s="40"/>
      <c r="U26" s="6"/>
      <c r="V26" s="8"/>
    </row>
    <row r="27" spans="1:22" ht="16.5" thickBot="1" x14ac:dyDescent="0.25">
      <c r="A27" s="7"/>
      <c r="B27" s="6"/>
      <c r="C27" s="47"/>
      <c r="D27" s="47"/>
      <c r="E27" s="47"/>
      <c r="F27" s="47"/>
      <c r="G27" s="47"/>
      <c r="H27" s="47"/>
      <c r="I27" s="47"/>
      <c r="J27" s="6"/>
      <c r="K27" s="430"/>
      <c r="L27" s="40"/>
      <c r="M27" s="40"/>
      <c r="N27" s="40"/>
      <c r="O27" s="42"/>
      <c r="P27" s="41"/>
      <c r="Q27" s="40"/>
      <c r="R27" s="40"/>
      <c r="S27" s="40"/>
      <c r="T27" s="40"/>
      <c r="U27" s="6"/>
      <c r="V27" s="8"/>
    </row>
    <row r="28" spans="1:22" ht="16.5" thickBot="1" x14ac:dyDescent="0.25">
      <c r="A28" s="7"/>
      <c r="B28" s="6"/>
      <c r="C28" s="47" t="s">
        <v>890</v>
      </c>
      <c r="D28" s="47"/>
      <c r="E28" s="47"/>
      <c r="F28" s="47"/>
      <c r="G28" s="47"/>
      <c r="H28" s="47"/>
      <c r="I28" s="47"/>
      <c r="J28" s="6"/>
      <c r="K28" s="641">
        <f>VLOOKUP($F$1,Part1,10,FALSE)</f>
        <v>0</v>
      </c>
      <c r="L28" s="642"/>
      <c r="M28" s="40"/>
      <c r="N28" s="40"/>
      <c r="O28" s="42"/>
      <c r="P28" s="41"/>
      <c r="Q28" s="40"/>
      <c r="R28" s="40"/>
      <c r="S28" s="40"/>
      <c r="T28" s="40"/>
      <c r="U28" s="6"/>
      <c r="V28" s="8"/>
    </row>
    <row r="29" spans="1:22" ht="16.5" thickBot="1" x14ac:dyDescent="0.25">
      <c r="A29" s="7"/>
      <c r="B29" s="6"/>
      <c r="C29" s="47"/>
      <c r="D29" s="47"/>
      <c r="E29" s="47"/>
      <c r="F29" s="47"/>
      <c r="G29" s="47"/>
      <c r="H29" s="47"/>
      <c r="I29" s="47"/>
      <c r="J29" s="6"/>
      <c r="K29" s="430"/>
      <c r="L29" s="40"/>
      <c r="M29" s="40"/>
      <c r="N29" s="40"/>
      <c r="O29" s="42"/>
      <c r="P29" s="41"/>
      <c r="Q29" s="40"/>
      <c r="R29" s="40"/>
      <c r="S29" s="40"/>
      <c r="T29" s="40"/>
      <c r="U29" s="6"/>
      <c r="V29" s="8"/>
    </row>
    <row r="30" spans="1:22" ht="16.5" thickBot="1" x14ac:dyDescent="0.25">
      <c r="A30" s="7"/>
      <c r="B30" s="6"/>
      <c r="C30" s="47" t="s">
        <v>891</v>
      </c>
      <c r="D30" s="47"/>
      <c r="E30" s="47"/>
      <c r="F30" s="47"/>
      <c r="G30" s="47"/>
      <c r="H30" s="47"/>
      <c r="I30" s="47"/>
      <c r="J30" s="6"/>
      <c r="K30" s="641">
        <f>VLOOKUP($F$1,Part1,11,FALSE)</f>
        <v>722649</v>
      </c>
      <c r="L30" s="642"/>
      <c r="M30" s="40"/>
      <c r="N30" s="40"/>
      <c r="O30" s="42"/>
      <c r="P30" s="41"/>
      <c r="Q30" s="40"/>
      <c r="R30" s="40"/>
      <c r="S30" s="40"/>
      <c r="T30" s="40"/>
      <c r="U30" s="6"/>
      <c r="V30" s="8"/>
    </row>
    <row r="31" spans="1:22" ht="15.75" x14ac:dyDescent="0.2">
      <c r="A31" s="7"/>
      <c r="B31" s="6"/>
      <c r="C31" s="47"/>
      <c r="D31" s="47"/>
      <c r="E31" s="47"/>
      <c r="F31" s="47"/>
      <c r="G31" s="47"/>
      <c r="H31" s="47"/>
      <c r="I31" s="47"/>
      <c r="J31" s="6"/>
      <c r="K31" s="430"/>
      <c r="L31" s="40"/>
      <c r="M31" s="40"/>
      <c r="N31" s="40"/>
      <c r="O31" s="42"/>
      <c r="P31" s="41"/>
      <c r="Q31" s="40"/>
      <c r="R31" s="40"/>
      <c r="S31" s="40"/>
      <c r="T31" s="40"/>
      <c r="U31" s="6"/>
      <c r="V31" s="8"/>
    </row>
    <row r="32" spans="1:22" ht="16.5" thickBot="1" x14ac:dyDescent="0.25">
      <c r="A32" s="7"/>
      <c r="B32" s="6"/>
      <c r="C32" s="169" t="s">
        <v>550</v>
      </c>
      <c r="D32" s="47"/>
      <c r="E32" s="47"/>
      <c r="F32" s="47"/>
      <c r="G32" s="47"/>
      <c r="H32" s="47"/>
      <c r="I32" s="47"/>
      <c r="J32" s="6"/>
      <c r="K32" s="430"/>
      <c r="L32" s="40"/>
      <c r="M32" s="40"/>
      <c r="N32" s="40"/>
      <c r="O32" s="42"/>
      <c r="P32" s="41"/>
      <c r="Q32" s="40"/>
      <c r="R32" s="40"/>
      <c r="S32" s="40"/>
      <c r="T32" s="40"/>
      <c r="U32" s="6"/>
      <c r="V32" s="8"/>
    </row>
    <row r="33" spans="1:24" ht="16.5" thickBot="1" x14ac:dyDescent="0.25">
      <c r="A33" s="7"/>
      <c r="B33" s="6"/>
      <c r="C33" s="47" t="str">
        <f>+IF(+L8="E5010","7. City of London offset","7. City of London offset - not applicable for your authority")</f>
        <v>7. City of London offset - not applicable for your authority</v>
      </c>
      <c r="D33" s="47"/>
      <c r="E33" s="47"/>
      <c r="F33" s="47"/>
      <c r="G33" s="47"/>
      <c r="H33" s="47"/>
      <c r="I33" s="47"/>
      <c r="J33" s="6"/>
      <c r="K33" s="641">
        <f>VLOOKUP($F$1,Part1,12,FALSE)</f>
        <v>0</v>
      </c>
      <c r="L33" s="642"/>
      <c r="M33" s="40"/>
      <c r="N33" s="40"/>
      <c r="O33" s="42"/>
      <c r="P33" s="41"/>
      <c r="Q33" s="40"/>
      <c r="R33" s="40"/>
      <c r="S33" s="40"/>
      <c r="T33" s="40"/>
      <c r="U33" s="6"/>
      <c r="V33" s="8"/>
    </row>
    <row r="34" spans="1:24" ht="15.75" x14ac:dyDescent="0.2">
      <c r="A34" s="7"/>
      <c r="B34" s="6"/>
      <c r="C34" s="47"/>
      <c r="D34" s="47"/>
      <c r="E34" s="47"/>
      <c r="F34" s="47"/>
      <c r="G34" s="47"/>
      <c r="H34" s="47"/>
      <c r="I34" s="47"/>
      <c r="J34" s="6"/>
      <c r="K34" s="430"/>
      <c r="L34" s="40"/>
      <c r="M34" s="40"/>
      <c r="N34" s="40"/>
      <c r="O34" s="42"/>
      <c r="P34" s="41"/>
      <c r="Q34" s="40"/>
      <c r="R34" s="40"/>
      <c r="S34" s="40"/>
      <c r="T34" s="40"/>
      <c r="U34" s="6"/>
      <c r="V34" s="8"/>
    </row>
    <row r="35" spans="1:24" ht="16.5" thickBot="1" x14ac:dyDescent="0.25">
      <c r="A35" s="7"/>
      <c r="B35" s="6"/>
      <c r="C35" s="169" t="s">
        <v>558</v>
      </c>
      <c r="D35" s="47"/>
      <c r="E35" s="47"/>
      <c r="F35" s="47"/>
      <c r="G35" s="47"/>
      <c r="H35" s="47"/>
      <c r="I35" s="47"/>
      <c r="J35" s="6"/>
      <c r="K35" s="40"/>
      <c r="L35" s="40"/>
      <c r="M35" s="40"/>
      <c r="N35" s="40"/>
      <c r="O35" s="42"/>
      <c r="P35" s="41"/>
      <c r="Q35" s="40"/>
      <c r="R35" s="40"/>
      <c r="S35" s="40"/>
      <c r="T35" s="40"/>
      <c r="U35" s="6"/>
      <c r="V35" s="8"/>
    </row>
    <row r="36" spans="1:24" ht="16.5" thickBot="1" x14ac:dyDescent="0.25">
      <c r="A36" s="7"/>
      <c r="B36" s="6"/>
      <c r="C36" s="47" t="s">
        <v>892</v>
      </c>
      <c r="D36" s="47"/>
      <c r="E36" s="47"/>
      <c r="F36" s="47"/>
      <c r="G36" s="47"/>
      <c r="H36" s="47"/>
      <c r="I36" s="47"/>
      <c r="J36" s="6"/>
      <c r="K36" s="641">
        <f>VLOOKUP($F$1,Part1,13,FALSE)</f>
        <v>5331087</v>
      </c>
      <c r="L36" s="642"/>
      <c r="M36" s="40"/>
      <c r="N36" s="40"/>
      <c r="O36" s="42"/>
      <c r="P36" s="41"/>
      <c r="Q36" s="40"/>
      <c r="R36" s="40"/>
      <c r="S36" s="40"/>
      <c r="T36" s="40"/>
      <c r="U36" s="6"/>
      <c r="V36" s="8"/>
    </row>
    <row r="37" spans="1:24" ht="15.75" thickBot="1" x14ac:dyDescent="0.25">
      <c r="A37" s="7"/>
      <c r="B37" s="6"/>
      <c r="C37" s="47"/>
      <c r="D37" s="47"/>
      <c r="E37" s="47"/>
      <c r="F37" s="47"/>
      <c r="G37" s="47"/>
      <c r="H37" s="47"/>
      <c r="I37" s="47"/>
      <c r="J37" s="6"/>
      <c r="K37" s="40"/>
      <c r="L37" s="40"/>
      <c r="M37" s="40"/>
      <c r="N37" s="40"/>
      <c r="O37" s="42"/>
      <c r="P37" s="41"/>
      <c r="Q37" s="643"/>
      <c r="R37" s="643"/>
      <c r="S37" s="643"/>
      <c r="T37" s="40"/>
      <c r="U37" s="6"/>
      <c r="V37" s="8"/>
    </row>
    <row r="38" spans="1:24" ht="16.5" customHeight="1" thickBot="1" x14ac:dyDescent="0.25">
      <c r="A38" s="7"/>
      <c r="B38" s="6"/>
      <c r="C38" s="638" t="s">
        <v>1167</v>
      </c>
      <c r="D38" s="638"/>
      <c r="E38" s="638"/>
      <c r="F38" s="638"/>
      <c r="G38" s="638"/>
      <c r="H38" s="638"/>
      <c r="I38" s="638"/>
      <c r="J38" s="6"/>
      <c r="K38" s="641">
        <f>VLOOKUP($F$1,Part1,14,FALSE)</f>
        <v>258</v>
      </c>
      <c r="L38" s="642"/>
      <c r="M38" s="40"/>
      <c r="N38" s="40"/>
      <c r="O38" s="42"/>
      <c r="P38" s="41"/>
      <c r="Q38" s="40"/>
      <c r="R38" s="40"/>
      <c r="S38" s="40"/>
      <c r="T38" s="40"/>
      <c r="U38" s="6"/>
      <c r="V38" s="8"/>
    </row>
    <row r="39" spans="1:24" x14ac:dyDescent="0.2">
      <c r="A39" s="7"/>
      <c r="B39" s="6"/>
      <c r="C39" s="638"/>
      <c r="D39" s="638"/>
      <c r="E39" s="638"/>
      <c r="F39" s="638"/>
      <c r="G39" s="638"/>
      <c r="H39" s="638"/>
      <c r="I39" s="638"/>
      <c r="J39" s="6"/>
      <c r="K39" s="40"/>
      <c r="L39" s="40"/>
      <c r="M39" s="40"/>
      <c r="N39" s="40"/>
      <c r="O39" s="42"/>
      <c r="P39" s="41"/>
      <c r="Q39" s="40"/>
      <c r="R39" s="40"/>
      <c r="S39" s="40"/>
      <c r="T39" s="40"/>
      <c r="U39" s="6"/>
      <c r="V39" s="8"/>
    </row>
    <row r="40" spans="1:24" ht="16.149999999999999" customHeight="1" x14ac:dyDescent="0.2">
      <c r="A40" s="7"/>
      <c r="B40" s="6"/>
      <c r="C40" s="165"/>
      <c r="D40" s="165"/>
      <c r="E40" s="165"/>
      <c r="F40" s="165"/>
      <c r="G40" s="165"/>
      <c r="H40" s="165"/>
      <c r="I40" s="165"/>
      <c r="J40" s="6"/>
      <c r="K40" s="431"/>
      <c r="L40" s="431"/>
      <c r="M40" s="40"/>
      <c r="N40" s="40"/>
      <c r="O40" s="42"/>
      <c r="P40" s="41"/>
      <c r="Q40" s="40"/>
      <c r="R40" s="40"/>
      <c r="S40" s="40"/>
      <c r="T40" s="40"/>
      <c r="U40" s="6"/>
      <c r="V40" s="8"/>
    </row>
    <row r="41" spans="1:24" ht="15.75" thickBot="1" x14ac:dyDescent="0.25">
      <c r="A41" s="7"/>
      <c r="B41" s="6"/>
      <c r="C41" s="47" t="s">
        <v>34</v>
      </c>
      <c r="D41" s="47"/>
      <c r="E41" s="47"/>
      <c r="F41" s="47"/>
      <c r="G41" s="47"/>
      <c r="H41" s="47"/>
      <c r="I41" s="47"/>
      <c r="J41" s="6"/>
      <c r="K41" s="431"/>
      <c r="L41" s="431"/>
      <c r="M41" s="40"/>
      <c r="N41" s="40"/>
      <c r="O41" s="42"/>
      <c r="P41" s="41"/>
      <c r="Q41" s="40"/>
      <c r="R41" s="40"/>
      <c r="S41" s="40"/>
      <c r="T41" s="40"/>
      <c r="U41" s="6"/>
      <c r="V41" s="8"/>
    </row>
    <row r="42" spans="1:24" ht="16.5" thickBot="1" x14ac:dyDescent="0.25">
      <c r="A42" s="7"/>
      <c r="B42" s="6"/>
      <c r="C42" s="47" t="s">
        <v>893</v>
      </c>
      <c r="D42" s="47"/>
      <c r="E42" s="47"/>
      <c r="F42" s="47"/>
      <c r="G42" s="47"/>
      <c r="H42" s="47"/>
      <c r="I42" s="47"/>
      <c r="J42" s="6"/>
      <c r="K42" s="639">
        <f>VLOOKUP($F$1,Part1,15,FALSE)</f>
        <v>258</v>
      </c>
      <c r="L42" s="640"/>
      <c r="M42" s="40"/>
      <c r="N42" s="40"/>
      <c r="O42" s="42"/>
      <c r="P42" s="41"/>
      <c r="Q42" s="40"/>
      <c r="R42" s="40"/>
      <c r="S42" s="40"/>
      <c r="T42" s="40"/>
      <c r="U42" s="6"/>
      <c r="V42" s="8"/>
    </row>
    <row r="43" spans="1:24" ht="15.75" thickBot="1" x14ac:dyDescent="0.25">
      <c r="A43" s="7"/>
      <c r="B43" s="6"/>
      <c r="C43" s="47"/>
      <c r="D43" s="47"/>
      <c r="E43" s="47"/>
      <c r="F43" s="47"/>
      <c r="G43" s="47"/>
      <c r="H43" s="47"/>
      <c r="I43" s="47"/>
      <c r="J43" s="6"/>
      <c r="K43" s="40"/>
      <c r="L43" s="40"/>
      <c r="M43" s="40"/>
      <c r="N43" s="40"/>
      <c r="O43" s="42"/>
      <c r="P43" s="41"/>
      <c r="Q43" s="40"/>
      <c r="R43" s="40"/>
      <c r="S43" s="40"/>
      <c r="T43" s="40"/>
      <c r="U43" s="6"/>
      <c r="V43" s="8"/>
    </row>
    <row r="44" spans="1:24" ht="16.5" thickBot="1" x14ac:dyDescent="0.25">
      <c r="A44" s="7"/>
      <c r="B44" s="6"/>
      <c r="C44" s="47" t="s">
        <v>894</v>
      </c>
      <c r="D44" s="47"/>
      <c r="E44" s="47"/>
      <c r="F44" s="47"/>
      <c r="G44" s="47"/>
      <c r="H44" s="47"/>
      <c r="I44" s="47"/>
      <c r="J44" s="6"/>
      <c r="K44" s="644">
        <f>VLOOKUP($F$1,Part1,16,FALSE)</f>
        <v>0</v>
      </c>
      <c r="L44" s="645"/>
      <c r="M44" s="40"/>
      <c r="N44" s="40"/>
      <c r="O44" s="42"/>
      <c r="P44" s="41"/>
      <c r="Q44" s="40"/>
      <c r="R44" s="40"/>
      <c r="S44" s="40"/>
      <c r="T44" s="40"/>
      <c r="U44" s="6"/>
      <c r="V44" s="8"/>
    </row>
    <row r="45" spans="1:24" x14ac:dyDescent="0.2">
      <c r="A45" s="7"/>
      <c r="B45" s="6"/>
      <c r="C45" s="47"/>
      <c r="D45" s="47"/>
      <c r="E45" s="47"/>
      <c r="F45" s="47"/>
      <c r="G45" s="47"/>
      <c r="H45" s="47"/>
      <c r="I45" s="47"/>
      <c r="J45" s="6"/>
      <c r="K45" s="431"/>
      <c r="L45" s="431"/>
      <c r="M45" s="40"/>
      <c r="N45" s="40"/>
      <c r="O45" s="42"/>
      <c r="P45" s="41"/>
      <c r="Q45" s="40"/>
      <c r="R45" s="40"/>
      <c r="S45" s="40"/>
      <c r="T45" s="40"/>
      <c r="U45" s="6"/>
      <c r="V45" s="8"/>
    </row>
    <row r="46" spans="1:24" ht="16.5" thickBot="1" x14ac:dyDescent="0.25">
      <c r="A46" s="7"/>
      <c r="B46" s="6"/>
      <c r="C46" s="169" t="s">
        <v>557</v>
      </c>
      <c r="D46" s="169"/>
      <c r="E46" s="169"/>
      <c r="F46" s="169"/>
      <c r="G46" s="169"/>
      <c r="H46" s="47"/>
      <c r="I46" s="47"/>
      <c r="J46" s="6"/>
      <c r="K46" s="431"/>
      <c r="L46" s="431"/>
      <c r="M46" s="175"/>
      <c r="N46" s="175"/>
      <c r="O46" s="175"/>
      <c r="P46" s="175"/>
      <c r="Q46" s="175"/>
      <c r="R46" s="175"/>
      <c r="S46" s="175"/>
      <c r="T46" s="124"/>
      <c r="U46" s="111"/>
      <c r="V46" s="176"/>
      <c r="W46" s="177"/>
      <c r="X46" s="177"/>
    </row>
    <row r="47" spans="1:24" ht="16.5" thickBot="1" x14ac:dyDescent="0.25">
      <c r="A47" s="7"/>
      <c r="B47" s="6"/>
      <c r="C47" s="47" t="s">
        <v>895</v>
      </c>
      <c r="D47" s="47"/>
      <c r="E47" s="47"/>
      <c r="F47" s="47"/>
      <c r="G47" s="47"/>
      <c r="H47" s="47"/>
      <c r="I47" s="47"/>
      <c r="J47" s="6"/>
      <c r="K47" s="644">
        <f>VLOOKUP($F$1,Part1,17,FALSE)</f>
        <v>198551667</v>
      </c>
      <c r="L47" s="645"/>
      <c r="M47" s="40"/>
      <c r="N47" s="40"/>
      <c r="O47" s="42"/>
      <c r="P47" s="41"/>
      <c r="Q47" s="40"/>
      <c r="R47" s="40"/>
      <c r="S47" s="40"/>
      <c r="T47" s="40"/>
      <c r="U47" s="6"/>
      <c r="V47" s="8"/>
    </row>
    <row r="48" spans="1:24" ht="18.75" customHeight="1" thickBot="1" x14ac:dyDescent="0.25">
      <c r="A48" s="472"/>
      <c r="B48" s="248"/>
      <c r="C48" s="243"/>
      <c r="D48" s="243"/>
      <c r="E48" s="243"/>
      <c r="F48" s="243"/>
      <c r="G48" s="243"/>
      <c r="H48" s="243"/>
      <c r="I48" s="243"/>
      <c r="J48" s="248"/>
      <c r="K48" s="294"/>
      <c r="L48" s="294"/>
      <c r="M48" s="294"/>
      <c r="N48" s="294"/>
      <c r="O48" s="473"/>
      <c r="P48" s="294"/>
      <c r="Q48" s="294"/>
      <c r="R48" s="294"/>
      <c r="S48" s="294"/>
      <c r="T48" s="294"/>
      <c r="U48" s="248"/>
      <c r="V48" s="474"/>
    </row>
  </sheetData>
  <mergeCells count="23">
    <mergeCell ref="K23:L23"/>
    <mergeCell ref="K16:L16"/>
    <mergeCell ref="K21:L21"/>
    <mergeCell ref="K14:L14"/>
    <mergeCell ref="A3:V3"/>
    <mergeCell ref="C13:G13"/>
    <mergeCell ref="A4:V4"/>
    <mergeCell ref="A5:V5"/>
    <mergeCell ref="C16:I18"/>
    <mergeCell ref="E8:J8"/>
    <mergeCell ref="A6:V6"/>
    <mergeCell ref="C20:I20"/>
    <mergeCell ref="Q37:S37"/>
    <mergeCell ref="K47:L47"/>
    <mergeCell ref="K44:L44"/>
    <mergeCell ref="K28:L28"/>
    <mergeCell ref="K26:L26"/>
    <mergeCell ref="C38:I39"/>
    <mergeCell ref="K42:L42"/>
    <mergeCell ref="K30:L30"/>
    <mergeCell ref="K33:L33"/>
    <mergeCell ref="K38:L38"/>
    <mergeCell ref="K36:L36"/>
  </mergeCells>
  <phoneticPr fontId="5" type="noConversion"/>
  <printOptions horizontalCentered="1"/>
  <pageMargins left="0.39370078740157483" right="0.39370078740157483" top="0.59055118110236227" bottom="0.59055118110236227" header="0.51181102362204722" footer="0.51181102362204722"/>
  <pageSetup paperSize="9" scale="49"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4" r:id="rId4" name="datar">
              <controlPr locked="0" defaultSize="0" autoFill="0" autoLine="0" autoPict="0">
                <anchor moveWithCells="1">
                  <from>
                    <xdr:col>9</xdr:col>
                    <xdr:colOff>95250</xdr:colOff>
                    <xdr:row>7</xdr:row>
                    <xdr:rowOff>28575</xdr:rowOff>
                  </from>
                  <to>
                    <xdr:col>12</xdr:col>
                    <xdr:colOff>190500</xdr:colOff>
                    <xdr:row>9</xdr:row>
                    <xdr:rowOff>180975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41"/>
  <sheetViews>
    <sheetView workbookViewId="0"/>
  </sheetViews>
  <sheetFormatPr defaultRowHeight="15" x14ac:dyDescent="0.2"/>
  <cols>
    <col min="1" max="1" width="4" style="93" bestFit="1" customWidth="1"/>
    <col min="2" max="2" width="8.42578125" style="17" customWidth="1"/>
    <col min="3" max="3" width="5.5703125" style="17" customWidth="1"/>
    <col min="4" max="4" width="8.140625" style="17" hidden="1" customWidth="1"/>
    <col min="5" max="5" width="27" style="17" bestFit="1" customWidth="1"/>
    <col min="6" max="22" width="15.7109375" customWidth="1"/>
    <col min="23" max="108" width="16.7109375" customWidth="1"/>
    <col min="109" max="109" width="27.5703125" bestFit="1" customWidth="1"/>
    <col min="110" max="110" width="23.28515625" bestFit="1" customWidth="1"/>
    <col min="111" max="111" width="33" bestFit="1" customWidth="1"/>
    <col min="112" max="113" width="35" bestFit="1" customWidth="1"/>
  </cols>
  <sheetData>
    <row r="1" spans="1:113" s="410" customFormat="1" ht="40.9" customHeight="1" thickTop="1" thickBot="1" x14ac:dyDescent="0.25">
      <c r="A1" s="613"/>
      <c r="B1" s="600"/>
      <c r="C1" s="600"/>
      <c r="D1" s="600"/>
      <c r="E1" s="618"/>
      <c r="F1" s="746" t="s">
        <v>1110</v>
      </c>
      <c r="G1" s="745"/>
      <c r="H1" s="745"/>
      <c r="I1" s="744" t="s">
        <v>1111</v>
      </c>
      <c r="J1" s="745"/>
      <c r="K1" s="745"/>
      <c r="L1" s="744" t="s">
        <v>859</v>
      </c>
      <c r="M1" s="745"/>
      <c r="N1" s="745"/>
      <c r="O1" s="744" t="s">
        <v>1112</v>
      </c>
      <c r="P1" s="745"/>
      <c r="Q1" s="745"/>
      <c r="R1" s="745"/>
      <c r="S1" s="416" t="s">
        <v>1113</v>
      </c>
      <c r="T1" s="416" t="s">
        <v>1114</v>
      </c>
      <c r="U1" s="416" t="s">
        <v>1115</v>
      </c>
      <c r="V1" s="416" t="s">
        <v>1116</v>
      </c>
      <c r="W1" s="416" t="s">
        <v>1117</v>
      </c>
      <c r="X1" s="416" t="s">
        <v>1118</v>
      </c>
      <c r="Y1" s="744" t="s">
        <v>1119</v>
      </c>
      <c r="Z1" s="745"/>
      <c r="AA1" s="744" t="s">
        <v>1120</v>
      </c>
      <c r="AB1" s="745"/>
      <c r="AC1" s="744" t="s">
        <v>1121</v>
      </c>
      <c r="AD1" s="745"/>
      <c r="AE1" s="744" t="s">
        <v>1122</v>
      </c>
      <c r="AF1" s="745"/>
      <c r="AG1" s="745"/>
      <c r="AH1" s="745"/>
      <c r="AI1" s="744" t="s">
        <v>1123</v>
      </c>
      <c r="AJ1" s="745"/>
      <c r="AK1" s="745"/>
      <c r="AL1" s="745"/>
      <c r="AM1" s="744" t="s">
        <v>1124</v>
      </c>
      <c r="AN1" s="745"/>
      <c r="AO1" s="745"/>
      <c r="AP1" s="745"/>
      <c r="AQ1" s="744" t="s">
        <v>1125</v>
      </c>
      <c r="AR1" s="745"/>
      <c r="AS1" s="745"/>
      <c r="AT1" s="744" t="s">
        <v>1126</v>
      </c>
      <c r="AU1" s="745"/>
      <c r="AV1" s="745"/>
      <c r="AW1" s="744" t="s">
        <v>1127</v>
      </c>
      <c r="AX1" s="745"/>
      <c r="AY1" s="745"/>
      <c r="AZ1" s="744" t="s">
        <v>1128</v>
      </c>
      <c r="BA1" s="745"/>
      <c r="BB1" s="745"/>
      <c r="BC1" s="744" t="s">
        <v>1129</v>
      </c>
      <c r="BD1" s="745"/>
      <c r="BE1" s="745"/>
      <c r="BF1" s="744" t="s">
        <v>1130</v>
      </c>
      <c r="BG1" s="745"/>
      <c r="BH1" s="745"/>
      <c r="BI1" s="744" t="s">
        <v>1131</v>
      </c>
      <c r="BJ1" s="745"/>
      <c r="BK1" s="745"/>
      <c r="BL1" s="744" t="s">
        <v>1132</v>
      </c>
      <c r="BM1" s="745"/>
      <c r="BN1" s="745"/>
      <c r="BO1" s="744" t="s">
        <v>1133</v>
      </c>
      <c r="BP1" s="745"/>
      <c r="BQ1" s="745"/>
      <c r="BR1" s="744" t="s">
        <v>1134</v>
      </c>
      <c r="BS1" s="745"/>
      <c r="BT1" s="745"/>
      <c r="BU1" s="744" t="s">
        <v>1135</v>
      </c>
      <c r="BV1" s="745"/>
      <c r="BW1" s="745"/>
      <c r="BX1" s="744" t="s">
        <v>1136</v>
      </c>
      <c r="BY1" s="745"/>
      <c r="BZ1" s="745"/>
      <c r="CA1" s="744" t="s">
        <v>1137</v>
      </c>
      <c r="CB1" s="745"/>
      <c r="CC1" s="745"/>
      <c r="CD1" s="744" t="s">
        <v>1138</v>
      </c>
      <c r="CE1" s="745"/>
      <c r="CF1" s="745"/>
      <c r="CG1" s="744" t="s">
        <v>1139</v>
      </c>
      <c r="CH1" s="745"/>
      <c r="CI1" s="745"/>
      <c r="CJ1" s="744" t="s">
        <v>1140</v>
      </c>
      <c r="CK1" s="745"/>
      <c r="CL1" s="745"/>
      <c r="CM1" s="744" t="s">
        <v>1141</v>
      </c>
      <c r="CN1" s="745"/>
      <c r="CO1" s="745"/>
      <c r="CP1" s="744" t="s">
        <v>1142</v>
      </c>
      <c r="CQ1" s="745"/>
      <c r="CR1" s="745"/>
      <c r="CS1" s="744" t="s">
        <v>1143</v>
      </c>
      <c r="CT1" s="745"/>
      <c r="CU1" s="745"/>
      <c r="CV1" s="744" t="s">
        <v>1144</v>
      </c>
      <c r="CW1" s="745"/>
      <c r="CX1" s="745"/>
      <c r="CY1" s="744" t="s">
        <v>1145</v>
      </c>
      <c r="CZ1" s="745"/>
      <c r="DA1" s="745"/>
      <c r="DB1" s="744" t="s">
        <v>1146</v>
      </c>
      <c r="DC1" s="745"/>
      <c r="DD1" s="745"/>
      <c r="DE1"/>
      <c r="DF1"/>
      <c r="DG1"/>
    </row>
    <row r="2" spans="1:113" ht="13.5" thickBot="1" x14ac:dyDescent="0.25">
      <c r="A2" s="411"/>
      <c r="B2" s="100"/>
      <c r="C2" s="20"/>
      <c r="D2" s="62"/>
      <c r="E2" s="92"/>
      <c r="F2" s="412"/>
      <c r="G2" s="412"/>
      <c r="H2" s="412"/>
      <c r="I2" s="412"/>
      <c r="J2" s="412"/>
      <c r="K2" s="412"/>
      <c r="L2" s="412"/>
      <c r="M2" s="412"/>
      <c r="N2" s="412"/>
      <c r="O2" s="412"/>
      <c r="P2" s="412"/>
      <c r="Q2" s="412"/>
      <c r="R2" s="412"/>
      <c r="S2" s="412"/>
      <c r="T2" s="412"/>
      <c r="U2" s="412"/>
      <c r="V2" s="412"/>
      <c r="W2" s="413"/>
      <c r="X2" s="413"/>
      <c r="Y2" s="413"/>
      <c r="Z2" s="413"/>
      <c r="AA2" s="413"/>
      <c r="AB2" s="413"/>
      <c r="AC2" s="413"/>
      <c r="AD2" s="413"/>
      <c r="AE2" s="413"/>
      <c r="AF2" s="413"/>
      <c r="AG2" s="413"/>
      <c r="AH2" s="413"/>
      <c r="AI2" s="414"/>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4"/>
      <c r="BH2" s="414"/>
      <c r="BI2" s="414"/>
      <c r="BJ2" s="414"/>
      <c r="BK2" s="414"/>
      <c r="BL2" s="414"/>
      <c r="BM2" s="414"/>
      <c r="BN2" s="414"/>
      <c r="BO2" s="414"/>
      <c r="BP2" s="414"/>
      <c r="BQ2" s="414"/>
      <c r="BR2" s="414"/>
      <c r="BS2" s="414"/>
      <c r="BT2" s="414"/>
      <c r="BU2" s="414"/>
      <c r="BV2" s="414"/>
      <c r="BW2" s="414"/>
      <c r="BX2" s="414"/>
      <c r="BY2" s="414"/>
      <c r="BZ2" s="414"/>
      <c r="CA2" s="414"/>
      <c r="CB2" s="414"/>
      <c r="CC2" s="414"/>
      <c r="CD2" s="414"/>
      <c r="CE2" s="414"/>
      <c r="CF2" s="414"/>
      <c r="CG2" s="414"/>
      <c r="CH2" s="414"/>
      <c r="CI2" s="414"/>
      <c r="CJ2" s="414"/>
      <c r="CK2" s="414"/>
      <c r="CL2" s="414"/>
      <c r="CM2" s="414"/>
      <c r="CN2" s="414"/>
      <c r="CO2" s="414"/>
      <c r="CP2" s="414"/>
      <c r="CQ2" s="414"/>
      <c r="CR2" s="414"/>
      <c r="CS2" s="414"/>
      <c r="CT2" s="414"/>
      <c r="CU2" s="414"/>
      <c r="CV2" s="414"/>
      <c r="CW2" s="414"/>
      <c r="CX2" s="414"/>
      <c r="CY2" s="414"/>
      <c r="CZ2" s="414"/>
      <c r="DA2" s="414"/>
      <c r="DB2" s="414"/>
      <c r="DC2" s="414"/>
      <c r="DD2" s="414"/>
      <c r="DE2" s="466" t="s">
        <v>1161</v>
      </c>
      <c r="DF2" s="466" t="s">
        <v>1162</v>
      </c>
      <c r="DG2" s="466" t="s">
        <v>1163</v>
      </c>
      <c r="DH2" s="546" t="s">
        <v>1210</v>
      </c>
      <c r="DI2" s="546" t="s">
        <v>1211</v>
      </c>
    </row>
    <row r="3" spans="1:113" s="93" customFormat="1" ht="13.5" thickBot="1" x14ac:dyDescent="0.25">
      <c r="A3" s="411">
        <v>1</v>
      </c>
      <c r="B3" s="22">
        <v>2</v>
      </c>
      <c r="C3" s="22">
        <v>3</v>
      </c>
      <c r="D3" s="60">
        <v>4</v>
      </c>
      <c r="E3" s="22">
        <v>5</v>
      </c>
      <c r="F3" s="415">
        <v>6</v>
      </c>
      <c r="G3" s="415">
        <v>7</v>
      </c>
      <c r="H3" s="415">
        <v>8</v>
      </c>
      <c r="I3" s="415">
        <v>9</v>
      </c>
      <c r="J3" s="415">
        <v>10</v>
      </c>
      <c r="K3" s="415">
        <v>11</v>
      </c>
      <c r="L3" s="415">
        <v>12</v>
      </c>
      <c r="M3" s="415">
        <v>13</v>
      </c>
      <c r="N3" s="415">
        <v>14</v>
      </c>
      <c r="O3" s="415">
        <v>15</v>
      </c>
      <c r="P3" s="415">
        <v>16</v>
      </c>
      <c r="Q3" s="415">
        <v>17</v>
      </c>
      <c r="R3" s="415">
        <v>18</v>
      </c>
      <c r="S3" s="415">
        <v>19</v>
      </c>
      <c r="T3" s="415">
        <v>20</v>
      </c>
      <c r="U3" s="415">
        <v>21</v>
      </c>
      <c r="V3" s="415">
        <v>22</v>
      </c>
      <c r="W3" s="415">
        <v>23</v>
      </c>
      <c r="X3" s="415">
        <v>24</v>
      </c>
      <c r="Y3" s="415">
        <v>25</v>
      </c>
      <c r="Z3" s="415">
        <v>26</v>
      </c>
      <c r="AA3" s="415">
        <v>27</v>
      </c>
      <c r="AB3" s="415">
        <v>28</v>
      </c>
      <c r="AC3" s="415">
        <v>29</v>
      </c>
      <c r="AD3" s="415">
        <v>30</v>
      </c>
      <c r="AE3" s="415">
        <v>31</v>
      </c>
      <c r="AF3" s="415">
        <v>32</v>
      </c>
      <c r="AG3" s="415">
        <v>33</v>
      </c>
      <c r="AH3" s="415">
        <v>34</v>
      </c>
      <c r="AI3" s="415">
        <v>35</v>
      </c>
      <c r="AJ3" s="415">
        <v>36</v>
      </c>
      <c r="AK3" s="415">
        <v>37</v>
      </c>
      <c r="AL3" s="415">
        <v>38</v>
      </c>
      <c r="AM3" s="415">
        <v>39</v>
      </c>
      <c r="AN3" s="415">
        <v>40</v>
      </c>
      <c r="AO3" s="415">
        <v>41</v>
      </c>
      <c r="AP3" s="415">
        <v>42</v>
      </c>
      <c r="AQ3" s="415">
        <v>43</v>
      </c>
      <c r="AR3" s="415">
        <v>44</v>
      </c>
      <c r="AS3" s="415">
        <v>45</v>
      </c>
      <c r="AT3" s="415">
        <v>46</v>
      </c>
      <c r="AU3" s="415">
        <v>47</v>
      </c>
      <c r="AV3" s="415">
        <v>48</v>
      </c>
      <c r="AW3" s="415">
        <v>49</v>
      </c>
      <c r="AX3" s="415">
        <v>50</v>
      </c>
      <c r="AY3" s="415">
        <v>51</v>
      </c>
      <c r="AZ3" s="415">
        <v>52</v>
      </c>
      <c r="BA3" s="415">
        <v>53</v>
      </c>
      <c r="BB3" s="415">
        <v>54</v>
      </c>
      <c r="BC3" s="415">
        <v>55</v>
      </c>
      <c r="BD3" s="415">
        <v>56</v>
      </c>
      <c r="BE3" s="415">
        <v>57</v>
      </c>
      <c r="BF3" s="415">
        <v>58</v>
      </c>
      <c r="BG3" s="415">
        <v>59</v>
      </c>
      <c r="BH3" s="415">
        <v>60</v>
      </c>
      <c r="BI3" s="415">
        <v>61</v>
      </c>
      <c r="BJ3" s="415">
        <v>62</v>
      </c>
      <c r="BK3" s="415">
        <v>63</v>
      </c>
      <c r="BL3" s="415">
        <v>64</v>
      </c>
      <c r="BM3" s="415">
        <v>65</v>
      </c>
      <c r="BN3" s="415">
        <v>66</v>
      </c>
      <c r="BO3" s="415">
        <v>67</v>
      </c>
      <c r="BP3" s="415">
        <v>68</v>
      </c>
      <c r="BQ3" s="415">
        <v>69</v>
      </c>
      <c r="BR3" s="415">
        <v>70</v>
      </c>
      <c r="BS3" s="415">
        <v>71</v>
      </c>
      <c r="BT3" s="415">
        <v>72</v>
      </c>
      <c r="BU3" s="415">
        <v>73</v>
      </c>
      <c r="BV3" s="415">
        <v>74</v>
      </c>
      <c r="BW3" s="415">
        <v>75</v>
      </c>
      <c r="BX3" s="415">
        <v>76</v>
      </c>
      <c r="BY3" s="415">
        <v>77</v>
      </c>
      <c r="BZ3" s="415">
        <v>78</v>
      </c>
      <c r="CA3" s="415">
        <v>79</v>
      </c>
      <c r="CB3" s="415">
        <v>80</v>
      </c>
      <c r="CC3" s="415">
        <v>81</v>
      </c>
      <c r="CD3" s="415">
        <v>82</v>
      </c>
      <c r="CE3" s="415">
        <v>83</v>
      </c>
      <c r="CF3" s="415">
        <v>84</v>
      </c>
      <c r="CG3" s="415">
        <v>85</v>
      </c>
      <c r="CH3" s="415">
        <v>86</v>
      </c>
      <c r="CI3" s="415">
        <v>87</v>
      </c>
      <c r="CJ3" s="415">
        <v>88</v>
      </c>
      <c r="CK3" s="415">
        <v>89</v>
      </c>
      <c r="CL3" s="415">
        <v>90</v>
      </c>
      <c r="CM3" s="415">
        <v>91</v>
      </c>
      <c r="CN3" s="415">
        <v>92</v>
      </c>
      <c r="CO3" s="415">
        <v>93</v>
      </c>
      <c r="CP3" s="415">
        <v>94</v>
      </c>
      <c r="CQ3" s="415">
        <v>95</v>
      </c>
      <c r="CR3" s="415">
        <v>96</v>
      </c>
      <c r="CS3" s="415">
        <v>97</v>
      </c>
      <c r="CT3" s="415">
        <v>98</v>
      </c>
      <c r="CU3" s="415">
        <v>99</v>
      </c>
      <c r="CV3" s="415">
        <v>100</v>
      </c>
      <c r="CW3" s="415">
        <v>101</v>
      </c>
      <c r="CX3" s="415">
        <v>102</v>
      </c>
      <c r="CY3" s="415">
        <v>103</v>
      </c>
      <c r="CZ3" s="415">
        <v>104</v>
      </c>
      <c r="DA3" s="415">
        <v>105</v>
      </c>
      <c r="DB3" s="415">
        <v>106</v>
      </c>
      <c r="DC3" s="415">
        <v>107</v>
      </c>
      <c r="DD3" s="415">
        <v>108</v>
      </c>
      <c r="DE3" s="467">
        <f>+DC3+2</f>
        <v>109</v>
      </c>
      <c r="DF3" s="467">
        <f t="shared" ref="DF3:DG3" si="0">+DE3+1</f>
        <v>110</v>
      </c>
      <c r="DG3" s="467">
        <f t="shared" si="0"/>
        <v>111</v>
      </c>
      <c r="DH3" s="467">
        <f t="shared" ref="DH3" si="1">+DG3+1</f>
        <v>112</v>
      </c>
      <c r="DI3" s="467">
        <f t="shared" ref="DI3" si="2">+DH3+1</f>
        <v>113</v>
      </c>
    </row>
    <row r="4" spans="1:113" ht="12.75" x14ac:dyDescent="0.2">
      <c r="A4" s="411"/>
      <c r="B4" s="156"/>
      <c r="C4" s="24"/>
      <c r="D4" s="62"/>
      <c r="E4" s="92"/>
      <c r="F4" s="619"/>
      <c r="G4" s="620"/>
      <c r="H4" s="620"/>
      <c r="I4" s="621"/>
      <c r="J4" s="621"/>
      <c r="K4" s="621"/>
      <c r="L4" s="621"/>
      <c r="M4" s="621"/>
      <c r="N4" s="621"/>
      <c r="O4" s="621"/>
      <c r="P4" s="621"/>
      <c r="Q4" s="621"/>
      <c r="R4" s="621"/>
      <c r="S4" s="621"/>
      <c r="T4" s="621"/>
      <c r="U4" s="621"/>
      <c r="V4" s="622"/>
      <c r="W4" s="621"/>
      <c r="X4" s="622"/>
      <c r="Y4" s="621"/>
      <c r="Z4" s="622"/>
      <c r="AA4" s="621"/>
      <c r="AB4" s="622"/>
      <c r="AC4" s="621"/>
      <c r="AD4" s="622"/>
      <c r="AE4" s="621"/>
      <c r="AF4" s="622"/>
      <c r="AG4" s="621"/>
      <c r="AH4" s="622"/>
      <c r="AI4" s="621"/>
      <c r="AJ4" s="622"/>
      <c r="AK4" s="621"/>
      <c r="AL4" s="622"/>
      <c r="AM4" s="621"/>
      <c r="AN4" s="622"/>
      <c r="AO4" s="621"/>
      <c r="AP4" s="622"/>
      <c r="AQ4" s="621"/>
      <c r="AR4" s="622"/>
      <c r="AS4" s="621"/>
      <c r="AT4" s="622"/>
      <c r="AU4" s="621"/>
      <c r="AV4" s="622"/>
      <c r="AW4" s="621"/>
      <c r="AX4" s="622"/>
      <c r="AY4" s="621"/>
      <c r="AZ4" s="622"/>
      <c r="BA4" s="621"/>
      <c r="BB4" s="622"/>
      <c r="BC4" s="621"/>
      <c r="BD4" s="622"/>
      <c r="BE4" s="621"/>
      <c r="BF4" s="622"/>
      <c r="BG4" s="621"/>
      <c r="BH4" s="622"/>
      <c r="BI4" s="621"/>
      <c r="BJ4" s="621"/>
      <c r="BK4" s="621"/>
      <c r="BL4" s="621"/>
      <c r="BM4" s="621"/>
      <c r="BN4" s="621"/>
      <c r="BO4" s="621"/>
      <c r="BP4" s="621"/>
      <c r="BQ4" s="621"/>
      <c r="BR4" s="621"/>
      <c r="BS4" s="621"/>
      <c r="BT4" s="621"/>
      <c r="BU4" s="621"/>
      <c r="BV4" s="621"/>
      <c r="BW4" s="621"/>
      <c r="BX4" s="621"/>
      <c r="BY4" s="621"/>
      <c r="BZ4" s="621"/>
      <c r="CA4" s="621"/>
      <c r="CB4" s="621"/>
      <c r="CC4" s="621"/>
      <c r="CD4" s="621"/>
      <c r="CE4" s="621"/>
      <c r="CF4" s="621"/>
      <c r="CG4" s="621"/>
      <c r="CH4" s="621"/>
      <c r="CI4" s="621"/>
      <c r="CJ4" s="621"/>
      <c r="CK4" s="621"/>
      <c r="CL4" s="621"/>
      <c r="CM4" s="621"/>
      <c r="CN4" s="621"/>
      <c r="CO4" s="621"/>
      <c r="CP4" s="621"/>
      <c r="CQ4" s="621"/>
      <c r="CR4" s="621"/>
      <c r="CS4" s="621"/>
      <c r="CT4" s="621"/>
      <c r="CU4" s="621"/>
      <c r="CV4" s="621"/>
      <c r="CW4" s="621"/>
      <c r="CX4" s="621"/>
      <c r="CY4" s="621"/>
      <c r="CZ4" s="621"/>
      <c r="DA4" s="621"/>
      <c r="DB4" s="621"/>
      <c r="DC4" s="621"/>
      <c r="DD4" s="621"/>
      <c r="DE4" s="127"/>
      <c r="DF4" s="127"/>
      <c r="DG4" s="127"/>
    </row>
    <row r="5" spans="1:113" s="93" customFormat="1" ht="12.75" x14ac:dyDescent="0.2">
      <c r="A5" s="411"/>
      <c r="B5" s="81" t="s">
        <v>561</v>
      </c>
      <c r="C5" s="81" t="s">
        <v>864</v>
      </c>
      <c r="D5" s="81" t="s">
        <v>865</v>
      </c>
      <c r="E5" s="81" t="s">
        <v>560</v>
      </c>
      <c r="F5" s="623">
        <v>1</v>
      </c>
      <c r="G5" s="623">
        <v>2</v>
      </c>
      <c r="H5" s="623">
        <v>3</v>
      </c>
      <c r="I5" s="623">
        <v>4</v>
      </c>
      <c r="J5" s="623">
        <v>5</v>
      </c>
      <c r="K5" s="623">
        <v>6</v>
      </c>
      <c r="L5" s="623">
        <v>7</v>
      </c>
      <c r="M5" s="623">
        <v>8</v>
      </c>
      <c r="N5" s="623">
        <v>9</v>
      </c>
      <c r="O5" s="623">
        <v>10</v>
      </c>
      <c r="P5" s="623">
        <v>11</v>
      </c>
      <c r="Q5" s="623">
        <v>12</v>
      </c>
      <c r="R5" s="623">
        <v>13</v>
      </c>
      <c r="S5" s="623">
        <v>14</v>
      </c>
      <c r="T5" s="623">
        <v>15</v>
      </c>
      <c r="U5" s="623">
        <v>16</v>
      </c>
      <c r="V5" s="623">
        <v>17</v>
      </c>
      <c r="W5" s="623">
        <v>18</v>
      </c>
      <c r="X5" s="623">
        <v>19</v>
      </c>
      <c r="Y5" s="623">
        <v>20</v>
      </c>
      <c r="Z5" s="623">
        <v>21</v>
      </c>
      <c r="AA5" s="623">
        <v>22</v>
      </c>
      <c r="AB5" s="623">
        <v>23</v>
      </c>
      <c r="AC5" s="623">
        <v>24</v>
      </c>
      <c r="AD5" s="623">
        <v>25</v>
      </c>
      <c r="AE5" s="623">
        <v>26</v>
      </c>
      <c r="AF5" s="623">
        <v>27</v>
      </c>
      <c r="AG5" s="623">
        <v>28</v>
      </c>
      <c r="AH5" s="623">
        <v>29</v>
      </c>
      <c r="AI5" s="623">
        <v>30</v>
      </c>
      <c r="AJ5" s="623">
        <v>31</v>
      </c>
      <c r="AK5" s="623">
        <v>32</v>
      </c>
      <c r="AL5" s="623">
        <v>33</v>
      </c>
      <c r="AM5" s="623">
        <v>34</v>
      </c>
      <c r="AN5" s="623">
        <v>35</v>
      </c>
      <c r="AO5" s="623">
        <v>36</v>
      </c>
      <c r="AP5" s="623">
        <v>37</v>
      </c>
      <c r="AQ5" s="623">
        <v>38</v>
      </c>
      <c r="AR5" s="623">
        <v>39</v>
      </c>
      <c r="AS5" s="623">
        <v>40</v>
      </c>
      <c r="AT5" s="623">
        <v>41</v>
      </c>
      <c r="AU5" s="623">
        <v>42</v>
      </c>
      <c r="AV5" s="623">
        <v>43</v>
      </c>
      <c r="AW5" s="623">
        <v>44</v>
      </c>
      <c r="AX5" s="623">
        <v>45</v>
      </c>
      <c r="AY5" s="623">
        <v>46</v>
      </c>
      <c r="AZ5" s="623">
        <v>47</v>
      </c>
      <c r="BA5" s="623">
        <v>48</v>
      </c>
      <c r="BB5" s="623">
        <v>49</v>
      </c>
      <c r="BC5" s="623">
        <v>50</v>
      </c>
      <c r="BD5" s="623">
        <v>51</v>
      </c>
      <c r="BE5" s="623">
        <v>52</v>
      </c>
      <c r="BF5" s="623">
        <v>53</v>
      </c>
      <c r="BG5" s="623">
        <v>54</v>
      </c>
      <c r="BH5" s="623">
        <v>55</v>
      </c>
      <c r="BI5" s="623">
        <v>56</v>
      </c>
      <c r="BJ5" s="623">
        <v>57</v>
      </c>
      <c r="BK5" s="623">
        <v>58</v>
      </c>
      <c r="BL5" s="623">
        <v>59</v>
      </c>
      <c r="BM5" s="623">
        <v>60</v>
      </c>
      <c r="BN5" s="623">
        <v>61</v>
      </c>
      <c r="BO5" s="623">
        <v>62</v>
      </c>
      <c r="BP5" s="623">
        <v>63</v>
      </c>
      <c r="BQ5" s="623">
        <v>64</v>
      </c>
      <c r="BR5" s="623">
        <v>65</v>
      </c>
      <c r="BS5" s="623">
        <v>66</v>
      </c>
      <c r="BT5" s="623">
        <v>67</v>
      </c>
      <c r="BU5" s="623">
        <v>68</v>
      </c>
      <c r="BV5" s="623">
        <v>69</v>
      </c>
      <c r="BW5" s="623">
        <v>70</v>
      </c>
      <c r="BX5" s="623">
        <v>71</v>
      </c>
      <c r="BY5" s="623">
        <v>72</v>
      </c>
      <c r="BZ5" s="623">
        <v>73</v>
      </c>
      <c r="CA5" s="623">
        <v>74</v>
      </c>
      <c r="CB5" s="623">
        <v>75</v>
      </c>
      <c r="CC5" s="623">
        <v>76</v>
      </c>
      <c r="CD5" s="623">
        <v>77</v>
      </c>
      <c r="CE5" s="623">
        <v>78</v>
      </c>
      <c r="CF5" s="623">
        <v>79</v>
      </c>
      <c r="CG5" s="623">
        <v>80</v>
      </c>
      <c r="CH5" s="623">
        <v>81</v>
      </c>
      <c r="CI5" s="623">
        <v>82</v>
      </c>
      <c r="CJ5" s="623">
        <v>83</v>
      </c>
      <c r="CK5" s="623">
        <v>84</v>
      </c>
      <c r="CL5" s="623">
        <v>85</v>
      </c>
      <c r="CM5" s="623">
        <v>86</v>
      </c>
      <c r="CN5" s="623">
        <v>87</v>
      </c>
      <c r="CO5" s="623">
        <v>88</v>
      </c>
      <c r="CP5" s="623">
        <v>89</v>
      </c>
      <c r="CQ5" s="623">
        <v>90</v>
      </c>
      <c r="CR5" s="623">
        <v>91</v>
      </c>
      <c r="CS5" s="623">
        <v>92</v>
      </c>
      <c r="CT5" s="623">
        <v>93</v>
      </c>
      <c r="CU5" s="623">
        <v>94</v>
      </c>
      <c r="CV5" s="623">
        <v>95</v>
      </c>
      <c r="CW5" s="623">
        <v>96</v>
      </c>
      <c r="CX5" s="623">
        <v>97</v>
      </c>
      <c r="CY5" s="623">
        <v>98</v>
      </c>
      <c r="CZ5" s="623">
        <v>99</v>
      </c>
      <c r="DA5" s="623">
        <v>100</v>
      </c>
      <c r="DB5" s="623">
        <v>101</v>
      </c>
      <c r="DC5" s="623">
        <v>102</v>
      </c>
      <c r="DD5" s="623">
        <v>103</v>
      </c>
      <c r="DE5" s="624" t="s">
        <v>1165</v>
      </c>
      <c r="DF5" s="624" t="s">
        <v>1165</v>
      </c>
      <c r="DG5" s="624" t="s">
        <v>1165</v>
      </c>
      <c r="DH5" s="624" t="s">
        <v>1165</v>
      </c>
      <c r="DI5" s="624" t="s">
        <v>1165</v>
      </c>
    </row>
    <row r="6" spans="1:113" s="93" customFormat="1" ht="13.5" thickBot="1" x14ac:dyDescent="0.25">
      <c r="A6" s="591"/>
      <c r="B6" s="157"/>
      <c r="C6" s="82"/>
      <c r="D6" s="65"/>
      <c r="E6" s="82"/>
      <c r="F6" s="623">
        <v>1</v>
      </c>
      <c r="G6" s="623">
        <v>2</v>
      </c>
      <c r="H6" s="623">
        <v>3</v>
      </c>
      <c r="I6" s="623">
        <v>1</v>
      </c>
      <c r="J6" s="623">
        <v>2</v>
      </c>
      <c r="K6" s="623">
        <v>3</v>
      </c>
      <c r="L6" s="623">
        <v>1</v>
      </c>
      <c r="M6" s="623">
        <v>2</v>
      </c>
      <c r="N6" s="623">
        <v>3</v>
      </c>
      <c r="O6" s="623">
        <v>1</v>
      </c>
      <c r="P6" s="623">
        <v>2</v>
      </c>
      <c r="Q6" s="623">
        <v>3</v>
      </c>
      <c r="R6" s="623">
        <v>4</v>
      </c>
      <c r="S6" s="623">
        <v>1</v>
      </c>
      <c r="T6" s="623">
        <v>1</v>
      </c>
      <c r="U6" s="623">
        <v>1</v>
      </c>
      <c r="V6" s="623">
        <v>1</v>
      </c>
      <c r="W6" s="623">
        <v>1</v>
      </c>
      <c r="X6" s="623">
        <v>1</v>
      </c>
      <c r="Y6" s="623">
        <v>1</v>
      </c>
      <c r="Z6" s="623">
        <v>2</v>
      </c>
      <c r="AA6" s="623">
        <v>1</v>
      </c>
      <c r="AB6" s="623">
        <v>2</v>
      </c>
      <c r="AC6" s="623">
        <v>1</v>
      </c>
      <c r="AD6" s="623">
        <v>2</v>
      </c>
      <c r="AE6" s="623">
        <v>1</v>
      </c>
      <c r="AF6" s="623">
        <v>2</v>
      </c>
      <c r="AG6" s="623">
        <v>3</v>
      </c>
      <c r="AH6" s="623">
        <v>4</v>
      </c>
      <c r="AI6" s="623">
        <v>1</v>
      </c>
      <c r="AJ6" s="623">
        <v>2</v>
      </c>
      <c r="AK6" s="623">
        <v>3</v>
      </c>
      <c r="AL6" s="623">
        <v>4</v>
      </c>
      <c r="AM6" s="623">
        <v>1</v>
      </c>
      <c r="AN6" s="623">
        <v>2</v>
      </c>
      <c r="AO6" s="623">
        <v>3</v>
      </c>
      <c r="AP6" s="623">
        <v>4</v>
      </c>
      <c r="AQ6" s="623">
        <v>1</v>
      </c>
      <c r="AR6" s="623">
        <v>2</v>
      </c>
      <c r="AS6" s="623">
        <v>3</v>
      </c>
      <c r="AT6" s="623">
        <v>1</v>
      </c>
      <c r="AU6" s="623">
        <v>2</v>
      </c>
      <c r="AV6" s="623">
        <v>3</v>
      </c>
      <c r="AW6" s="623">
        <v>1</v>
      </c>
      <c r="AX6" s="623">
        <v>2</v>
      </c>
      <c r="AY6" s="623">
        <v>3</v>
      </c>
      <c r="AZ6" s="623">
        <v>1</v>
      </c>
      <c r="BA6" s="623">
        <v>2</v>
      </c>
      <c r="BB6" s="623">
        <v>3</v>
      </c>
      <c r="BC6" s="623">
        <v>1</v>
      </c>
      <c r="BD6" s="623">
        <v>2</v>
      </c>
      <c r="BE6" s="623">
        <v>3</v>
      </c>
      <c r="BF6" s="623">
        <v>1</v>
      </c>
      <c r="BG6" s="623">
        <v>2</v>
      </c>
      <c r="BH6" s="623">
        <v>3</v>
      </c>
      <c r="BI6" s="623">
        <v>1</v>
      </c>
      <c r="BJ6" s="623">
        <v>2</v>
      </c>
      <c r="BK6" s="623">
        <v>3</v>
      </c>
      <c r="BL6" s="623">
        <v>1</v>
      </c>
      <c r="BM6" s="623">
        <v>2</v>
      </c>
      <c r="BN6" s="623">
        <v>3</v>
      </c>
      <c r="BO6" s="623">
        <v>1</v>
      </c>
      <c r="BP6" s="623">
        <v>2</v>
      </c>
      <c r="BQ6" s="623">
        <v>3</v>
      </c>
      <c r="BR6" s="623">
        <v>1</v>
      </c>
      <c r="BS6" s="623">
        <v>2</v>
      </c>
      <c r="BT6" s="623">
        <v>3</v>
      </c>
      <c r="BU6" s="623">
        <v>1</v>
      </c>
      <c r="BV6" s="623">
        <v>2</v>
      </c>
      <c r="BW6" s="623">
        <v>3</v>
      </c>
      <c r="BX6" s="623">
        <v>1</v>
      </c>
      <c r="BY6" s="623">
        <v>2</v>
      </c>
      <c r="BZ6" s="623">
        <v>3</v>
      </c>
      <c r="CA6" s="623">
        <v>1</v>
      </c>
      <c r="CB6" s="623">
        <v>2</v>
      </c>
      <c r="CC6" s="623">
        <v>3</v>
      </c>
      <c r="CD6" s="623">
        <v>1</v>
      </c>
      <c r="CE6" s="623">
        <v>2</v>
      </c>
      <c r="CF6" s="623">
        <v>3</v>
      </c>
      <c r="CG6" s="623">
        <v>1</v>
      </c>
      <c r="CH6" s="623">
        <v>2</v>
      </c>
      <c r="CI6" s="623">
        <v>3</v>
      </c>
      <c r="CJ6" s="623">
        <v>1</v>
      </c>
      <c r="CK6" s="623">
        <v>2</v>
      </c>
      <c r="CL6" s="623">
        <v>3</v>
      </c>
      <c r="CM6" s="623">
        <v>1</v>
      </c>
      <c r="CN6" s="623">
        <v>2</v>
      </c>
      <c r="CO6" s="623">
        <v>3</v>
      </c>
      <c r="CP6" s="623">
        <v>1</v>
      </c>
      <c r="CQ6" s="623">
        <v>2</v>
      </c>
      <c r="CR6" s="623">
        <v>3</v>
      </c>
      <c r="CS6" s="623">
        <v>1</v>
      </c>
      <c r="CT6" s="623">
        <v>2</v>
      </c>
      <c r="CU6" s="623">
        <v>3</v>
      </c>
      <c r="CV6" s="623">
        <v>1</v>
      </c>
      <c r="CW6" s="623">
        <v>2</v>
      </c>
      <c r="CX6" s="623">
        <v>3</v>
      </c>
      <c r="CY6" s="623">
        <v>1</v>
      </c>
      <c r="CZ6" s="623">
        <v>2</v>
      </c>
      <c r="DA6" s="623">
        <v>3</v>
      </c>
      <c r="DB6" s="623">
        <v>1</v>
      </c>
      <c r="DC6" s="623">
        <v>2</v>
      </c>
      <c r="DD6" s="623">
        <v>3</v>
      </c>
      <c r="DE6" s="624" t="s">
        <v>1165</v>
      </c>
      <c r="DF6" s="624" t="s">
        <v>1165</v>
      </c>
      <c r="DG6" s="624" t="s">
        <v>1165</v>
      </c>
      <c r="DH6" s="624" t="s">
        <v>1165</v>
      </c>
      <c r="DI6" s="624" t="s">
        <v>1165</v>
      </c>
    </row>
    <row r="7" spans="1:113" ht="13.5" thickBot="1" x14ac:dyDescent="0.25">
      <c r="A7" s="614"/>
      <c r="B7" s="51"/>
      <c r="C7" s="52"/>
      <c r="D7" s="59"/>
      <c r="E7" s="152"/>
      <c r="F7" s="87"/>
      <c r="G7" s="88"/>
      <c r="H7" s="88"/>
      <c r="I7" s="89"/>
      <c r="J7" s="90"/>
      <c r="K7" s="89"/>
      <c r="L7" s="89"/>
      <c r="M7" s="89"/>
      <c r="N7" s="89"/>
      <c r="O7" s="89"/>
      <c r="P7" s="89"/>
      <c r="Q7" s="89"/>
      <c r="R7" s="89"/>
      <c r="S7" s="89"/>
      <c r="T7" s="89"/>
      <c r="U7" s="89"/>
      <c r="V7" s="91"/>
      <c r="W7" s="89"/>
      <c r="X7" s="89"/>
      <c r="Y7" s="89"/>
      <c r="Z7" s="89"/>
      <c r="AA7" s="91"/>
      <c r="AB7" s="89"/>
      <c r="AC7" s="89"/>
      <c r="AD7" s="91"/>
      <c r="AE7" s="89"/>
      <c r="AF7" s="89"/>
      <c r="AG7" s="91"/>
      <c r="AH7" s="89"/>
      <c r="AI7" s="89"/>
      <c r="AJ7" s="91"/>
      <c r="AK7" s="89"/>
      <c r="AL7" s="89"/>
      <c r="AM7" s="91"/>
      <c r="AN7" s="89"/>
      <c r="AO7" s="89"/>
      <c r="AP7" s="91"/>
      <c r="AQ7" s="89"/>
      <c r="AR7" s="89"/>
      <c r="AS7" s="91"/>
      <c r="AT7" s="89"/>
      <c r="AU7" s="89"/>
      <c r="AV7" s="91"/>
      <c r="AW7" s="89"/>
      <c r="AX7" s="89"/>
      <c r="AY7" s="91"/>
      <c r="AZ7" s="89"/>
      <c r="BA7" s="89"/>
      <c r="BB7" s="91"/>
      <c r="BC7" s="89"/>
      <c r="BD7" s="89"/>
      <c r="BE7" s="91"/>
      <c r="BF7" s="89"/>
      <c r="BG7" s="89"/>
      <c r="BH7" s="91"/>
      <c r="BI7" s="89"/>
      <c r="BJ7" s="89"/>
      <c r="BK7" s="89"/>
      <c r="BL7" s="91"/>
      <c r="BM7" s="89"/>
      <c r="BN7" s="89"/>
      <c r="BO7" s="91"/>
      <c r="BP7" s="89"/>
      <c r="BQ7" s="89"/>
      <c r="BR7" s="91"/>
      <c r="BS7" s="89"/>
      <c r="BT7" s="89"/>
      <c r="BU7" s="89"/>
      <c r="BV7" s="91"/>
      <c r="BW7" s="89"/>
      <c r="BX7" s="89"/>
      <c r="BY7" s="91"/>
      <c r="BZ7" s="89"/>
      <c r="CA7" s="89"/>
      <c r="CB7" s="91"/>
      <c r="CC7" s="89"/>
      <c r="CD7" s="89"/>
      <c r="CE7" s="89"/>
      <c r="CF7" s="91"/>
      <c r="CG7" s="89"/>
      <c r="CH7" s="89"/>
      <c r="CI7" s="91"/>
      <c r="CJ7" s="89"/>
      <c r="CK7" s="89"/>
      <c r="CL7" s="91"/>
      <c r="CM7" s="89"/>
      <c r="CN7" s="89"/>
      <c r="CO7" s="89"/>
      <c r="CP7" s="91"/>
      <c r="CQ7" s="89"/>
      <c r="CR7" s="89"/>
      <c r="CS7" s="91"/>
      <c r="CT7" s="89"/>
      <c r="CU7" s="89"/>
      <c r="CV7" s="91"/>
      <c r="CW7" s="89"/>
      <c r="CX7" s="91"/>
      <c r="CY7" s="89"/>
      <c r="CZ7" s="89"/>
      <c r="DA7" s="91"/>
      <c r="DB7" s="89"/>
      <c r="DC7" s="91"/>
      <c r="DD7" s="89"/>
      <c r="DE7" s="89"/>
      <c r="DF7" s="89"/>
      <c r="DG7" s="89"/>
      <c r="DH7" s="89"/>
      <c r="DI7" s="89"/>
    </row>
    <row r="8" spans="1:113" x14ac:dyDescent="0.2">
      <c r="A8" s="93">
        <v>2</v>
      </c>
      <c r="B8" s="145" t="s">
        <v>563</v>
      </c>
      <c r="C8" s="141" t="s">
        <v>866</v>
      </c>
      <c r="D8" s="142" t="s">
        <v>867</v>
      </c>
      <c r="E8" s="149" t="s">
        <v>562</v>
      </c>
      <c r="F8" s="542">
        <v>1043068</v>
      </c>
      <c r="G8" s="542">
        <v>0</v>
      </c>
      <c r="H8" s="542">
        <v>1043068</v>
      </c>
      <c r="I8" s="542">
        <v>478369</v>
      </c>
      <c r="J8" s="542">
        <v>0</v>
      </c>
      <c r="K8" s="542">
        <v>478369</v>
      </c>
      <c r="L8" s="542">
        <v>564699</v>
      </c>
      <c r="M8" s="542">
        <v>0</v>
      </c>
      <c r="N8" s="542">
        <v>564699</v>
      </c>
      <c r="O8" s="543">
        <v>0.5</v>
      </c>
      <c r="P8" s="543">
        <v>0.4</v>
      </c>
      <c r="Q8" s="543">
        <v>0.1</v>
      </c>
      <c r="R8" s="543">
        <v>0</v>
      </c>
      <c r="S8" s="542">
        <v>86084</v>
      </c>
      <c r="T8" s="542">
        <v>86084</v>
      </c>
      <c r="U8" s="542">
        <v>0</v>
      </c>
      <c r="V8" s="542">
        <v>0</v>
      </c>
      <c r="W8" s="542">
        <v>0</v>
      </c>
      <c r="X8" s="542">
        <v>0</v>
      </c>
      <c r="Y8" s="542">
        <v>0</v>
      </c>
      <c r="Z8" s="542">
        <v>0</v>
      </c>
      <c r="AA8" s="542">
        <v>0</v>
      </c>
      <c r="AB8" s="542">
        <v>0</v>
      </c>
      <c r="AC8" s="542">
        <v>0</v>
      </c>
      <c r="AD8" s="542">
        <v>0</v>
      </c>
      <c r="AE8" s="542">
        <v>0</v>
      </c>
      <c r="AF8" s="542">
        <v>0</v>
      </c>
      <c r="AG8" s="542">
        <v>0</v>
      </c>
      <c r="AH8" s="542">
        <v>0</v>
      </c>
      <c r="AI8" s="542">
        <v>0</v>
      </c>
      <c r="AJ8" s="542">
        <v>0</v>
      </c>
      <c r="AK8" s="542">
        <v>0</v>
      </c>
      <c r="AL8" s="542">
        <v>0</v>
      </c>
      <c r="AM8" s="542">
        <v>0</v>
      </c>
      <c r="AN8" s="542">
        <v>0</v>
      </c>
      <c r="AO8" s="542">
        <v>0</v>
      </c>
      <c r="AP8" s="542">
        <v>0</v>
      </c>
      <c r="AQ8" s="542">
        <v>250945.17800000001</v>
      </c>
      <c r="AR8" s="542">
        <v>62736.294600000001</v>
      </c>
      <c r="AS8" s="542">
        <v>0</v>
      </c>
      <c r="AT8" s="542">
        <v>219353</v>
      </c>
      <c r="AU8" s="542">
        <v>54838</v>
      </c>
      <c r="AV8" s="542">
        <v>0</v>
      </c>
      <c r="AW8" s="542">
        <v>31592</v>
      </c>
      <c r="AX8" s="542">
        <v>7898</v>
      </c>
      <c r="AY8" s="542">
        <v>0</v>
      </c>
      <c r="AZ8" s="542">
        <v>0</v>
      </c>
      <c r="BA8" s="542">
        <v>0</v>
      </c>
      <c r="BB8" s="542">
        <v>0</v>
      </c>
      <c r="BC8" s="542">
        <v>4431</v>
      </c>
      <c r="BD8" s="542">
        <v>1108</v>
      </c>
      <c r="BE8" s="542">
        <v>0</v>
      </c>
      <c r="BF8" s="542">
        <v>-4431</v>
      </c>
      <c r="BG8" s="542">
        <v>-1108</v>
      </c>
      <c r="BH8" s="542">
        <v>0</v>
      </c>
      <c r="BI8" s="542">
        <v>0</v>
      </c>
      <c r="BJ8" s="542">
        <v>0</v>
      </c>
      <c r="BK8" s="542">
        <v>0</v>
      </c>
      <c r="BL8" s="542">
        <v>1883</v>
      </c>
      <c r="BM8" s="542">
        <v>471</v>
      </c>
      <c r="BN8" s="542">
        <v>0</v>
      </c>
      <c r="BO8" s="542">
        <v>-1883</v>
      </c>
      <c r="BP8" s="542">
        <v>-471</v>
      </c>
      <c r="BQ8" s="542">
        <v>0</v>
      </c>
      <c r="BR8" s="542">
        <v>0</v>
      </c>
      <c r="BS8" s="542">
        <v>0</v>
      </c>
      <c r="BT8" s="542">
        <v>0</v>
      </c>
      <c r="BU8" s="542">
        <v>809</v>
      </c>
      <c r="BV8" s="542">
        <v>202</v>
      </c>
      <c r="BW8" s="542">
        <v>0</v>
      </c>
      <c r="BX8" s="542">
        <v>-809</v>
      </c>
      <c r="BY8" s="542">
        <v>-202</v>
      </c>
      <c r="BZ8" s="542">
        <v>0</v>
      </c>
      <c r="CA8" s="542">
        <v>78768.601200000005</v>
      </c>
      <c r="CB8" s="542">
        <v>19692.150300000001</v>
      </c>
      <c r="CC8" s="542">
        <v>0</v>
      </c>
      <c r="CD8" s="542">
        <v>100896</v>
      </c>
      <c r="CE8" s="542">
        <v>25224</v>
      </c>
      <c r="CF8" s="542">
        <v>0</v>
      </c>
      <c r="CG8" s="542">
        <v>-22127</v>
      </c>
      <c r="CH8" s="542">
        <v>-5532</v>
      </c>
      <c r="CI8" s="542">
        <v>0</v>
      </c>
      <c r="CJ8" s="542">
        <v>0</v>
      </c>
      <c r="CK8" s="542">
        <v>0</v>
      </c>
      <c r="CL8" s="542">
        <v>0</v>
      </c>
      <c r="CM8" s="542">
        <v>1434.6700599999999</v>
      </c>
      <c r="CN8" s="542">
        <v>358.66751499999998</v>
      </c>
      <c r="CO8" s="542">
        <v>0</v>
      </c>
      <c r="CP8" s="542">
        <v>0</v>
      </c>
      <c r="CQ8" s="542">
        <v>0</v>
      </c>
      <c r="CR8" s="542">
        <v>0</v>
      </c>
      <c r="CS8" s="542">
        <v>1435</v>
      </c>
      <c r="CT8" s="542">
        <v>359</v>
      </c>
      <c r="CU8" s="542">
        <v>0</v>
      </c>
      <c r="CV8" s="542">
        <v>75377.477700000003</v>
      </c>
      <c r="CW8" s="542">
        <v>18844.3694</v>
      </c>
      <c r="CX8" s="542">
        <v>0</v>
      </c>
      <c r="CY8" s="542">
        <v>72757</v>
      </c>
      <c r="CZ8" s="542">
        <v>17961</v>
      </c>
      <c r="DA8" s="542">
        <v>0</v>
      </c>
      <c r="DB8" s="542">
        <v>2620</v>
      </c>
      <c r="DC8" s="542">
        <v>883</v>
      </c>
      <c r="DD8" s="542">
        <v>0</v>
      </c>
      <c r="DE8" s="153" t="s">
        <v>562</v>
      </c>
      <c r="DF8" s="103" t="s">
        <v>749</v>
      </c>
      <c r="DG8" s="104" t="s">
        <v>751</v>
      </c>
      <c r="DH8" s="547"/>
      <c r="DI8" s="547"/>
    </row>
    <row r="9" spans="1:113" x14ac:dyDescent="0.2">
      <c r="A9" s="93">
        <v>3</v>
      </c>
      <c r="B9" s="145" t="s">
        <v>565</v>
      </c>
      <c r="C9" s="141" t="s">
        <v>866</v>
      </c>
      <c r="D9" s="142" t="s">
        <v>868</v>
      </c>
      <c r="E9" s="149" t="s">
        <v>564</v>
      </c>
      <c r="F9" s="542">
        <v>-168817</v>
      </c>
      <c r="G9" s="542">
        <v>0</v>
      </c>
      <c r="H9" s="542">
        <v>-168817</v>
      </c>
      <c r="I9" s="542">
        <v>90323</v>
      </c>
      <c r="J9" s="542">
        <v>0</v>
      </c>
      <c r="K9" s="542">
        <v>90323</v>
      </c>
      <c r="L9" s="542">
        <v>-259140</v>
      </c>
      <c r="M9" s="542">
        <v>0</v>
      </c>
      <c r="N9" s="542">
        <v>-259140</v>
      </c>
      <c r="O9" s="543">
        <v>0.5</v>
      </c>
      <c r="P9" s="543">
        <v>0.4</v>
      </c>
      <c r="Q9" s="543">
        <v>0.1</v>
      </c>
      <c r="R9" s="543">
        <v>0</v>
      </c>
      <c r="S9" s="542">
        <v>181754</v>
      </c>
      <c r="T9" s="542">
        <v>181754</v>
      </c>
      <c r="U9" s="542">
        <v>0</v>
      </c>
      <c r="V9" s="542">
        <v>0</v>
      </c>
      <c r="W9" s="542">
        <v>0</v>
      </c>
      <c r="X9" s="542">
        <v>0</v>
      </c>
      <c r="Y9" s="542">
        <v>411621</v>
      </c>
      <c r="Z9" s="542">
        <v>0</v>
      </c>
      <c r="AA9" s="542">
        <v>165085</v>
      </c>
      <c r="AB9" s="542">
        <v>0</v>
      </c>
      <c r="AC9" s="542">
        <v>246536</v>
      </c>
      <c r="AD9" s="542">
        <v>0</v>
      </c>
      <c r="AE9" s="542">
        <v>0</v>
      </c>
      <c r="AF9" s="542">
        <v>0</v>
      </c>
      <c r="AG9" s="542">
        <v>0</v>
      </c>
      <c r="AH9" s="542">
        <v>0</v>
      </c>
      <c r="AI9" s="542">
        <v>0</v>
      </c>
      <c r="AJ9" s="542">
        <v>0</v>
      </c>
      <c r="AK9" s="542">
        <v>0</v>
      </c>
      <c r="AL9" s="542">
        <v>0</v>
      </c>
      <c r="AM9" s="542">
        <v>0</v>
      </c>
      <c r="AN9" s="542">
        <v>0</v>
      </c>
      <c r="AO9" s="542">
        <v>0</v>
      </c>
      <c r="AP9" s="542">
        <v>0</v>
      </c>
      <c r="AQ9" s="542">
        <v>676387.10600000003</v>
      </c>
      <c r="AR9" s="542">
        <v>169096.77600000001</v>
      </c>
      <c r="AS9" s="542">
        <v>0</v>
      </c>
      <c r="AT9" s="542">
        <v>628090</v>
      </c>
      <c r="AU9" s="542">
        <v>157022</v>
      </c>
      <c r="AV9" s="542">
        <v>0</v>
      </c>
      <c r="AW9" s="542">
        <v>48297</v>
      </c>
      <c r="AX9" s="542">
        <v>12075</v>
      </c>
      <c r="AY9" s="542">
        <v>0</v>
      </c>
      <c r="AZ9" s="542">
        <v>306.82292899999999</v>
      </c>
      <c r="BA9" s="542">
        <v>76.705732400000002</v>
      </c>
      <c r="BB9" s="542">
        <v>0</v>
      </c>
      <c r="BC9" s="542">
        <v>9520</v>
      </c>
      <c r="BD9" s="542">
        <v>2380</v>
      </c>
      <c r="BE9" s="542">
        <v>0</v>
      </c>
      <c r="BF9" s="542">
        <v>-9213</v>
      </c>
      <c r="BG9" s="542">
        <v>-2303</v>
      </c>
      <c r="BH9" s="542">
        <v>0</v>
      </c>
      <c r="BI9" s="542">
        <v>0</v>
      </c>
      <c r="BJ9" s="542">
        <v>0</v>
      </c>
      <c r="BK9" s="542">
        <v>0</v>
      </c>
      <c r="BL9" s="542">
        <v>0</v>
      </c>
      <c r="BM9" s="542">
        <v>0</v>
      </c>
      <c r="BN9" s="542">
        <v>0</v>
      </c>
      <c r="BO9" s="542">
        <v>0</v>
      </c>
      <c r="BP9" s="542">
        <v>0</v>
      </c>
      <c r="BQ9" s="542">
        <v>0</v>
      </c>
      <c r="BR9" s="542">
        <v>1099.54989</v>
      </c>
      <c r="BS9" s="542">
        <v>274.887473</v>
      </c>
      <c r="BT9" s="542">
        <v>0</v>
      </c>
      <c r="BU9" s="542">
        <v>2022</v>
      </c>
      <c r="BV9" s="542">
        <v>505</v>
      </c>
      <c r="BW9" s="542">
        <v>0</v>
      </c>
      <c r="BX9" s="542">
        <v>-922</v>
      </c>
      <c r="BY9" s="542">
        <v>-230</v>
      </c>
      <c r="BZ9" s="542">
        <v>0</v>
      </c>
      <c r="CA9" s="542">
        <v>199193.973</v>
      </c>
      <c r="CB9" s="542">
        <v>49798.493399999999</v>
      </c>
      <c r="CC9" s="542">
        <v>0</v>
      </c>
      <c r="CD9" s="542">
        <v>256116</v>
      </c>
      <c r="CE9" s="542">
        <v>64029</v>
      </c>
      <c r="CF9" s="542">
        <v>0</v>
      </c>
      <c r="CG9" s="542">
        <v>-56922</v>
      </c>
      <c r="CH9" s="542">
        <v>-14231</v>
      </c>
      <c r="CI9" s="542">
        <v>0</v>
      </c>
      <c r="CJ9" s="542">
        <v>0</v>
      </c>
      <c r="CK9" s="542">
        <v>0</v>
      </c>
      <c r="CL9" s="542">
        <v>0</v>
      </c>
      <c r="CM9" s="542">
        <v>0</v>
      </c>
      <c r="CN9" s="542">
        <v>0</v>
      </c>
      <c r="CO9" s="542">
        <v>0</v>
      </c>
      <c r="CP9" s="542">
        <v>0</v>
      </c>
      <c r="CQ9" s="542">
        <v>0</v>
      </c>
      <c r="CR9" s="542">
        <v>0</v>
      </c>
      <c r="CS9" s="542">
        <v>0</v>
      </c>
      <c r="CT9" s="542">
        <v>0</v>
      </c>
      <c r="CU9" s="542">
        <v>0</v>
      </c>
      <c r="CV9" s="542">
        <v>109343.26300000001</v>
      </c>
      <c r="CW9" s="542">
        <v>26243.403399999999</v>
      </c>
      <c r="CX9" s="542">
        <v>0</v>
      </c>
      <c r="CY9" s="542">
        <v>115372</v>
      </c>
      <c r="CZ9" s="542">
        <v>27923</v>
      </c>
      <c r="DA9" s="542">
        <v>0</v>
      </c>
      <c r="DB9" s="542">
        <v>-6029</v>
      </c>
      <c r="DC9" s="542">
        <v>-1680</v>
      </c>
      <c r="DD9" s="542">
        <v>0</v>
      </c>
      <c r="DE9" s="153" t="s">
        <v>564</v>
      </c>
      <c r="DF9" s="103" t="s">
        <v>752</v>
      </c>
      <c r="DG9" s="104" t="s">
        <v>751</v>
      </c>
      <c r="DH9" s="547"/>
      <c r="DI9" s="547"/>
    </row>
    <row r="10" spans="1:113" x14ac:dyDescent="0.2">
      <c r="A10" s="93">
        <v>4</v>
      </c>
      <c r="B10" s="145" t="s">
        <v>567</v>
      </c>
      <c r="C10" s="141" t="s">
        <v>866</v>
      </c>
      <c r="D10" s="142" t="s">
        <v>869</v>
      </c>
      <c r="E10" s="149" t="s">
        <v>566</v>
      </c>
      <c r="F10" s="542">
        <v>-213617</v>
      </c>
      <c r="G10" s="542">
        <v>0</v>
      </c>
      <c r="H10" s="542">
        <v>-213617</v>
      </c>
      <c r="I10" s="542">
        <v>42356</v>
      </c>
      <c r="J10" s="542">
        <v>0</v>
      </c>
      <c r="K10" s="542">
        <v>42356</v>
      </c>
      <c r="L10" s="542">
        <v>-255973</v>
      </c>
      <c r="M10" s="542">
        <v>0</v>
      </c>
      <c r="N10" s="542">
        <v>-255973</v>
      </c>
      <c r="O10" s="543">
        <v>0.5</v>
      </c>
      <c r="P10" s="543">
        <v>0.4</v>
      </c>
      <c r="Q10" s="543">
        <v>0.09</v>
      </c>
      <c r="R10" s="543">
        <v>0.01</v>
      </c>
      <c r="S10" s="542">
        <v>154029</v>
      </c>
      <c r="T10" s="542">
        <v>154029</v>
      </c>
      <c r="U10" s="542">
        <v>0</v>
      </c>
      <c r="V10" s="542">
        <v>0</v>
      </c>
      <c r="W10" s="542">
        <v>0</v>
      </c>
      <c r="X10" s="542">
        <v>0</v>
      </c>
      <c r="Y10" s="542">
        <v>0</v>
      </c>
      <c r="Z10" s="542">
        <v>0</v>
      </c>
      <c r="AA10" s="542">
        <v>0</v>
      </c>
      <c r="AB10" s="542">
        <v>0</v>
      </c>
      <c r="AC10" s="542">
        <v>0</v>
      </c>
      <c r="AD10" s="542">
        <v>0</v>
      </c>
      <c r="AE10" s="542">
        <v>0</v>
      </c>
      <c r="AF10" s="542">
        <v>0</v>
      </c>
      <c r="AG10" s="542">
        <v>0</v>
      </c>
      <c r="AH10" s="542">
        <v>0</v>
      </c>
      <c r="AI10" s="542">
        <v>0</v>
      </c>
      <c r="AJ10" s="542">
        <v>0</v>
      </c>
      <c r="AK10" s="542">
        <v>0</v>
      </c>
      <c r="AL10" s="542">
        <v>0</v>
      </c>
      <c r="AM10" s="542">
        <v>0</v>
      </c>
      <c r="AN10" s="542">
        <v>0</v>
      </c>
      <c r="AO10" s="542">
        <v>0</v>
      </c>
      <c r="AP10" s="542">
        <v>0</v>
      </c>
      <c r="AQ10" s="542">
        <v>538811.38300000003</v>
      </c>
      <c r="AR10" s="542">
        <v>121232.561</v>
      </c>
      <c r="AS10" s="542">
        <v>13470.2845</v>
      </c>
      <c r="AT10" s="542">
        <v>502830</v>
      </c>
      <c r="AU10" s="542">
        <v>113137</v>
      </c>
      <c r="AV10" s="542">
        <v>12571</v>
      </c>
      <c r="AW10" s="542">
        <v>35981</v>
      </c>
      <c r="AX10" s="542">
        <v>8096</v>
      </c>
      <c r="AY10" s="542">
        <v>899</v>
      </c>
      <c r="AZ10" s="542">
        <v>0</v>
      </c>
      <c r="BA10" s="542">
        <v>0</v>
      </c>
      <c r="BB10" s="542">
        <v>0</v>
      </c>
      <c r="BC10" s="542">
        <v>10106</v>
      </c>
      <c r="BD10" s="542">
        <v>2274</v>
      </c>
      <c r="BE10" s="542">
        <v>253</v>
      </c>
      <c r="BF10" s="542">
        <v>-10106</v>
      </c>
      <c r="BG10" s="542">
        <v>-2274</v>
      </c>
      <c r="BH10" s="542">
        <v>-253</v>
      </c>
      <c r="BI10" s="542">
        <v>0</v>
      </c>
      <c r="BJ10" s="542">
        <v>0</v>
      </c>
      <c r="BK10" s="542">
        <v>0</v>
      </c>
      <c r="BL10" s="542">
        <v>0</v>
      </c>
      <c r="BM10" s="542">
        <v>0</v>
      </c>
      <c r="BN10" s="542">
        <v>0</v>
      </c>
      <c r="BO10" s="542">
        <v>0</v>
      </c>
      <c r="BP10" s="542">
        <v>0</v>
      </c>
      <c r="BQ10" s="542">
        <v>0</v>
      </c>
      <c r="BR10" s="542">
        <v>4980.7184699999998</v>
      </c>
      <c r="BS10" s="542">
        <v>1120.66165</v>
      </c>
      <c r="BT10" s="542">
        <v>124.517961</v>
      </c>
      <c r="BU10" s="542">
        <v>8085</v>
      </c>
      <c r="BV10" s="542">
        <v>1819</v>
      </c>
      <c r="BW10" s="542">
        <v>202</v>
      </c>
      <c r="BX10" s="542">
        <v>-3104</v>
      </c>
      <c r="BY10" s="542">
        <v>-698</v>
      </c>
      <c r="BZ10" s="542">
        <v>-77</v>
      </c>
      <c r="CA10" s="542">
        <v>201485.64499999999</v>
      </c>
      <c r="CB10" s="542">
        <v>45334.270299999996</v>
      </c>
      <c r="CC10" s="542">
        <v>5037.1411399999997</v>
      </c>
      <c r="CD10" s="542">
        <v>242548</v>
      </c>
      <c r="CE10" s="542">
        <v>54573</v>
      </c>
      <c r="CF10" s="542">
        <v>6064</v>
      </c>
      <c r="CG10" s="542">
        <v>-41062</v>
      </c>
      <c r="CH10" s="542">
        <v>-9239</v>
      </c>
      <c r="CI10" s="542">
        <v>-1027</v>
      </c>
      <c r="CJ10" s="542">
        <v>0</v>
      </c>
      <c r="CK10" s="542">
        <v>0</v>
      </c>
      <c r="CL10" s="542">
        <v>0</v>
      </c>
      <c r="CM10" s="542">
        <v>0</v>
      </c>
      <c r="CN10" s="542">
        <v>0</v>
      </c>
      <c r="CO10" s="542">
        <v>0</v>
      </c>
      <c r="CP10" s="542">
        <v>0</v>
      </c>
      <c r="CQ10" s="542">
        <v>0</v>
      </c>
      <c r="CR10" s="542">
        <v>0</v>
      </c>
      <c r="CS10" s="542">
        <v>0</v>
      </c>
      <c r="CT10" s="542">
        <v>0</v>
      </c>
      <c r="CU10" s="542">
        <v>0</v>
      </c>
      <c r="CV10" s="542">
        <v>123034.59</v>
      </c>
      <c r="CW10" s="542">
        <v>27682.782800000001</v>
      </c>
      <c r="CX10" s="542">
        <v>3075.8647500000002</v>
      </c>
      <c r="CY10" s="542">
        <v>131863</v>
      </c>
      <c r="CZ10" s="542">
        <v>29301</v>
      </c>
      <c r="DA10" s="542">
        <v>3256</v>
      </c>
      <c r="DB10" s="542">
        <v>-8828</v>
      </c>
      <c r="DC10" s="542">
        <v>-1618</v>
      </c>
      <c r="DD10" s="542">
        <v>-180</v>
      </c>
      <c r="DE10" s="153" t="s">
        <v>566</v>
      </c>
      <c r="DF10" s="103" t="s">
        <v>753</v>
      </c>
      <c r="DG10" s="104" t="s">
        <v>754</v>
      </c>
      <c r="DH10" s="547"/>
      <c r="DI10" s="547"/>
    </row>
    <row r="11" spans="1:113" x14ac:dyDescent="0.2">
      <c r="A11" s="93">
        <v>5</v>
      </c>
      <c r="B11" s="145" t="s">
        <v>569</v>
      </c>
      <c r="C11" s="141" t="s">
        <v>866</v>
      </c>
      <c r="D11" s="142" t="s">
        <v>867</v>
      </c>
      <c r="E11" s="149" t="s">
        <v>568</v>
      </c>
      <c r="F11" s="542">
        <v>-246851</v>
      </c>
      <c r="G11" s="542">
        <v>0</v>
      </c>
      <c r="H11" s="542">
        <v>-246851</v>
      </c>
      <c r="I11" s="542">
        <v>14469</v>
      </c>
      <c r="J11" s="542">
        <v>0</v>
      </c>
      <c r="K11" s="542">
        <v>14469</v>
      </c>
      <c r="L11" s="542">
        <v>-261320</v>
      </c>
      <c r="M11" s="542">
        <v>0</v>
      </c>
      <c r="N11" s="542">
        <v>-261320</v>
      </c>
      <c r="O11" s="543">
        <v>0.5</v>
      </c>
      <c r="P11" s="543">
        <v>0.4</v>
      </c>
      <c r="Q11" s="543">
        <v>0.1</v>
      </c>
      <c r="R11" s="543">
        <v>0</v>
      </c>
      <c r="S11" s="542">
        <v>174261</v>
      </c>
      <c r="T11" s="542">
        <v>174261</v>
      </c>
      <c r="U11" s="542">
        <v>0</v>
      </c>
      <c r="V11" s="542">
        <v>0</v>
      </c>
      <c r="W11" s="542">
        <v>0</v>
      </c>
      <c r="X11" s="542">
        <v>0</v>
      </c>
      <c r="Y11" s="542">
        <v>0</v>
      </c>
      <c r="Z11" s="542">
        <v>0</v>
      </c>
      <c r="AA11" s="542">
        <v>0</v>
      </c>
      <c r="AB11" s="542">
        <v>0</v>
      </c>
      <c r="AC11" s="542">
        <v>0</v>
      </c>
      <c r="AD11" s="542">
        <v>0</v>
      </c>
      <c r="AE11" s="542">
        <v>0</v>
      </c>
      <c r="AF11" s="542">
        <v>0</v>
      </c>
      <c r="AG11" s="542">
        <v>0</v>
      </c>
      <c r="AH11" s="542">
        <v>0</v>
      </c>
      <c r="AI11" s="542">
        <v>0</v>
      </c>
      <c r="AJ11" s="542">
        <v>0</v>
      </c>
      <c r="AK11" s="542">
        <v>0</v>
      </c>
      <c r="AL11" s="542">
        <v>0</v>
      </c>
      <c r="AM11" s="542">
        <v>0</v>
      </c>
      <c r="AN11" s="542">
        <v>0</v>
      </c>
      <c r="AO11" s="542">
        <v>0</v>
      </c>
      <c r="AP11" s="542">
        <v>0</v>
      </c>
      <c r="AQ11" s="542">
        <v>657190.86499999999</v>
      </c>
      <c r="AR11" s="542">
        <v>164297.71599999999</v>
      </c>
      <c r="AS11" s="542">
        <v>0</v>
      </c>
      <c r="AT11" s="542">
        <v>614927</v>
      </c>
      <c r="AU11" s="542">
        <v>153732</v>
      </c>
      <c r="AV11" s="542">
        <v>0</v>
      </c>
      <c r="AW11" s="542">
        <v>42264</v>
      </c>
      <c r="AX11" s="542">
        <v>10566</v>
      </c>
      <c r="AY11" s="542">
        <v>0</v>
      </c>
      <c r="AZ11" s="542">
        <v>5334.8382099999999</v>
      </c>
      <c r="BA11" s="542">
        <v>1333.70955</v>
      </c>
      <c r="BB11" s="542">
        <v>0</v>
      </c>
      <c r="BC11" s="542">
        <v>0</v>
      </c>
      <c r="BD11" s="542">
        <v>0</v>
      </c>
      <c r="BE11" s="542">
        <v>0</v>
      </c>
      <c r="BF11" s="542">
        <v>5335</v>
      </c>
      <c r="BG11" s="542">
        <v>1334</v>
      </c>
      <c r="BH11" s="542">
        <v>0</v>
      </c>
      <c r="BI11" s="542">
        <v>0</v>
      </c>
      <c r="BJ11" s="542">
        <v>0</v>
      </c>
      <c r="BK11" s="542">
        <v>0</v>
      </c>
      <c r="BL11" s="542">
        <v>0</v>
      </c>
      <c r="BM11" s="542">
        <v>0</v>
      </c>
      <c r="BN11" s="542">
        <v>0</v>
      </c>
      <c r="BO11" s="542">
        <v>0</v>
      </c>
      <c r="BP11" s="542">
        <v>0</v>
      </c>
      <c r="BQ11" s="542">
        <v>0</v>
      </c>
      <c r="BR11" s="542">
        <v>1190.9095500000001</v>
      </c>
      <c r="BS11" s="542">
        <v>297.72738800000002</v>
      </c>
      <c r="BT11" s="542">
        <v>0</v>
      </c>
      <c r="BU11" s="542">
        <v>0</v>
      </c>
      <c r="BV11" s="542">
        <v>0</v>
      </c>
      <c r="BW11" s="542">
        <v>0</v>
      </c>
      <c r="BX11" s="542">
        <v>1191</v>
      </c>
      <c r="BY11" s="542">
        <v>298</v>
      </c>
      <c r="BZ11" s="542">
        <v>0</v>
      </c>
      <c r="CA11" s="542">
        <v>263148.96899999998</v>
      </c>
      <c r="CB11" s="542">
        <v>65787.242400000003</v>
      </c>
      <c r="CC11" s="542">
        <v>0</v>
      </c>
      <c r="CD11" s="542">
        <v>308791</v>
      </c>
      <c r="CE11" s="542">
        <v>77198</v>
      </c>
      <c r="CF11" s="542">
        <v>0</v>
      </c>
      <c r="CG11" s="542">
        <v>-45642</v>
      </c>
      <c r="CH11" s="542">
        <v>-11411</v>
      </c>
      <c r="CI11" s="542">
        <v>0</v>
      </c>
      <c r="CJ11" s="542">
        <v>0</v>
      </c>
      <c r="CK11" s="542">
        <v>0</v>
      </c>
      <c r="CL11" s="542">
        <v>0</v>
      </c>
      <c r="CM11" s="542">
        <v>4114.0144300000002</v>
      </c>
      <c r="CN11" s="542">
        <v>1028.5036</v>
      </c>
      <c r="CO11" s="542">
        <v>0</v>
      </c>
      <c r="CP11" s="542">
        <v>511</v>
      </c>
      <c r="CQ11" s="542">
        <v>127.75</v>
      </c>
      <c r="CR11" s="542">
        <v>0</v>
      </c>
      <c r="CS11" s="542">
        <v>3603</v>
      </c>
      <c r="CT11" s="542">
        <v>901</v>
      </c>
      <c r="CU11" s="542">
        <v>0</v>
      </c>
      <c r="CV11" s="542">
        <v>135015.375</v>
      </c>
      <c r="CW11" s="542">
        <v>33753.8439</v>
      </c>
      <c r="CX11" s="542">
        <v>0</v>
      </c>
      <c r="CY11" s="542">
        <v>143831</v>
      </c>
      <c r="CZ11" s="542">
        <v>35495</v>
      </c>
      <c r="DA11" s="542">
        <v>0</v>
      </c>
      <c r="DB11" s="542">
        <v>-8816</v>
      </c>
      <c r="DC11" s="542">
        <v>-1741</v>
      </c>
      <c r="DD11" s="542">
        <v>0</v>
      </c>
      <c r="DE11" s="153" t="s">
        <v>568</v>
      </c>
      <c r="DF11" s="103" t="s">
        <v>749</v>
      </c>
      <c r="DG11" s="104" t="s">
        <v>751</v>
      </c>
      <c r="DH11" s="547"/>
      <c r="DI11" s="547"/>
    </row>
    <row r="12" spans="1:113" ht="12.75" x14ac:dyDescent="0.2">
      <c r="A12" s="93">
        <v>6</v>
      </c>
      <c r="B12" s="145" t="s">
        <v>571</v>
      </c>
      <c r="C12" s="141" t="s">
        <v>866</v>
      </c>
      <c r="D12" s="142" t="s">
        <v>869</v>
      </c>
      <c r="E12" s="149" t="s">
        <v>570</v>
      </c>
      <c r="F12" s="542">
        <v>49659</v>
      </c>
      <c r="G12" s="542">
        <v>0</v>
      </c>
      <c r="H12" s="542">
        <v>49659</v>
      </c>
      <c r="I12" s="542">
        <v>39218</v>
      </c>
      <c r="J12" s="542">
        <v>0</v>
      </c>
      <c r="K12" s="542">
        <v>39218</v>
      </c>
      <c r="L12" s="542">
        <v>10441</v>
      </c>
      <c r="M12" s="542">
        <v>0</v>
      </c>
      <c r="N12" s="542">
        <v>10441</v>
      </c>
      <c r="O12" s="543">
        <v>0.5</v>
      </c>
      <c r="P12" s="543">
        <v>0.4</v>
      </c>
      <c r="Q12" s="543">
        <v>0.09</v>
      </c>
      <c r="R12" s="543">
        <v>0.01</v>
      </c>
      <c r="S12" s="542">
        <v>128854</v>
      </c>
      <c r="T12" s="542">
        <v>128854</v>
      </c>
      <c r="U12" s="542">
        <v>0</v>
      </c>
      <c r="V12" s="542">
        <v>0</v>
      </c>
      <c r="W12" s="542">
        <v>0</v>
      </c>
      <c r="X12" s="542">
        <v>0</v>
      </c>
      <c r="Y12" s="542">
        <v>0</v>
      </c>
      <c r="Z12" s="542">
        <v>0</v>
      </c>
      <c r="AA12" s="542">
        <v>0</v>
      </c>
      <c r="AB12" s="542">
        <v>0</v>
      </c>
      <c r="AC12" s="542">
        <v>0</v>
      </c>
      <c r="AD12" s="542">
        <v>0</v>
      </c>
      <c r="AE12" s="542">
        <v>0</v>
      </c>
      <c r="AF12" s="542">
        <v>0</v>
      </c>
      <c r="AG12" s="542">
        <v>0</v>
      </c>
      <c r="AH12" s="542">
        <v>0</v>
      </c>
      <c r="AI12" s="542">
        <v>0</v>
      </c>
      <c r="AJ12" s="542">
        <v>0</v>
      </c>
      <c r="AK12" s="542">
        <v>0</v>
      </c>
      <c r="AL12" s="542">
        <v>0</v>
      </c>
      <c r="AM12" s="542">
        <v>0</v>
      </c>
      <c r="AN12" s="542">
        <v>0</v>
      </c>
      <c r="AO12" s="542">
        <v>0</v>
      </c>
      <c r="AP12" s="542">
        <v>0</v>
      </c>
      <c r="AQ12" s="542">
        <v>373736.402</v>
      </c>
      <c r="AR12" s="542">
        <v>84090.690499999997</v>
      </c>
      <c r="AS12" s="542">
        <v>9343.4100600000002</v>
      </c>
      <c r="AT12" s="542">
        <v>335579</v>
      </c>
      <c r="AU12" s="542">
        <v>75506</v>
      </c>
      <c r="AV12" s="542">
        <v>8390</v>
      </c>
      <c r="AW12" s="542">
        <v>38157</v>
      </c>
      <c r="AX12" s="542">
        <v>8585</v>
      </c>
      <c r="AY12" s="542">
        <v>953</v>
      </c>
      <c r="AZ12" s="542">
        <v>1786.76857</v>
      </c>
      <c r="BA12" s="542">
        <v>402.02292899999998</v>
      </c>
      <c r="BB12" s="542">
        <v>44.669214400000001</v>
      </c>
      <c r="BC12" s="542">
        <v>35356</v>
      </c>
      <c r="BD12" s="542">
        <v>7955</v>
      </c>
      <c r="BE12" s="542">
        <v>884</v>
      </c>
      <c r="BF12" s="542">
        <v>-33569</v>
      </c>
      <c r="BG12" s="542">
        <v>-7553</v>
      </c>
      <c r="BH12" s="542">
        <v>-839</v>
      </c>
      <c r="BI12" s="542">
        <v>0</v>
      </c>
      <c r="BJ12" s="542">
        <v>0</v>
      </c>
      <c r="BK12" s="542">
        <v>0</v>
      </c>
      <c r="BL12" s="542">
        <v>18798</v>
      </c>
      <c r="BM12" s="542">
        <v>4229</v>
      </c>
      <c r="BN12" s="542">
        <v>470</v>
      </c>
      <c r="BO12" s="542">
        <v>-18798</v>
      </c>
      <c r="BP12" s="542">
        <v>-4229</v>
      </c>
      <c r="BQ12" s="542">
        <v>-470</v>
      </c>
      <c r="BR12" s="542">
        <v>0</v>
      </c>
      <c r="BS12" s="542">
        <v>0</v>
      </c>
      <c r="BT12" s="542">
        <v>0</v>
      </c>
      <c r="BU12" s="542">
        <v>9398</v>
      </c>
      <c r="BV12" s="542">
        <v>2115</v>
      </c>
      <c r="BW12" s="542">
        <v>235</v>
      </c>
      <c r="BX12" s="542">
        <v>-9398</v>
      </c>
      <c r="BY12" s="542">
        <v>-2115</v>
      </c>
      <c r="BZ12" s="542">
        <v>-235</v>
      </c>
      <c r="CA12" s="542">
        <v>59910.916299999997</v>
      </c>
      <c r="CB12" s="542">
        <v>13479.956099999999</v>
      </c>
      <c r="CC12" s="542">
        <v>1497.7728999999999</v>
      </c>
      <c r="CD12" s="542">
        <v>167762</v>
      </c>
      <c r="CE12" s="542">
        <v>37747</v>
      </c>
      <c r="CF12" s="542">
        <v>4194</v>
      </c>
      <c r="CG12" s="542">
        <v>-107851</v>
      </c>
      <c r="CH12" s="542">
        <v>-24267</v>
      </c>
      <c r="CI12" s="542">
        <v>-2696</v>
      </c>
      <c r="CJ12" s="542">
        <v>0</v>
      </c>
      <c r="CK12" s="542">
        <v>0</v>
      </c>
      <c r="CL12" s="542">
        <v>0</v>
      </c>
      <c r="CM12" s="542">
        <v>0</v>
      </c>
      <c r="CN12" s="542">
        <v>0</v>
      </c>
      <c r="CO12" s="542">
        <v>0</v>
      </c>
      <c r="CP12" s="542">
        <v>0</v>
      </c>
      <c r="CQ12" s="542">
        <v>0</v>
      </c>
      <c r="CR12" s="542">
        <v>0</v>
      </c>
      <c r="CS12" s="542">
        <v>0</v>
      </c>
      <c r="CT12" s="542">
        <v>0</v>
      </c>
      <c r="CU12" s="542">
        <v>0</v>
      </c>
      <c r="CV12" s="542">
        <v>138286.36499999999</v>
      </c>
      <c r="CW12" s="542">
        <v>31114.432100000002</v>
      </c>
      <c r="CX12" s="542">
        <v>3457.15913</v>
      </c>
      <c r="CY12" s="542">
        <v>140967</v>
      </c>
      <c r="CZ12" s="542">
        <v>31410</v>
      </c>
      <c r="DA12" s="542">
        <v>3490</v>
      </c>
      <c r="DB12" s="542">
        <v>-2681</v>
      </c>
      <c r="DC12" s="542">
        <v>-296</v>
      </c>
      <c r="DD12" s="542">
        <v>-33</v>
      </c>
      <c r="DE12" s="153" t="s">
        <v>570</v>
      </c>
      <c r="DF12" s="103" t="s">
        <v>755</v>
      </c>
      <c r="DG12" s="104" t="s">
        <v>756</v>
      </c>
      <c r="DH12" s="548"/>
      <c r="DI12" s="548"/>
    </row>
    <row r="13" spans="1:113" x14ac:dyDescent="0.2">
      <c r="A13" s="93">
        <v>7</v>
      </c>
      <c r="B13" s="145" t="s">
        <v>573</v>
      </c>
      <c r="C13" s="141" t="s">
        <v>866</v>
      </c>
      <c r="D13" s="142" t="s">
        <v>867</v>
      </c>
      <c r="E13" s="149" t="s">
        <v>572</v>
      </c>
      <c r="F13" s="542">
        <v>-58908</v>
      </c>
      <c r="G13" s="542">
        <v>0</v>
      </c>
      <c r="H13" s="542">
        <v>-58908</v>
      </c>
      <c r="I13" s="542">
        <v>38107</v>
      </c>
      <c r="J13" s="542">
        <v>0</v>
      </c>
      <c r="K13" s="542">
        <v>38107</v>
      </c>
      <c r="L13" s="542">
        <v>-97015</v>
      </c>
      <c r="M13" s="542">
        <v>0</v>
      </c>
      <c r="N13" s="542">
        <v>-97015</v>
      </c>
      <c r="O13" s="543">
        <v>0.5</v>
      </c>
      <c r="P13" s="543">
        <v>0.4</v>
      </c>
      <c r="Q13" s="543">
        <v>0.09</v>
      </c>
      <c r="R13" s="543">
        <v>0.01</v>
      </c>
      <c r="S13" s="542">
        <v>180466</v>
      </c>
      <c r="T13" s="542">
        <v>180466</v>
      </c>
      <c r="U13" s="542">
        <v>0</v>
      </c>
      <c r="V13" s="542">
        <v>0</v>
      </c>
      <c r="W13" s="542">
        <v>0</v>
      </c>
      <c r="X13" s="542">
        <v>0</v>
      </c>
      <c r="Y13" s="542">
        <v>0</v>
      </c>
      <c r="Z13" s="542">
        <v>0</v>
      </c>
      <c r="AA13" s="542">
        <v>0</v>
      </c>
      <c r="AB13" s="542">
        <v>0</v>
      </c>
      <c r="AC13" s="542">
        <v>0</v>
      </c>
      <c r="AD13" s="542">
        <v>0</v>
      </c>
      <c r="AE13" s="542">
        <v>0</v>
      </c>
      <c r="AF13" s="542">
        <v>0</v>
      </c>
      <c r="AG13" s="542">
        <v>0</v>
      </c>
      <c r="AH13" s="542">
        <v>0</v>
      </c>
      <c r="AI13" s="542">
        <v>0</v>
      </c>
      <c r="AJ13" s="542">
        <v>0</v>
      </c>
      <c r="AK13" s="542">
        <v>0</v>
      </c>
      <c r="AL13" s="542">
        <v>0</v>
      </c>
      <c r="AM13" s="542">
        <v>0</v>
      </c>
      <c r="AN13" s="542">
        <v>0</v>
      </c>
      <c r="AO13" s="542">
        <v>0</v>
      </c>
      <c r="AP13" s="542">
        <v>0</v>
      </c>
      <c r="AQ13" s="542">
        <v>529686.53399999999</v>
      </c>
      <c r="AR13" s="542">
        <v>119179.47</v>
      </c>
      <c r="AS13" s="542">
        <v>13242.1633</v>
      </c>
      <c r="AT13" s="542">
        <v>475384</v>
      </c>
      <c r="AU13" s="542">
        <v>106961</v>
      </c>
      <c r="AV13" s="542">
        <v>11885</v>
      </c>
      <c r="AW13" s="542">
        <v>54303</v>
      </c>
      <c r="AX13" s="542">
        <v>12218</v>
      </c>
      <c r="AY13" s="542">
        <v>1357</v>
      </c>
      <c r="AZ13" s="542">
        <v>4601.9396999999999</v>
      </c>
      <c r="BA13" s="542">
        <v>1035.43643</v>
      </c>
      <c r="BB13" s="542">
        <v>115.048492</v>
      </c>
      <c r="BC13" s="542">
        <v>0</v>
      </c>
      <c r="BD13" s="542">
        <v>0</v>
      </c>
      <c r="BE13" s="542">
        <v>0</v>
      </c>
      <c r="BF13" s="542">
        <v>4602</v>
      </c>
      <c r="BG13" s="542">
        <v>1035</v>
      </c>
      <c r="BH13" s="542">
        <v>115</v>
      </c>
      <c r="BI13" s="542">
        <v>358.97070000000002</v>
      </c>
      <c r="BJ13" s="542">
        <v>80.768407600000003</v>
      </c>
      <c r="BK13" s="542">
        <v>8.9742675100000007</v>
      </c>
      <c r="BL13" s="542">
        <v>0</v>
      </c>
      <c r="BM13" s="542">
        <v>0</v>
      </c>
      <c r="BN13" s="542">
        <v>0</v>
      </c>
      <c r="BO13" s="542">
        <v>359</v>
      </c>
      <c r="BP13" s="542">
        <v>81</v>
      </c>
      <c r="BQ13" s="542">
        <v>9</v>
      </c>
      <c r="BR13" s="542">
        <v>5916.9528600000003</v>
      </c>
      <c r="BS13" s="542">
        <v>1331.31439</v>
      </c>
      <c r="BT13" s="542">
        <v>147.923821</v>
      </c>
      <c r="BU13" s="542">
        <v>0</v>
      </c>
      <c r="BV13" s="542">
        <v>0</v>
      </c>
      <c r="BW13" s="542">
        <v>0</v>
      </c>
      <c r="BX13" s="542">
        <v>5917</v>
      </c>
      <c r="BY13" s="542">
        <v>1331</v>
      </c>
      <c r="BZ13" s="542">
        <v>148</v>
      </c>
      <c r="CA13" s="542">
        <v>211156.02499999999</v>
      </c>
      <c r="CB13" s="542">
        <v>47510.1057</v>
      </c>
      <c r="CC13" s="542">
        <v>5278.9006300000001</v>
      </c>
      <c r="CD13" s="542">
        <v>367056</v>
      </c>
      <c r="CE13" s="542">
        <v>82588</v>
      </c>
      <c r="CF13" s="542">
        <v>9176</v>
      </c>
      <c r="CG13" s="542">
        <v>-155900</v>
      </c>
      <c r="CH13" s="542">
        <v>-35078</v>
      </c>
      <c r="CI13" s="542">
        <v>-3897</v>
      </c>
      <c r="CJ13" s="542">
        <v>0</v>
      </c>
      <c r="CK13" s="542">
        <v>0</v>
      </c>
      <c r="CL13" s="542">
        <v>0</v>
      </c>
      <c r="CM13" s="542">
        <v>8497.6611400000002</v>
      </c>
      <c r="CN13" s="542">
        <v>1911.9737500000001</v>
      </c>
      <c r="CO13" s="542">
        <v>212.44152800000001</v>
      </c>
      <c r="CP13" s="542">
        <v>0</v>
      </c>
      <c r="CQ13" s="542">
        <v>0</v>
      </c>
      <c r="CR13" s="542">
        <v>0</v>
      </c>
      <c r="CS13" s="542">
        <v>8498</v>
      </c>
      <c r="CT13" s="542">
        <v>1912</v>
      </c>
      <c r="CU13" s="542">
        <v>212</v>
      </c>
      <c r="CV13" s="542">
        <v>191111.10800000001</v>
      </c>
      <c r="CW13" s="542">
        <v>42999.999300000003</v>
      </c>
      <c r="CX13" s="542">
        <v>4777.7776999999996</v>
      </c>
      <c r="CY13" s="542">
        <v>193092</v>
      </c>
      <c r="CZ13" s="542">
        <v>43015</v>
      </c>
      <c r="DA13" s="542">
        <v>4779</v>
      </c>
      <c r="DB13" s="542">
        <v>-1981</v>
      </c>
      <c r="DC13" s="542">
        <v>-15</v>
      </c>
      <c r="DD13" s="542">
        <v>-1</v>
      </c>
      <c r="DE13" s="153" t="s">
        <v>572</v>
      </c>
      <c r="DF13" s="103" t="s">
        <v>757</v>
      </c>
      <c r="DG13" s="104" t="s">
        <v>758</v>
      </c>
      <c r="DH13" s="547"/>
      <c r="DI13" s="547"/>
    </row>
    <row r="14" spans="1:113" x14ac:dyDescent="0.2">
      <c r="A14" s="93">
        <v>8</v>
      </c>
      <c r="B14" s="145" t="s">
        <v>575</v>
      </c>
      <c r="C14" s="141" t="s">
        <v>866</v>
      </c>
      <c r="D14" s="142" t="s">
        <v>867</v>
      </c>
      <c r="E14" s="149" t="s">
        <v>574</v>
      </c>
      <c r="F14" s="542">
        <v>-231050</v>
      </c>
      <c r="G14" s="542">
        <v>0</v>
      </c>
      <c r="H14" s="542">
        <v>-231050</v>
      </c>
      <c r="I14" s="542">
        <v>26220</v>
      </c>
      <c r="J14" s="542">
        <v>0</v>
      </c>
      <c r="K14" s="542">
        <v>26220</v>
      </c>
      <c r="L14" s="542">
        <v>-257270</v>
      </c>
      <c r="M14" s="542">
        <v>0</v>
      </c>
      <c r="N14" s="542">
        <v>-257270</v>
      </c>
      <c r="O14" s="543">
        <v>0.5</v>
      </c>
      <c r="P14" s="543">
        <v>0.4</v>
      </c>
      <c r="Q14" s="543">
        <v>0.09</v>
      </c>
      <c r="R14" s="543">
        <v>0.01</v>
      </c>
      <c r="S14" s="542">
        <v>224284</v>
      </c>
      <c r="T14" s="542">
        <v>224284</v>
      </c>
      <c r="U14" s="542">
        <v>0</v>
      </c>
      <c r="V14" s="542">
        <v>0</v>
      </c>
      <c r="W14" s="542">
        <v>0</v>
      </c>
      <c r="X14" s="542">
        <v>0</v>
      </c>
      <c r="Y14" s="542">
        <v>0</v>
      </c>
      <c r="Z14" s="542">
        <v>0</v>
      </c>
      <c r="AA14" s="542">
        <v>0</v>
      </c>
      <c r="AB14" s="542">
        <v>0</v>
      </c>
      <c r="AC14" s="542">
        <v>0</v>
      </c>
      <c r="AD14" s="542">
        <v>0</v>
      </c>
      <c r="AE14" s="542">
        <v>0</v>
      </c>
      <c r="AF14" s="542">
        <v>0</v>
      </c>
      <c r="AG14" s="542">
        <v>0</v>
      </c>
      <c r="AH14" s="542">
        <v>0</v>
      </c>
      <c r="AI14" s="542">
        <v>0</v>
      </c>
      <c r="AJ14" s="542">
        <v>0</v>
      </c>
      <c r="AK14" s="542">
        <v>0</v>
      </c>
      <c r="AL14" s="542">
        <v>0</v>
      </c>
      <c r="AM14" s="542">
        <v>0</v>
      </c>
      <c r="AN14" s="542">
        <v>0</v>
      </c>
      <c r="AO14" s="542">
        <v>0</v>
      </c>
      <c r="AP14" s="542">
        <v>0</v>
      </c>
      <c r="AQ14" s="542">
        <v>649791.54099999997</v>
      </c>
      <c r="AR14" s="542">
        <v>146203.09599999999</v>
      </c>
      <c r="AS14" s="542">
        <v>16244.788500000001</v>
      </c>
      <c r="AT14" s="542">
        <v>593020</v>
      </c>
      <c r="AU14" s="542">
        <v>133430</v>
      </c>
      <c r="AV14" s="542">
        <v>14826</v>
      </c>
      <c r="AW14" s="542">
        <v>56772</v>
      </c>
      <c r="AX14" s="542">
        <v>12773</v>
      </c>
      <c r="AY14" s="542">
        <v>1419</v>
      </c>
      <c r="AZ14" s="542">
        <v>2260.9494599999998</v>
      </c>
      <c r="BA14" s="542">
        <v>508.71363000000002</v>
      </c>
      <c r="BB14" s="542">
        <v>56.523736700000001</v>
      </c>
      <c r="BC14" s="542">
        <v>0</v>
      </c>
      <c r="BD14" s="542">
        <v>0</v>
      </c>
      <c r="BE14" s="542">
        <v>0</v>
      </c>
      <c r="BF14" s="542">
        <v>2261</v>
      </c>
      <c r="BG14" s="542">
        <v>509</v>
      </c>
      <c r="BH14" s="542">
        <v>57</v>
      </c>
      <c r="BI14" s="542">
        <v>36805.0072</v>
      </c>
      <c r="BJ14" s="542">
        <v>8281.1266199999991</v>
      </c>
      <c r="BK14" s="542">
        <v>920.12518</v>
      </c>
      <c r="BL14" s="542">
        <v>0</v>
      </c>
      <c r="BM14" s="542">
        <v>0</v>
      </c>
      <c r="BN14" s="542">
        <v>0</v>
      </c>
      <c r="BO14" s="542">
        <v>36805</v>
      </c>
      <c r="BP14" s="542">
        <v>8281</v>
      </c>
      <c r="BQ14" s="542">
        <v>920</v>
      </c>
      <c r="BR14" s="542">
        <v>0</v>
      </c>
      <c r="BS14" s="542">
        <v>0</v>
      </c>
      <c r="BT14" s="542">
        <v>0</v>
      </c>
      <c r="BU14" s="542">
        <v>0</v>
      </c>
      <c r="BV14" s="542">
        <v>0</v>
      </c>
      <c r="BW14" s="542">
        <v>0</v>
      </c>
      <c r="BX14" s="542">
        <v>0</v>
      </c>
      <c r="BY14" s="542">
        <v>0</v>
      </c>
      <c r="BZ14" s="542">
        <v>0</v>
      </c>
      <c r="CA14" s="542">
        <v>217256.50599999999</v>
      </c>
      <c r="CB14" s="542">
        <v>48882.713799999998</v>
      </c>
      <c r="CC14" s="542">
        <v>5431.4126500000002</v>
      </c>
      <c r="CD14" s="542">
        <v>0</v>
      </c>
      <c r="CE14" s="542">
        <v>0</v>
      </c>
      <c r="CF14" s="542">
        <v>0</v>
      </c>
      <c r="CG14" s="542">
        <v>217257</v>
      </c>
      <c r="CH14" s="542">
        <v>48883</v>
      </c>
      <c r="CI14" s="542">
        <v>5431</v>
      </c>
      <c r="CJ14" s="542">
        <v>0</v>
      </c>
      <c r="CK14" s="542">
        <v>0</v>
      </c>
      <c r="CL14" s="542">
        <v>0</v>
      </c>
      <c r="CM14" s="542">
        <v>0</v>
      </c>
      <c r="CN14" s="542">
        <v>0</v>
      </c>
      <c r="CO14" s="542">
        <v>0</v>
      </c>
      <c r="CP14" s="542">
        <v>0</v>
      </c>
      <c r="CQ14" s="542">
        <v>0</v>
      </c>
      <c r="CR14" s="542">
        <v>0</v>
      </c>
      <c r="CS14" s="542">
        <v>0</v>
      </c>
      <c r="CT14" s="542">
        <v>0</v>
      </c>
      <c r="CU14" s="542">
        <v>0</v>
      </c>
      <c r="CV14" s="542">
        <v>208338.32199999999</v>
      </c>
      <c r="CW14" s="542">
        <v>46876.122600000002</v>
      </c>
      <c r="CX14" s="542">
        <v>5208.4580599999999</v>
      </c>
      <c r="CY14" s="542">
        <v>202680</v>
      </c>
      <c r="CZ14" s="542">
        <v>45067</v>
      </c>
      <c r="DA14" s="542">
        <v>5007</v>
      </c>
      <c r="DB14" s="542">
        <v>5658</v>
      </c>
      <c r="DC14" s="542">
        <v>1809</v>
      </c>
      <c r="DD14" s="542">
        <v>201</v>
      </c>
      <c r="DE14" s="153" t="s">
        <v>574</v>
      </c>
      <c r="DF14" s="103" t="s">
        <v>759</v>
      </c>
      <c r="DG14" s="104" t="s">
        <v>760</v>
      </c>
      <c r="DH14" s="547"/>
      <c r="DI14" s="547"/>
    </row>
    <row r="15" spans="1:113" x14ac:dyDescent="0.2">
      <c r="A15" s="93">
        <v>9</v>
      </c>
      <c r="B15" s="145" t="s">
        <v>577</v>
      </c>
      <c r="C15" s="141" t="s">
        <v>866</v>
      </c>
      <c r="D15" s="142" t="s">
        <v>870</v>
      </c>
      <c r="E15" s="149" t="s">
        <v>576</v>
      </c>
      <c r="F15" s="542">
        <v>-38792</v>
      </c>
      <c r="G15" s="542">
        <v>0</v>
      </c>
      <c r="H15" s="542">
        <v>-38792</v>
      </c>
      <c r="I15" s="542">
        <v>22149</v>
      </c>
      <c r="J15" s="542">
        <v>0</v>
      </c>
      <c r="K15" s="542">
        <v>22149</v>
      </c>
      <c r="L15" s="542">
        <v>-60941</v>
      </c>
      <c r="M15" s="542">
        <v>0</v>
      </c>
      <c r="N15" s="542">
        <v>-60941</v>
      </c>
      <c r="O15" s="543">
        <v>0.5</v>
      </c>
      <c r="P15" s="543">
        <v>0.4</v>
      </c>
      <c r="Q15" s="543">
        <v>0.1</v>
      </c>
      <c r="R15" s="543">
        <v>0</v>
      </c>
      <c r="S15" s="542">
        <v>127190</v>
      </c>
      <c r="T15" s="542">
        <v>127190</v>
      </c>
      <c r="U15" s="542">
        <v>0</v>
      </c>
      <c r="V15" s="542">
        <v>0</v>
      </c>
      <c r="W15" s="542">
        <v>0</v>
      </c>
      <c r="X15" s="542">
        <v>0</v>
      </c>
      <c r="Y15" s="542">
        <v>0</v>
      </c>
      <c r="Z15" s="542">
        <v>0</v>
      </c>
      <c r="AA15" s="542">
        <v>0</v>
      </c>
      <c r="AB15" s="542">
        <v>0</v>
      </c>
      <c r="AC15" s="542">
        <v>0</v>
      </c>
      <c r="AD15" s="542">
        <v>0</v>
      </c>
      <c r="AE15" s="542">
        <v>0</v>
      </c>
      <c r="AF15" s="542">
        <v>0</v>
      </c>
      <c r="AG15" s="542">
        <v>0</v>
      </c>
      <c r="AH15" s="542">
        <v>0</v>
      </c>
      <c r="AI15" s="542">
        <v>0</v>
      </c>
      <c r="AJ15" s="542">
        <v>0</v>
      </c>
      <c r="AK15" s="542">
        <v>0</v>
      </c>
      <c r="AL15" s="542">
        <v>0</v>
      </c>
      <c r="AM15" s="542">
        <v>0</v>
      </c>
      <c r="AN15" s="542">
        <v>0</v>
      </c>
      <c r="AO15" s="542">
        <v>0</v>
      </c>
      <c r="AP15" s="542">
        <v>0</v>
      </c>
      <c r="AQ15" s="542">
        <v>431787.98800000001</v>
      </c>
      <c r="AR15" s="542">
        <v>107946.997</v>
      </c>
      <c r="AS15" s="542">
        <v>0</v>
      </c>
      <c r="AT15" s="542">
        <v>407395</v>
      </c>
      <c r="AU15" s="542">
        <v>101849</v>
      </c>
      <c r="AV15" s="542">
        <v>0</v>
      </c>
      <c r="AW15" s="542">
        <v>24393</v>
      </c>
      <c r="AX15" s="542">
        <v>6098</v>
      </c>
      <c r="AY15" s="542">
        <v>0</v>
      </c>
      <c r="AZ15" s="542">
        <v>1616.98513</v>
      </c>
      <c r="BA15" s="542">
        <v>404.246284</v>
      </c>
      <c r="BB15" s="542">
        <v>0</v>
      </c>
      <c r="BC15" s="542">
        <v>8230</v>
      </c>
      <c r="BD15" s="542">
        <v>2058</v>
      </c>
      <c r="BE15" s="542">
        <v>0</v>
      </c>
      <c r="BF15" s="542">
        <v>-6613</v>
      </c>
      <c r="BG15" s="542">
        <v>-1654</v>
      </c>
      <c r="BH15" s="542">
        <v>0</v>
      </c>
      <c r="BI15" s="542">
        <v>0</v>
      </c>
      <c r="BJ15" s="542">
        <v>0</v>
      </c>
      <c r="BK15" s="542">
        <v>0</v>
      </c>
      <c r="BL15" s="542">
        <v>0</v>
      </c>
      <c r="BM15" s="542">
        <v>0</v>
      </c>
      <c r="BN15" s="542">
        <v>0</v>
      </c>
      <c r="BO15" s="542">
        <v>0</v>
      </c>
      <c r="BP15" s="542">
        <v>0</v>
      </c>
      <c r="BQ15" s="542">
        <v>0</v>
      </c>
      <c r="BR15" s="542">
        <v>2652.2598699999999</v>
      </c>
      <c r="BS15" s="542">
        <v>663.06496800000002</v>
      </c>
      <c r="BT15" s="542">
        <v>0</v>
      </c>
      <c r="BU15" s="542">
        <v>24281</v>
      </c>
      <c r="BV15" s="542">
        <v>6070</v>
      </c>
      <c r="BW15" s="542">
        <v>0</v>
      </c>
      <c r="BX15" s="542">
        <v>-21629</v>
      </c>
      <c r="BY15" s="542">
        <v>-5407</v>
      </c>
      <c r="BZ15" s="542">
        <v>0</v>
      </c>
      <c r="CA15" s="542">
        <v>114362.486</v>
      </c>
      <c r="CB15" s="542">
        <v>28590.621599999999</v>
      </c>
      <c r="CC15" s="542">
        <v>0</v>
      </c>
      <c r="CD15" s="542">
        <v>60637</v>
      </c>
      <c r="CE15" s="542">
        <v>15159</v>
      </c>
      <c r="CF15" s="542">
        <v>0</v>
      </c>
      <c r="CG15" s="542">
        <v>53725</v>
      </c>
      <c r="CH15" s="542">
        <v>13432</v>
      </c>
      <c r="CI15" s="542">
        <v>0</v>
      </c>
      <c r="CJ15" s="542">
        <v>65.036000000000001</v>
      </c>
      <c r="CK15" s="542">
        <v>16.259</v>
      </c>
      <c r="CL15" s="542">
        <v>0</v>
      </c>
      <c r="CM15" s="542">
        <v>657.30445799999995</v>
      </c>
      <c r="CN15" s="542">
        <v>164.32611399999999</v>
      </c>
      <c r="CO15" s="542">
        <v>0</v>
      </c>
      <c r="CP15" s="542">
        <v>64</v>
      </c>
      <c r="CQ15" s="542">
        <v>16</v>
      </c>
      <c r="CR15" s="542">
        <v>0</v>
      </c>
      <c r="CS15" s="542">
        <v>658</v>
      </c>
      <c r="CT15" s="542">
        <v>165</v>
      </c>
      <c r="CU15" s="542">
        <v>0</v>
      </c>
      <c r="CV15" s="542">
        <v>96223.787599999996</v>
      </c>
      <c r="CW15" s="542">
        <v>24055.946899999999</v>
      </c>
      <c r="CX15" s="542">
        <v>0</v>
      </c>
      <c r="CY15" s="542">
        <v>101298</v>
      </c>
      <c r="CZ15" s="542">
        <v>24987</v>
      </c>
      <c r="DA15" s="542">
        <v>0</v>
      </c>
      <c r="DB15" s="542">
        <v>-5074</v>
      </c>
      <c r="DC15" s="542">
        <v>-931</v>
      </c>
      <c r="DD15" s="542">
        <v>0</v>
      </c>
      <c r="DE15" s="153" t="s">
        <v>576</v>
      </c>
      <c r="DF15" s="103" t="s">
        <v>761</v>
      </c>
      <c r="DG15" s="104" t="s">
        <v>751</v>
      </c>
      <c r="DH15" s="547"/>
      <c r="DI15" s="547"/>
    </row>
    <row r="16" spans="1:113" x14ac:dyDescent="0.2">
      <c r="A16" s="93">
        <v>10</v>
      </c>
      <c r="B16" s="145" t="s">
        <v>579</v>
      </c>
      <c r="C16" s="141" t="s">
        <v>871</v>
      </c>
      <c r="D16" s="142" t="s">
        <v>872</v>
      </c>
      <c r="E16" s="149" t="s">
        <v>688</v>
      </c>
      <c r="F16" s="542">
        <v>1934398</v>
      </c>
      <c r="G16" s="542">
        <v>0</v>
      </c>
      <c r="H16" s="542">
        <v>1934398</v>
      </c>
      <c r="I16" s="542">
        <v>653326</v>
      </c>
      <c r="J16" s="542">
        <v>0</v>
      </c>
      <c r="K16" s="542">
        <v>653326</v>
      </c>
      <c r="L16" s="542">
        <v>1281072</v>
      </c>
      <c r="M16" s="542">
        <v>0</v>
      </c>
      <c r="N16" s="542">
        <v>1281072</v>
      </c>
      <c r="O16" s="543">
        <v>0.5</v>
      </c>
      <c r="P16" s="543">
        <v>0.3</v>
      </c>
      <c r="Q16" s="543">
        <v>0.2</v>
      </c>
      <c r="R16" s="543">
        <v>0</v>
      </c>
      <c r="S16" s="542">
        <v>205029</v>
      </c>
      <c r="T16" s="542">
        <v>205029</v>
      </c>
      <c r="U16" s="542">
        <v>0</v>
      </c>
      <c r="V16" s="542">
        <v>0</v>
      </c>
      <c r="W16" s="542">
        <v>0</v>
      </c>
      <c r="X16" s="542">
        <v>0</v>
      </c>
      <c r="Y16" s="542">
        <v>0</v>
      </c>
      <c r="Z16" s="542">
        <v>0</v>
      </c>
      <c r="AA16" s="542">
        <v>0</v>
      </c>
      <c r="AB16" s="542">
        <v>0</v>
      </c>
      <c r="AC16" s="542">
        <v>0</v>
      </c>
      <c r="AD16" s="542">
        <v>0</v>
      </c>
      <c r="AE16" s="542">
        <v>0</v>
      </c>
      <c r="AF16" s="542">
        <v>0</v>
      </c>
      <c r="AG16" s="542">
        <v>0</v>
      </c>
      <c r="AH16" s="542">
        <v>0</v>
      </c>
      <c r="AI16" s="542">
        <v>0</v>
      </c>
      <c r="AJ16" s="542">
        <v>0</v>
      </c>
      <c r="AK16" s="542">
        <v>0</v>
      </c>
      <c r="AL16" s="542">
        <v>0</v>
      </c>
      <c r="AM16" s="542">
        <v>0</v>
      </c>
      <c r="AN16" s="542">
        <v>0</v>
      </c>
      <c r="AO16" s="542">
        <v>0</v>
      </c>
      <c r="AP16" s="542">
        <v>0</v>
      </c>
      <c r="AQ16" s="542">
        <v>389833.39</v>
      </c>
      <c r="AR16" s="542">
        <v>259888.93</v>
      </c>
      <c r="AS16" s="542">
        <v>0</v>
      </c>
      <c r="AT16" s="542">
        <v>332172</v>
      </c>
      <c r="AU16" s="542">
        <v>221448</v>
      </c>
      <c r="AV16" s="542">
        <v>0</v>
      </c>
      <c r="AW16" s="542">
        <v>57661</v>
      </c>
      <c r="AX16" s="542">
        <v>38441</v>
      </c>
      <c r="AY16" s="542">
        <v>0</v>
      </c>
      <c r="AZ16" s="542">
        <v>513.29</v>
      </c>
      <c r="BA16" s="542">
        <v>342.19</v>
      </c>
      <c r="BB16" s="542">
        <v>0</v>
      </c>
      <c r="BC16" s="542">
        <v>0</v>
      </c>
      <c r="BD16" s="542">
        <v>0</v>
      </c>
      <c r="BE16" s="542">
        <v>0</v>
      </c>
      <c r="BF16" s="542">
        <v>513</v>
      </c>
      <c r="BG16" s="542">
        <v>342</v>
      </c>
      <c r="BH16" s="542">
        <v>0</v>
      </c>
      <c r="BI16" s="542">
        <v>16767.63</v>
      </c>
      <c r="BJ16" s="542">
        <v>11178.42</v>
      </c>
      <c r="BK16" s="542">
        <v>0</v>
      </c>
      <c r="BL16" s="542">
        <v>25297</v>
      </c>
      <c r="BM16" s="542">
        <v>16865</v>
      </c>
      <c r="BN16" s="542">
        <v>0</v>
      </c>
      <c r="BO16" s="542">
        <v>-8529</v>
      </c>
      <c r="BP16" s="542">
        <v>-5687</v>
      </c>
      <c r="BQ16" s="542">
        <v>0</v>
      </c>
      <c r="BR16" s="542">
        <v>277.41000000000003</v>
      </c>
      <c r="BS16" s="542">
        <v>184.94</v>
      </c>
      <c r="BT16" s="542">
        <v>0</v>
      </c>
      <c r="BU16" s="542">
        <v>38902.92</v>
      </c>
      <c r="BV16" s="542">
        <v>25935.279999999999</v>
      </c>
      <c r="BW16" s="542">
        <v>0</v>
      </c>
      <c r="BX16" s="542">
        <v>-38626</v>
      </c>
      <c r="BY16" s="542">
        <v>-25750</v>
      </c>
      <c r="BZ16" s="542">
        <v>0</v>
      </c>
      <c r="CA16" s="542">
        <v>199889.68</v>
      </c>
      <c r="CB16" s="542">
        <v>133259.79</v>
      </c>
      <c r="CC16" s="542">
        <v>0</v>
      </c>
      <c r="CD16" s="542">
        <v>425974.52</v>
      </c>
      <c r="CE16" s="542">
        <v>283983.01</v>
      </c>
      <c r="CF16" s="542">
        <v>0</v>
      </c>
      <c r="CG16" s="542">
        <v>-226085</v>
      </c>
      <c r="CH16" s="542">
        <v>-150723</v>
      </c>
      <c r="CI16" s="542">
        <v>0</v>
      </c>
      <c r="CJ16" s="542">
        <v>0</v>
      </c>
      <c r="CK16" s="542">
        <v>0</v>
      </c>
      <c r="CL16" s="542">
        <v>0</v>
      </c>
      <c r="CM16" s="542">
        <v>1223.6500000000001</v>
      </c>
      <c r="CN16" s="542">
        <v>815.77</v>
      </c>
      <c r="CO16" s="542">
        <v>0</v>
      </c>
      <c r="CP16" s="542">
        <v>0</v>
      </c>
      <c r="CQ16" s="542">
        <v>0</v>
      </c>
      <c r="CR16" s="542">
        <v>0</v>
      </c>
      <c r="CS16" s="542">
        <v>1224</v>
      </c>
      <c r="CT16" s="542">
        <v>816</v>
      </c>
      <c r="CU16" s="542">
        <v>0</v>
      </c>
      <c r="CV16" s="542">
        <v>186866.45</v>
      </c>
      <c r="CW16" s="542">
        <v>124577.63</v>
      </c>
      <c r="CX16" s="542">
        <v>0</v>
      </c>
      <c r="CY16" s="542">
        <v>176033</v>
      </c>
      <c r="CZ16" s="542">
        <v>115904</v>
      </c>
      <c r="DA16" s="542">
        <v>0</v>
      </c>
      <c r="DB16" s="542">
        <v>10833</v>
      </c>
      <c r="DC16" s="542">
        <v>8674</v>
      </c>
      <c r="DD16" s="542">
        <v>0</v>
      </c>
      <c r="DE16" s="153" t="s">
        <v>688</v>
      </c>
      <c r="DF16" s="103" t="s">
        <v>762</v>
      </c>
      <c r="DG16" s="103" t="s">
        <v>750</v>
      </c>
      <c r="DH16" s="547"/>
      <c r="DI16" s="547"/>
    </row>
    <row r="17" spans="1:113" x14ac:dyDescent="0.2">
      <c r="A17" s="93">
        <v>11</v>
      </c>
      <c r="B17" s="145" t="s">
        <v>581</v>
      </c>
      <c r="C17" s="141" t="s">
        <v>871</v>
      </c>
      <c r="D17" s="142" t="s">
        <v>872</v>
      </c>
      <c r="E17" s="149" t="s">
        <v>580</v>
      </c>
      <c r="F17" s="542">
        <v>-833855</v>
      </c>
      <c r="G17" s="542">
        <v>0</v>
      </c>
      <c r="H17" s="542">
        <v>-833855</v>
      </c>
      <c r="I17" s="542">
        <v>230651</v>
      </c>
      <c r="J17" s="542">
        <v>0</v>
      </c>
      <c r="K17" s="542">
        <v>230651</v>
      </c>
      <c r="L17" s="542">
        <v>-1064506</v>
      </c>
      <c r="M17" s="542">
        <v>0</v>
      </c>
      <c r="N17" s="542">
        <v>-1064506</v>
      </c>
      <c r="O17" s="543">
        <v>0.5</v>
      </c>
      <c r="P17" s="543">
        <v>0.3</v>
      </c>
      <c r="Q17" s="543">
        <v>0.2</v>
      </c>
      <c r="R17" s="543">
        <v>0</v>
      </c>
      <c r="S17" s="542">
        <v>418239</v>
      </c>
      <c r="T17" s="542">
        <v>418239</v>
      </c>
      <c r="U17" s="542">
        <v>0</v>
      </c>
      <c r="V17" s="542">
        <v>0</v>
      </c>
      <c r="W17" s="542">
        <v>0</v>
      </c>
      <c r="X17" s="542">
        <v>0</v>
      </c>
      <c r="Y17" s="542">
        <v>0</v>
      </c>
      <c r="Z17" s="542">
        <v>0</v>
      </c>
      <c r="AA17" s="542">
        <v>0</v>
      </c>
      <c r="AB17" s="542">
        <v>0</v>
      </c>
      <c r="AC17" s="542">
        <v>0</v>
      </c>
      <c r="AD17" s="542">
        <v>0</v>
      </c>
      <c r="AE17" s="542">
        <v>0</v>
      </c>
      <c r="AF17" s="542">
        <v>0</v>
      </c>
      <c r="AG17" s="542">
        <v>0</v>
      </c>
      <c r="AH17" s="542">
        <v>0</v>
      </c>
      <c r="AI17" s="542">
        <v>0</v>
      </c>
      <c r="AJ17" s="542">
        <v>0</v>
      </c>
      <c r="AK17" s="542">
        <v>0</v>
      </c>
      <c r="AL17" s="542">
        <v>0</v>
      </c>
      <c r="AM17" s="542">
        <v>0</v>
      </c>
      <c r="AN17" s="542">
        <v>0</v>
      </c>
      <c r="AO17" s="542">
        <v>0</v>
      </c>
      <c r="AP17" s="542">
        <v>0</v>
      </c>
      <c r="AQ17" s="542">
        <v>589294.21499999997</v>
      </c>
      <c r="AR17" s="542">
        <v>392862.81</v>
      </c>
      <c r="AS17" s="542">
        <v>0</v>
      </c>
      <c r="AT17" s="542">
        <v>504221</v>
      </c>
      <c r="AU17" s="542">
        <v>336147</v>
      </c>
      <c r="AV17" s="542">
        <v>0</v>
      </c>
      <c r="AW17" s="542">
        <v>85073</v>
      </c>
      <c r="AX17" s="542">
        <v>56716</v>
      </c>
      <c r="AY17" s="542">
        <v>0</v>
      </c>
      <c r="AZ17" s="542">
        <v>0</v>
      </c>
      <c r="BA17" s="542">
        <v>0</v>
      </c>
      <c r="BB17" s="542">
        <v>0</v>
      </c>
      <c r="BC17" s="542">
        <v>0</v>
      </c>
      <c r="BD17" s="542">
        <v>0</v>
      </c>
      <c r="BE17" s="542">
        <v>0</v>
      </c>
      <c r="BF17" s="542">
        <v>0</v>
      </c>
      <c r="BG17" s="542">
        <v>0</v>
      </c>
      <c r="BH17" s="542">
        <v>0</v>
      </c>
      <c r="BI17" s="542">
        <v>0</v>
      </c>
      <c r="BJ17" s="542">
        <v>0</v>
      </c>
      <c r="BK17" s="542">
        <v>0</v>
      </c>
      <c r="BL17" s="542">
        <v>0</v>
      </c>
      <c r="BM17" s="542">
        <v>0</v>
      </c>
      <c r="BN17" s="542">
        <v>0</v>
      </c>
      <c r="BO17" s="542">
        <v>0</v>
      </c>
      <c r="BP17" s="542">
        <v>0</v>
      </c>
      <c r="BQ17" s="542">
        <v>0</v>
      </c>
      <c r="BR17" s="542">
        <v>3783.4420300000002</v>
      </c>
      <c r="BS17" s="542">
        <v>2522.2946900000002</v>
      </c>
      <c r="BT17" s="542">
        <v>0</v>
      </c>
      <c r="BU17" s="542">
        <v>363821.65600000002</v>
      </c>
      <c r="BV17" s="542">
        <v>242547.77</v>
      </c>
      <c r="BW17" s="542">
        <v>0</v>
      </c>
      <c r="BX17" s="542">
        <v>-360038</v>
      </c>
      <c r="BY17" s="542">
        <v>-240025</v>
      </c>
      <c r="BZ17" s="542">
        <v>0</v>
      </c>
      <c r="CA17" s="542">
        <v>506972.13699999999</v>
      </c>
      <c r="CB17" s="542">
        <v>337981.42499999999</v>
      </c>
      <c r="CC17" s="542">
        <v>0</v>
      </c>
      <c r="CD17" s="542">
        <v>757961.78300000005</v>
      </c>
      <c r="CE17" s="542">
        <v>505307.85499999998</v>
      </c>
      <c r="CF17" s="542">
        <v>0</v>
      </c>
      <c r="CG17" s="542">
        <v>-250990</v>
      </c>
      <c r="CH17" s="542">
        <v>-167326</v>
      </c>
      <c r="CI17" s="542">
        <v>0</v>
      </c>
      <c r="CJ17" s="542">
        <v>0</v>
      </c>
      <c r="CK17" s="542">
        <v>0</v>
      </c>
      <c r="CL17" s="542">
        <v>0</v>
      </c>
      <c r="CM17" s="542">
        <v>0</v>
      </c>
      <c r="CN17" s="542">
        <v>0</v>
      </c>
      <c r="CO17" s="542">
        <v>0</v>
      </c>
      <c r="CP17" s="542">
        <v>0</v>
      </c>
      <c r="CQ17" s="542">
        <v>0</v>
      </c>
      <c r="CR17" s="542">
        <v>0</v>
      </c>
      <c r="CS17" s="542">
        <v>0</v>
      </c>
      <c r="CT17" s="542">
        <v>0</v>
      </c>
      <c r="CU17" s="542">
        <v>0</v>
      </c>
      <c r="CV17" s="542">
        <v>329318.42300000001</v>
      </c>
      <c r="CW17" s="542">
        <v>219545.61499999999</v>
      </c>
      <c r="CX17" s="542">
        <v>0</v>
      </c>
      <c r="CY17" s="542">
        <v>358434</v>
      </c>
      <c r="CZ17" s="542">
        <v>235996</v>
      </c>
      <c r="DA17" s="542">
        <v>0</v>
      </c>
      <c r="DB17" s="542">
        <v>-29116</v>
      </c>
      <c r="DC17" s="542">
        <v>-16450</v>
      </c>
      <c r="DD17" s="542">
        <v>0</v>
      </c>
      <c r="DE17" s="153" t="s">
        <v>580</v>
      </c>
      <c r="DF17" s="103" t="s">
        <v>762</v>
      </c>
      <c r="DG17" s="103" t="s">
        <v>750</v>
      </c>
      <c r="DH17" s="547"/>
      <c r="DI17" s="547"/>
    </row>
    <row r="18" spans="1:113" x14ac:dyDescent="0.2">
      <c r="A18" s="93">
        <v>12</v>
      </c>
      <c r="B18" s="145" t="s">
        <v>583</v>
      </c>
      <c r="C18" s="141" t="s">
        <v>873</v>
      </c>
      <c r="D18" s="142" t="s">
        <v>874</v>
      </c>
      <c r="E18" s="149" t="s">
        <v>582</v>
      </c>
      <c r="F18" s="542">
        <v>-231128</v>
      </c>
      <c r="G18" s="542">
        <v>0</v>
      </c>
      <c r="H18" s="542">
        <v>-231128</v>
      </c>
      <c r="I18" s="542">
        <v>40805</v>
      </c>
      <c r="J18" s="542">
        <v>0</v>
      </c>
      <c r="K18" s="542">
        <v>40805</v>
      </c>
      <c r="L18" s="542">
        <v>-271933</v>
      </c>
      <c r="M18" s="542">
        <v>0</v>
      </c>
      <c r="N18" s="542">
        <v>-271933</v>
      </c>
      <c r="O18" s="543">
        <v>0.5</v>
      </c>
      <c r="P18" s="543">
        <v>0.49</v>
      </c>
      <c r="Q18" s="543">
        <v>0</v>
      </c>
      <c r="R18" s="543">
        <v>0.01</v>
      </c>
      <c r="S18" s="542">
        <v>271980</v>
      </c>
      <c r="T18" s="542">
        <v>271980</v>
      </c>
      <c r="U18" s="542">
        <v>0</v>
      </c>
      <c r="V18" s="542">
        <v>306548</v>
      </c>
      <c r="W18" s="542">
        <v>396262</v>
      </c>
      <c r="X18" s="542">
        <v>-89714</v>
      </c>
      <c r="Y18" s="542">
        <v>0</v>
      </c>
      <c r="Z18" s="542">
        <v>0</v>
      </c>
      <c r="AA18" s="542">
        <v>0</v>
      </c>
      <c r="AB18" s="542">
        <v>0</v>
      </c>
      <c r="AC18" s="542">
        <v>0</v>
      </c>
      <c r="AD18" s="542">
        <v>0</v>
      </c>
      <c r="AE18" s="542">
        <v>111729.63</v>
      </c>
      <c r="AF18" s="542">
        <v>111729.63</v>
      </c>
      <c r="AG18" s="542">
        <v>0</v>
      </c>
      <c r="AH18" s="542">
        <v>0</v>
      </c>
      <c r="AI18" s="542">
        <v>0</v>
      </c>
      <c r="AJ18" s="542">
        <v>0</v>
      </c>
      <c r="AK18" s="542">
        <v>0</v>
      </c>
      <c r="AL18" s="542">
        <v>0</v>
      </c>
      <c r="AM18" s="542">
        <v>111730</v>
      </c>
      <c r="AN18" s="542">
        <v>111730</v>
      </c>
      <c r="AO18" s="542">
        <v>0</v>
      </c>
      <c r="AP18" s="542">
        <v>0</v>
      </c>
      <c r="AQ18" s="542">
        <v>1213112.69</v>
      </c>
      <c r="AR18" s="542">
        <v>0</v>
      </c>
      <c r="AS18" s="542">
        <v>24757.4</v>
      </c>
      <c r="AT18" s="542">
        <v>1103887</v>
      </c>
      <c r="AU18" s="542">
        <v>0</v>
      </c>
      <c r="AV18" s="542">
        <v>22528</v>
      </c>
      <c r="AW18" s="542">
        <v>109226</v>
      </c>
      <c r="AX18" s="542">
        <v>0</v>
      </c>
      <c r="AY18" s="542">
        <v>2229</v>
      </c>
      <c r="AZ18" s="542">
        <v>0</v>
      </c>
      <c r="BA18" s="542">
        <v>0</v>
      </c>
      <c r="BB18" s="542">
        <v>0</v>
      </c>
      <c r="BC18" s="542">
        <v>0</v>
      </c>
      <c r="BD18" s="542">
        <v>0</v>
      </c>
      <c r="BE18" s="542">
        <v>0</v>
      </c>
      <c r="BF18" s="542">
        <v>0</v>
      </c>
      <c r="BG18" s="542">
        <v>0</v>
      </c>
      <c r="BH18" s="542">
        <v>0</v>
      </c>
      <c r="BI18" s="542">
        <v>1632.18</v>
      </c>
      <c r="BJ18" s="542">
        <v>0</v>
      </c>
      <c r="BK18" s="542">
        <v>33.31</v>
      </c>
      <c r="BL18" s="542">
        <v>0</v>
      </c>
      <c r="BM18" s="542">
        <v>0</v>
      </c>
      <c r="BN18" s="542">
        <v>0</v>
      </c>
      <c r="BO18" s="542">
        <v>1632</v>
      </c>
      <c r="BP18" s="542">
        <v>0</v>
      </c>
      <c r="BQ18" s="542">
        <v>33</v>
      </c>
      <c r="BR18" s="542">
        <v>2444.3200000000002</v>
      </c>
      <c r="BS18" s="542">
        <v>0</v>
      </c>
      <c r="BT18" s="542">
        <v>49.88</v>
      </c>
      <c r="BU18" s="542">
        <v>21244.15</v>
      </c>
      <c r="BV18" s="542">
        <v>0</v>
      </c>
      <c r="BW18" s="542">
        <v>433.55</v>
      </c>
      <c r="BX18" s="542">
        <v>-18800</v>
      </c>
      <c r="BY18" s="542">
        <v>0</v>
      </c>
      <c r="BZ18" s="542">
        <v>-384</v>
      </c>
      <c r="CA18" s="542">
        <v>373307.8</v>
      </c>
      <c r="CB18" s="542">
        <v>0</v>
      </c>
      <c r="CC18" s="542">
        <v>7618.53</v>
      </c>
      <c r="CD18" s="542">
        <v>365407.35</v>
      </c>
      <c r="CE18" s="542">
        <v>0</v>
      </c>
      <c r="CF18" s="542">
        <v>7457.29</v>
      </c>
      <c r="CG18" s="542">
        <v>7900</v>
      </c>
      <c r="CH18" s="542">
        <v>0</v>
      </c>
      <c r="CI18" s="542">
        <v>161</v>
      </c>
      <c r="CJ18" s="542">
        <v>0</v>
      </c>
      <c r="CK18" s="542">
        <v>0</v>
      </c>
      <c r="CL18" s="542">
        <v>0</v>
      </c>
      <c r="CM18" s="542">
        <v>0</v>
      </c>
      <c r="CN18" s="542">
        <v>0</v>
      </c>
      <c r="CO18" s="542">
        <v>0</v>
      </c>
      <c r="CP18" s="542">
        <v>0</v>
      </c>
      <c r="CQ18" s="542">
        <v>0</v>
      </c>
      <c r="CR18" s="542">
        <v>0</v>
      </c>
      <c r="CS18" s="542">
        <v>0</v>
      </c>
      <c r="CT18" s="542">
        <v>0</v>
      </c>
      <c r="CU18" s="542">
        <v>0</v>
      </c>
      <c r="CV18" s="542">
        <v>262921.90999999997</v>
      </c>
      <c r="CW18" s="542">
        <v>0</v>
      </c>
      <c r="CX18" s="542">
        <v>5299.34</v>
      </c>
      <c r="CY18" s="542">
        <v>264069</v>
      </c>
      <c r="CZ18" s="542">
        <v>0</v>
      </c>
      <c r="DA18" s="542">
        <v>5244</v>
      </c>
      <c r="DB18" s="542">
        <v>-1147</v>
      </c>
      <c r="DC18" s="542">
        <v>0</v>
      </c>
      <c r="DD18" s="542">
        <v>55</v>
      </c>
      <c r="DE18" s="153" t="s">
        <v>582</v>
      </c>
      <c r="DF18" s="103" t="s">
        <v>763</v>
      </c>
      <c r="DG18" s="104" t="s">
        <v>764</v>
      </c>
      <c r="DH18" s="549" t="s">
        <v>1177</v>
      </c>
      <c r="DI18" s="549" t="s">
        <v>1212</v>
      </c>
    </row>
    <row r="19" spans="1:113" x14ac:dyDescent="0.2">
      <c r="A19" s="93">
        <v>13</v>
      </c>
      <c r="B19" s="145" t="s">
        <v>585</v>
      </c>
      <c r="C19" s="141" t="s">
        <v>866</v>
      </c>
      <c r="D19" s="142" t="s">
        <v>868</v>
      </c>
      <c r="E19" s="149" t="s">
        <v>584</v>
      </c>
      <c r="F19" s="542">
        <v>-27369</v>
      </c>
      <c r="G19" s="542">
        <v>0</v>
      </c>
      <c r="H19" s="542">
        <v>-27369</v>
      </c>
      <c r="I19" s="542">
        <v>93867</v>
      </c>
      <c r="J19" s="542">
        <v>0</v>
      </c>
      <c r="K19" s="542">
        <v>93867</v>
      </c>
      <c r="L19" s="542">
        <v>-121236</v>
      </c>
      <c r="M19" s="542">
        <v>0</v>
      </c>
      <c r="N19" s="542">
        <v>-121236</v>
      </c>
      <c r="O19" s="543">
        <v>0.5</v>
      </c>
      <c r="P19" s="543">
        <v>0.4</v>
      </c>
      <c r="Q19" s="543">
        <v>0.1</v>
      </c>
      <c r="R19" s="543">
        <v>0</v>
      </c>
      <c r="S19" s="542">
        <v>97916</v>
      </c>
      <c r="T19" s="542">
        <v>97916</v>
      </c>
      <c r="U19" s="542">
        <v>0</v>
      </c>
      <c r="V19" s="542">
        <v>0</v>
      </c>
      <c r="W19" s="542">
        <v>0</v>
      </c>
      <c r="X19" s="542">
        <v>0</v>
      </c>
      <c r="Y19" s="542">
        <v>0</v>
      </c>
      <c r="Z19" s="542">
        <v>0</v>
      </c>
      <c r="AA19" s="542">
        <v>0</v>
      </c>
      <c r="AB19" s="542">
        <v>0</v>
      </c>
      <c r="AC19" s="542">
        <v>0</v>
      </c>
      <c r="AD19" s="542">
        <v>0</v>
      </c>
      <c r="AE19" s="542">
        <v>0</v>
      </c>
      <c r="AF19" s="542">
        <v>0</v>
      </c>
      <c r="AG19" s="542">
        <v>0</v>
      </c>
      <c r="AH19" s="542">
        <v>0</v>
      </c>
      <c r="AI19" s="542">
        <v>0</v>
      </c>
      <c r="AJ19" s="542">
        <v>0</v>
      </c>
      <c r="AK19" s="542">
        <v>0</v>
      </c>
      <c r="AL19" s="542">
        <v>0</v>
      </c>
      <c r="AM19" s="542">
        <v>0</v>
      </c>
      <c r="AN19" s="542">
        <v>0</v>
      </c>
      <c r="AO19" s="542">
        <v>0</v>
      </c>
      <c r="AP19" s="542">
        <v>0</v>
      </c>
      <c r="AQ19" s="542">
        <v>271079.87699999998</v>
      </c>
      <c r="AR19" s="542">
        <v>67769.969400000002</v>
      </c>
      <c r="AS19" s="542">
        <v>0</v>
      </c>
      <c r="AT19" s="542">
        <v>259317</v>
      </c>
      <c r="AU19" s="542">
        <v>64829</v>
      </c>
      <c r="AV19" s="542">
        <v>0</v>
      </c>
      <c r="AW19" s="542">
        <v>11763</v>
      </c>
      <c r="AX19" s="542">
        <v>2941</v>
      </c>
      <c r="AY19" s="542">
        <v>0</v>
      </c>
      <c r="AZ19" s="542">
        <v>742.60042399999998</v>
      </c>
      <c r="BA19" s="542">
        <v>185.65010599999999</v>
      </c>
      <c r="BB19" s="542">
        <v>0</v>
      </c>
      <c r="BC19" s="542">
        <v>0</v>
      </c>
      <c r="BD19" s="542">
        <v>0</v>
      </c>
      <c r="BE19" s="542">
        <v>0</v>
      </c>
      <c r="BF19" s="542">
        <v>743</v>
      </c>
      <c r="BG19" s="542">
        <v>186</v>
      </c>
      <c r="BH19" s="542">
        <v>0</v>
      </c>
      <c r="BI19" s="542">
        <v>904.70318399999996</v>
      </c>
      <c r="BJ19" s="542">
        <v>226.17579599999999</v>
      </c>
      <c r="BK19" s="542">
        <v>0</v>
      </c>
      <c r="BL19" s="542">
        <v>0</v>
      </c>
      <c r="BM19" s="542">
        <v>0</v>
      </c>
      <c r="BN19" s="542">
        <v>0</v>
      </c>
      <c r="BO19" s="542">
        <v>905</v>
      </c>
      <c r="BP19" s="542">
        <v>226</v>
      </c>
      <c r="BQ19" s="542">
        <v>0</v>
      </c>
      <c r="BR19" s="542">
        <v>2273.0768499999999</v>
      </c>
      <c r="BS19" s="542">
        <v>568.26921400000003</v>
      </c>
      <c r="BT19" s="542">
        <v>0</v>
      </c>
      <c r="BU19" s="542">
        <v>24547</v>
      </c>
      <c r="BV19" s="542">
        <v>6137</v>
      </c>
      <c r="BW19" s="542">
        <v>0</v>
      </c>
      <c r="BX19" s="542">
        <v>-22274</v>
      </c>
      <c r="BY19" s="542">
        <v>-5569</v>
      </c>
      <c r="BZ19" s="542">
        <v>0</v>
      </c>
      <c r="CA19" s="542">
        <v>122231.94899999999</v>
      </c>
      <c r="CB19" s="542">
        <v>30557.9872</v>
      </c>
      <c r="CC19" s="542">
        <v>0</v>
      </c>
      <c r="CD19" s="542">
        <v>135018</v>
      </c>
      <c r="CE19" s="542">
        <v>33755</v>
      </c>
      <c r="CF19" s="542">
        <v>0</v>
      </c>
      <c r="CG19" s="542">
        <v>-12786</v>
      </c>
      <c r="CH19" s="542">
        <v>-3197</v>
      </c>
      <c r="CI19" s="542">
        <v>0</v>
      </c>
      <c r="CJ19" s="542">
        <v>0</v>
      </c>
      <c r="CK19" s="542">
        <v>0</v>
      </c>
      <c r="CL19" s="542">
        <v>0</v>
      </c>
      <c r="CM19" s="542">
        <v>0</v>
      </c>
      <c r="CN19" s="542">
        <v>0</v>
      </c>
      <c r="CO19" s="542">
        <v>0</v>
      </c>
      <c r="CP19" s="542">
        <v>0</v>
      </c>
      <c r="CQ19" s="542">
        <v>0</v>
      </c>
      <c r="CR19" s="542">
        <v>0</v>
      </c>
      <c r="CS19" s="542">
        <v>0</v>
      </c>
      <c r="CT19" s="542">
        <v>0</v>
      </c>
      <c r="CU19" s="542">
        <v>0</v>
      </c>
      <c r="CV19" s="542">
        <v>98297.511599999998</v>
      </c>
      <c r="CW19" s="542">
        <v>24574.377899999999</v>
      </c>
      <c r="CX19" s="542">
        <v>0</v>
      </c>
      <c r="CY19" s="542">
        <v>100663</v>
      </c>
      <c r="CZ19" s="542">
        <v>24906</v>
      </c>
      <c r="DA19" s="542">
        <v>0</v>
      </c>
      <c r="DB19" s="542">
        <v>-2365</v>
      </c>
      <c r="DC19" s="542">
        <v>-332</v>
      </c>
      <c r="DD19" s="542">
        <v>0</v>
      </c>
      <c r="DE19" s="153" t="s">
        <v>584</v>
      </c>
      <c r="DF19" s="103" t="s">
        <v>752</v>
      </c>
      <c r="DG19" s="104" t="s">
        <v>751</v>
      </c>
      <c r="DH19" s="547"/>
      <c r="DI19" s="547"/>
    </row>
    <row r="20" spans="1:113" x14ac:dyDescent="0.2">
      <c r="A20" s="93">
        <v>14</v>
      </c>
      <c r="B20" s="145" t="s">
        <v>587</v>
      </c>
      <c r="C20" s="141" t="s">
        <v>866</v>
      </c>
      <c r="D20" s="142" t="s">
        <v>870</v>
      </c>
      <c r="E20" s="149" t="s">
        <v>586</v>
      </c>
      <c r="F20" s="542">
        <v>-1450577</v>
      </c>
      <c r="G20" s="542">
        <v>0</v>
      </c>
      <c r="H20" s="542">
        <v>-1450577</v>
      </c>
      <c r="I20" s="542">
        <v>-20376</v>
      </c>
      <c r="J20" s="542">
        <v>0</v>
      </c>
      <c r="K20" s="542">
        <v>-20376</v>
      </c>
      <c r="L20" s="542">
        <v>-1430201</v>
      </c>
      <c r="M20" s="542">
        <v>0</v>
      </c>
      <c r="N20" s="542">
        <v>-1430201</v>
      </c>
      <c r="O20" s="543">
        <v>0.5</v>
      </c>
      <c r="P20" s="543">
        <v>0.4</v>
      </c>
      <c r="Q20" s="543">
        <v>0.09</v>
      </c>
      <c r="R20" s="543">
        <v>0.01</v>
      </c>
      <c r="S20" s="542">
        <v>238608</v>
      </c>
      <c r="T20" s="542">
        <v>236158</v>
      </c>
      <c r="U20" s="542">
        <v>2450</v>
      </c>
      <c r="V20" s="542">
        <v>0</v>
      </c>
      <c r="W20" s="542">
        <v>0</v>
      </c>
      <c r="X20" s="542">
        <v>0</v>
      </c>
      <c r="Y20" s="542">
        <v>50</v>
      </c>
      <c r="Z20" s="542">
        <v>0</v>
      </c>
      <c r="AA20" s="542">
        <v>0</v>
      </c>
      <c r="AB20" s="542">
        <v>0</v>
      </c>
      <c r="AC20" s="542">
        <v>50</v>
      </c>
      <c r="AD20" s="542">
        <v>0</v>
      </c>
      <c r="AE20" s="542">
        <v>0</v>
      </c>
      <c r="AF20" s="542">
        <v>0</v>
      </c>
      <c r="AG20" s="542">
        <v>0</v>
      </c>
      <c r="AH20" s="542">
        <v>0</v>
      </c>
      <c r="AI20" s="542">
        <v>0</v>
      </c>
      <c r="AJ20" s="542">
        <v>0</v>
      </c>
      <c r="AK20" s="542">
        <v>0</v>
      </c>
      <c r="AL20" s="542">
        <v>0</v>
      </c>
      <c r="AM20" s="542">
        <v>0</v>
      </c>
      <c r="AN20" s="542">
        <v>0</v>
      </c>
      <c r="AO20" s="542">
        <v>0</v>
      </c>
      <c r="AP20" s="542">
        <v>0</v>
      </c>
      <c r="AQ20" s="542">
        <v>501180.26400000002</v>
      </c>
      <c r="AR20" s="542">
        <v>112765.55899999999</v>
      </c>
      <c r="AS20" s="542">
        <v>12529.506600000001</v>
      </c>
      <c r="AT20" s="542">
        <v>451302</v>
      </c>
      <c r="AU20" s="542">
        <v>101543</v>
      </c>
      <c r="AV20" s="542">
        <v>11283</v>
      </c>
      <c r="AW20" s="542">
        <v>49878</v>
      </c>
      <c r="AX20" s="542">
        <v>11223</v>
      </c>
      <c r="AY20" s="542">
        <v>1247</v>
      </c>
      <c r="AZ20" s="542">
        <v>1211.59483</v>
      </c>
      <c r="BA20" s="542">
        <v>272.60883799999999</v>
      </c>
      <c r="BB20" s="542">
        <v>30.2898709</v>
      </c>
      <c r="BC20" s="542">
        <v>8085</v>
      </c>
      <c r="BD20" s="542">
        <v>1819</v>
      </c>
      <c r="BE20" s="542">
        <v>202</v>
      </c>
      <c r="BF20" s="542">
        <v>-6873</v>
      </c>
      <c r="BG20" s="542">
        <v>-1546</v>
      </c>
      <c r="BH20" s="542">
        <v>-172</v>
      </c>
      <c r="BI20" s="542">
        <v>0</v>
      </c>
      <c r="BJ20" s="542">
        <v>0</v>
      </c>
      <c r="BK20" s="542">
        <v>0</v>
      </c>
      <c r="BL20" s="542">
        <v>0</v>
      </c>
      <c r="BM20" s="542">
        <v>0</v>
      </c>
      <c r="BN20" s="542">
        <v>0</v>
      </c>
      <c r="BO20" s="542">
        <v>0</v>
      </c>
      <c r="BP20" s="542">
        <v>0</v>
      </c>
      <c r="BQ20" s="542">
        <v>0</v>
      </c>
      <c r="BR20" s="542">
        <v>0</v>
      </c>
      <c r="BS20" s="542">
        <v>0</v>
      </c>
      <c r="BT20" s="542">
        <v>0</v>
      </c>
      <c r="BU20" s="542">
        <v>153614</v>
      </c>
      <c r="BV20" s="542">
        <v>34563</v>
      </c>
      <c r="BW20" s="542">
        <v>3840</v>
      </c>
      <c r="BX20" s="542">
        <v>-153614</v>
      </c>
      <c r="BY20" s="542">
        <v>-34563</v>
      </c>
      <c r="BZ20" s="542">
        <v>-3840</v>
      </c>
      <c r="CA20" s="542">
        <v>201422.58300000001</v>
      </c>
      <c r="CB20" s="542">
        <v>45320.081200000001</v>
      </c>
      <c r="CC20" s="542">
        <v>5035.5645800000002</v>
      </c>
      <c r="CD20" s="542">
        <v>422842</v>
      </c>
      <c r="CE20" s="542">
        <v>95139</v>
      </c>
      <c r="CF20" s="542">
        <v>10571</v>
      </c>
      <c r="CG20" s="542">
        <v>-221419</v>
      </c>
      <c r="CH20" s="542">
        <v>-49819</v>
      </c>
      <c r="CI20" s="542">
        <v>-5535</v>
      </c>
      <c r="CJ20" s="542">
        <v>0</v>
      </c>
      <c r="CK20" s="542">
        <v>0</v>
      </c>
      <c r="CL20" s="542">
        <v>0</v>
      </c>
      <c r="CM20" s="542">
        <v>0</v>
      </c>
      <c r="CN20" s="542">
        <v>0</v>
      </c>
      <c r="CO20" s="542">
        <v>0</v>
      </c>
      <c r="CP20" s="542">
        <v>0</v>
      </c>
      <c r="CQ20" s="542">
        <v>0</v>
      </c>
      <c r="CR20" s="542">
        <v>0</v>
      </c>
      <c r="CS20" s="542">
        <v>0</v>
      </c>
      <c r="CT20" s="542">
        <v>0</v>
      </c>
      <c r="CU20" s="542">
        <v>0</v>
      </c>
      <c r="CV20" s="542">
        <v>312657.571</v>
      </c>
      <c r="CW20" s="542">
        <v>70347.834000000003</v>
      </c>
      <c r="CX20" s="542">
        <v>7816.4260000000004</v>
      </c>
      <c r="CY20" s="542">
        <v>326591</v>
      </c>
      <c r="CZ20" s="542">
        <v>72919</v>
      </c>
      <c r="DA20" s="542">
        <v>8102</v>
      </c>
      <c r="DB20" s="542">
        <v>-13933</v>
      </c>
      <c r="DC20" s="542">
        <v>-2571</v>
      </c>
      <c r="DD20" s="542">
        <v>-286</v>
      </c>
      <c r="DE20" s="153" t="s">
        <v>586</v>
      </c>
      <c r="DF20" s="103" t="s">
        <v>765</v>
      </c>
      <c r="DG20" s="104" t="s">
        <v>766</v>
      </c>
      <c r="DH20" s="547"/>
      <c r="DI20" s="547"/>
    </row>
    <row r="21" spans="1:113" x14ac:dyDescent="0.2">
      <c r="A21" s="93">
        <v>15</v>
      </c>
      <c r="B21" s="145" t="s">
        <v>589</v>
      </c>
      <c r="C21" s="141" t="s">
        <v>866</v>
      </c>
      <c r="D21" s="142" t="s">
        <v>867</v>
      </c>
      <c r="E21" s="149" t="s">
        <v>588</v>
      </c>
      <c r="F21" s="542">
        <v>-1635670</v>
      </c>
      <c r="G21" s="542">
        <v>0</v>
      </c>
      <c r="H21" s="542">
        <v>-1635670</v>
      </c>
      <c r="I21" s="542">
        <v>360973</v>
      </c>
      <c r="J21" s="542">
        <v>0</v>
      </c>
      <c r="K21" s="542">
        <v>360973</v>
      </c>
      <c r="L21" s="542">
        <v>-1996643</v>
      </c>
      <c r="M21" s="542">
        <v>0</v>
      </c>
      <c r="N21" s="542">
        <v>-1996643</v>
      </c>
      <c r="O21" s="543">
        <v>0.5</v>
      </c>
      <c r="P21" s="543">
        <v>0.4</v>
      </c>
      <c r="Q21" s="543">
        <v>0.09</v>
      </c>
      <c r="R21" s="543">
        <v>0.01</v>
      </c>
      <c r="S21" s="542">
        <v>206524</v>
      </c>
      <c r="T21" s="542">
        <v>206524</v>
      </c>
      <c r="U21" s="542">
        <v>0</v>
      </c>
      <c r="V21" s="542">
        <v>0</v>
      </c>
      <c r="W21" s="542">
        <v>0</v>
      </c>
      <c r="X21" s="542">
        <v>0</v>
      </c>
      <c r="Y21" s="542">
        <v>28735</v>
      </c>
      <c r="Z21" s="542">
        <v>204806</v>
      </c>
      <c r="AA21" s="542">
        <v>17169</v>
      </c>
      <c r="AB21" s="542">
        <v>1907</v>
      </c>
      <c r="AC21" s="542">
        <v>11566</v>
      </c>
      <c r="AD21" s="542">
        <v>202899</v>
      </c>
      <c r="AE21" s="542">
        <v>0</v>
      </c>
      <c r="AF21" s="542">
        <v>0</v>
      </c>
      <c r="AG21" s="542">
        <v>0</v>
      </c>
      <c r="AH21" s="542">
        <v>0</v>
      </c>
      <c r="AI21" s="542">
        <v>0</v>
      </c>
      <c r="AJ21" s="542">
        <v>0</v>
      </c>
      <c r="AK21" s="542">
        <v>0</v>
      </c>
      <c r="AL21" s="542">
        <v>0</v>
      </c>
      <c r="AM21" s="542">
        <v>0</v>
      </c>
      <c r="AN21" s="542">
        <v>0</v>
      </c>
      <c r="AO21" s="542">
        <v>0</v>
      </c>
      <c r="AP21" s="542">
        <v>0</v>
      </c>
      <c r="AQ21" s="542">
        <v>348437.255</v>
      </c>
      <c r="AR21" s="542">
        <v>78398.382400000002</v>
      </c>
      <c r="AS21" s="542">
        <v>8710.93138</v>
      </c>
      <c r="AT21" s="542">
        <v>302946</v>
      </c>
      <c r="AU21" s="542">
        <v>68163</v>
      </c>
      <c r="AV21" s="542">
        <v>7574</v>
      </c>
      <c r="AW21" s="542">
        <v>45491</v>
      </c>
      <c r="AX21" s="542">
        <v>10235</v>
      </c>
      <c r="AY21" s="542">
        <v>1137</v>
      </c>
      <c r="AZ21" s="542">
        <v>635.87940500000002</v>
      </c>
      <c r="BA21" s="542">
        <v>143.072866</v>
      </c>
      <c r="BB21" s="542">
        <v>15.8969851</v>
      </c>
      <c r="BC21" s="542">
        <v>11424</v>
      </c>
      <c r="BD21" s="542">
        <v>2570</v>
      </c>
      <c r="BE21" s="542">
        <v>286</v>
      </c>
      <c r="BF21" s="542">
        <v>-10788</v>
      </c>
      <c r="BG21" s="542">
        <v>-2427</v>
      </c>
      <c r="BH21" s="542">
        <v>-270</v>
      </c>
      <c r="BI21" s="542">
        <v>0</v>
      </c>
      <c r="BJ21" s="542">
        <v>0</v>
      </c>
      <c r="BK21" s="542">
        <v>0</v>
      </c>
      <c r="BL21" s="542">
        <v>9742</v>
      </c>
      <c r="BM21" s="542">
        <v>2192</v>
      </c>
      <c r="BN21" s="542">
        <v>244</v>
      </c>
      <c r="BO21" s="542">
        <v>-9742</v>
      </c>
      <c r="BP21" s="542">
        <v>-2192</v>
      </c>
      <c r="BQ21" s="542">
        <v>-244</v>
      </c>
      <c r="BR21" s="542">
        <v>9269.7715499999995</v>
      </c>
      <c r="BS21" s="542">
        <v>2085.69859</v>
      </c>
      <c r="BT21" s="542">
        <v>231.74428800000001</v>
      </c>
      <c r="BU21" s="542">
        <v>33133</v>
      </c>
      <c r="BV21" s="542">
        <v>7455</v>
      </c>
      <c r="BW21" s="542">
        <v>828</v>
      </c>
      <c r="BX21" s="542">
        <v>-23863</v>
      </c>
      <c r="BY21" s="542">
        <v>-5369</v>
      </c>
      <c r="BZ21" s="542">
        <v>-596</v>
      </c>
      <c r="CA21" s="542">
        <v>109169.943</v>
      </c>
      <c r="CB21" s="542">
        <v>24563.2372</v>
      </c>
      <c r="CC21" s="542">
        <v>2729.2485700000002</v>
      </c>
      <c r="CD21" s="542">
        <v>202123</v>
      </c>
      <c r="CE21" s="542">
        <v>45478</v>
      </c>
      <c r="CF21" s="542">
        <v>5053</v>
      </c>
      <c r="CG21" s="542">
        <v>-92953</v>
      </c>
      <c r="CH21" s="542">
        <v>-20915</v>
      </c>
      <c r="CI21" s="542">
        <v>-2324</v>
      </c>
      <c r="CJ21" s="542">
        <v>2885.2</v>
      </c>
      <c r="CK21" s="542">
        <v>649.16999999999996</v>
      </c>
      <c r="CL21" s="542">
        <v>72.13</v>
      </c>
      <c r="CM21" s="542">
        <v>3192.3328999999999</v>
      </c>
      <c r="CN21" s="542">
        <v>718.27490399999999</v>
      </c>
      <c r="CO21" s="542">
        <v>79.808322700000005</v>
      </c>
      <c r="CP21" s="542">
        <v>5379</v>
      </c>
      <c r="CQ21" s="542">
        <v>1210.2012</v>
      </c>
      <c r="CR21" s="542">
        <v>134.46680000000001</v>
      </c>
      <c r="CS21" s="542">
        <v>699</v>
      </c>
      <c r="CT21" s="542">
        <v>157</v>
      </c>
      <c r="CU21" s="542">
        <v>17</v>
      </c>
      <c r="CV21" s="542">
        <v>299349.36499999999</v>
      </c>
      <c r="CW21" s="542">
        <v>69459.133900000001</v>
      </c>
      <c r="CX21" s="542">
        <v>7476.1080599999996</v>
      </c>
      <c r="CY21" s="542">
        <v>312537</v>
      </c>
      <c r="CZ21" s="542">
        <v>69807</v>
      </c>
      <c r="DA21" s="542">
        <v>7754</v>
      </c>
      <c r="DB21" s="542">
        <v>-13188</v>
      </c>
      <c r="DC21" s="542">
        <v>-348</v>
      </c>
      <c r="DD21" s="542">
        <v>-278</v>
      </c>
      <c r="DE21" s="153" t="s">
        <v>588</v>
      </c>
      <c r="DF21" s="103" t="s">
        <v>767</v>
      </c>
      <c r="DG21" s="104" t="s">
        <v>768</v>
      </c>
      <c r="DH21" s="547"/>
      <c r="DI21" s="547"/>
    </row>
    <row r="22" spans="1:113" x14ac:dyDescent="0.2">
      <c r="A22" s="93">
        <v>16</v>
      </c>
      <c r="B22" s="145" t="s">
        <v>591</v>
      </c>
      <c r="C22" s="141" t="s">
        <v>866</v>
      </c>
      <c r="D22" s="142" t="s">
        <v>869</v>
      </c>
      <c r="E22" s="149" t="s">
        <v>590</v>
      </c>
      <c r="F22" s="542">
        <v>1228850</v>
      </c>
      <c r="G22" s="542">
        <v>0</v>
      </c>
      <c r="H22" s="542">
        <v>1228850</v>
      </c>
      <c r="I22" s="542">
        <v>130764</v>
      </c>
      <c r="J22" s="542">
        <v>0</v>
      </c>
      <c r="K22" s="542">
        <v>130764</v>
      </c>
      <c r="L22" s="542">
        <v>1098086</v>
      </c>
      <c r="M22" s="542">
        <v>0</v>
      </c>
      <c r="N22" s="542">
        <v>1098086</v>
      </c>
      <c r="O22" s="543">
        <v>0.5</v>
      </c>
      <c r="P22" s="543">
        <v>0.4</v>
      </c>
      <c r="Q22" s="543">
        <v>0.09</v>
      </c>
      <c r="R22" s="543">
        <v>0.01</v>
      </c>
      <c r="S22" s="542">
        <v>165835</v>
      </c>
      <c r="T22" s="542">
        <v>165835</v>
      </c>
      <c r="U22" s="542">
        <v>0</v>
      </c>
      <c r="V22" s="542">
        <v>0</v>
      </c>
      <c r="W22" s="542">
        <v>0</v>
      </c>
      <c r="X22" s="542">
        <v>0</v>
      </c>
      <c r="Y22" s="542">
        <v>103751</v>
      </c>
      <c r="Z22" s="542">
        <v>11528</v>
      </c>
      <c r="AA22" s="542">
        <v>0</v>
      </c>
      <c r="AB22" s="542">
        <v>0</v>
      </c>
      <c r="AC22" s="542">
        <v>103751</v>
      </c>
      <c r="AD22" s="542">
        <v>11528</v>
      </c>
      <c r="AE22" s="542">
        <v>0</v>
      </c>
      <c r="AF22" s="542">
        <v>0</v>
      </c>
      <c r="AG22" s="542">
        <v>0</v>
      </c>
      <c r="AH22" s="542">
        <v>0</v>
      </c>
      <c r="AI22" s="542">
        <v>0</v>
      </c>
      <c r="AJ22" s="542">
        <v>0</v>
      </c>
      <c r="AK22" s="542">
        <v>0</v>
      </c>
      <c r="AL22" s="542">
        <v>0</v>
      </c>
      <c r="AM22" s="542">
        <v>0</v>
      </c>
      <c r="AN22" s="542">
        <v>0</v>
      </c>
      <c r="AO22" s="542">
        <v>0</v>
      </c>
      <c r="AP22" s="542">
        <v>0</v>
      </c>
      <c r="AQ22" s="542">
        <v>483570.522</v>
      </c>
      <c r="AR22" s="542">
        <v>108803.367</v>
      </c>
      <c r="AS22" s="542">
        <v>12089.263000000001</v>
      </c>
      <c r="AT22" s="542">
        <v>449549</v>
      </c>
      <c r="AU22" s="542">
        <v>101149</v>
      </c>
      <c r="AV22" s="542">
        <v>11239</v>
      </c>
      <c r="AW22" s="542">
        <v>34022</v>
      </c>
      <c r="AX22" s="542">
        <v>7654</v>
      </c>
      <c r="AY22" s="542">
        <v>850</v>
      </c>
      <c r="AZ22" s="542">
        <v>268.419532</v>
      </c>
      <c r="BA22" s="542">
        <v>60.394394900000002</v>
      </c>
      <c r="BB22" s="542">
        <v>6.7104883199999996</v>
      </c>
      <c r="BC22" s="542">
        <v>6163</v>
      </c>
      <c r="BD22" s="542">
        <v>1387</v>
      </c>
      <c r="BE22" s="542">
        <v>154</v>
      </c>
      <c r="BF22" s="542">
        <v>-5895</v>
      </c>
      <c r="BG22" s="542">
        <v>-1327</v>
      </c>
      <c r="BH22" s="542">
        <v>-147</v>
      </c>
      <c r="BI22" s="542">
        <v>5631.15074</v>
      </c>
      <c r="BJ22" s="542">
        <v>1267.00891</v>
      </c>
      <c r="BK22" s="542">
        <v>140.77876800000001</v>
      </c>
      <c r="BL22" s="542">
        <v>10106</v>
      </c>
      <c r="BM22" s="542">
        <v>2274</v>
      </c>
      <c r="BN22" s="542">
        <v>253</v>
      </c>
      <c r="BO22" s="542">
        <v>-4475</v>
      </c>
      <c r="BP22" s="542">
        <v>-1007</v>
      </c>
      <c r="BQ22" s="542">
        <v>-112</v>
      </c>
      <c r="BR22" s="542">
        <v>5799.7214400000003</v>
      </c>
      <c r="BS22" s="542">
        <v>1304.93732</v>
      </c>
      <c r="BT22" s="542">
        <v>144.99303599999999</v>
      </c>
      <c r="BU22" s="542">
        <v>34361</v>
      </c>
      <c r="BV22" s="542">
        <v>7731</v>
      </c>
      <c r="BW22" s="542">
        <v>859</v>
      </c>
      <c r="BX22" s="542">
        <v>-28561</v>
      </c>
      <c r="BY22" s="542">
        <v>-6426</v>
      </c>
      <c r="BZ22" s="542">
        <v>-714</v>
      </c>
      <c r="CA22" s="542">
        <v>119439.82</v>
      </c>
      <c r="CB22" s="542">
        <v>26873.9594</v>
      </c>
      <c r="CC22" s="542">
        <v>2985.9954899999998</v>
      </c>
      <c r="CD22" s="542">
        <v>161699</v>
      </c>
      <c r="CE22" s="542">
        <v>36382</v>
      </c>
      <c r="CF22" s="542">
        <v>4042</v>
      </c>
      <c r="CG22" s="542">
        <v>-42259</v>
      </c>
      <c r="CH22" s="542">
        <v>-9508</v>
      </c>
      <c r="CI22" s="542">
        <v>-1056</v>
      </c>
      <c r="CJ22" s="542">
        <v>0</v>
      </c>
      <c r="CK22" s="542">
        <v>0</v>
      </c>
      <c r="CL22" s="542">
        <v>0</v>
      </c>
      <c r="CM22" s="542">
        <v>0</v>
      </c>
      <c r="CN22" s="542">
        <v>0</v>
      </c>
      <c r="CO22" s="542">
        <v>0</v>
      </c>
      <c r="CP22" s="542">
        <v>0</v>
      </c>
      <c r="CQ22" s="542">
        <v>0</v>
      </c>
      <c r="CR22" s="542">
        <v>0</v>
      </c>
      <c r="CS22" s="542">
        <v>0</v>
      </c>
      <c r="CT22" s="542">
        <v>0</v>
      </c>
      <c r="CU22" s="542">
        <v>0</v>
      </c>
      <c r="CV22" s="542">
        <v>229289.23699999999</v>
      </c>
      <c r="CW22" s="542">
        <v>51464.643499999998</v>
      </c>
      <c r="CX22" s="542">
        <v>5704.6961700000002</v>
      </c>
      <c r="CY22" s="542">
        <v>188060</v>
      </c>
      <c r="CZ22" s="542">
        <v>41917</v>
      </c>
      <c r="DA22" s="542">
        <v>4657</v>
      </c>
      <c r="DB22" s="542">
        <v>41229</v>
      </c>
      <c r="DC22" s="542">
        <v>9548</v>
      </c>
      <c r="DD22" s="542">
        <v>1048</v>
      </c>
      <c r="DE22" s="153" t="s">
        <v>590</v>
      </c>
      <c r="DF22" s="103" t="s">
        <v>755</v>
      </c>
      <c r="DG22" s="104" t="s">
        <v>756</v>
      </c>
      <c r="DH22" s="547"/>
      <c r="DI22" s="547"/>
    </row>
    <row r="23" spans="1:113" x14ac:dyDescent="0.2">
      <c r="A23" s="93">
        <v>17</v>
      </c>
      <c r="B23" s="145" t="s">
        <v>593</v>
      </c>
      <c r="C23" s="141" t="s">
        <v>770</v>
      </c>
      <c r="D23" s="142" t="s">
        <v>875</v>
      </c>
      <c r="E23" s="149" t="s">
        <v>592</v>
      </c>
      <c r="F23" s="542">
        <v>-105494</v>
      </c>
      <c r="G23" s="542">
        <v>-36363</v>
      </c>
      <c r="H23" s="542">
        <v>-141857</v>
      </c>
      <c r="I23" s="542">
        <v>177368</v>
      </c>
      <c r="J23" s="542">
        <v>391</v>
      </c>
      <c r="K23" s="542">
        <v>177759</v>
      </c>
      <c r="L23" s="542">
        <v>-282862</v>
      </c>
      <c r="M23" s="542">
        <v>-36754</v>
      </c>
      <c r="N23" s="542">
        <v>-319616</v>
      </c>
      <c r="O23" s="543">
        <v>0.5</v>
      </c>
      <c r="P23" s="543">
        <v>0.49</v>
      </c>
      <c r="Q23" s="543">
        <v>0</v>
      </c>
      <c r="R23" s="543">
        <v>0.01</v>
      </c>
      <c r="S23" s="542">
        <v>261473</v>
      </c>
      <c r="T23" s="542">
        <v>261473</v>
      </c>
      <c r="U23" s="542">
        <v>0</v>
      </c>
      <c r="V23" s="542">
        <v>741828</v>
      </c>
      <c r="W23" s="542">
        <v>892907</v>
      </c>
      <c r="X23" s="542">
        <v>-151079</v>
      </c>
      <c r="Y23" s="542">
        <v>0</v>
      </c>
      <c r="Z23" s="542">
        <v>0</v>
      </c>
      <c r="AA23" s="542">
        <v>0</v>
      </c>
      <c r="AB23" s="542">
        <v>0</v>
      </c>
      <c r="AC23" s="542">
        <v>0</v>
      </c>
      <c r="AD23" s="542">
        <v>0</v>
      </c>
      <c r="AE23" s="542">
        <v>0</v>
      </c>
      <c r="AF23" s="542">
        <v>0</v>
      </c>
      <c r="AG23" s="542">
        <v>0</v>
      </c>
      <c r="AH23" s="542">
        <v>0</v>
      </c>
      <c r="AI23" s="542">
        <v>0</v>
      </c>
      <c r="AJ23" s="542">
        <v>0</v>
      </c>
      <c r="AK23" s="542">
        <v>0</v>
      </c>
      <c r="AL23" s="542">
        <v>0</v>
      </c>
      <c r="AM23" s="542">
        <v>0</v>
      </c>
      <c r="AN23" s="542">
        <v>0</v>
      </c>
      <c r="AO23" s="542">
        <v>0</v>
      </c>
      <c r="AP23" s="542">
        <v>0</v>
      </c>
      <c r="AQ23" s="542">
        <v>965613.56</v>
      </c>
      <c r="AR23" s="542">
        <v>0</v>
      </c>
      <c r="AS23" s="542">
        <v>18725.64</v>
      </c>
      <c r="AT23" s="542">
        <v>867611</v>
      </c>
      <c r="AU23" s="542">
        <v>0</v>
      </c>
      <c r="AV23" s="542">
        <v>17706</v>
      </c>
      <c r="AW23" s="542">
        <v>98003</v>
      </c>
      <c r="AX23" s="542">
        <v>0</v>
      </c>
      <c r="AY23" s="542">
        <v>1020</v>
      </c>
      <c r="AZ23" s="542">
        <v>6014.91</v>
      </c>
      <c r="BA23" s="542">
        <v>0</v>
      </c>
      <c r="BB23" s="542">
        <v>107.9</v>
      </c>
      <c r="BC23" s="542">
        <v>0</v>
      </c>
      <c r="BD23" s="542">
        <v>0</v>
      </c>
      <c r="BE23" s="542">
        <v>0</v>
      </c>
      <c r="BF23" s="542">
        <v>6015</v>
      </c>
      <c r="BG23" s="542">
        <v>0</v>
      </c>
      <c r="BH23" s="542">
        <v>108</v>
      </c>
      <c r="BI23" s="542">
        <v>0</v>
      </c>
      <c r="BJ23" s="542">
        <v>0</v>
      </c>
      <c r="BK23" s="542">
        <v>0</v>
      </c>
      <c r="BL23" s="542">
        <v>0</v>
      </c>
      <c r="BM23" s="542">
        <v>0</v>
      </c>
      <c r="BN23" s="542">
        <v>0</v>
      </c>
      <c r="BO23" s="542">
        <v>0</v>
      </c>
      <c r="BP23" s="542">
        <v>0</v>
      </c>
      <c r="BQ23" s="542">
        <v>0</v>
      </c>
      <c r="BR23" s="542">
        <v>4468.2</v>
      </c>
      <c r="BS23" s="542">
        <v>0</v>
      </c>
      <c r="BT23" s="542">
        <v>91.19</v>
      </c>
      <c r="BU23" s="542">
        <v>172999.7</v>
      </c>
      <c r="BV23" s="542">
        <v>0</v>
      </c>
      <c r="BW23" s="542">
        <v>3530.61</v>
      </c>
      <c r="BX23" s="542">
        <v>-168531</v>
      </c>
      <c r="BY23" s="542">
        <v>0</v>
      </c>
      <c r="BZ23" s="542">
        <v>-3439</v>
      </c>
      <c r="CA23" s="542">
        <v>388701.45</v>
      </c>
      <c r="CB23" s="542">
        <v>0</v>
      </c>
      <c r="CC23" s="542">
        <v>7293.66</v>
      </c>
      <c r="CD23" s="542">
        <v>583556.57999999996</v>
      </c>
      <c r="CE23" s="542">
        <v>0</v>
      </c>
      <c r="CF23" s="542">
        <v>11909.32</v>
      </c>
      <c r="CG23" s="542">
        <v>-194855</v>
      </c>
      <c r="CH23" s="542">
        <v>0</v>
      </c>
      <c r="CI23" s="542">
        <v>-4616</v>
      </c>
      <c r="CJ23" s="542">
        <v>0</v>
      </c>
      <c r="CK23" s="542">
        <v>0</v>
      </c>
      <c r="CL23" s="542">
        <v>0</v>
      </c>
      <c r="CM23" s="542">
        <v>9409.82</v>
      </c>
      <c r="CN23" s="542">
        <v>0</v>
      </c>
      <c r="CO23" s="542">
        <v>192.04</v>
      </c>
      <c r="CP23" s="542">
        <v>0</v>
      </c>
      <c r="CQ23" s="542">
        <v>0</v>
      </c>
      <c r="CR23" s="542">
        <v>0</v>
      </c>
      <c r="CS23" s="542">
        <v>9410</v>
      </c>
      <c r="CT23" s="542">
        <v>0</v>
      </c>
      <c r="CU23" s="542">
        <v>192</v>
      </c>
      <c r="CV23" s="542">
        <v>320769.05</v>
      </c>
      <c r="CW23" s="542">
        <v>0</v>
      </c>
      <c r="CX23" s="542">
        <v>6385.59</v>
      </c>
      <c r="CY23" s="542">
        <v>337172</v>
      </c>
      <c r="CZ23" s="542">
        <v>0</v>
      </c>
      <c r="DA23" s="542">
        <v>6631</v>
      </c>
      <c r="DB23" s="542">
        <v>-16403</v>
      </c>
      <c r="DC23" s="542">
        <v>0</v>
      </c>
      <c r="DD23" s="542">
        <v>-245</v>
      </c>
      <c r="DE23" s="153" t="s">
        <v>592</v>
      </c>
      <c r="DF23" s="103" t="s">
        <v>770</v>
      </c>
      <c r="DG23" s="104" t="s">
        <v>771</v>
      </c>
      <c r="DH23" s="549" t="s">
        <v>1178</v>
      </c>
      <c r="DI23" s="549"/>
    </row>
    <row r="24" spans="1:113" x14ac:dyDescent="0.2">
      <c r="A24" s="93">
        <v>18</v>
      </c>
      <c r="B24" s="145" t="s">
        <v>595</v>
      </c>
      <c r="C24" s="141" t="s">
        <v>770</v>
      </c>
      <c r="D24" s="142" t="s">
        <v>870</v>
      </c>
      <c r="E24" s="149" t="s">
        <v>594</v>
      </c>
      <c r="F24" s="542">
        <v>-24993</v>
      </c>
      <c r="G24" s="542">
        <v>0</v>
      </c>
      <c r="H24" s="542">
        <v>-24993</v>
      </c>
      <c r="I24" s="542">
        <v>349434</v>
      </c>
      <c r="J24" s="542">
        <v>0</v>
      </c>
      <c r="K24" s="542">
        <v>349434</v>
      </c>
      <c r="L24" s="542">
        <v>-374427</v>
      </c>
      <c r="M24" s="542">
        <v>0</v>
      </c>
      <c r="N24" s="542">
        <v>-374427</v>
      </c>
      <c r="O24" s="543">
        <v>0.5</v>
      </c>
      <c r="P24" s="543">
        <v>0.49</v>
      </c>
      <c r="Q24" s="543">
        <v>0</v>
      </c>
      <c r="R24" s="543">
        <v>0.01</v>
      </c>
      <c r="S24" s="542">
        <v>234144</v>
      </c>
      <c r="T24" s="542">
        <v>234144</v>
      </c>
      <c r="U24" s="542">
        <v>0</v>
      </c>
      <c r="V24" s="542">
        <v>0</v>
      </c>
      <c r="W24" s="542">
        <v>0</v>
      </c>
      <c r="X24" s="542">
        <v>0</v>
      </c>
      <c r="Y24" s="542">
        <v>0</v>
      </c>
      <c r="Z24" s="542">
        <v>0</v>
      </c>
      <c r="AA24" s="542">
        <v>0</v>
      </c>
      <c r="AB24" s="542">
        <v>0</v>
      </c>
      <c r="AC24" s="542">
        <v>0</v>
      </c>
      <c r="AD24" s="542">
        <v>0</v>
      </c>
      <c r="AE24" s="542">
        <v>0</v>
      </c>
      <c r="AF24" s="542">
        <v>0</v>
      </c>
      <c r="AG24" s="542">
        <v>0</v>
      </c>
      <c r="AH24" s="542">
        <v>0</v>
      </c>
      <c r="AI24" s="542">
        <v>0</v>
      </c>
      <c r="AJ24" s="542">
        <v>0</v>
      </c>
      <c r="AK24" s="542">
        <v>0</v>
      </c>
      <c r="AL24" s="542">
        <v>0</v>
      </c>
      <c r="AM24" s="542">
        <v>0</v>
      </c>
      <c r="AN24" s="542">
        <v>0</v>
      </c>
      <c r="AO24" s="542">
        <v>0</v>
      </c>
      <c r="AP24" s="542">
        <v>0</v>
      </c>
      <c r="AQ24" s="542">
        <v>781225.5</v>
      </c>
      <c r="AR24" s="542">
        <v>0</v>
      </c>
      <c r="AS24" s="542">
        <v>15943.38</v>
      </c>
      <c r="AT24" s="542">
        <v>703480</v>
      </c>
      <c r="AU24" s="542">
        <v>0</v>
      </c>
      <c r="AV24" s="542">
        <v>14357</v>
      </c>
      <c r="AW24" s="542">
        <v>77745</v>
      </c>
      <c r="AX24" s="542">
        <v>0</v>
      </c>
      <c r="AY24" s="542">
        <v>1586</v>
      </c>
      <c r="AZ24" s="542">
        <v>3938.83</v>
      </c>
      <c r="BA24" s="542">
        <v>0</v>
      </c>
      <c r="BB24" s="542">
        <v>80.38</v>
      </c>
      <c r="BC24" s="542">
        <v>0</v>
      </c>
      <c r="BD24" s="542">
        <v>0</v>
      </c>
      <c r="BE24" s="542">
        <v>0</v>
      </c>
      <c r="BF24" s="542">
        <v>3939</v>
      </c>
      <c r="BG24" s="542">
        <v>0</v>
      </c>
      <c r="BH24" s="542">
        <v>80</v>
      </c>
      <c r="BI24" s="542">
        <v>6254.89</v>
      </c>
      <c r="BJ24" s="542">
        <v>0</v>
      </c>
      <c r="BK24" s="542">
        <v>127.65</v>
      </c>
      <c r="BL24" s="542">
        <v>0</v>
      </c>
      <c r="BM24" s="542">
        <v>0</v>
      </c>
      <c r="BN24" s="542">
        <v>0</v>
      </c>
      <c r="BO24" s="542">
        <v>6255</v>
      </c>
      <c r="BP24" s="542">
        <v>0</v>
      </c>
      <c r="BQ24" s="542">
        <v>128</v>
      </c>
      <c r="BR24" s="542">
        <v>4776.72</v>
      </c>
      <c r="BS24" s="542">
        <v>0</v>
      </c>
      <c r="BT24" s="542">
        <v>97.48</v>
      </c>
      <c r="BU24" s="542">
        <v>12380</v>
      </c>
      <c r="BV24" s="542">
        <v>0</v>
      </c>
      <c r="BW24" s="542">
        <v>253</v>
      </c>
      <c r="BX24" s="542">
        <v>-7603</v>
      </c>
      <c r="BY24" s="542">
        <v>0</v>
      </c>
      <c r="BZ24" s="542">
        <v>-156</v>
      </c>
      <c r="CA24" s="542">
        <v>248043.56</v>
      </c>
      <c r="CB24" s="542">
        <v>0</v>
      </c>
      <c r="CC24" s="542">
        <v>5062.1099999999997</v>
      </c>
      <c r="CD24" s="542">
        <v>361497</v>
      </c>
      <c r="CE24" s="542">
        <v>0</v>
      </c>
      <c r="CF24" s="542">
        <v>7378</v>
      </c>
      <c r="CG24" s="542">
        <v>-113453</v>
      </c>
      <c r="CH24" s="542">
        <v>0</v>
      </c>
      <c r="CI24" s="542">
        <v>-2316</v>
      </c>
      <c r="CJ24" s="542">
        <v>0</v>
      </c>
      <c r="CK24" s="542">
        <v>0</v>
      </c>
      <c r="CL24" s="542">
        <v>0</v>
      </c>
      <c r="CM24" s="542">
        <v>0</v>
      </c>
      <c r="CN24" s="542">
        <v>0</v>
      </c>
      <c r="CO24" s="542">
        <v>0</v>
      </c>
      <c r="CP24" s="542">
        <v>0</v>
      </c>
      <c r="CQ24" s="542">
        <v>0</v>
      </c>
      <c r="CR24" s="542">
        <v>0</v>
      </c>
      <c r="CS24" s="542">
        <v>0</v>
      </c>
      <c r="CT24" s="542">
        <v>0</v>
      </c>
      <c r="CU24" s="542">
        <v>0</v>
      </c>
      <c r="CV24" s="542">
        <v>318857.09000000003</v>
      </c>
      <c r="CW24" s="542">
        <v>0</v>
      </c>
      <c r="CX24" s="542">
        <v>6507.29</v>
      </c>
      <c r="CY24" s="542">
        <v>332291</v>
      </c>
      <c r="CZ24" s="542">
        <v>0</v>
      </c>
      <c r="DA24" s="542">
        <v>6731</v>
      </c>
      <c r="DB24" s="542">
        <v>-13434</v>
      </c>
      <c r="DC24" s="542">
        <v>0</v>
      </c>
      <c r="DD24" s="542">
        <v>-224</v>
      </c>
      <c r="DE24" s="153" t="s">
        <v>594</v>
      </c>
      <c r="DF24" s="103" t="s">
        <v>770</v>
      </c>
      <c r="DG24" s="104" t="s">
        <v>772</v>
      </c>
      <c r="DH24" s="547"/>
      <c r="DI24" s="547"/>
    </row>
    <row r="25" spans="1:113" x14ac:dyDescent="0.2">
      <c r="A25" s="93">
        <v>19</v>
      </c>
      <c r="B25" s="145" t="s">
        <v>597</v>
      </c>
      <c r="C25" s="141" t="s">
        <v>871</v>
      </c>
      <c r="D25" s="142" t="s">
        <v>872</v>
      </c>
      <c r="E25" s="149" t="s">
        <v>596</v>
      </c>
      <c r="F25" s="542">
        <v>-207797</v>
      </c>
      <c r="G25" s="542">
        <v>0</v>
      </c>
      <c r="H25" s="542">
        <v>-207797</v>
      </c>
      <c r="I25" s="542">
        <v>24841</v>
      </c>
      <c r="J25" s="542">
        <v>0</v>
      </c>
      <c r="K25" s="542">
        <v>24841</v>
      </c>
      <c r="L25" s="542">
        <v>-232638</v>
      </c>
      <c r="M25" s="542">
        <v>0</v>
      </c>
      <c r="N25" s="542">
        <v>-232638</v>
      </c>
      <c r="O25" s="543">
        <v>0.5</v>
      </c>
      <c r="P25" s="543">
        <v>0.3</v>
      </c>
      <c r="Q25" s="543">
        <v>0.2</v>
      </c>
      <c r="R25" s="543">
        <v>0</v>
      </c>
      <c r="S25" s="542">
        <v>262101</v>
      </c>
      <c r="T25" s="542">
        <v>262101</v>
      </c>
      <c r="U25" s="542">
        <v>0</v>
      </c>
      <c r="V25" s="542">
        <v>0</v>
      </c>
      <c r="W25" s="542">
        <v>0</v>
      </c>
      <c r="X25" s="542">
        <v>0</v>
      </c>
      <c r="Y25" s="542">
        <v>0</v>
      </c>
      <c r="Z25" s="542">
        <v>0</v>
      </c>
      <c r="AA25" s="542">
        <v>0</v>
      </c>
      <c r="AB25" s="542">
        <v>0</v>
      </c>
      <c r="AC25" s="542">
        <v>0</v>
      </c>
      <c r="AD25" s="542">
        <v>0</v>
      </c>
      <c r="AE25" s="542">
        <v>0</v>
      </c>
      <c r="AF25" s="542">
        <v>0</v>
      </c>
      <c r="AG25" s="542">
        <v>0</v>
      </c>
      <c r="AH25" s="542">
        <v>0</v>
      </c>
      <c r="AI25" s="542">
        <v>0</v>
      </c>
      <c r="AJ25" s="542">
        <v>0</v>
      </c>
      <c r="AK25" s="542">
        <v>0</v>
      </c>
      <c r="AL25" s="542">
        <v>0</v>
      </c>
      <c r="AM25" s="542">
        <v>0</v>
      </c>
      <c r="AN25" s="542">
        <v>0</v>
      </c>
      <c r="AO25" s="542">
        <v>0</v>
      </c>
      <c r="AP25" s="542">
        <v>0</v>
      </c>
      <c r="AQ25" s="542">
        <v>599119.21900000004</v>
      </c>
      <c r="AR25" s="542">
        <v>399412.81199999998</v>
      </c>
      <c r="AS25" s="542">
        <v>0</v>
      </c>
      <c r="AT25" s="542">
        <v>582374</v>
      </c>
      <c r="AU25" s="542">
        <v>388249</v>
      </c>
      <c r="AV25" s="542">
        <v>0</v>
      </c>
      <c r="AW25" s="542">
        <v>16745</v>
      </c>
      <c r="AX25" s="542">
        <v>11164</v>
      </c>
      <c r="AY25" s="542">
        <v>0</v>
      </c>
      <c r="AZ25" s="542">
        <v>0</v>
      </c>
      <c r="BA25" s="542">
        <v>0</v>
      </c>
      <c r="BB25" s="542">
        <v>0</v>
      </c>
      <c r="BC25" s="542">
        <v>0</v>
      </c>
      <c r="BD25" s="542">
        <v>0</v>
      </c>
      <c r="BE25" s="542">
        <v>0</v>
      </c>
      <c r="BF25" s="542">
        <v>0</v>
      </c>
      <c r="BG25" s="542">
        <v>0</v>
      </c>
      <c r="BH25" s="542">
        <v>0</v>
      </c>
      <c r="BI25" s="542">
        <v>0</v>
      </c>
      <c r="BJ25" s="542">
        <v>0</v>
      </c>
      <c r="BK25" s="542">
        <v>0</v>
      </c>
      <c r="BL25" s="542">
        <v>0</v>
      </c>
      <c r="BM25" s="542">
        <v>0</v>
      </c>
      <c r="BN25" s="542">
        <v>0</v>
      </c>
      <c r="BO25" s="542">
        <v>0</v>
      </c>
      <c r="BP25" s="542">
        <v>0</v>
      </c>
      <c r="BQ25" s="542">
        <v>0</v>
      </c>
      <c r="BR25" s="542">
        <v>1677.21783</v>
      </c>
      <c r="BS25" s="542">
        <v>1118.1452200000001</v>
      </c>
      <c r="BT25" s="542">
        <v>0</v>
      </c>
      <c r="BU25" s="542">
        <v>16875.564299999998</v>
      </c>
      <c r="BV25" s="542">
        <v>11250.376200000001</v>
      </c>
      <c r="BW25" s="542">
        <v>0</v>
      </c>
      <c r="BX25" s="542">
        <v>-15198</v>
      </c>
      <c r="BY25" s="542">
        <v>-10132</v>
      </c>
      <c r="BZ25" s="542">
        <v>0</v>
      </c>
      <c r="CA25" s="542">
        <v>262715.31400000001</v>
      </c>
      <c r="CB25" s="542">
        <v>175143.54300000001</v>
      </c>
      <c r="CC25" s="542">
        <v>0</v>
      </c>
      <c r="CD25" s="542">
        <v>344131.93099999998</v>
      </c>
      <c r="CE25" s="542">
        <v>229421.28700000001</v>
      </c>
      <c r="CF25" s="542">
        <v>0</v>
      </c>
      <c r="CG25" s="542">
        <v>-81417</v>
      </c>
      <c r="CH25" s="542">
        <v>-54278</v>
      </c>
      <c r="CI25" s="542">
        <v>0</v>
      </c>
      <c r="CJ25" s="542">
        <v>0</v>
      </c>
      <c r="CK25" s="542">
        <v>0</v>
      </c>
      <c r="CL25" s="542">
        <v>0</v>
      </c>
      <c r="CM25" s="542">
        <v>0</v>
      </c>
      <c r="CN25" s="542">
        <v>0</v>
      </c>
      <c r="CO25" s="542">
        <v>0</v>
      </c>
      <c r="CP25" s="542">
        <v>0</v>
      </c>
      <c r="CQ25" s="542">
        <v>0</v>
      </c>
      <c r="CR25" s="542">
        <v>0</v>
      </c>
      <c r="CS25" s="542">
        <v>0</v>
      </c>
      <c r="CT25" s="542">
        <v>0</v>
      </c>
      <c r="CU25" s="542">
        <v>0</v>
      </c>
      <c r="CV25" s="542">
        <v>205305.242</v>
      </c>
      <c r="CW25" s="542">
        <v>136870.16099999999</v>
      </c>
      <c r="CX25" s="542">
        <v>0</v>
      </c>
      <c r="CY25" s="542">
        <v>212397</v>
      </c>
      <c r="CZ25" s="542">
        <v>139743</v>
      </c>
      <c r="DA25" s="542">
        <v>0</v>
      </c>
      <c r="DB25" s="542">
        <v>-7092</v>
      </c>
      <c r="DC25" s="542">
        <v>-2873</v>
      </c>
      <c r="DD25" s="542">
        <v>0</v>
      </c>
      <c r="DE25" s="153" t="s">
        <v>596</v>
      </c>
      <c r="DF25" s="103" t="s">
        <v>762</v>
      </c>
      <c r="DG25" s="103" t="s">
        <v>750</v>
      </c>
      <c r="DH25" s="547"/>
      <c r="DI25" s="547"/>
    </row>
    <row r="26" spans="1:113" x14ac:dyDescent="0.2">
      <c r="A26" s="93">
        <v>20</v>
      </c>
      <c r="B26" s="145" t="s">
        <v>599</v>
      </c>
      <c r="C26" s="141" t="s">
        <v>873</v>
      </c>
      <c r="D26" s="142" t="s">
        <v>876</v>
      </c>
      <c r="E26" s="149" t="s">
        <v>598</v>
      </c>
      <c r="F26" s="542">
        <v>-4807019</v>
      </c>
      <c r="G26" s="542">
        <v>1236</v>
      </c>
      <c r="H26" s="542">
        <v>-4805783</v>
      </c>
      <c r="I26" s="542">
        <v>-578050</v>
      </c>
      <c r="J26" s="542">
        <v>599</v>
      </c>
      <c r="K26" s="542">
        <v>-577451</v>
      </c>
      <c r="L26" s="542">
        <v>-4228969</v>
      </c>
      <c r="M26" s="542">
        <v>637</v>
      </c>
      <c r="N26" s="542">
        <v>-4228332</v>
      </c>
      <c r="O26" s="543">
        <v>0.5</v>
      </c>
      <c r="P26" s="543">
        <v>0.49</v>
      </c>
      <c r="Q26" s="543">
        <v>0</v>
      </c>
      <c r="R26" s="543">
        <v>0.01</v>
      </c>
      <c r="S26" s="542">
        <v>1925309</v>
      </c>
      <c r="T26" s="542">
        <v>1925309</v>
      </c>
      <c r="U26" s="542">
        <v>0</v>
      </c>
      <c r="V26" s="542">
        <v>1214671</v>
      </c>
      <c r="W26" s="542">
        <v>3575901</v>
      </c>
      <c r="X26" s="542">
        <v>-2361230</v>
      </c>
      <c r="Y26" s="542">
        <v>0</v>
      </c>
      <c r="Z26" s="542">
        <v>0</v>
      </c>
      <c r="AA26" s="542">
        <v>0</v>
      </c>
      <c r="AB26" s="542">
        <v>0</v>
      </c>
      <c r="AC26" s="542">
        <v>0</v>
      </c>
      <c r="AD26" s="542">
        <v>0</v>
      </c>
      <c r="AE26" s="542">
        <v>488725.67</v>
      </c>
      <c r="AF26" s="542">
        <v>488725.67</v>
      </c>
      <c r="AG26" s="542">
        <v>0</v>
      </c>
      <c r="AH26" s="542">
        <v>0</v>
      </c>
      <c r="AI26" s="542">
        <v>270011</v>
      </c>
      <c r="AJ26" s="542">
        <v>270011</v>
      </c>
      <c r="AK26" s="542">
        <v>0</v>
      </c>
      <c r="AL26" s="542">
        <v>0</v>
      </c>
      <c r="AM26" s="542">
        <v>218715</v>
      </c>
      <c r="AN26" s="542">
        <v>218715</v>
      </c>
      <c r="AO26" s="542">
        <v>0</v>
      </c>
      <c r="AP26" s="542">
        <v>0</v>
      </c>
      <c r="AQ26" s="542">
        <v>5734858.1900000004</v>
      </c>
      <c r="AR26" s="542">
        <v>0</v>
      </c>
      <c r="AS26" s="542">
        <v>115042.35</v>
      </c>
      <c r="AT26" s="542">
        <v>5348280</v>
      </c>
      <c r="AU26" s="542">
        <v>0</v>
      </c>
      <c r="AV26" s="542">
        <v>109149</v>
      </c>
      <c r="AW26" s="542">
        <v>386578</v>
      </c>
      <c r="AX26" s="542">
        <v>0</v>
      </c>
      <c r="AY26" s="542">
        <v>5893</v>
      </c>
      <c r="AZ26" s="542">
        <v>19627.810000000001</v>
      </c>
      <c r="BA26" s="542">
        <v>0</v>
      </c>
      <c r="BB26" s="542">
        <v>400.57</v>
      </c>
      <c r="BC26" s="542">
        <v>0</v>
      </c>
      <c r="BD26" s="542">
        <v>0</v>
      </c>
      <c r="BE26" s="542">
        <v>0</v>
      </c>
      <c r="BF26" s="542">
        <v>19628</v>
      </c>
      <c r="BG26" s="542">
        <v>0</v>
      </c>
      <c r="BH26" s="542">
        <v>401</v>
      </c>
      <c r="BI26" s="542">
        <v>32906.07</v>
      </c>
      <c r="BJ26" s="542">
        <v>0</v>
      </c>
      <c r="BK26" s="542">
        <v>553.39</v>
      </c>
      <c r="BL26" s="542">
        <v>0</v>
      </c>
      <c r="BM26" s="542">
        <v>0</v>
      </c>
      <c r="BN26" s="542">
        <v>0</v>
      </c>
      <c r="BO26" s="542">
        <v>32906</v>
      </c>
      <c r="BP26" s="542">
        <v>0</v>
      </c>
      <c r="BQ26" s="542">
        <v>553</v>
      </c>
      <c r="BR26" s="542">
        <v>10269.49</v>
      </c>
      <c r="BS26" s="542">
        <v>0</v>
      </c>
      <c r="BT26" s="542">
        <v>209.58</v>
      </c>
      <c r="BU26" s="542">
        <v>0</v>
      </c>
      <c r="BV26" s="542">
        <v>0</v>
      </c>
      <c r="BW26" s="542">
        <v>0</v>
      </c>
      <c r="BX26" s="542">
        <v>10269</v>
      </c>
      <c r="BY26" s="542">
        <v>0</v>
      </c>
      <c r="BZ26" s="542">
        <v>210</v>
      </c>
      <c r="CA26" s="542">
        <v>1323143.28</v>
      </c>
      <c r="CB26" s="542">
        <v>0</v>
      </c>
      <c r="CC26" s="542">
        <v>26668.41</v>
      </c>
      <c r="CD26" s="542">
        <v>2510672.61</v>
      </c>
      <c r="CE26" s="542">
        <v>0</v>
      </c>
      <c r="CF26" s="542">
        <v>51238.22</v>
      </c>
      <c r="CG26" s="542">
        <v>-1187529</v>
      </c>
      <c r="CH26" s="542">
        <v>0</v>
      </c>
      <c r="CI26" s="542">
        <v>-24570</v>
      </c>
      <c r="CJ26" s="542">
        <v>0</v>
      </c>
      <c r="CK26" s="542">
        <v>0</v>
      </c>
      <c r="CL26" s="542">
        <v>0</v>
      </c>
      <c r="CM26" s="542">
        <v>0</v>
      </c>
      <c r="CN26" s="542">
        <v>0</v>
      </c>
      <c r="CO26" s="542">
        <v>0</v>
      </c>
      <c r="CP26" s="542">
        <v>0</v>
      </c>
      <c r="CQ26" s="542">
        <v>0</v>
      </c>
      <c r="CR26" s="542">
        <v>0</v>
      </c>
      <c r="CS26" s="542">
        <v>0</v>
      </c>
      <c r="CT26" s="542">
        <v>0</v>
      </c>
      <c r="CU26" s="542">
        <v>0</v>
      </c>
      <c r="CV26" s="542">
        <v>2056015.82</v>
      </c>
      <c r="CW26" s="542">
        <v>0</v>
      </c>
      <c r="CX26" s="542">
        <v>41696.35</v>
      </c>
      <c r="CY26" s="542">
        <v>2139420</v>
      </c>
      <c r="CZ26" s="542">
        <v>0</v>
      </c>
      <c r="DA26" s="542">
        <v>42411</v>
      </c>
      <c r="DB26" s="542">
        <v>-83404</v>
      </c>
      <c r="DC26" s="542">
        <v>0</v>
      </c>
      <c r="DD26" s="542">
        <v>-715</v>
      </c>
      <c r="DE26" s="153" t="s">
        <v>598</v>
      </c>
      <c r="DF26" s="103" t="s">
        <v>763</v>
      </c>
      <c r="DG26" s="104" t="s">
        <v>773</v>
      </c>
      <c r="DH26" s="549" t="s">
        <v>1179</v>
      </c>
      <c r="DI26" s="549"/>
    </row>
    <row r="27" spans="1:113" x14ac:dyDescent="0.2">
      <c r="A27" s="93">
        <v>21</v>
      </c>
      <c r="B27" s="145" t="s">
        <v>601</v>
      </c>
      <c r="C27" s="141" t="s">
        <v>866</v>
      </c>
      <c r="D27" s="142" t="s">
        <v>869</v>
      </c>
      <c r="E27" s="149" t="s">
        <v>600</v>
      </c>
      <c r="F27" s="542">
        <v>-268082</v>
      </c>
      <c r="G27" s="542">
        <v>0</v>
      </c>
      <c r="H27" s="542">
        <v>-268082</v>
      </c>
      <c r="I27" s="542">
        <v>-541</v>
      </c>
      <c r="J27" s="542">
        <v>0</v>
      </c>
      <c r="K27" s="542">
        <v>-541</v>
      </c>
      <c r="L27" s="542">
        <v>-267541</v>
      </c>
      <c r="M27" s="542">
        <v>0</v>
      </c>
      <c r="N27" s="542">
        <v>-267541</v>
      </c>
      <c r="O27" s="543">
        <v>0.5</v>
      </c>
      <c r="P27" s="543">
        <v>0.4</v>
      </c>
      <c r="Q27" s="543">
        <v>0.09</v>
      </c>
      <c r="R27" s="543">
        <v>0.01</v>
      </c>
      <c r="S27" s="542">
        <v>101208</v>
      </c>
      <c r="T27" s="542">
        <v>101208</v>
      </c>
      <c r="U27" s="542">
        <v>0</v>
      </c>
      <c r="V27" s="542">
        <v>0</v>
      </c>
      <c r="W27" s="542">
        <v>0</v>
      </c>
      <c r="X27" s="542">
        <v>0</v>
      </c>
      <c r="Y27" s="542">
        <v>0</v>
      </c>
      <c r="Z27" s="542">
        <v>0</v>
      </c>
      <c r="AA27" s="542">
        <v>0</v>
      </c>
      <c r="AB27" s="542">
        <v>0</v>
      </c>
      <c r="AC27" s="542">
        <v>0</v>
      </c>
      <c r="AD27" s="542">
        <v>0</v>
      </c>
      <c r="AE27" s="542">
        <v>0</v>
      </c>
      <c r="AF27" s="542">
        <v>0</v>
      </c>
      <c r="AG27" s="542">
        <v>0</v>
      </c>
      <c r="AH27" s="542">
        <v>0</v>
      </c>
      <c r="AI27" s="542">
        <v>0</v>
      </c>
      <c r="AJ27" s="542">
        <v>0</v>
      </c>
      <c r="AK27" s="542">
        <v>0</v>
      </c>
      <c r="AL27" s="542">
        <v>0</v>
      </c>
      <c r="AM27" s="542">
        <v>0</v>
      </c>
      <c r="AN27" s="542">
        <v>0</v>
      </c>
      <c r="AO27" s="542">
        <v>0</v>
      </c>
      <c r="AP27" s="542">
        <v>0</v>
      </c>
      <c r="AQ27" s="542">
        <v>242676.52299999999</v>
      </c>
      <c r="AR27" s="542">
        <v>54602.217700000001</v>
      </c>
      <c r="AS27" s="542">
        <v>6066.9130699999996</v>
      </c>
      <c r="AT27" s="542">
        <v>227989</v>
      </c>
      <c r="AU27" s="542">
        <v>51297</v>
      </c>
      <c r="AV27" s="542">
        <v>5700</v>
      </c>
      <c r="AW27" s="542">
        <v>14688</v>
      </c>
      <c r="AX27" s="542">
        <v>3305</v>
      </c>
      <c r="AY27" s="542">
        <v>367</v>
      </c>
      <c r="AZ27" s="542">
        <v>92.168152800000001</v>
      </c>
      <c r="BA27" s="542">
        <v>20.737834299999999</v>
      </c>
      <c r="BB27" s="542">
        <v>2.3042038200000001</v>
      </c>
      <c r="BC27" s="542">
        <v>0</v>
      </c>
      <c r="BD27" s="542">
        <v>0</v>
      </c>
      <c r="BE27" s="542">
        <v>0</v>
      </c>
      <c r="BF27" s="542">
        <v>92</v>
      </c>
      <c r="BG27" s="542">
        <v>21</v>
      </c>
      <c r="BH27" s="542">
        <v>2</v>
      </c>
      <c r="BI27" s="542">
        <v>0</v>
      </c>
      <c r="BJ27" s="542">
        <v>0</v>
      </c>
      <c r="BK27" s="542">
        <v>0</v>
      </c>
      <c r="BL27" s="542">
        <v>0</v>
      </c>
      <c r="BM27" s="542">
        <v>0</v>
      </c>
      <c r="BN27" s="542">
        <v>0</v>
      </c>
      <c r="BO27" s="542">
        <v>0</v>
      </c>
      <c r="BP27" s="542">
        <v>0</v>
      </c>
      <c r="BQ27" s="542">
        <v>0</v>
      </c>
      <c r="BR27" s="542">
        <v>0</v>
      </c>
      <c r="BS27" s="542">
        <v>0</v>
      </c>
      <c r="BT27" s="542">
        <v>0</v>
      </c>
      <c r="BU27" s="542">
        <v>0</v>
      </c>
      <c r="BV27" s="542">
        <v>0</v>
      </c>
      <c r="BW27" s="542">
        <v>0</v>
      </c>
      <c r="BX27" s="542">
        <v>0</v>
      </c>
      <c r="BY27" s="542">
        <v>0</v>
      </c>
      <c r="BZ27" s="542">
        <v>0</v>
      </c>
      <c r="CA27" s="542">
        <v>28507.043699999998</v>
      </c>
      <c r="CB27" s="542">
        <v>6414.0848400000004</v>
      </c>
      <c r="CC27" s="542">
        <v>712.67609300000004</v>
      </c>
      <c r="CD27" s="542">
        <v>72967</v>
      </c>
      <c r="CE27" s="542">
        <v>16417</v>
      </c>
      <c r="CF27" s="542">
        <v>1824</v>
      </c>
      <c r="CG27" s="542">
        <v>-44460</v>
      </c>
      <c r="CH27" s="542">
        <v>-10003</v>
      </c>
      <c r="CI27" s="542">
        <v>-1111</v>
      </c>
      <c r="CJ27" s="542">
        <v>0</v>
      </c>
      <c r="CK27" s="542">
        <v>0</v>
      </c>
      <c r="CL27" s="542">
        <v>0</v>
      </c>
      <c r="CM27" s="542">
        <v>0</v>
      </c>
      <c r="CN27" s="542">
        <v>0</v>
      </c>
      <c r="CO27" s="542">
        <v>0</v>
      </c>
      <c r="CP27" s="542">
        <v>0</v>
      </c>
      <c r="CQ27" s="542">
        <v>0</v>
      </c>
      <c r="CR27" s="542">
        <v>0</v>
      </c>
      <c r="CS27" s="542">
        <v>0</v>
      </c>
      <c r="CT27" s="542">
        <v>0</v>
      </c>
      <c r="CU27" s="542">
        <v>0</v>
      </c>
      <c r="CV27" s="542">
        <v>166401.74100000001</v>
      </c>
      <c r="CW27" s="542">
        <v>37440.3917</v>
      </c>
      <c r="CX27" s="542">
        <v>4160.0435200000002</v>
      </c>
      <c r="CY27" s="542">
        <v>177565</v>
      </c>
      <c r="CZ27" s="542">
        <v>39710</v>
      </c>
      <c r="DA27" s="542">
        <v>4412</v>
      </c>
      <c r="DB27" s="542">
        <v>-11163</v>
      </c>
      <c r="DC27" s="542">
        <v>-2270</v>
      </c>
      <c r="DD27" s="542">
        <v>-252</v>
      </c>
      <c r="DE27" s="153" t="s">
        <v>600</v>
      </c>
      <c r="DF27" s="103" t="s">
        <v>774</v>
      </c>
      <c r="DG27" s="104" t="s">
        <v>775</v>
      </c>
      <c r="DH27" s="547"/>
      <c r="DI27" s="547"/>
    </row>
    <row r="28" spans="1:113" x14ac:dyDescent="0.2">
      <c r="A28" s="93">
        <v>22</v>
      </c>
      <c r="B28" s="145" t="s">
        <v>603</v>
      </c>
      <c r="C28" s="141" t="s">
        <v>770</v>
      </c>
      <c r="D28" s="142" t="s">
        <v>868</v>
      </c>
      <c r="E28" s="149" t="s">
        <v>689</v>
      </c>
      <c r="F28" s="542">
        <v>-954484</v>
      </c>
      <c r="G28" s="542">
        <v>0</v>
      </c>
      <c r="H28" s="542">
        <v>-954484</v>
      </c>
      <c r="I28" s="542">
        <v>-20000</v>
      </c>
      <c r="J28" s="542">
        <v>0</v>
      </c>
      <c r="K28" s="542">
        <v>-20000</v>
      </c>
      <c r="L28" s="542">
        <v>-934484</v>
      </c>
      <c r="M28" s="542">
        <v>0</v>
      </c>
      <c r="N28" s="542">
        <v>-934484</v>
      </c>
      <c r="O28" s="543">
        <v>0.5</v>
      </c>
      <c r="P28" s="543">
        <v>0.49</v>
      </c>
      <c r="Q28" s="543">
        <v>0</v>
      </c>
      <c r="R28" s="543">
        <v>0.01</v>
      </c>
      <c r="S28" s="542">
        <v>250620</v>
      </c>
      <c r="T28" s="542">
        <v>250620</v>
      </c>
      <c r="U28" s="542">
        <v>0</v>
      </c>
      <c r="V28" s="542">
        <v>0</v>
      </c>
      <c r="W28" s="542">
        <v>0</v>
      </c>
      <c r="X28" s="542">
        <v>0</v>
      </c>
      <c r="Y28" s="542">
        <v>0</v>
      </c>
      <c r="Z28" s="542">
        <v>0</v>
      </c>
      <c r="AA28" s="542">
        <v>0</v>
      </c>
      <c r="AB28" s="542">
        <v>0</v>
      </c>
      <c r="AC28" s="542">
        <v>0</v>
      </c>
      <c r="AD28" s="542">
        <v>0</v>
      </c>
      <c r="AE28" s="542">
        <v>0</v>
      </c>
      <c r="AF28" s="542">
        <v>0</v>
      </c>
      <c r="AG28" s="542">
        <v>0</v>
      </c>
      <c r="AH28" s="542">
        <v>0</v>
      </c>
      <c r="AI28" s="542">
        <v>0</v>
      </c>
      <c r="AJ28" s="542">
        <v>0</v>
      </c>
      <c r="AK28" s="542">
        <v>0</v>
      </c>
      <c r="AL28" s="542">
        <v>0</v>
      </c>
      <c r="AM28" s="542">
        <v>0</v>
      </c>
      <c r="AN28" s="542">
        <v>0</v>
      </c>
      <c r="AO28" s="542">
        <v>0</v>
      </c>
      <c r="AP28" s="542">
        <v>0</v>
      </c>
      <c r="AQ28" s="542">
        <v>1239696.8500000001</v>
      </c>
      <c r="AR28" s="542">
        <v>0</v>
      </c>
      <c r="AS28" s="542">
        <v>25299.94</v>
      </c>
      <c r="AT28" s="542">
        <v>1151344</v>
      </c>
      <c r="AU28" s="542">
        <v>0</v>
      </c>
      <c r="AV28" s="542">
        <v>23497</v>
      </c>
      <c r="AW28" s="542">
        <v>88353</v>
      </c>
      <c r="AX28" s="542">
        <v>0</v>
      </c>
      <c r="AY28" s="542">
        <v>1803</v>
      </c>
      <c r="AZ28" s="542">
        <v>7059.6</v>
      </c>
      <c r="BA28" s="542">
        <v>0</v>
      </c>
      <c r="BB28" s="542">
        <v>144.07</v>
      </c>
      <c r="BC28" s="542">
        <v>24760</v>
      </c>
      <c r="BD28" s="542">
        <v>0</v>
      </c>
      <c r="BE28" s="542">
        <v>505</v>
      </c>
      <c r="BF28" s="542">
        <v>-17700</v>
      </c>
      <c r="BG28" s="542">
        <v>0</v>
      </c>
      <c r="BH28" s="542">
        <v>-361</v>
      </c>
      <c r="BI28" s="542">
        <v>52.99</v>
      </c>
      <c r="BJ28" s="542">
        <v>0</v>
      </c>
      <c r="BK28" s="542">
        <v>1.08</v>
      </c>
      <c r="BL28" s="542">
        <v>0</v>
      </c>
      <c r="BM28" s="542">
        <v>0</v>
      </c>
      <c r="BN28" s="542">
        <v>0</v>
      </c>
      <c r="BO28" s="542">
        <v>53</v>
      </c>
      <c r="BP28" s="542">
        <v>0</v>
      </c>
      <c r="BQ28" s="542">
        <v>1</v>
      </c>
      <c r="BR28" s="542">
        <v>22536.13</v>
      </c>
      <c r="BS28" s="542">
        <v>0</v>
      </c>
      <c r="BT28" s="542">
        <v>459.92</v>
      </c>
      <c r="BU28" s="542">
        <v>77251</v>
      </c>
      <c r="BV28" s="542">
        <v>0</v>
      </c>
      <c r="BW28" s="542">
        <v>1577</v>
      </c>
      <c r="BX28" s="542">
        <v>-54715</v>
      </c>
      <c r="BY28" s="542">
        <v>0</v>
      </c>
      <c r="BZ28" s="542">
        <v>-1117</v>
      </c>
      <c r="CA28" s="542">
        <v>245370.96</v>
      </c>
      <c r="CB28" s="542">
        <v>0</v>
      </c>
      <c r="CC28" s="542">
        <v>5007.57</v>
      </c>
      <c r="CD28" s="542">
        <v>229279</v>
      </c>
      <c r="CE28" s="542">
        <v>0</v>
      </c>
      <c r="CF28" s="542">
        <v>4679</v>
      </c>
      <c r="CG28" s="542">
        <v>16092</v>
      </c>
      <c r="CH28" s="542">
        <v>0</v>
      </c>
      <c r="CI28" s="542">
        <v>329</v>
      </c>
      <c r="CJ28" s="542">
        <v>0</v>
      </c>
      <c r="CK28" s="542">
        <v>0</v>
      </c>
      <c r="CL28" s="542">
        <v>0</v>
      </c>
      <c r="CM28" s="542">
        <v>0</v>
      </c>
      <c r="CN28" s="542">
        <v>0</v>
      </c>
      <c r="CO28" s="542">
        <v>0</v>
      </c>
      <c r="CP28" s="542">
        <v>0</v>
      </c>
      <c r="CQ28" s="542">
        <v>0</v>
      </c>
      <c r="CR28" s="542">
        <v>0</v>
      </c>
      <c r="CS28" s="542">
        <v>0</v>
      </c>
      <c r="CT28" s="542">
        <v>0</v>
      </c>
      <c r="CU28" s="542">
        <v>0</v>
      </c>
      <c r="CV28" s="542">
        <v>237677.3</v>
      </c>
      <c r="CW28" s="542">
        <v>0</v>
      </c>
      <c r="CX28" s="542">
        <v>4850.5600000000004</v>
      </c>
      <c r="CY28" s="542">
        <v>239291</v>
      </c>
      <c r="CZ28" s="542">
        <v>0</v>
      </c>
      <c r="DA28" s="542">
        <v>4829</v>
      </c>
      <c r="DB28" s="542">
        <v>-1614</v>
      </c>
      <c r="DC28" s="542">
        <v>0</v>
      </c>
      <c r="DD28" s="542">
        <v>22</v>
      </c>
      <c r="DE28" s="153" t="s">
        <v>689</v>
      </c>
      <c r="DF28" s="103" t="s">
        <v>770</v>
      </c>
      <c r="DG28" s="104" t="s">
        <v>776</v>
      </c>
      <c r="DH28" s="547"/>
      <c r="DI28" s="547"/>
    </row>
    <row r="29" spans="1:113" x14ac:dyDescent="0.2">
      <c r="A29" s="93">
        <v>23</v>
      </c>
      <c r="B29" s="145" t="s">
        <v>605</v>
      </c>
      <c r="C29" s="141" t="s">
        <v>770</v>
      </c>
      <c r="D29" s="142" t="s">
        <v>868</v>
      </c>
      <c r="E29" s="149" t="s">
        <v>690</v>
      </c>
      <c r="F29" s="542">
        <v>-1065605</v>
      </c>
      <c r="G29" s="542">
        <v>0</v>
      </c>
      <c r="H29" s="542">
        <v>-1065605</v>
      </c>
      <c r="I29" s="542">
        <v>66692</v>
      </c>
      <c r="J29" s="542">
        <v>0</v>
      </c>
      <c r="K29" s="542">
        <v>66692</v>
      </c>
      <c r="L29" s="542">
        <v>-1132297</v>
      </c>
      <c r="M29" s="542">
        <v>0</v>
      </c>
      <c r="N29" s="542">
        <v>-1132297</v>
      </c>
      <c r="O29" s="543">
        <v>0.5</v>
      </c>
      <c r="P29" s="543">
        <v>0.49</v>
      </c>
      <c r="Q29" s="543">
        <v>0</v>
      </c>
      <c r="R29" s="543">
        <v>0.01</v>
      </c>
      <c r="S29" s="542">
        <v>276503</v>
      </c>
      <c r="T29" s="542">
        <v>276503</v>
      </c>
      <c r="U29" s="542">
        <v>0</v>
      </c>
      <c r="V29" s="542">
        <v>0</v>
      </c>
      <c r="W29" s="542">
        <v>0</v>
      </c>
      <c r="X29" s="542">
        <v>0</v>
      </c>
      <c r="Y29" s="542">
        <v>0</v>
      </c>
      <c r="Z29" s="542">
        <v>0</v>
      </c>
      <c r="AA29" s="542">
        <v>0</v>
      </c>
      <c r="AB29" s="542">
        <v>0</v>
      </c>
      <c r="AC29" s="542">
        <v>0</v>
      </c>
      <c r="AD29" s="542">
        <v>0</v>
      </c>
      <c r="AE29" s="542">
        <v>0</v>
      </c>
      <c r="AF29" s="542">
        <v>0</v>
      </c>
      <c r="AG29" s="542">
        <v>0</v>
      </c>
      <c r="AH29" s="542">
        <v>0</v>
      </c>
      <c r="AI29" s="542">
        <v>0</v>
      </c>
      <c r="AJ29" s="542">
        <v>0</v>
      </c>
      <c r="AK29" s="542">
        <v>0</v>
      </c>
      <c r="AL29" s="542">
        <v>0</v>
      </c>
      <c r="AM29" s="542">
        <v>0</v>
      </c>
      <c r="AN29" s="542">
        <v>0</v>
      </c>
      <c r="AO29" s="542">
        <v>0</v>
      </c>
      <c r="AP29" s="542">
        <v>0</v>
      </c>
      <c r="AQ29" s="542">
        <v>1546721.4</v>
      </c>
      <c r="AR29" s="542">
        <v>0</v>
      </c>
      <c r="AS29" s="542">
        <v>31565.74</v>
      </c>
      <c r="AT29" s="542">
        <v>1435770</v>
      </c>
      <c r="AU29" s="542">
        <v>0</v>
      </c>
      <c r="AV29" s="542">
        <v>29301</v>
      </c>
      <c r="AW29" s="542">
        <v>110951</v>
      </c>
      <c r="AX29" s="542">
        <v>0</v>
      </c>
      <c r="AY29" s="542">
        <v>2265</v>
      </c>
      <c r="AZ29" s="542">
        <v>1241.97</v>
      </c>
      <c r="BA29" s="542">
        <v>0</v>
      </c>
      <c r="BB29" s="542">
        <v>25.35</v>
      </c>
      <c r="BC29" s="542">
        <v>143608</v>
      </c>
      <c r="BD29" s="542">
        <v>0</v>
      </c>
      <c r="BE29" s="542">
        <v>2931</v>
      </c>
      <c r="BF29" s="542">
        <v>-142366</v>
      </c>
      <c r="BG29" s="542">
        <v>0</v>
      </c>
      <c r="BH29" s="542">
        <v>-2906</v>
      </c>
      <c r="BI29" s="542">
        <v>9859.9599999999991</v>
      </c>
      <c r="BJ29" s="542">
        <v>0</v>
      </c>
      <c r="BK29" s="542">
        <v>201.22</v>
      </c>
      <c r="BL29" s="542">
        <v>24760</v>
      </c>
      <c r="BM29" s="542">
        <v>0</v>
      </c>
      <c r="BN29" s="542">
        <v>505</v>
      </c>
      <c r="BO29" s="542">
        <v>-14900</v>
      </c>
      <c r="BP29" s="542">
        <v>0</v>
      </c>
      <c r="BQ29" s="542">
        <v>-304</v>
      </c>
      <c r="BR29" s="542">
        <v>41489.480000000003</v>
      </c>
      <c r="BS29" s="542">
        <v>0</v>
      </c>
      <c r="BT29" s="542">
        <v>846.72</v>
      </c>
      <c r="BU29" s="542">
        <v>23168.51</v>
      </c>
      <c r="BV29" s="542">
        <v>0</v>
      </c>
      <c r="BW29" s="542">
        <v>472.83</v>
      </c>
      <c r="BX29" s="542">
        <v>18321</v>
      </c>
      <c r="BY29" s="542">
        <v>0</v>
      </c>
      <c r="BZ29" s="542">
        <v>374</v>
      </c>
      <c r="CA29" s="542">
        <v>316084.27</v>
      </c>
      <c r="CB29" s="542">
        <v>0</v>
      </c>
      <c r="CC29" s="542">
        <v>6450.7</v>
      </c>
      <c r="CD29" s="542">
        <v>491952.18</v>
      </c>
      <c r="CE29" s="542">
        <v>0</v>
      </c>
      <c r="CF29" s="542">
        <v>10039.84</v>
      </c>
      <c r="CG29" s="542">
        <v>-175868</v>
      </c>
      <c r="CH29" s="542">
        <v>0</v>
      </c>
      <c r="CI29" s="542">
        <v>-3589</v>
      </c>
      <c r="CJ29" s="542">
        <v>0</v>
      </c>
      <c r="CK29" s="542">
        <v>0</v>
      </c>
      <c r="CL29" s="542">
        <v>0</v>
      </c>
      <c r="CM29" s="542">
        <v>10947.42</v>
      </c>
      <c r="CN29" s="542">
        <v>0</v>
      </c>
      <c r="CO29" s="542">
        <v>223.42</v>
      </c>
      <c r="CP29" s="542">
        <v>0</v>
      </c>
      <c r="CQ29" s="542">
        <v>0</v>
      </c>
      <c r="CR29" s="542">
        <v>0</v>
      </c>
      <c r="CS29" s="542">
        <v>10947</v>
      </c>
      <c r="CT29" s="542">
        <v>0</v>
      </c>
      <c r="CU29" s="542">
        <v>223</v>
      </c>
      <c r="CV29" s="542">
        <v>209337.22</v>
      </c>
      <c r="CW29" s="542">
        <v>0</v>
      </c>
      <c r="CX29" s="542">
        <v>4272.1899999999996</v>
      </c>
      <c r="CY29" s="542">
        <v>253873</v>
      </c>
      <c r="CZ29" s="542">
        <v>0</v>
      </c>
      <c r="DA29" s="542">
        <v>5121</v>
      </c>
      <c r="DB29" s="542">
        <v>-44536</v>
      </c>
      <c r="DC29" s="542">
        <v>0</v>
      </c>
      <c r="DD29" s="542">
        <v>-849</v>
      </c>
      <c r="DE29" s="153" t="s">
        <v>690</v>
      </c>
      <c r="DF29" s="103" t="s">
        <v>770</v>
      </c>
      <c r="DG29" s="104" t="s">
        <v>776</v>
      </c>
      <c r="DH29" s="547"/>
      <c r="DI29" s="547"/>
    </row>
    <row r="30" spans="1:113" x14ac:dyDescent="0.2">
      <c r="A30" s="93">
        <v>24</v>
      </c>
      <c r="B30" s="145" t="s">
        <v>607</v>
      </c>
      <c r="C30" s="141" t="s">
        <v>866</v>
      </c>
      <c r="D30" s="142" t="s">
        <v>869</v>
      </c>
      <c r="E30" s="149" t="s">
        <v>606</v>
      </c>
      <c r="F30" s="542">
        <v>-60655</v>
      </c>
      <c r="G30" s="542">
        <v>0</v>
      </c>
      <c r="H30" s="542">
        <v>-60655</v>
      </c>
      <c r="I30" s="542">
        <v>-11544</v>
      </c>
      <c r="J30" s="542">
        <v>0</v>
      </c>
      <c r="K30" s="542">
        <v>-11544</v>
      </c>
      <c r="L30" s="542">
        <v>-49111</v>
      </c>
      <c r="M30" s="542">
        <v>0</v>
      </c>
      <c r="N30" s="542">
        <v>-49111</v>
      </c>
      <c r="O30" s="543">
        <v>0.5</v>
      </c>
      <c r="P30" s="543">
        <v>0.4</v>
      </c>
      <c r="Q30" s="543">
        <v>0.09</v>
      </c>
      <c r="R30" s="543">
        <v>0.01</v>
      </c>
      <c r="S30" s="542">
        <v>94759</v>
      </c>
      <c r="T30" s="542">
        <v>94759</v>
      </c>
      <c r="U30" s="542">
        <v>0</v>
      </c>
      <c r="V30" s="542">
        <v>0</v>
      </c>
      <c r="W30" s="542">
        <v>0</v>
      </c>
      <c r="X30" s="542">
        <v>0</v>
      </c>
      <c r="Y30" s="542">
        <v>0</v>
      </c>
      <c r="Z30" s="542">
        <v>0</v>
      </c>
      <c r="AA30" s="542">
        <v>0</v>
      </c>
      <c r="AB30" s="542">
        <v>0</v>
      </c>
      <c r="AC30" s="542">
        <v>0</v>
      </c>
      <c r="AD30" s="542">
        <v>0</v>
      </c>
      <c r="AE30" s="542">
        <v>0</v>
      </c>
      <c r="AF30" s="542">
        <v>0</v>
      </c>
      <c r="AG30" s="542">
        <v>0</v>
      </c>
      <c r="AH30" s="542">
        <v>0</v>
      </c>
      <c r="AI30" s="542">
        <v>0</v>
      </c>
      <c r="AJ30" s="542">
        <v>0</v>
      </c>
      <c r="AK30" s="542">
        <v>0</v>
      </c>
      <c r="AL30" s="542">
        <v>0</v>
      </c>
      <c r="AM30" s="542">
        <v>0</v>
      </c>
      <c r="AN30" s="542">
        <v>0</v>
      </c>
      <c r="AO30" s="542">
        <v>0</v>
      </c>
      <c r="AP30" s="542">
        <v>0</v>
      </c>
      <c r="AQ30" s="542">
        <v>259345.82</v>
      </c>
      <c r="AR30" s="542">
        <v>58352.81</v>
      </c>
      <c r="AS30" s="542">
        <v>6483.65</v>
      </c>
      <c r="AT30" s="542">
        <v>238424</v>
      </c>
      <c r="AU30" s="542">
        <v>53646</v>
      </c>
      <c r="AV30" s="542">
        <v>5961</v>
      </c>
      <c r="AW30" s="542">
        <v>20922</v>
      </c>
      <c r="AX30" s="542">
        <v>4707</v>
      </c>
      <c r="AY30" s="542">
        <v>523</v>
      </c>
      <c r="AZ30" s="542">
        <v>317.33</v>
      </c>
      <c r="BA30" s="542">
        <v>71.400000000000006</v>
      </c>
      <c r="BB30" s="542">
        <v>7.93</v>
      </c>
      <c r="BC30" s="542">
        <v>0</v>
      </c>
      <c r="BD30" s="542">
        <v>0</v>
      </c>
      <c r="BE30" s="542">
        <v>0</v>
      </c>
      <c r="BF30" s="542">
        <v>317</v>
      </c>
      <c r="BG30" s="542">
        <v>71</v>
      </c>
      <c r="BH30" s="542">
        <v>8</v>
      </c>
      <c r="BI30" s="542">
        <v>79.23</v>
      </c>
      <c r="BJ30" s="542">
        <v>17.829999999999998</v>
      </c>
      <c r="BK30" s="542">
        <v>1.98</v>
      </c>
      <c r="BL30" s="542">
        <v>0</v>
      </c>
      <c r="BM30" s="542">
        <v>0</v>
      </c>
      <c r="BN30" s="542">
        <v>0</v>
      </c>
      <c r="BO30" s="542">
        <v>79</v>
      </c>
      <c r="BP30" s="542">
        <v>18</v>
      </c>
      <c r="BQ30" s="542">
        <v>2</v>
      </c>
      <c r="BR30" s="542">
        <v>0</v>
      </c>
      <c r="BS30" s="542">
        <v>0</v>
      </c>
      <c r="BT30" s="542">
        <v>0</v>
      </c>
      <c r="BU30" s="542">
        <v>0</v>
      </c>
      <c r="BV30" s="542">
        <v>0</v>
      </c>
      <c r="BW30" s="542">
        <v>0</v>
      </c>
      <c r="BX30" s="542">
        <v>0</v>
      </c>
      <c r="BY30" s="542">
        <v>0</v>
      </c>
      <c r="BZ30" s="542">
        <v>0</v>
      </c>
      <c r="CA30" s="542">
        <v>57239.25</v>
      </c>
      <c r="CB30" s="542">
        <v>12878.83</v>
      </c>
      <c r="CC30" s="542">
        <v>1430.98</v>
      </c>
      <c r="CD30" s="542">
        <v>105773</v>
      </c>
      <c r="CE30" s="542">
        <v>23799</v>
      </c>
      <c r="CF30" s="542">
        <v>2644</v>
      </c>
      <c r="CG30" s="542">
        <v>-48534</v>
      </c>
      <c r="CH30" s="542">
        <v>-10920</v>
      </c>
      <c r="CI30" s="542">
        <v>-1213</v>
      </c>
      <c r="CJ30" s="542">
        <v>0</v>
      </c>
      <c r="CK30" s="542">
        <v>0</v>
      </c>
      <c r="CL30" s="542">
        <v>0</v>
      </c>
      <c r="CM30" s="542">
        <v>0</v>
      </c>
      <c r="CN30" s="542">
        <v>0</v>
      </c>
      <c r="CO30" s="542">
        <v>0</v>
      </c>
      <c r="CP30" s="542">
        <v>0</v>
      </c>
      <c r="CQ30" s="542">
        <v>0</v>
      </c>
      <c r="CR30" s="542">
        <v>0</v>
      </c>
      <c r="CS30" s="542">
        <v>0</v>
      </c>
      <c r="CT30" s="542">
        <v>0</v>
      </c>
      <c r="CU30" s="542">
        <v>0</v>
      </c>
      <c r="CV30" s="542">
        <v>86941.3</v>
      </c>
      <c r="CW30" s="542">
        <v>19561.79</v>
      </c>
      <c r="CX30" s="542">
        <v>2173.5300000000002</v>
      </c>
      <c r="CY30" s="542">
        <v>94575</v>
      </c>
      <c r="CZ30" s="542">
        <v>21053</v>
      </c>
      <c r="DA30" s="542">
        <v>2339</v>
      </c>
      <c r="DB30" s="542">
        <v>-7634</v>
      </c>
      <c r="DC30" s="542">
        <v>-1491</v>
      </c>
      <c r="DD30" s="542">
        <v>-165</v>
      </c>
      <c r="DE30" s="153" t="s">
        <v>606</v>
      </c>
      <c r="DF30" s="103" t="s">
        <v>753</v>
      </c>
      <c r="DG30" s="104" t="s">
        <v>754</v>
      </c>
      <c r="DH30" s="547"/>
      <c r="DI30" s="547"/>
    </row>
    <row r="31" spans="1:113" x14ac:dyDescent="0.2">
      <c r="A31" s="93">
        <v>25</v>
      </c>
      <c r="B31" s="145" t="s">
        <v>609</v>
      </c>
      <c r="C31" s="141" t="s">
        <v>873</v>
      </c>
      <c r="D31" s="142" t="s">
        <v>868</v>
      </c>
      <c r="E31" s="149" t="s">
        <v>608</v>
      </c>
      <c r="F31" s="542">
        <v>-2526996</v>
      </c>
      <c r="G31" s="542">
        <v>0</v>
      </c>
      <c r="H31" s="542">
        <v>-2526996</v>
      </c>
      <c r="I31" s="542">
        <v>450000</v>
      </c>
      <c r="J31" s="542">
        <v>0</v>
      </c>
      <c r="K31" s="542">
        <v>450000</v>
      </c>
      <c r="L31" s="542">
        <v>-2976996</v>
      </c>
      <c r="M31" s="542">
        <v>0</v>
      </c>
      <c r="N31" s="542">
        <v>-2976996</v>
      </c>
      <c r="O31" s="543">
        <v>0.5</v>
      </c>
      <c r="P31" s="543">
        <v>0.49</v>
      </c>
      <c r="Q31" s="543">
        <v>0</v>
      </c>
      <c r="R31" s="543">
        <v>0.01</v>
      </c>
      <c r="S31" s="542">
        <v>401493</v>
      </c>
      <c r="T31" s="542">
        <v>401493</v>
      </c>
      <c r="U31" s="542">
        <v>0</v>
      </c>
      <c r="V31" s="542">
        <v>0</v>
      </c>
      <c r="W31" s="542">
        <v>0</v>
      </c>
      <c r="X31" s="542">
        <v>0</v>
      </c>
      <c r="Y31" s="542">
        <v>0</v>
      </c>
      <c r="Z31" s="542">
        <v>0</v>
      </c>
      <c r="AA31" s="542">
        <v>0</v>
      </c>
      <c r="AB31" s="542">
        <v>0</v>
      </c>
      <c r="AC31" s="542">
        <v>0</v>
      </c>
      <c r="AD31" s="542">
        <v>0</v>
      </c>
      <c r="AE31" s="542">
        <v>0</v>
      </c>
      <c r="AF31" s="542">
        <v>0</v>
      </c>
      <c r="AG31" s="542">
        <v>0</v>
      </c>
      <c r="AH31" s="542">
        <v>0</v>
      </c>
      <c r="AI31" s="542">
        <v>0</v>
      </c>
      <c r="AJ31" s="542">
        <v>0</v>
      </c>
      <c r="AK31" s="542">
        <v>0</v>
      </c>
      <c r="AL31" s="542">
        <v>0</v>
      </c>
      <c r="AM31" s="542">
        <v>0</v>
      </c>
      <c r="AN31" s="542">
        <v>0</v>
      </c>
      <c r="AO31" s="542">
        <v>0</v>
      </c>
      <c r="AP31" s="542">
        <v>0</v>
      </c>
      <c r="AQ31" s="542">
        <v>1901991.98</v>
      </c>
      <c r="AR31" s="542">
        <v>0</v>
      </c>
      <c r="AS31" s="542">
        <v>38816.160000000003</v>
      </c>
      <c r="AT31" s="542">
        <v>1757966</v>
      </c>
      <c r="AU31" s="542">
        <v>0</v>
      </c>
      <c r="AV31" s="542">
        <v>35877</v>
      </c>
      <c r="AW31" s="542">
        <v>144026</v>
      </c>
      <c r="AX31" s="542">
        <v>0</v>
      </c>
      <c r="AY31" s="542">
        <v>2939</v>
      </c>
      <c r="AZ31" s="542">
        <v>0</v>
      </c>
      <c r="BA31" s="542">
        <v>0</v>
      </c>
      <c r="BB31" s="542">
        <v>0</v>
      </c>
      <c r="BC31" s="542">
        <v>0</v>
      </c>
      <c r="BD31" s="542">
        <v>0</v>
      </c>
      <c r="BE31" s="542">
        <v>0</v>
      </c>
      <c r="BF31" s="542">
        <v>0</v>
      </c>
      <c r="BG31" s="542">
        <v>0</v>
      </c>
      <c r="BH31" s="542">
        <v>0</v>
      </c>
      <c r="BI31" s="542">
        <v>4992.13</v>
      </c>
      <c r="BJ31" s="542">
        <v>0</v>
      </c>
      <c r="BK31" s="542">
        <v>101.88</v>
      </c>
      <c r="BL31" s="542">
        <v>0</v>
      </c>
      <c r="BM31" s="542">
        <v>0</v>
      </c>
      <c r="BN31" s="542">
        <v>0</v>
      </c>
      <c r="BO31" s="542">
        <v>4992</v>
      </c>
      <c r="BP31" s="542">
        <v>0</v>
      </c>
      <c r="BQ31" s="542">
        <v>102</v>
      </c>
      <c r="BR31" s="542">
        <v>53932.42</v>
      </c>
      <c r="BS31" s="542">
        <v>0</v>
      </c>
      <c r="BT31" s="542">
        <v>1100.6600000000001</v>
      </c>
      <c r="BU31" s="542">
        <v>581862</v>
      </c>
      <c r="BV31" s="542">
        <v>0</v>
      </c>
      <c r="BW31" s="542">
        <v>11875</v>
      </c>
      <c r="BX31" s="542">
        <v>-527930</v>
      </c>
      <c r="BY31" s="542">
        <v>0</v>
      </c>
      <c r="BZ31" s="542">
        <v>-10774</v>
      </c>
      <c r="CA31" s="542">
        <v>606016.44999999995</v>
      </c>
      <c r="CB31" s="542">
        <v>0</v>
      </c>
      <c r="CC31" s="542">
        <v>12367.68</v>
      </c>
      <c r="CD31" s="542">
        <v>627915</v>
      </c>
      <c r="CE31" s="542">
        <v>0</v>
      </c>
      <c r="CF31" s="542">
        <v>12815</v>
      </c>
      <c r="CG31" s="542">
        <v>-21899</v>
      </c>
      <c r="CH31" s="542">
        <v>0</v>
      </c>
      <c r="CI31" s="542">
        <v>-447</v>
      </c>
      <c r="CJ31" s="542">
        <v>0</v>
      </c>
      <c r="CK31" s="542">
        <v>0</v>
      </c>
      <c r="CL31" s="542">
        <v>0</v>
      </c>
      <c r="CM31" s="542">
        <v>0</v>
      </c>
      <c r="CN31" s="542">
        <v>0</v>
      </c>
      <c r="CO31" s="542">
        <v>0</v>
      </c>
      <c r="CP31" s="542">
        <v>0</v>
      </c>
      <c r="CQ31" s="542">
        <v>0</v>
      </c>
      <c r="CR31" s="542">
        <v>0</v>
      </c>
      <c r="CS31" s="542">
        <v>0</v>
      </c>
      <c r="CT31" s="542">
        <v>0</v>
      </c>
      <c r="CU31" s="542">
        <v>0</v>
      </c>
      <c r="CV31" s="542">
        <v>386639.89</v>
      </c>
      <c r="CW31" s="542">
        <v>0</v>
      </c>
      <c r="CX31" s="542">
        <v>7890.61</v>
      </c>
      <c r="CY31" s="542">
        <v>448274</v>
      </c>
      <c r="CZ31" s="542">
        <v>0</v>
      </c>
      <c r="DA31" s="542">
        <v>9061</v>
      </c>
      <c r="DB31" s="542">
        <v>-61634</v>
      </c>
      <c r="DC31" s="542">
        <v>0</v>
      </c>
      <c r="DD31" s="542">
        <v>-1170</v>
      </c>
      <c r="DE31" s="153" t="s">
        <v>608</v>
      </c>
      <c r="DF31" s="103" t="s">
        <v>763</v>
      </c>
      <c r="DG31" s="104" t="s">
        <v>777</v>
      </c>
      <c r="DH31" s="547"/>
      <c r="DI31" s="547"/>
    </row>
    <row r="32" spans="1:113" x14ac:dyDescent="0.2">
      <c r="A32" s="93">
        <v>26</v>
      </c>
      <c r="B32" s="145" t="s">
        <v>611</v>
      </c>
      <c r="C32" s="141" t="s">
        <v>866</v>
      </c>
      <c r="D32" s="142" t="s">
        <v>869</v>
      </c>
      <c r="E32" s="149" t="s">
        <v>610</v>
      </c>
      <c r="F32" s="542">
        <v>-252861</v>
      </c>
      <c r="G32" s="542">
        <v>0</v>
      </c>
      <c r="H32" s="542">
        <v>-252861</v>
      </c>
      <c r="I32" s="542">
        <v>6344</v>
      </c>
      <c r="J32" s="542">
        <v>0</v>
      </c>
      <c r="K32" s="542">
        <v>6344</v>
      </c>
      <c r="L32" s="542">
        <v>-259205</v>
      </c>
      <c r="M32" s="542">
        <v>0</v>
      </c>
      <c r="N32" s="542">
        <v>-259205</v>
      </c>
      <c r="O32" s="543">
        <v>0.5</v>
      </c>
      <c r="P32" s="543">
        <v>0.4</v>
      </c>
      <c r="Q32" s="543">
        <v>0.1</v>
      </c>
      <c r="R32" s="543">
        <v>0</v>
      </c>
      <c r="S32" s="542">
        <v>87465</v>
      </c>
      <c r="T32" s="542">
        <v>87465</v>
      </c>
      <c r="U32" s="542">
        <v>0</v>
      </c>
      <c r="V32" s="542">
        <v>0</v>
      </c>
      <c r="W32" s="542">
        <v>0</v>
      </c>
      <c r="X32" s="542">
        <v>0</v>
      </c>
      <c r="Y32" s="542">
        <v>68138</v>
      </c>
      <c r="Z32" s="542">
        <v>0</v>
      </c>
      <c r="AA32" s="542">
        <v>0</v>
      </c>
      <c r="AB32" s="542">
        <v>0</v>
      </c>
      <c r="AC32" s="542">
        <v>68138</v>
      </c>
      <c r="AD32" s="542">
        <v>0</v>
      </c>
      <c r="AE32" s="542">
        <v>0</v>
      </c>
      <c r="AF32" s="542">
        <v>0</v>
      </c>
      <c r="AG32" s="542">
        <v>0</v>
      </c>
      <c r="AH32" s="542">
        <v>0</v>
      </c>
      <c r="AI32" s="542">
        <v>0</v>
      </c>
      <c r="AJ32" s="542">
        <v>0</v>
      </c>
      <c r="AK32" s="542">
        <v>0</v>
      </c>
      <c r="AL32" s="542">
        <v>0</v>
      </c>
      <c r="AM32" s="542">
        <v>0</v>
      </c>
      <c r="AN32" s="542">
        <v>0</v>
      </c>
      <c r="AO32" s="542">
        <v>0</v>
      </c>
      <c r="AP32" s="542">
        <v>0</v>
      </c>
      <c r="AQ32" s="542">
        <v>293643.89399999997</v>
      </c>
      <c r="AR32" s="542">
        <v>73410.973599999998</v>
      </c>
      <c r="AS32" s="542">
        <v>0</v>
      </c>
      <c r="AT32" s="542">
        <v>267401</v>
      </c>
      <c r="AU32" s="542">
        <v>66850</v>
      </c>
      <c r="AV32" s="542">
        <v>0</v>
      </c>
      <c r="AW32" s="542">
        <v>26243</v>
      </c>
      <c r="AX32" s="542">
        <v>6561</v>
      </c>
      <c r="AY32" s="542">
        <v>0</v>
      </c>
      <c r="AZ32" s="542">
        <v>0</v>
      </c>
      <c r="BA32" s="542">
        <v>0</v>
      </c>
      <c r="BB32" s="542">
        <v>0</v>
      </c>
      <c r="BC32" s="542">
        <v>0</v>
      </c>
      <c r="BD32" s="542">
        <v>0</v>
      </c>
      <c r="BE32" s="542">
        <v>0</v>
      </c>
      <c r="BF32" s="542">
        <v>0</v>
      </c>
      <c r="BG32" s="542">
        <v>0</v>
      </c>
      <c r="BH32" s="542">
        <v>0</v>
      </c>
      <c r="BI32" s="542">
        <v>0</v>
      </c>
      <c r="BJ32" s="542">
        <v>0</v>
      </c>
      <c r="BK32" s="542">
        <v>0</v>
      </c>
      <c r="BL32" s="542">
        <v>0</v>
      </c>
      <c r="BM32" s="542">
        <v>0</v>
      </c>
      <c r="BN32" s="542">
        <v>0</v>
      </c>
      <c r="BO32" s="542">
        <v>0</v>
      </c>
      <c r="BP32" s="542">
        <v>0</v>
      </c>
      <c r="BQ32" s="542">
        <v>0</v>
      </c>
      <c r="BR32" s="542">
        <v>3107.4411799999998</v>
      </c>
      <c r="BS32" s="542">
        <v>776.86029699999995</v>
      </c>
      <c r="BT32" s="542">
        <v>0</v>
      </c>
      <c r="BU32" s="542">
        <v>8180</v>
      </c>
      <c r="BV32" s="542">
        <v>2045</v>
      </c>
      <c r="BW32" s="542">
        <v>0</v>
      </c>
      <c r="BX32" s="542">
        <v>-5073</v>
      </c>
      <c r="BY32" s="542">
        <v>-1268</v>
      </c>
      <c r="BZ32" s="542">
        <v>0</v>
      </c>
      <c r="CA32" s="542">
        <v>79737.175300000003</v>
      </c>
      <c r="CB32" s="542">
        <v>19934.293799999999</v>
      </c>
      <c r="CC32" s="542">
        <v>0</v>
      </c>
      <c r="CD32" s="542">
        <v>126416</v>
      </c>
      <c r="CE32" s="542">
        <v>31604</v>
      </c>
      <c r="CF32" s="542">
        <v>0</v>
      </c>
      <c r="CG32" s="542">
        <v>-46679</v>
      </c>
      <c r="CH32" s="542">
        <v>-11670</v>
      </c>
      <c r="CI32" s="542">
        <v>0</v>
      </c>
      <c r="CJ32" s="542">
        <v>27518.799999999999</v>
      </c>
      <c r="CK32" s="542">
        <v>6879.7</v>
      </c>
      <c r="CL32" s="542">
        <v>0</v>
      </c>
      <c r="CM32" s="542">
        <v>12792.373600000001</v>
      </c>
      <c r="CN32" s="542">
        <v>3198.0934099999999</v>
      </c>
      <c r="CO32" s="542">
        <v>0</v>
      </c>
      <c r="CP32" s="542">
        <v>40211</v>
      </c>
      <c r="CQ32" s="542">
        <v>10052.844999999999</v>
      </c>
      <c r="CR32" s="542">
        <v>0</v>
      </c>
      <c r="CS32" s="542">
        <v>100</v>
      </c>
      <c r="CT32" s="542">
        <v>25</v>
      </c>
      <c r="CU32" s="542">
        <v>0</v>
      </c>
      <c r="CV32" s="542">
        <v>74266.106100000005</v>
      </c>
      <c r="CW32" s="542">
        <v>18385.693200000002</v>
      </c>
      <c r="CX32" s="542">
        <v>0</v>
      </c>
      <c r="CY32" s="542">
        <v>79359</v>
      </c>
      <c r="CZ32" s="542">
        <v>19608</v>
      </c>
      <c r="DA32" s="542">
        <v>0</v>
      </c>
      <c r="DB32" s="542">
        <v>-5093</v>
      </c>
      <c r="DC32" s="542">
        <v>-1222</v>
      </c>
      <c r="DD32" s="542">
        <v>0</v>
      </c>
      <c r="DE32" s="153" t="s">
        <v>610</v>
      </c>
      <c r="DF32" s="103" t="s">
        <v>778</v>
      </c>
      <c r="DG32" s="104" t="s">
        <v>751</v>
      </c>
      <c r="DH32" s="547"/>
      <c r="DI32" s="547"/>
    </row>
    <row r="33" spans="1:113" x14ac:dyDescent="0.2">
      <c r="A33" s="93">
        <v>27</v>
      </c>
      <c r="B33" s="145" t="s">
        <v>613</v>
      </c>
      <c r="C33" s="141" t="s">
        <v>770</v>
      </c>
      <c r="D33" s="142" t="s">
        <v>875</v>
      </c>
      <c r="E33" s="149" t="s">
        <v>691</v>
      </c>
      <c r="F33" s="542">
        <v>-461124</v>
      </c>
      <c r="G33" s="542">
        <v>0</v>
      </c>
      <c r="H33" s="542">
        <v>-461124</v>
      </c>
      <c r="I33" s="542">
        <v>-60558</v>
      </c>
      <c r="J33" s="542">
        <v>0</v>
      </c>
      <c r="K33" s="542">
        <v>-60558</v>
      </c>
      <c r="L33" s="542">
        <v>-400566</v>
      </c>
      <c r="M33" s="542">
        <v>0</v>
      </c>
      <c r="N33" s="542">
        <v>-400566</v>
      </c>
      <c r="O33" s="543">
        <v>0.5</v>
      </c>
      <c r="P33" s="543">
        <v>0.49</v>
      </c>
      <c r="Q33" s="543">
        <v>0</v>
      </c>
      <c r="R33" s="543">
        <v>0.01</v>
      </c>
      <c r="S33" s="542">
        <v>305240</v>
      </c>
      <c r="T33" s="542">
        <v>305240</v>
      </c>
      <c r="U33" s="542">
        <v>0</v>
      </c>
      <c r="V33" s="542">
        <v>0</v>
      </c>
      <c r="W33" s="542">
        <v>0</v>
      </c>
      <c r="X33" s="542">
        <v>0</v>
      </c>
      <c r="Y33" s="542">
        <v>185</v>
      </c>
      <c r="Z33" s="542">
        <v>0</v>
      </c>
      <c r="AA33" s="542">
        <v>111</v>
      </c>
      <c r="AB33" s="542">
        <v>0</v>
      </c>
      <c r="AC33" s="542">
        <v>74</v>
      </c>
      <c r="AD33" s="542">
        <v>0</v>
      </c>
      <c r="AE33" s="542">
        <v>0</v>
      </c>
      <c r="AF33" s="542">
        <v>0</v>
      </c>
      <c r="AG33" s="542">
        <v>0</v>
      </c>
      <c r="AH33" s="542">
        <v>0</v>
      </c>
      <c r="AI33" s="542">
        <v>0</v>
      </c>
      <c r="AJ33" s="542">
        <v>0</v>
      </c>
      <c r="AK33" s="542">
        <v>0</v>
      </c>
      <c r="AL33" s="542">
        <v>0</v>
      </c>
      <c r="AM33" s="542">
        <v>0</v>
      </c>
      <c r="AN33" s="542">
        <v>0</v>
      </c>
      <c r="AO33" s="542">
        <v>0</v>
      </c>
      <c r="AP33" s="542">
        <v>0</v>
      </c>
      <c r="AQ33" s="542">
        <v>1112719.95</v>
      </c>
      <c r="AR33" s="542">
        <v>0</v>
      </c>
      <c r="AS33" s="542">
        <v>22708.57</v>
      </c>
      <c r="AT33" s="542">
        <v>1082169</v>
      </c>
      <c r="AU33" s="542">
        <v>0</v>
      </c>
      <c r="AV33" s="542">
        <v>22085</v>
      </c>
      <c r="AW33" s="542">
        <v>30551</v>
      </c>
      <c r="AX33" s="542">
        <v>0</v>
      </c>
      <c r="AY33" s="542">
        <v>624</v>
      </c>
      <c r="AZ33" s="542">
        <v>14302.42</v>
      </c>
      <c r="BA33" s="542">
        <v>0</v>
      </c>
      <c r="BB33" s="542">
        <v>291.89</v>
      </c>
      <c r="BC33" s="542">
        <v>0</v>
      </c>
      <c r="BD33" s="542">
        <v>0</v>
      </c>
      <c r="BE33" s="542">
        <v>0</v>
      </c>
      <c r="BF33" s="542">
        <v>14302</v>
      </c>
      <c r="BG33" s="542">
        <v>0</v>
      </c>
      <c r="BH33" s="542">
        <v>292</v>
      </c>
      <c r="BI33" s="542">
        <v>0</v>
      </c>
      <c r="BJ33" s="542">
        <v>0</v>
      </c>
      <c r="BK33" s="542">
        <v>0</v>
      </c>
      <c r="BL33" s="542">
        <v>0</v>
      </c>
      <c r="BM33" s="542">
        <v>0</v>
      </c>
      <c r="BN33" s="542">
        <v>0</v>
      </c>
      <c r="BO33" s="542">
        <v>0</v>
      </c>
      <c r="BP33" s="542">
        <v>0</v>
      </c>
      <c r="BQ33" s="542">
        <v>0</v>
      </c>
      <c r="BR33" s="542">
        <v>10618.61</v>
      </c>
      <c r="BS33" s="542">
        <v>0</v>
      </c>
      <c r="BT33" s="542">
        <v>216.71</v>
      </c>
      <c r="BU33" s="542">
        <v>108734</v>
      </c>
      <c r="BV33" s="542">
        <v>0</v>
      </c>
      <c r="BW33" s="542">
        <v>2219</v>
      </c>
      <c r="BX33" s="542">
        <v>-98115</v>
      </c>
      <c r="BY33" s="542">
        <v>0</v>
      </c>
      <c r="BZ33" s="542">
        <v>-2002</v>
      </c>
      <c r="CA33" s="542">
        <v>486302.43</v>
      </c>
      <c r="CB33" s="542">
        <v>0</v>
      </c>
      <c r="CC33" s="542">
        <v>9924.5400000000009</v>
      </c>
      <c r="CD33" s="542">
        <v>526791</v>
      </c>
      <c r="CE33" s="542">
        <v>0</v>
      </c>
      <c r="CF33" s="542">
        <v>10751</v>
      </c>
      <c r="CG33" s="542">
        <v>-40489</v>
      </c>
      <c r="CH33" s="542">
        <v>0</v>
      </c>
      <c r="CI33" s="542">
        <v>-826</v>
      </c>
      <c r="CJ33" s="542">
        <v>0</v>
      </c>
      <c r="CK33" s="542">
        <v>0</v>
      </c>
      <c r="CL33" s="542">
        <v>0</v>
      </c>
      <c r="CM33" s="542">
        <v>902.75</v>
      </c>
      <c r="CN33" s="542">
        <v>0</v>
      </c>
      <c r="CO33" s="542">
        <v>18.420000000000002</v>
      </c>
      <c r="CP33" s="542">
        <v>0</v>
      </c>
      <c r="CQ33" s="542">
        <v>0</v>
      </c>
      <c r="CR33" s="542">
        <v>0</v>
      </c>
      <c r="CS33" s="542">
        <v>903</v>
      </c>
      <c r="CT33" s="542">
        <v>0</v>
      </c>
      <c r="CU33" s="542">
        <v>18</v>
      </c>
      <c r="CV33" s="542">
        <v>343491.92</v>
      </c>
      <c r="CW33" s="542">
        <v>0</v>
      </c>
      <c r="CX33" s="542">
        <v>7010</v>
      </c>
      <c r="CY33" s="542">
        <v>344900</v>
      </c>
      <c r="CZ33" s="542">
        <v>0</v>
      </c>
      <c r="DA33" s="542">
        <v>6973</v>
      </c>
      <c r="DB33" s="542">
        <v>-1408</v>
      </c>
      <c r="DC33" s="542">
        <v>0</v>
      </c>
      <c r="DD33" s="542">
        <v>37</v>
      </c>
      <c r="DE33" s="153" t="s">
        <v>691</v>
      </c>
      <c r="DF33" s="103" t="s">
        <v>770</v>
      </c>
      <c r="DG33" s="104" t="s">
        <v>779</v>
      </c>
      <c r="DH33" s="547"/>
      <c r="DI33" s="547"/>
    </row>
    <row r="34" spans="1:113" x14ac:dyDescent="0.2">
      <c r="A34" s="93">
        <v>28</v>
      </c>
      <c r="B34" s="145" t="s">
        <v>615</v>
      </c>
      <c r="C34" s="141" t="s">
        <v>770</v>
      </c>
      <c r="D34" s="142" t="s">
        <v>867</v>
      </c>
      <c r="E34" s="149" t="s">
        <v>692</v>
      </c>
      <c r="F34" s="542">
        <v>-141601</v>
      </c>
      <c r="G34" s="542">
        <v>0</v>
      </c>
      <c r="H34" s="542">
        <v>-141601</v>
      </c>
      <c r="I34" s="542">
        <v>75138</v>
      </c>
      <c r="J34" s="542">
        <v>0</v>
      </c>
      <c r="K34" s="542">
        <v>75138</v>
      </c>
      <c r="L34" s="542">
        <v>-216739</v>
      </c>
      <c r="M34" s="542">
        <v>0</v>
      </c>
      <c r="N34" s="542">
        <v>-216739</v>
      </c>
      <c r="O34" s="543">
        <v>0.5</v>
      </c>
      <c r="P34" s="543">
        <v>0.49</v>
      </c>
      <c r="Q34" s="543">
        <v>0</v>
      </c>
      <c r="R34" s="543">
        <v>0.01</v>
      </c>
      <c r="S34" s="542">
        <v>157208</v>
      </c>
      <c r="T34" s="542">
        <v>157208</v>
      </c>
      <c r="U34" s="542">
        <v>0</v>
      </c>
      <c r="V34" s="542">
        <v>0</v>
      </c>
      <c r="W34" s="542">
        <v>0</v>
      </c>
      <c r="X34" s="542">
        <v>0</v>
      </c>
      <c r="Y34" s="542">
        <v>744</v>
      </c>
      <c r="Z34" s="542">
        <v>0</v>
      </c>
      <c r="AA34" s="542">
        <v>803</v>
      </c>
      <c r="AB34" s="542">
        <v>0</v>
      </c>
      <c r="AC34" s="542">
        <v>-59</v>
      </c>
      <c r="AD34" s="542">
        <v>0</v>
      </c>
      <c r="AE34" s="542">
        <v>0</v>
      </c>
      <c r="AF34" s="542">
        <v>0</v>
      </c>
      <c r="AG34" s="542">
        <v>0</v>
      </c>
      <c r="AH34" s="542">
        <v>0</v>
      </c>
      <c r="AI34" s="542">
        <v>67401.5</v>
      </c>
      <c r="AJ34" s="542">
        <v>66053.5</v>
      </c>
      <c r="AK34" s="542">
        <v>0</v>
      </c>
      <c r="AL34" s="542">
        <v>1348</v>
      </c>
      <c r="AM34" s="542">
        <v>-67402</v>
      </c>
      <c r="AN34" s="542">
        <v>-66054</v>
      </c>
      <c r="AO34" s="542">
        <v>0</v>
      </c>
      <c r="AP34" s="542">
        <v>-1348</v>
      </c>
      <c r="AQ34" s="542">
        <v>201294.29</v>
      </c>
      <c r="AR34" s="542">
        <v>0</v>
      </c>
      <c r="AS34" s="542">
        <v>4108.05</v>
      </c>
      <c r="AT34" s="542">
        <v>215345</v>
      </c>
      <c r="AU34" s="542">
        <v>0</v>
      </c>
      <c r="AV34" s="542">
        <v>4395</v>
      </c>
      <c r="AW34" s="542">
        <v>-14051</v>
      </c>
      <c r="AX34" s="542">
        <v>0</v>
      </c>
      <c r="AY34" s="542">
        <v>-287</v>
      </c>
      <c r="AZ34" s="542">
        <v>106.96</v>
      </c>
      <c r="BA34" s="542">
        <v>0</v>
      </c>
      <c r="BB34" s="542">
        <v>2.1800000000000002</v>
      </c>
      <c r="BC34" s="542">
        <v>24760</v>
      </c>
      <c r="BD34" s="542">
        <v>0</v>
      </c>
      <c r="BE34" s="542">
        <v>505</v>
      </c>
      <c r="BF34" s="542">
        <v>-24653</v>
      </c>
      <c r="BG34" s="542">
        <v>0</v>
      </c>
      <c r="BH34" s="542">
        <v>-503</v>
      </c>
      <c r="BI34" s="542">
        <v>0</v>
      </c>
      <c r="BJ34" s="542">
        <v>0</v>
      </c>
      <c r="BK34" s="542">
        <v>0</v>
      </c>
      <c r="BL34" s="542">
        <v>0</v>
      </c>
      <c r="BM34" s="542">
        <v>0</v>
      </c>
      <c r="BN34" s="542">
        <v>0</v>
      </c>
      <c r="BO34" s="542">
        <v>0</v>
      </c>
      <c r="BP34" s="542">
        <v>0</v>
      </c>
      <c r="BQ34" s="542">
        <v>0</v>
      </c>
      <c r="BR34" s="542">
        <v>448.16</v>
      </c>
      <c r="BS34" s="542">
        <v>0</v>
      </c>
      <c r="BT34" s="542">
        <v>9.15</v>
      </c>
      <c r="BU34" s="542">
        <v>24760</v>
      </c>
      <c r="BV34" s="542">
        <v>0</v>
      </c>
      <c r="BW34" s="542">
        <v>505</v>
      </c>
      <c r="BX34" s="542">
        <v>-24312</v>
      </c>
      <c r="BY34" s="542">
        <v>0</v>
      </c>
      <c r="BZ34" s="542">
        <v>-496</v>
      </c>
      <c r="CA34" s="542">
        <v>99488</v>
      </c>
      <c r="CB34" s="542">
        <v>0</v>
      </c>
      <c r="CC34" s="542">
        <v>2030.37</v>
      </c>
      <c r="CD34" s="542">
        <v>272361</v>
      </c>
      <c r="CE34" s="542">
        <v>0</v>
      </c>
      <c r="CF34" s="542">
        <v>5558</v>
      </c>
      <c r="CG34" s="542">
        <v>-172873</v>
      </c>
      <c r="CH34" s="542">
        <v>0</v>
      </c>
      <c r="CI34" s="542">
        <v>-3528</v>
      </c>
      <c r="CJ34" s="542">
        <v>0</v>
      </c>
      <c r="CK34" s="542">
        <v>0</v>
      </c>
      <c r="CL34" s="542">
        <v>0</v>
      </c>
      <c r="CM34" s="542">
        <v>0</v>
      </c>
      <c r="CN34" s="542">
        <v>0</v>
      </c>
      <c r="CO34" s="542">
        <v>0</v>
      </c>
      <c r="CP34" s="542">
        <v>0</v>
      </c>
      <c r="CQ34" s="542">
        <v>0</v>
      </c>
      <c r="CR34" s="542">
        <v>0</v>
      </c>
      <c r="CS34" s="542">
        <v>0</v>
      </c>
      <c r="CT34" s="542">
        <v>0</v>
      </c>
      <c r="CU34" s="542">
        <v>0</v>
      </c>
      <c r="CV34" s="542">
        <v>305729.14</v>
      </c>
      <c r="CW34" s="542">
        <v>0</v>
      </c>
      <c r="CX34" s="542">
        <v>6239.21</v>
      </c>
      <c r="CY34" s="542">
        <v>367901</v>
      </c>
      <c r="CZ34" s="542">
        <v>0</v>
      </c>
      <c r="DA34" s="542">
        <v>7474</v>
      </c>
      <c r="DB34" s="542">
        <v>-62172</v>
      </c>
      <c r="DC34" s="542">
        <v>0</v>
      </c>
      <c r="DD34" s="542">
        <v>-1235</v>
      </c>
      <c r="DE34" s="153" t="s">
        <v>692</v>
      </c>
      <c r="DF34" s="103" t="s">
        <v>770</v>
      </c>
      <c r="DG34" s="104" t="s">
        <v>780</v>
      </c>
      <c r="DH34" s="547"/>
      <c r="DI34" s="547"/>
    </row>
    <row r="35" spans="1:113" ht="12.75" x14ac:dyDescent="0.2">
      <c r="A35" s="93">
        <v>29</v>
      </c>
      <c r="B35" s="145" t="s">
        <v>617</v>
      </c>
      <c r="C35" s="141" t="s">
        <v>873</v>
      </c>
      <c r="D35" s="142" t="s">
        <v>874</v>
      </c>
      <c r="E35" s="149" t="s">
        <v>616</v>
      </c>
      <c r="F35" s="542">
        <v>-1607422</v>
      </c>
      <c r="G35" s="542">
        <v>0</v>
      </c>
      <c r="H35" s="542">
        <v>-1607422</v>
      </c>
      <c r="I35" s="542">
        <v>227109</v>
      </c>
      <c r="J35" s="542">
        <v>0</v>
      </c>
      <c r="K35" s="542">
        <v>227109</v>
      </c>
      <c r="L35" s="542">
        <v>-1834531</v>
      </c>
      <c r="M35" s="542">
        <v>0</v>
      </c>
      <c r="N35" s="542">
        <v>-1834531</v>
      </c>
      <c r="O35" s="543">
        <v>0.5</v>
      </c>
      <c r="P35" s="543">
        <v>0.49</v>
      </c>
      <c r="Q35" s="543">
        <v>0</v>
      </c>
      <c r="R35" s="543">
        <v>0.01</v>
      </c>
      <c r="S35" s="542">
        <v>733780</v>
      </c>
      <c r="T35" s="542">
        <v>733780</v>
      </c>
      <c r="U35" s="542">
        <v>0</v>
      </c>
      <c r="V35" s="542">
        <v>0</v>
      </c>
      <c r="W35" s="542">
        <v>0</v>
      </c>
      <c r="X35" s="542">
        <v>0</v>
      </c>
      <c r="Y35" s="542">
        <v>0</v>
      </c>
      <c r="Z35" s="542">
        <v>0</v>
      </c>
      <c r="AA35" s="542">
        <v>0</v>
      </c>
      <c r="AB35" s="542">
        <v>0</v>
      </c>
      <c r="AC35" s="542">
        <v>0</v>
      </c>
      <c r="AD35" s="542">
        <v>0</v>
      </c>
      <c r="AE35" s="542">
        <v>0</v>
      </c>
      <c r="AF35" s="542">
        <v>0</v>
      </c>
      <c r="AG35" s="542">
        <v>0</v>
      </c>
      <c r="AH35" s="542">
        <v>0</v>
      </c>
      <c r="AI35" s="542">
        <v>0</v>
      </c>
      <c r="AJ35" s="542">
        <v>0</v>
      </c>
      <c r="AK35" s="542">
        <v>0</v>
      </c>
      <c r="AL35" s="542">
        <v>0</v>
      </c>
      <c r="AM35" s="542">
        <v>0</v>
      </c>
      <c r="AN35" s="542">
        <v>0</v>
      </c>
      <c r="AO35" s="542">
        <v>0</v>
      </c>
      <c r="AP35" s="542">
        <v>0</v>
      </c>
      <c r="AQ35" s="542">
        <v>3628740</v>
      </c>
      <c r="AR35" s="542">
        <v>0</v>
      </c>
      <c r="AS35" s="542">
        <v>74055.92</v>
      </c>
      <c r="AT35" s="542">
        <v>3609332</v>
      </c>
      <c r="AU35" s="542">
        <v>0</v>
      </c>
      <c r="AV35" s="542">
        <v>73660</v>
      </c>
      <c r="AW35" s="542">
        <v>19408</v>
      </c>
      <c r="AX35" s="542">
        <v>0</v>
      </c>
      <c r="AY35" s="542">
        <v>396</v>
      </c>
      <c r="AZ35" s="542">
        <v>19510.45</v>
      </c>
      <c r="BA35" s="542">
        <v>0</v>
      </c>
      <c r="BB35" s="542">
        <v>398.17</v>
      </c>
      <c r="BC35" s="542">
        <v>4952</v>
      </c>
      <c r="BD35" s="542">
        <v>0</v>
      </c>
      <c r="BE35" s="542">
        <v>101</v>
      </c>
      <c r="BF35" s="542">
        <v>14558</v>
      </c>
      <c r="BG35" s="542">
        <v>0</v>
      </c>
      <c r="BH35" s="542">
        <v>297</v>
      </c>
      <c r="BI35" s="542">
        <v>10355.66</v>
      </c>
      <c r="BJ35" s="542">
        <v>0</v>
      </c>
      <c r="BK35" s="542">
        <v>211.34</v>
      </c>
      <c r="BL35" s="542">
        <v>9904</v>
      </c>
      <c r="BM35" s="542">
        <v>0</v>
      </c>
      <c r="BN35" s="542">
        <v>202</v>
      </c>
      <c r="BO35" s="542">
        <v>452</v>
      </c>
      <c r="BP35" s="542">
        <v>0</v>
      </c>
      <c r="BQ35" s="542">
        <v>9</v>
      </c>
      <c r="BR35" s="542">
        <v>15263.11</v>
      </c>
      <c r="BS35" s="542">
        <v>0</v>
      </c>
      <c r="BT35" s="542">
        <v>311.49</v>
      </c>
      <c r="BU35" s="542">
        <v>123800</v>
      </c>
      <c r="BV35" s="542">
        <v>0</v>
      </c>
      <c r="BW35" s="542">
        <v>2527</v>
      </c>
      <c r="BX35" s="542">
        <v>-108537</v>
      </c>
      <c r="BY35" s="542">
        <v>0</v>
      </c>
      <c r="BZ35" s="542">
        <v>-2216</v>
      </c>
      <c r="CA35" s="542">
        <v>1041253.18</v>
      </c>
      <c r="CB35" s="542">
        <v>0</v>
      </c>
      <c r="CC35" s="542">
        <v>21250.06</v>
      </c>
      <c r="CD35" s="542">
        <v>1188484</v>
      </c>
      <c r="CE35" s="542">
        <v>0</v>
      </c>
      <c r="CF35" s="542">
        <v>24255</v>
      </c>
      <c r="CG35" s="542">
        <v>-147231</v>
      </c>
      <c r="CH35" s="542">
        <v>0</v>
      </c>
      <c r="CI35" s="542">
        <v>-3005</v>
      </c>
      <c r="CJ35" s="542">
        <v>0</v>
      </c>
      <c r="CK35" s="542">
        <v>0</v>
      </c>
      <c r="CL35" s="542">
        <v>0</v>
      </c>
      <c r="CM35" s="542">
        <v>0</v>
      </c>
      <c r="CN35" s="542">
        <v>0</v>
      </c>
      <c r="CO35" s="542">
        <v>0</v>
      </c>
      <c r="CP35" s="542">
        <v>0</v>
      </c>
      <c r="CQ35" s="542">
        <v>0</v>
      </c>
      <c r="CR35" s="542">
        <v>0</v>
      </c>
      <c r="CS35" s="542">
        <v>0</v>
      </c>
      <c r="CT35" s="542">
        <v>0</v>
      </c>
      <c r="CU35" s="542">
        <v>0</v>
      </c>
      <c r="CV35" s="542">
        <v>676190.34</v>
      </c>
      <c r="CW35" s="542">
        <v>0</v>
      </c>
      <c r="CX35" s="542">
        <v>13799.8</v>
      </c>
      <c r="CY35" s="542">
        <v>716395</v>
      </c>
      <c r="CZ35" s="542">
        <v>0</v>
      </c>
      <c r="DA35" s="542">
        <v>14461</v>
      </c>
      <c r="DB35" s="542">
        <v>-40205</v>
      </c>
      <c r="DC35" s="542">
        <v>0</v>
      </c>
      <c r="DD35" s="542">
        <v>-661</v>
      </c>
      <c r="DE35" s="153" t="s">
        <v>616</v>
      </c>
      <c r="DF35" s="103" t="s">
        <v>763</v>
      </c>
      <c r="DG35" s="104" t="s">
        <v>781</v>
      </c>
      <c r="DH35" s="548"/>
      <c r="DI35" s="548"/>
    </row>
    <row r="36" spans="1:113" x14ac:dyDescent="0.2">
      <c r="A36" s="93">
        <v>30</v>
      </c>
      <c r="B36" s="145" t="s">
        <v>619</v>
      </c>
      <c r="C36" s="141" t="s">
        <v>866</v>
      </c>
      <c r="D36" s="142" t="s">
        <v>870</v>
      </c>
      <c r="E36" s="149" t="s">
        <v>618</v>
      </c>
      <c r="F36" s="542">
        <v>12479</v>
      </c>
      <c r="G36" s="542">
        <v>0</v>
      </c>
      <c r="H36" s="542">
        <v>12479</v>
      </c>
      <c r="I36" s="542">
        <v>64078</v>
      </c>
      <c r="J36" s="542">
        <v>0</v>
      </c>
      <c r="K36" s="542">
        <v>64078</v>
      </c>
      <c r="L36" s="542">
        <v>-51599</v>
      </c>
      <c r="M36" s="542">
        <v>0</v>
      </c>
      <c r="N36" s="542">
        <v>-51599</v>
      </c>
      <c r="O36" s="543">
        <v>0.5</v>
      </c>
      <c r="P36" s="543">
        <v>0.4</v>
      </c>
      <c r="Q36" s="543">
        <v>0.09</v>
      </c>
      <c r="R36" s="543">
        <v>0.01</v>
      </c>
      <c r="S36" s="542">
        <v>188604</v>
      </c>
      <c r="T36" s="542">
        <v>188604</v>
      </c>
      <c r="U36" s="542">
        <v>0</v>
      </c>
      <c r="V36" s="542">
        <v>0</v>
      </c>
      <c r="W36" s="542">
        <v>0</v>
      </c>
      <c r="X36" s="542">
        <v>0</v>
      </c>
      <c r="Y36" s="542">
        <v>0</v>
      </c>
      <c r="Z36" s="542">
        <v>0</v>
      </c>
      <c r="AA36" s="542">
        <v>0</v>
      </c>
      <c r="AB36" s="542">
        <v>0</v>
      </c>
      <c r="AC36" s="542">
        <v>0</v>
      </c>
      <c r="AD36" s="542">
        <v>0</v>
      </c>
      <c r="AE36" s="542">
        <v>0</v>
      </c>
      <c r="AF36" s="542">
        <v>0</v>
      </c>
      <c r="AG36" s="542">
        <v>0</v>
      </c>
      <c r="AH36" s="542">
        <v>0</v>
      </c>
      <c r="AI36" s="542">
        <v>0</v>
      </c>
      <c r="AJ36" s="542">
        <v>0</v>
      </c>
      <c r="AK36" s="542">
        <v>0</v>
      </c>
      <c r="AL36" s="542">
        <v>0</v>
      </c>
      <c r="AM36" s="542">
        <v>0</v>
      </c>
      <c r="AN36" s="542">
        <v>0</v>
      </c>
      <c r="AO36" s="542">
        <v>0</v>
      </c>
      <c r="AP36" s="542">
        <v>0</v>
      </c>
      <c r="AQ36" s="542">
        <v>652548.09600000002</v>
      </c>
      <c r="AR36" s="542">
        <v>146823.321</v>
      </c>
      <c r="AS36" s="542">
        <v>16313.7024</v>
      </c>
      <c r="AT36" s="542">
        <v>572540</v>
      </c>
      <c r="AU36" s="542">
        <v>128821</v>
      </c>
      <c r="AV36" s="542">
        <v>14313</v>
      </c>
      <c r="AW36" s="542">
        <v>80008</v>
      </c>
      <c r="AX36" s="542">
        <v>18002</v>
      </c>
      <c r="AY36" s="542">
        <v>2001</v>
      </c>
      <c r="AZ36" s="542">
        <v>0</v>
      </c>
      <c r="BA36" s="542">
        <v>0</v>
      </c>
      <c r="BB36" s="542">
        <v>0</v>
      </c>
      <c r="BC36" s="542">
        <v>0</v>
      </c>
      <c r="BD36" s="542">
        <v>0</v>
      </c>
      <c r="BE36" s="542">
        <v>0</v>
      </c>
      <c r="BF36" s="542">
        <v>0</v>
      </c>
      <c r="BG36" s="542">
        <v>0</v>
      </c>
      <c r="BH36" s="542">
        <v>0</v>
      </c>
      <c r="BI36" s="542">
        <v>0</v>
      </c>
      <c r="BJ36" s="542">
        <v>0</v>
      </c>
      <c r="BK36" s="542">
        <v>0</v>
      </c>
      <c r="BL36" s="542">
        <v>21896</v>
      </c>
      <c r="BM36" s="542">
        <v>4927</v>
      </c>
      <c r="BN36" s="542">
        <v>547</v>
      </c>
      <c r="BO36" s="542">
        <v>-21896</v>
      </c>
      <c r="BP36" s="542">
        <v>-4927</v>
      </c>
      <c r="BQ36" s="542">
        <v>-547</v>
      </c>
      <c r="BR36" s="542">
        <v>1286.7159200000001</v>
      </c>
      <c r="BS36" s="542">
        <v>289.51108199999999</v>
      </c>
      <c r="BT36" s="542">
        <v>32.167898000000001</v>
      </c>
      <c r="BU36" s="542">
        <v>134853.326</v>
      </c>
      <c r="BV36" s="542">
        <v>30341.9984</v>
      </c>
      <c r="BW36" s="542">
        <v>3371.3331600000001</v>
      </c>
      <c r="BX36" s="542">
        <v>-133567</v>
      </c>
      <c r="BY36" s="542">
        <v>-30052</v>
      </c>
      <c r="BZ36" s="542">
        <v>-3339</v>
      </c>
      <c r="CA36" s="542">
        <v>185566.022</v>
      </c>
      <c r="CB36" s="542">
        <v>41752.355100000001</v>
      </c>
      <c r="CC36" s="542">
        <v>4639.1505699999998</v>
      </c>
      <c r="CD36" s="542">
        <v>214856.9</v>
      </c>
      <c r="CE36" s="542">
        <v>48342.802499999998</v>
      </c>
      <c r="CF36" s="542">
        <v>5371.4224999999997</v>
      </c>
      <c r="CG36" s="542">
        <v>-29291</v>
      </c>
      <c r="CH36" s="542">
        <v>-6590</v>
      </c>
      <c r="CI36" s="542">
        <v>-732</v>
      </c>
      <c r="CJ36" s="542">
        <v>0</v>
      </c>
      <c r="CK36" s="542">
        <v>0</v>
      </c>
      <c r="CL36" s="542">
        <v>0</v>
      </c>
      <c r="CM36" s="542">
        <v>20844.959599999998</v>
      </c>
      <c r="CN36" s="542">
        <v>4690.1159200000002</v>
      </c>
      <c r="CO36" s="542">
        <v>521.12399100000005</v>
      </c>
      <c r="CP36" s="542">
        <v>0</v>
      </c>
      <c r="CQ36" s="542">
        <v>0</v>
      </c>
      <c r="CR36" s="542">
        <v>0</v>
      </c>
      <c r="CS36" s="542">
        <v>20845</v>
      </c>
      <c r="CT36" s="542">
        <v>4690</v>
      </c>
      <c r="CU36" s="542">
        <v>521</v>
      </c>
      <c r="CV36" s="542">
        <v>162206.45000000001</v>
      </c>
      <c r="CW36" s="542">
        <v>36496.451200000003</v>
      </c>
      <c r="CX36" s="542">
        <v>4055.1612500000001</v>
      </c>
      <c r="CY36" s="542">
        <v>171443</v>
      </c>
      <c r="CZ36" s="542">
        <v>38124</v>
      </c>
      <c r="DA36" s="542">
        <v>4236</v>
      </c>
      <c r="DB36" s="542">
        <v>-9237</v>
      </c>
      <c r="DC36" s="542">
        <v>-1628</v>
      </c>
      <c r="DD36" s="542">
        <v>-181</v>
      </c>
      <c r="DE36" s="153" t="s">
        <v>618</v>
      </c>
      <c r="DF36" s="103" t="s">
        <v>765</v>
      </c>
      <c r="DG36" s="104" t="s">
        <v>766</v>
      </c>
      <c r="DH36" s="547"/>
      <c r="DI36" s="547"/>
    </row>
    <row r="37" spans="1:113" x14ac:dyDescent="0.2">
      <c r="A37" s="93">
        <v>31</v>
      </c>
      <c r="B37" s="145" t="s">
        <v>621</v>
      </c>
      <c r="C37" s="141" t="s">
        <v>866</v>
      </c>
      <c r="D37" s="142" t="s">
        <v>870</v>
      </c>
      <c r="E37" s="149" t="s">
        <v>620</v>
      </c>
      <c r="F37" s="542">
        <v>232461</v>
      </c>
      <c r="G37" s="542">
        <v>0</v>
      </c>
      <c r="H37" s="542">
        <v>232461</v>
      </c>
      <c r="I37" s="542">
        <v>279725</v>
      </c>
      <c r="J37" s="542">
        <v>0</v>
      </c>
      <c r="K37" s="542">
        <v>279725</v>
      </c>
      <c r="L37" s="542">
        <v>-47264</v>
      </c>
      <c r="M37" s="542">
        <v>0</v>
      </c>
      <c r="N37" s="542">
        <v>-47264</v>
      </c>
      <c r="O37" s="543">
        <v>0.5</v>
      </c>
      <c r="P37" s="543">
        <v>0.4</v>
      </c>
      <c r="Q37" s="543">
        <v>0.1</v>
      </c>
      <c r="R37" s="543">
        <v>0</v>
      </c>
      <c r="S37" s="542">
        <v>167365</v>
      </c>
      <c r="T37" s="542">
        <v>167365</v>
      </c>
      <c r="U37" s="542">
        <v>0</v>
      </c>
      <c r="V37" s="542">
        <v>0</v>
      </c>
      <c r="W37" s="542">
        <v>0</v>
      </c>
      <c r="X37" s="542">
        <v>0</v>
      </c>
      <c r="Y37" s="542">
        <v>151964</v>
      </c>
      <c r="Z37" s="542">
        <v>0</v>
      </c>
      <c r="AA37" s="542">
        <v>75172</v>
      </c>
      <c r="AB37" s="542">
        <v>0</v>
      </c>
      <c r="AC37" s="542">
        <v>76792</v>
      </c>
      <c r="AD37" s="542">
        <v>0</v>
      </c>
      <c r="AE37" s="542">
        <v>0</v>
      </c>
      <c r="AF37" s="542">
        <v>0</v>
      </c>
      <c r="AG37" s="542">
        <v>0</v>
      </c>
      <c r="AH37" s="542">
        <v>0</v>
      </c>
      <c r="AI37" s="542">
        <v>0</v>
      </c>
      <c r="AJ37" s="542">
        <v>0</v>
      </c>
      <c r="AK37" s="542">
        <v>0</v>
      </c>
      <c r="AL37" s="542">
        <v>0</v>
      </c>
      <c r="AM37" s="542">
        <v>0</v>
      </c>
      <c r="AN37" s="542">
        <v>0</v>
      </c>
      <c r="AO37" s="542">
        <v>0</v>
      </c>
      <c r="AP37" s="542">
        <v>0</v>
      </c>
      <c r="AQ37" s="542">
        <v>585405.821</v>
      </c>
      <c r="AR37" s="542">
        <v>146351.45499999999</v>
      </c>
      <c r="AS37" s="542">
        <v>0</v>
      </c>
      <c r="AT37" s="542">
        <v>551662</v>
      </c>
      <c r="AU37" s="542">
        <v>137915</v>
      </c>
      <c r="AV37" s="542">
        <v>0</v>
      </c>
      <c r="AW37" s="542">
        <v>33744</v>
      </c>
      <c r="AX37" s="542">
        <v>8436</v>
      </c>
      <c r="AY37" s="542">
        <v>0</v>
      </c>
      <c r="AZ37" s="542">
        <v>1776.2581700000001</v>
      </c>
      <c r="BA37" s="542">
        <v>444.06454400000001</v>
      </c>
      <c r="BB37" s="542">
        <v>0</v>
      </c>
      <c r="BC37" s="542">
        <v>0</v>
      </c>
      <c r="BD37" s="542">
        <v>0</v>
      </c>
      <c r="BE37" s="542">
        <v>0</v>
      </c>
      <c r="BF37" s="542">
        <v>1776</v>
      </c>
      <c r="BG37" s="542">
        <v>444</v>
      </c>
      <c r="BH37" s="542">
        <v>0</v>
      </c>
      <c r="BI37" s="542">
        <v>162.91125299999999</v>
      </c>
      <c r="BJ37" s="542">
        <v>40.7278132</v>
      </c>
      <c r="BK37" s="542">
        <v>0</v>
      </c>
      <c r="BL37" s="542">
        <v>0</v>
      </c>
      <c r="BM37" s="542">
        <v>0</v>
      </c>
      <c r="BN37" s="542">
        <v>0</v>
      </c>
      <c r="BO37" s="542">
        <v>163</v>
      </c>
      <c r="BP37" s="542">
        <v>41</v>
      </c>
      <c r="BQ37" s="542">
        <v>0</v>
      </c>
      <c r="BR37" s="542">
        <v>545.732484</v>
      </c>
      <c r="BS37" s="542">
        <v>136.433121</v>
      </c>
      <c r="BT37" s="542">
        <v>0</v>
      </c>
      <c r="BU37" s="542">
        <v>18338</v>
      </c>
      <c r="BV37" s="542">
        <v>4585</v>
      </c>
      <c r="BW37" s="542">
        <v>0</v>
      </c>
      <c r="BX37" s="542">
        <v>-17792</v>
      </c>
      <c r="BY37" s="542">
        <v>-4449</v>
      </c>
      <c r="BZ37" s="542">
        <v>0</v>
      </c>
      <c r="CA37" s="542">
        <v>184259.095</v>
      </c>
      <c r="CB37" s="542">
        <v>46064.773699999998</v>
      </c>
      <c r="CC37" s="542">
        <v>0</v>
      </c>
      <c r="CD37" s="542">
        <v>208786</v>
      </c>
      <c r="CE37" s="542">
        <v>52196</v>
      </c>
      <c r="CF37" s="542">
        <v>0</v>
      </c>
      <c r="CG37" s="542">
        <v>-24527</v>
      </c>
      <c r="CH37" s="542">
        <v>-6131</v>
      </c>
      <c r="CI37" s="542">
        <v>0</v>
      </c>
      <c r="CJ37" s="542">
        <v>0</v>
      </c>
      <c r="CK37" s="542">
        <v>0</v>
      </c>
      <c r="CL37" s="542">
        <v>0</v>
      </c>
      <c r="CM37" s="542">
        <v>0</v>
      </c>
      <c r="CN37" s="542">
        <v>0</v>
      </c>
      <c r="CO37" s="542">
        <v>0</v>
      </c>
      <c r="CP37" s="542">
        <v>0</v>
      </c>
      <c r="CQ37" s="542">
        <v>0</v>
      </c>
      <c r="CR37" s="542">
        <v>0</v>
      </c>
      <c r="CS37" s="542">
        <v>0</v>
      </c>
      <c r="CT37" s="542">
        <v>0</v>
      </c>
      <c r="CU37" s="542">
        <v>0</v>
      </c>
      <c r="CV37" s="542">
        <v>126029.13800000001</v>
      </c>
      <c r="CW37" s="542">
        <v>31103.983</v>
      </c>
      <c r="CX37" s="542">
        <v>0</v>
      </c>
      <c r="CY37" s="542">
        <v>125483</v>
      </c>
      <c r="CZ37" s="542">
        <v>30727</v>
      </c>
      <c r="DA37" s="542">
        <v>0</v>
      </c>
      <c r="DB37" s="542">
        <v>546</v>
      </c>
      <c r="DC37" s="542">
        <v>377</v>
      </c>
      <c r="DD37" s="542">
        <v>0</v>
      </c>
      <c r="DE37" s="153" t="s">
        <v>620</v>
      </c>
      <c r="DF37" s="103" t="s">
        <v>782</v>
      </c>
      <c r="DG37" s="104" t="s">
        <v>751</v>
      </c>
      <c r="DH37" s="547"/>
      <c r="DI37" s="547"/>
    </row>
    <row r="38" spans="1:113" x14ac:dyDescent="0.2">
      <c r="A38" s="93">
        <v>32</v>
      </c>
      <c r="B38" s="145" t="s">
        <v>623</v>
      </c>
      <c r="C38" s="141" t="s">
        <v>871</v>
      </c>
      <c r="D38" s="142" t="s">
        <v>872</v>
      </c>
      <c r="E38" s="149" t="s">
        <v>622</v>
      </c>
      <c r="F38" s="542">
        <v>-488124</v>
      </c>
      <c r="G38" s="542">
        <v>0</v>
      </c>
      <c r="H38" s="542">
        <v>-488124</v>
      </c>
      <c r="I38" s="542">
        <v>59299</v>
      </c>
      <c r="J38" s="542">
        <v>0</v>
      </c>
      <c r="K38" s="542">
        <v>59299</v>
      </c>
      <c r="L38" s="542">
        <v>-547423</v>
      </c>
      <c r="M38" s="542">
        <v>0</v>
      </c>
      <c r="N38" s="542">
        <v>-547423</v>
      </c>
      <c r="O38" s="543">
        <v>0.5</v>
      </c>
      <c r="P38" s="543">
        <v>0.3</v>
      </c>
      <c r="Q38" s="543">
        <v>0.2</v>
      </c>
      <c r="R38" s="543">
        <v>0</v>
      </c>
      <c r="S38" s="542">
        <v>417441</v>
      </c>
      <c r="T38" s="542">
        <v>417441</v>
      </c>
      <c r="U38" s="542">
        <v>0</v>
      </c>
      <c r="V38" s="542">
        <v>0</v>
      </c>
      <c r="W38" s="542">
        <v>0</v>
      </c>
      <c r="X38" s="542">
        <v>0</v>
      </c>
      <c r="Y38" s="542">
        <v>0</v>
      </c>
      <c r="Z38" s="542">
        <v>0</v>
      </c>
      <c r="AA38" s="542">
        <v>0</v>
      </c>
      <c r="AB38" s="542">
        <v>0</v>
      </c>
      <c r="AC38" s="542">
        <v>0</v>
      </c>
      <c r="AD38" s="542">
        <v>0</v>
      </c>
      <c r="AE38" s="542">
        <v>0</v>
      </c>
      <c r="AF38" s="542">
        <v>0</v>
      </c>
      <c r="AG38" s="542">
        <v>0</v>
      </c>
      <c r="AH38" s="542">
        <v>0</v>
      </c>
      <c r="AI38" s="542">
        <v>0</v>
      </c>
      <c r="AJ38" s="542">
        <v>0</v>
      </c>
      <c r="AK38" s="542">
        <v>0</v>
      </c>
      <c r="AL38" s="542">
        <v>0</v>
      </c>
      <c r="AM38" s="542">
        <v>0</v>
      </c>
      <c r="AN38" s="542">
        <v>0</v>
      </c>
      <c r="AO38" s="542">
        <v>0</v>
      </c>
      <c r="AP38" s="542">
        <v>0</v>
      </c>
      <c r="AQ38" s="542">
        <v>686678.054</v>
      </c>
      <c r="AR38" s="542">
        <v>457785.36900000001</v>
      </c>
      <c r="AS38" s="542">
        <v>0</v>
      </c>
      <c r="AT38" s="542">
        <v>611162</v>
      </c>
      <c r="AU38" s="542">
        <v>407442</v>
      </c>
      <c r="AV38" s="542">
        <v>0</v>
      </c>
      <c r="AW38" s="542">
        <v>75516</v>
      </c>
      <c r="AX38" s="542">
        <v>50343</v>
      </c>
      <c r="AY38" s="542">
        <v>0</v>
      </c>
      <c r="AZ38" s="542">
        <v>770.08917199999996</v>
      </c>
      <c r="BA38" s="542">
        <v>513.39278100000001</v>
      </c>
      <c r="BB38" s="542">
        <v>0</v>
      </c>
      <c r="BC38" s="542">
        <v>0</v>
      </c>
      <c r="BD38" s="542">
        <v>0</v>
      </c>
      <c r="BE38" s="542">
        <v>0</v>
      </c>
      <c r="BF38" s="542">
        <v>770</v>
      </c>
      <c r="BG38" s="542">
        <v>513</v>
      </c>
      <c r="BH38" s="542">
        <v>0</v>
      </c>
      <c r="BI38" s="542">
        <v>0</v>
      </c>
      <c r="BJ38" s="542">
        <v>0</v>
      </c>
      <c r="BK38" s="542">
        <v>0</v>
      </c>
      <c r="BL38" s="542">
        <v>30319</v>
      </c>
      <c r="BM38" s="542">
        <v>20212</v>
      </c>
      <c r="BN38" s="542">
        <v>0</v>
      </c>
      <c r="BO38" s="542">
        <v>-30319</v>
      </c>
      <c r="BP38" s="542">
        <v>-20212</v>
      </c>
      <c r="BQ38" s="542">
        <v>0</v>
      </c>
      <c r="BR38" s="542">
        <v>5199.0114599999997</v>
      </c>
      <c r="BS38" s="542">
        <v>3466.0076399999998</v>
      </c>
      <c r="BT38" s="542">
        <v>0</v>
      </c>
      <c r="BU38" s="542">
        <v>75796.1783</v>
      </c>
      <c r="BV38" s="542">
        <v>50530.785499999998</v>
      </c>
      <c r="BW38" s="542">
        <v>0</v>
      </c>
      <c r="BX38" s="542">
        <v>-70597</v>
      </c>
      <c r="BY38" s="542">
        <v>-47065</v>
      </c>
      <c r="BZ38" s="542">
        <v>0</v>
      </c>
      <c r="CA38" s="542">
        <v>443271.51299999998</v>
      </c>
      <c r="CB38" s="542">
        <v>295514.342</v>
      </c>
      <c r="CC38" s="542">
        <v>0</v>
      </c>
      <c r="CD38" s="542">
        <v>636787.03899999999</v>
      </c>
      <c r="CE38" s="542">
        <v>424524.69300000003</v>
      </c>
      <c r="CF38" s="542">
        <v>0</v>
      </c>
      <c r="CG38" s="542">
        <v>-193516</v>
      </c>
      <c r="CH38" s="542">
        <v>-129010</v>
      </c>
      <c r="CI38" s="542">
        <v>0</v>
      </c>
      <c r="CJ38" s="542">
        <v>0</v>
      </c>
      <c r="CK38" s="542">
        <v>0</v>
      </c>
      <c r="CL38" s="542">
        <v>0</v>
      </c>
      <c r="CM38" s="542">
        <v>0</v>
      </c>
      <c r="CN38" s="542">
        <v>0</v>
      </c>
      <c r="CO38" s="542">
        <v>0</v>
      </c>
      <c r="CP38" s="542">
        <v>0</v>
      </c>
      <c r="CQ38" s="542">
        <v>0</v>
      </c>
      <c r="CR38" s="542">
        <v>0</v>
      </c>
      <c r="CS38" s="542">
        <v>0</v>
      </c>
      <c r="CT38" s="542">
        <v>0</v>
      </c>
      <c r="CU38" s="542">
        <v>0</v>
      </c>
      <c r="CV38" s="542">
        <v>349582.81199999998</v>
      </c>
      <c r="CW38" s="542">
        <v>233055.20800000001</v>
      </c>
      <c r="CX38" s="542">
        <v>0</v>
      </c>
      <c r="CY38" s="542">
        <v>357014</v>
      </c>
      <c r="CZ38" s="542">
        <v>235055</v>
      </c>
      <c r="DA38" s="542">
        <v>0</v>
      </c>
      <c r="DB38" s="542">
        <v>-7431</v>
      </c>
      <c r="DC38" s="542">
        <v>-2000</v>
      </c>
      <c r="DD38" s="542">
        <v>0</v>
      </c>
      <c r="DE38" s="153" t="s">
        <v>622</v>
      </c>
      <c r="DF38" s="103" t="s">
        <v>762</v>
      </c>
      <c r="DG38" s="103" t="s">
        <v>750</v>
      </c>
      <c r="DH38" s="547"/>
      <c r="DI38" s="547"/>
    </row>
    <row r="39" spans="1:113" x14ac:dyDescent="0.2">
      <c r="A39" s="93">
        <v>33</v>
      </c>
      <c r="B39" s="145" t="s">
        <v>625</v>
      </c>
      <c r="C39" s="141" t="s">
        <v>866</v>
      </c>
      <c r="D39" s="142" t="s">
        <v>870</v>
      </c>
      <c r="E39" s="149" t="s">
        <v>624</v>
      </c>
      <c r="F39" s="542">
        <v>-254728</v>
      </c>
      <c r="G39" s="542">
        <v>0</v>
      </c>
      <c r="H39" s="542">
        <v>-254728</v>
      </c>
      <c r="I39" s="542">
        <v>231314</v>
      </c>
      <c r="J39" s="542">
        <v>0</v>
      </c>
      <c r="K39" s="542">
        <v>231314</v>
      </c>
      <c r="L39" s="542">
        <v>-486042</v>
      </c>
      <c r="M39" s="542">
        <v>0</v>
      </c>
      <c r="N39" s="542">
        <v>-486042</v>
      </c>
      <c r="O39" s="543">
        <v>0.5</v>
      </c>
      <c r="P39" s="543">
        <v>0.4</v>
      </c>
      <c r="Q39" s="543">
        <v>0.09</v>
      </c>
      <c r="R39" s="543">
        <v>0.01</v>
      </c>
      <c r="S39" s="542">
        <v>104749</v>
      </c>
      <c r="T39" s="542">
        <v>104749</v>
      </c>
      <c r="U39" s="542">
        <v>0</v>
      </c>
      <c r="V39" s="542">
        <v>0</v>
      </c>
      <c r="W39" s="542">
        <v>0</v>
      </c>
      <c r="X39" s="542">
        <v>0</v>
      </c>
      <c r="Y39" s="542">
        <v>0</v>
      </c>
      <c r="Z39" s="542">
        <v>0</v>
      </c>
      <c r="AA39" s="542">
        <v>0</v>
      </c>
      <c r="AB39" s="542">
        <v>0</v>
      </c>
      <c r="AC39" s="542">
        <v>0</v>
      </c>
      <c r="AD39" s="542">
        <v>0</v>
      </c>
      <c r="AE39" s="542">
        <v>0</v>
      </c>
      <c r="AF39" s="542">
        <v>0</v>
      </c>
      <c r="AG39" s="542">
        <v>0</v>
      </c>
      <c r="AH39" s="542">
        <v>0</v>
      </c>
      <c r="AI39" s="542">
        <v>0</v>
      </c>
      <c r="AJ39" s="542">
        <v>0</v>
      </c>
      <c r="AK39" s="542">
        <v>0</v>
      </c>
      <c r="AL39" s="542">
        <v>0</v>
      </c>
      <c r="AM39" s="542">
        <v>0</v>
      </c>
      <c r="AN39" s="542">
        <v>0</v>
      </c>
      <c r="AO39" s="542">
        <v>0</v>
      </c>
      <c r="AP39" s="542">
        <v>0</v>
      </c>
      <c r="AQ39" s="542">
        <v>229625.23</v>
      </c>
      <c r="AR39" s="542">
        <v>51665.68</v>
      </c>
      <c r="AS39" s="542">
        <v>5740.63</v>
      </c>
      <c r="AT39" s="542">
        <v>210518</v>
      </c>
      <c r="AU39" s="542">
        <v>47367</v>
      </c>
      <c r="AV39" s="542">
        <v>5263</v>
      </c>
      <c r="AW39" s="542">
        <v>19107</v>
      </c>
      <c r="AX39" s="542">
        <v>4299</v>
      </c>
      <c r="AY39" s="542">
        <v>478</v>
      </c>
      <c r="AZ39" s="542">
        <v>0</v>
      </c>
      <c r="BA39" s="542">
        <v>0</v>
      </c>
      <c r="BB39" s="542">
        <v>0</v>
      </c>
      <c r="BC39" s="542">
        <v>0</v>
      </c>
      <c r="BD39" s="542">
        <v>0</v>
      </c>
      <c r="BE39" s="542">
        <v>0</v>
      </c>
      <c r="BF39" s="542">
        <v>0</v>
      </c>
      <c r="BG39" s="542">
        <v>0</v>
      </c>
      <c r="BH39" s="542">
        <v>0</v>
      </c>
      <c r="BI39" s="542">
        <v>0</v>
      </c>
      <c r="BJ39" s="542">
        <v>0</v>
      </c>
      <c r="BK39" s="542">
        <v>0</v>
      </c>
      <c r="BL39" s="542">
        <v>0</v>
      </c>
      <c r="BM39" s="542">
        <v>0</v>
      </c>
      <c r="BN39" s="542">
        <v>0</v>
      </c>
      <c r="BO39" s="542">
        <v>0</v>
      </c>
      <c r="BP39" s="542">
        <v>0</v>
      </c>
      <c r="BQ39" s="542">
        <v>0</v>
      </c>
      <c r="BR39" s="542">
        <v>2842.66</v>
      </c>
      <c r="BS39" s="542">
        <v>639.6</v>
      </c>
      <c r="BT39" s="542">
        <v>71.069999999999993</v>
      </c>
      <c r="BU39" s="542">
        <v>0</v>
      </c>
      <c r="BV39" s="542">
        <v>0</v>
      </c>
      <c r="BW39" s="542">
        <v>0</v>
      </c>
      <c r="BX39" s="542">
        <v>2843</v>
      </c>
      <c r="BY39" s="542">
        <v>640</v>
      </c>
      <c r="BZ39" s="542">
        <v>71</v>
      </c>
      <c r="CA39" s="542">
        <v>144936.44</v>
      </c>
      <c r="CB39" s="542">
        <v>32610.7</v>
      </c>
      <c r="CC39" s="542">
        <v>3623.41</v>
      </c>
      <c r="CD39" s="542">
        <v>286824.46000000002</v>
      </c>
      <c r="CE39" s="542">
        <v>64535.5</v>
      </c>
      <c r="CF39" s="542">
        <v>7170.61</v>
      </c>
      <c r="CG39" s="542">
        <v>-141888</v>
      </c>
      <c r="CH39" s="542">
        <v>-31925</v>
      </c>
      <c r="CI39" s="542">
        <v>-3547</v>
      </c>
      <c r="CJ39" s="542">
        <v>0</v>
      </c>
      <c r="CK39" s="542">
        <v>0</v>
      </c>
      <c r="CL39" s="542">
        <v>0</v>
      </c>
      <c r="CM39" s="542">
        <v>0</v>
      </c>
      <c r="CN39" s="542">
        <v>0</v>
      </c>
      <c r="CO39" s="542">
        <v>0</v>
      </c>
      <c r="CP39" s="542">
        <v>0</v>
      </c>
      <c r="CQ39" s="542">
        <v>0</v>
      </c>
      <c r="CR39" s="542">
        <v>0</v>
      </c>
      <c r="CS39" s="542">
        <v>0</v>
      </c>
      <c r="CT39" s="542">
        <v>0</v>
      </c>
      <c r="CU39" s="542">
        <v>0</v>
      </c>
      <c r="CV39" s="542">
        <v>126037.26</v>
      </c>
      <c r="CW39" s="542">
        <v>28358.38</v>
      </c>
      <c r="CX39" s="542">
        <v>3150.93</v>
      </c>
      <c r="CY39" s="542">
        <v>121930</v>
      </c>
      <c r="CZ39" s="542">
        <v>27184</v>
      </c>
      <c r="DA39" s="542">
        <v>3020</v>
      </c>
      <c r="DB39" s="542">
        <v>4107</v>
      </c>
      <c r="DC39" s="542">
        <v>1174</v>
      </c>
      <c r="DD39" s="542">
        <v>131</v>
      </c>
      <c r="DE39" s="153" t="s">
        <v>624</v>
      </c>
      <c r="DF39" s="103" t="s">
        <v>765</v>
      </c>
      <c r="DG39" s="104" t="s">
        <v>766</v>
      </c>
      <c r="DH39" s="547"/>
      <c r="DI39" s="547"/>
    </row>
    <row r="40" spans="1:113" x14ac:dyDescent="0.2">
      <c r="A40" s="93">
        <v>34</v>
      </c>
      <c r="B40" s="145" t="s">
        <v>627</v>
      </c>
      <c r="C40" s="141" t="s">
        <v>770</v>
      </c>
      <c r="D40" s="142" t="s">
        <v>867</v>
      </c>
      <c r="E40" s="149" t="s">
        <v>879</v>
      </c>
      <c r="F40" s="542">
        <v>-987953</v>
      </c>
      <c r="G40" s="542">
        <v>0</v>
      </c>
      <c r="H40" s="542">
        <v>-987953</v>
      </c>
      <c r="I40" s="542">
        <v>84754</v>
      </c>
      <c r="J40" s="542">
        <v>0</v>
      </c>
      <c r="K40" s="542">
        <v>84754</v>
      </c>
      <c r="L40" s="542">
        <v>-1072707</v>
      </c>
      <c r="M40" s="542">
        <v>0</v>
      </c>
      <c r="N40" s="542">
        <v>-1072707</v>
      </c>
      <c r="O40" s="543">
        <v>0.5</v>
      </c>
      <c r="P40" s="543">
        <v>0.49</v>
      </c>
      <c r="Q40" s="543">
        <v>0</v>
      </c>
      <c r="R40" s="543">
        <v>0.01</v>
      </c>
      <c r="S40" s="542">
        <v>418801</v>
      </c>
      <c r="T40" s="542">
        <v>418801</v>
      </c>
      <c r="U40" s="542">
        <v>0</v>
      </c>
      <c r="V40" s="542">
        <v>0</v>
      </c>
      <c r="W40" s="542">
        <v>0</v>
      </c>
      <c r="X40" s="542">
        <v>0</v>
      </c>
      <c r="Y40" s="542">
        <v>0</v>
      </c>
      <c r="Z40" s="542">
        <v>0</v>
      </c>
      <c r="AA40" s="542">
        <v>0</v>
      </c>
      <c r="AB40" s="542">
        <v>0</v>
      </c>
      <c r="AC40" s="542">
        <v>0</v>
      </c>
      <c r="AD40" s="542">
        <v>0</v>
      </c>
      <c r="AE40" s="542">
        <v>0</v>
      </c>
      <c r="AF40" s="542">
        <v>0</v>
      </c>
      <c r="AG40" s="542">
        <v>0</v>
      </c>
      <c r="AH40" s="542">
        <v>0</v>
      </c>
      <c r="AI40" s="542">
        <v>0</v>
      </c>
      <c r="AJ40" s="542">
        <v>0</v>
      </c>
      <c r="AK40" s="542">
        <v>0</v>
      </c>
      <c r="AL40" s="542">
        <v>0</v>
      </c>
      <c r="AM40" s="542">
        <v>0</v>
      </c>
      <c r="AN40" s="542">
        <v>0</v>
      </c>
      <c r="AO40" s="542">
        <v>0</v>
      </c>
      <c r="AP40" s="542">
        <v>0</v>
      </c>
      <c r="AQ40" s="542">
        <v>1585142.87</v>
      </c>
      <c r="AR40" s="542">
        <v>0</v>
      </c>
      <c r="AS40" s="542">
        <v>32349.85</v>
      </c>
      <c r="AT40" s="542">
        <v>1452270</v>
      </c>
      <c r="AU40" s="542">
        <v>0</v>
      </c>
      <c r="AV40" s="542">
        <v>29638</v>
      </c>
      <c r="AW40" s="542">
        <v>132873</v>
      </c>
      <c r="AX40" s="542">
        <v>0</v>
      </c>
      <c r="AY40" s="542">
        <v>2712</v>
      </c>
      <c r="AZ40" s="542">
        <v>11007.34</v>
      </c>
      <c r="BA40" s="542">
        <v>0</v>
      </c>
      <c r="BB40" s="542">
        <v>224.64</v>
      </c>
      <c r="BC40" s="542">
        <v>4952</v>
      </c>
      <c r="BD40" s="542">
        <v>0</v>
      </c>
      <c r="BE40" s="542">
        <v>101</v>
      </c>
      <c r="BF40" s="542">
        <v>6055</v>
      </c>
      <c r="BG40" s="542">
        <v>0</v>
      </c>
      <c r="BH40" s="542">
        <v>124</v>
      </c>
      <c r="BI40" s="542">
        <v>44872.21</v>
      </c>
      <c r="BJ40" s="542">
        <v>0</v>
      </c>
      <c r="BK40" s="542">
        <v>915.76</v>
      </c>
      <c r="BL40" s="542">
        <v>14856</v>
      </c>
      <c r="BM40" s="542">
        <v>0</v>
      </c>
      <c r="BN40" s="542">
        <v>303</v>
      </c>
      <c r="BO40" s="542">
        <v>30016</v>
      </c>
      <c r="BP40" s="542">
        <v>0</v>
      </c>
      <c r="BQ40" s="542">
        <v>613</v>
      </c>
      <c r="BR40" s="542">
        <v>24602.61</v>
      </c>
      <c r="BS40" s="542">
        <v>0</v>
      </c>
      <c r="BT40" s="542">
        <v>502.09</v>
      </c>
      <c r="BU40" s="542">
        <v>38131</v>
      </c>
      <c r="BV40" s="542">
        <v>0</v>
      </c>
      <c r="BW40" s="542">
        <v>778</v>
      </c>
      <c r="BX40" s="542">
        <v>-13528</v>
      </c>
      <c r="BY40" s="542">
        <v>0</v>
      </c>
      <c r="BZ40" s="542">
        <v>-276</v>
      </c>
      <c r="CA40" s="542">
        <v>1080269.1299999999</v>
      </c>
      <c r="CB40" s="542">
        <v>0</v>
      </c>
      <c r="CC40" s="542">
        <v>22046.31</v>
      </c>
      <c r="CD40" s="542">
        <v>1122622</v>
      </c>
      <c r="CE40" s="542">
        <v>0</v>
      </c>
      <c r="CF40" s="542">
        <v>22911</v>
      </c>
      <c r="CG40" s="542">
        <v>-42353</v>
      </c>
      <c r="CH40" s="542">
        <v>0</v>
      </c>
      <c r="CI40" s="542">
        <v>-865</v>
      </c>
      <c r="CJ40" s="542">
        <v>0</v>
      </c>
      <c r="CK40" s="542">
        <v>0</v>
      </c>
      <c r="CL40" s="542">
        <v>0</v>
      </c>
      <c r="CM40" s="542">
        <v>8002.46</v>
      </c>
      <c r="CN40" s="542">
        <v>0</v>
      </c>
      <c r="CO40" s="542">
        <v>163.32</v>
      </c>
      <c r="CP40" s="542">
        <v>6227</v>
      </c>
      <c r="CQ40" s="542">
        <v>0</v>
      </c>
      <c r="CR40" s="542">
        <v>127.08</v>
      </c>
      <c r="CS40" s="542">
        <v>1775</v>
      </c>
      <c r="CT40" s="542">
        <v>0</v>
      </c>
      <c r="CU40" s="542">
        <v>36</v>
      </c>
      <c r="CV40" s="542">
        <v>546439.94999999995</v>
      </c>
      <c r="CW40" s="542">
        <v>0</v>
      </c>
      <c r="CX40" s="542">
        <v>11151.84</v>
      </c>
      <c r="CY40" s="542">
        <v>552010</v>
      </c>
      <c r="CZ40" s="542">
        <v>0</v>
      </c>
      <c r="DA40" s="542">
        <v>11175</v>
      </c>
      <c r="DB40" s="542">
        <v>-5570</v>
      </c>
      <c r="DC40" s="542">
        <v>0</v>
      </c>
      <c r="DD40" s="542">
        <v>-23</v>
      </c>
      <c r="DE40" s="153" t="s">
        <v>879</v>
      </c>
      <c r="DF40" s="103" t="s">
        <v>770</v>
      </c>
      <c r="DG40" s="104" t="s">
        <v>784</v>
      </c>
      <c r="DH40" s="547"/>
      <c r="DI40" s="547"/>
    </row>
    <row r="41" spans="1:113" x14ac:dyDescent="0.2">
      <c r="A41" s="93">
        <v>35</v>
      </c>
      <c r="B41" s="145" t="s">
        <v>629</v>
      </c>
      <c r="C41" s="141" t="s">
        <v>770</v>
      </c>
      <c r="D41" s="142" t="s">
        <v>875</v>
      </c>
      <c r="E41" s="149" t="s">
        <v>628</v>
      </c>
      <c r="F41" s="542">
        <v>-68667</v>
      </c>
      <c r="G41" s="542">
        <v>36745</v>
      </c>
      <c r="H41" s="542">
        <v>-31922</v>
      </c>
      <c r="I41" s="542">
        <v>1612226</v>
      </c>
      <c r="J41" s="542">
        <v>35301</v>
      </c>
      <c r="K41" s="542">
        <v>1647527</v>
      </c>
      <c r="L41" s="542">
        <v>-1680893</v>
      </c>
      <c r="M41" s="542">
        <v>1444</v>
      </c>
      <c r="N41" s="542">
        <v>-1679449</v>
      </c>
      <c r="O41" s="543">
        <v>0.5</v>
      </c>
      <c r="P41" s="543">
        <v>0.49</v>
      </c>
      <c r="Q41" s="543">
        <v>0</v>
      </c>
      <c r="R41" s="543">
        <v>0.01</v>
      </c>
      <c r="S41" s="542">
        <v>722649</v>
      </c>
      <c r="T41" s="542">
        <v>722649</v>
      </c>
      <c r="U41" s="542">
        <v>0</v>
      </c>
      <c r="V41" s="542">
        <v>5331087</v>
      </c>
      <c r="W41" s="542">
        <v>4378558</v>
      </c>
      <c r="X41" s="542">
        <v>952529</v>
      </c>
      <c r="Y41" s="542">
        <v>258</v>
      </c>
      <c r="Z41" s="542">
        <v>0</v>
      </c>
      <c r="AA41" s="542">
        <v>258</v>
      </c>
      <c r="AB41" s="542">
        <v>0</v>
      </c>
      <c r="AC41" s="542">
        <v>0</v>
      </c>
      <c r="AD41" s="542">
        <v>0</v>
      </c>
      <c r="AE41" s="542">
        <v>619486.21</v>
      </c>
      <c r="AF41" s="542">
        <v>619486.21</v>
      </c>
      <c r="AG41" s="542">
        <v>0</v>
      </c>
      <c r="AH41" s="542">
        <v>0</v>
      </c>
      <c r="AI41" s="542">
        <v>280000</v>
      </c>
      <c r="AJ41" s="542">
        <v>280000</v>
      </c>
      <c r="AK41" s="542">
        <v>0</v>
      </c>
      <c r="AL41" s="542">
        <v>0</v>
      </c>
      <c r="AM41" s="542">
        <v>339486</v>
      </c>
      <c r="AN41" s="542">
        <v>339486</v>
      </c>
      <c r="AO41" s="542">
        <v>0</v>
      </c>
      <c r="AP41" s="542">
        <v>0</v>
      </c>
      <c r="AQ41" s="542">
        <v>2064189.29</v>
      </c>
      <c r="AR41" s="542">
        <v>0</v>
      </c>
      <c r="AS41" s="542">
        <v>41187.01</v>
      </c>
      <c r="AT41" s="542">
        <v>1330285</v>
      </c>
      <c r="AU41" s="542">
        <v>0</v>
      </c>
      <c r="AV41" s="542">
        <v>27149</v>
      </c>
      <c r="AW41" s="542">
        <v>733904</v>
      </c>
      <c r="AX41" s="542">
        <v>0</v>
      </c>
      <c r="AY41" s="542">
        <v>14038</v>
      </c>
      <c r="AZ41" s="542">
        <v>-5994.91</v>
      </c>
      <c r="BA41" s="542">
        <v>0</v>
      </c>
      <c r="BB41" s="542">
        <v>-122.35</v>
      </c>
      <c r="BC41" s="542">
        <v>49520</v>
      </c>
      <c r="BD41" s="542">
        <v>0</v>
      </c>
      <c r="BE41" s="542">
        <v>1011</v>
      </c>
      <c r="BF41" s="542">
        <v>-55515</v>
      </c>
      <c r="BG41" s="542">
        <v>0</v>
      </c>
      <c r="BH41" s="542">
        <v>-1133</v>
      </c>
      <c r="BI41" s="542">
        <v>0</v>
      </c>
      <c r="BJ41" s="542">
        <v>0</v>
      </c>
      <c r="BK41" s="542">
        <v>0</v>
      </c>
      <c r="BL41" s="542">
        <v>0</v>
      </c>
      <c r="BM41" s="542">
        <v>0</v>
      </c>
      <c r="BN41" s="542">
        <v>0</v>
      </c>
      <c r="BO41" s="542">
        <v>0</v>
      </c>
      <c r="BP41" s="542">
        <v>0</v>
      </c>
      <c r="BQ41" s="542">
        <v>0</v>
      </c>
      <c r="BR41" s="542">
        <v>33727.199999999997</v>
      </c>
      <c r="BS41" s="542">
        <v>0</v>
      </c>
      <c r="BT41" s="542">
        <v>688.31</v>
      </c>
      <c r="BU41" s="542">
        <v>619002.12</v>
      </c>
      <c r="BV41" s="542">
        <v>0</v>
      </c>
      <c r="BW41" s="542">
        <v>12632.7</v>
      </c>
      <c r="BX41" s="542">
        <v>-585275</v>
      </c>
      <c r="BY41" s="542">
        <v>0</v>
      </c>
      <c r="BZ41" s="542">
        <v>-11944</v>
      </c>
      <c r="CA41" s="542">
        <v>361126.5</v>
      </c>
      <c r="CB41" s="542">
        <v>0</v>
      </c>
      <c r="CC41" s="542">
        <v>7207.05</v>
      </c>
      <c r="CD41" s="542">
        <v>990403.4</v>
      </c>
      <c r="CE41" s="542">
        <v>0</v>
      </c>
      <c r="CF41" s="542">
        <v>20212.310000000001</v>
      </c>
      <c r="CG41" s="542">
        <v>-629277</v>
      </c>
      <c r="CH41" s="542">
        <v>0</v>
      </c>
      <c r="CI41" s="542">
        <v>-13005</v>
      </c>
      <c r="CJ41" s="542">
        <v>0</v>
      </c>
      <c r="CK41" s="542">
        <v>0</v>
      </c>
      <c r="CL41" s="542">
        <v>0</v>
      </c>
      <c r="CM41" s="542">
        <v>0</v>
      </c>
      <c r="CN41" s="542">
        <v>0</v>
      </c>
      <c r="CO41" s="542">
        <v>0</v>
      </c>
      <c r="CP41" s="542">
        <v>0</v>
      </c>
      <c r="CQ41" s="542">
        <v>0</v>
      </c>
      <c r="CR41" s="542">
        <v>0</v>
      </c>
      <c r="CS41" s="542">
        <v>0</v>
      </c>
      <c r="CT41" s="542">
        <v>0</v>
      </c>
      <c r="CU41" s="542">
        <v>0</v>
      </c>
      <c r="CV41" s="542">
        <v>1089401.93</v>
      </c>
      <c r="CW41" s="542">
        <v>0</v>
      </c>
      <c r="CX41" s="542">
        <v>21077.67</v>
      </c>
      <c r="CY41" s="542">
        <v>1125546</v>
      </c>
      <c r="CZ41" s="542">
        <v>0</v>
      </c>
      <c r="DA41" s="542">
        <v>21804</v>
      </c>
      <c r="DB41" s="542">
        <v>-36144</v>
      </c>
      <c r="DC41" s="542">
        <v>0</v>
      </c>
      <c r="DD41" s="542">
        <v>-726</v>
      </c>
      <c r="DE41" s="153" t="s">
        <v>628</v>
      </c>
      <c r="DF41" s="103" t="s">
        <v>770</v>
      </c>
      <c r="DG41" s="104" t="s">
        <v>771</v>
      </c>
      <c r="DH41" s="549" t="s">
        <v>1180</v>
      </c>
      <c r="DI41" s="549" t="s">
        <v>1178</v>
      </c>
    </row>
    <row r="42" spans="1:113" x14ac:dyDescent="0.2">
      <c r="A42" s="93">
        <v>36</v>
      </c>
      <c r="B42" s="145" t="s">
        <v>631</v>
      </c>
      <c r="C42" s="141" t="s">
        <v>866</v>
      </c>
      <c r="D42" s="142" t="s">
        <v>870</v>
      </c>
      <c r="E42" s="149" t="s">
        <v>630</v>
      </c>
      <c r="F42" s="542">
        <v>-114090</v>
      </c>
      <c r="G42" s="542">
        <v>0</v>
      </c>
      <c r="H42" s="542">
        <v>-114090</v>
      </c>
      <c r="I42" s="542">
        <v>-1785</v>
      </c>
      <c r="J42" s="542">
        <v>0</v>
      </c>
      <c r="K42" s="542">
        <v>-1785</v>
      </c>
      <c r="L42" s="542">
        <v>-112305</v>
      </c>
      <c r="M42" s="542">
        <v>0</v>
      </c>
      <c r="N42" s="542">
        <v>-112305</v>
      </c>
      <c r="O42" s="543">
        <v>0.5</v>
      </c>
      <c r="P42" s="543">
        <v>0.4</v>
      </c>
      <c r="Q42" s="543">
        <v>0.1</v>
      </c>
      <c r="R42" s="543">
        <v>0</v>
      </c>
      <c r="S42" s="542">
        <v>137480</v>
      </c>
      <c r="T42" s="542">
        <v>137480</v>
      </c>
      <c r="U42" s="542">
        <v>0</v>
      </c>
      <c r="V42" s="542">
        <v>0</v>
      </c>
      <c r="W42" s="542">
        <v>0</v>
      </c>
      <c r="X42" s="542">
        <v>0</v>
      </c>
      <c r="Y42" s="542">
        <v>93990</v>
      </c>
      <c r="Z42" s="542">
        <v>0</v>
      </c>
      <c r="AA42" s="542">
        <v>5000</v>
      </c>
      <c r="AB42" s="542">
        <v>0</v>
      </c>
      <c r="AC42" s="542">
        <v>88990</v>
      </c>
      <c r="AD42" s="542">
        <v>0</v>
      </c>
      <c r="AE42" s="542">
        <v>0</v>
      </c>
      <c r="AF42" s="542">
        <v>0</v>
      </c>
      <c r="AG42" s="542">
        <v>0</v>
      </c>
      <c r="AH42" s="542">
        <v>0</v>
      </c>
      <c r="AI42" s="542">
        <v>0</v>
      </c>
      <c r="AJ42" s="542">
        <v>0</v>
      </c>
      <c r="AK42" s="542">
        <v>0</v>
      </c>
      <c r="AL42" s="542">
        <v>0</v>
      </c>
      <c r="AM42" s="542">
        <v>0</v>
      </c>
      <c r="AN42" s="542">
        <v>0</v>
      </c>
      <c r="AO42" s="542">
        <v>0</v>
      </c>
      <c r="AP42" s="542">
        <v>0</v>
      </c>
      <c r="AQ42" s="542">
        <v>519412.81699999998</v>
      </c>
      <c r="AR42" s="542">
        <v>129853.204</v>
      </c>
      <c r="AS42" s="542">
        <v>0</v>
      </c>
      <c r="AT42" s="542">
        <v>484710</v>
      </c>
      <c r="AU42" s="542">
        <v>121178</v>
      </c>
      <c r="AV42" s="542">
        <v>0</v>
      </c>
      <c r="AW42" s="542">
        <v>34703</v>
      </c>
      <c r="AX42" s="542">
        <v>8675</v>
      </c>
      <c r="AY42" s="542">
        <v>0</v>
      </c>
      <c r="AZ42" s="542">
        <v>234.46284499999999</v>
      </c>
      <c r="BA42" s="542">
        <v>58.6157112</v>
      </c>
      <c r="BB42" s="542">
        <v>0</v>
      </c>
      <c r="BC42" s="542">
        <v>4851</v>
      </c>
      <c r="BD42" s="542">
        <v>1213</v>
      </c>
      <c r="BE42" s="542">
        <v>0</v>
      </c>
      <c r="BF42" s="542">
        <v>-4617</v>
      </c>
      <c r="BG42" s="542">
        <v>-1154</v>
      </c>
      <c r="BH42" s="542">
        <v>0</v>
      </c>
      <c r="BI42" s="542">
        <v>789.89723900000001</v>
      </c>
      <c r="BJ42" s="542">
        <v>197.47431</v>
      </c>
      <c r="BK42" s="542">
        <v>0</v>
      </c>
      <c r="BL42" s="542">
        <v>20212</v>
      </c>
      <c r="BM42" s="542">
        <v>5053</v>
      </c>
      <c r="BN42" s="542">
        <v>0</v>
      </c>
      <c r="BO42" s="542">
        <v>-19422</v>
      </c>
      <c r="BP42" s="542">
        <v>-4856</v>
      </c>
      <c r="BQ42" s="542">
        <v>0</v>
      </c>
      <c r="BR42" s="542">
        <v>0</v>
      </c>
      <c r="BS42" s="542">
        <v>0</v>
      </c>
      <c r="BT42" s="542">
        <v>0</v>
      </c>
      <c r="BU42" s="542">
        <v>10106</v>
      </c>
      <c r="BV42" s="542">
        <v>2527</v>
      </c>
      <c r="BW42" s="542">
        <v>0</v>
      </c>
      <c r="BX42" s="542">
        <v>-10106</v>
      </c>
      <c r="BY42" s="542">
        <v>-2527</v>
      </c>
      <c r="BZ42" s="542">
        <v>0</v>
      </c>
      <c r="CA42" s="542">
        <v>97669.540500000003</v>
      </c>
      <c r="CB42" s="542">
        <v>24417.3851</v>
      </c>
      <c r="CC42" s="542">
        <v>0</v>
      </c>
      <c r="CD42" s="542">
        <v>131380</v>
      </c>
      <c r="CE42" s="542">
        <v>32845</v>
      </c>
      <c r="CF42" s="542">
        <v>0</v>
      </c>
      <c r="CG42" s="542">
        <v>-33710</v>
      </c>
      <c r="CH42" s="542">
        <v>-8428</v>
      </c>
      <c r="CI42" s="542">
        <v>0</v>
      </c>
      <c r="CJ42" s="542">
        <v>0</v>
      </c>
      <c r="CK42" s="542">
        <v>0</v>
      </c>
      <c r="CL42" s="542">
        <v>0</v>
      </c>
      <c r="CM42" s="542">
        <v>0</v>
      </c>
      <c r="CN42" s="542">
        <v>0</v>
      </c>
      <c r="CO42" s="542">
        <v>0</v>
      </c>
      <c r="CP42" s="542">
        <v>0</v>
      </c>
      <c r="CQ42" s="542">
        <v>0</v>
      </c>
      <c r="CR42" s="542">
        <v>0</v>
      </c>
      <c r="CS42" s="542">
        <v>0</v>
      </c>
      <c r="CT42" s="542">
        <v>0</v>
      </c>
      <c r="CU42" s="542">
        <v>0</v>
      </c>
      <c r="CV42" s="542">
        <v>119232.908</v>
      </c>
      <c r="CW42" s="542">
        <v>29558.784500000002</v>
      </c>
      <c r="CX42" s="542">
        <v>0</v>
      </c>
      <c r="CY42" s="542">
        <v>127015</v>
      </c>
      <c r="CZ42" s="542">
        <v>31376</v>
      </c>
      <c r="DA42" s="542">
        <v>0</v>
      </c>
      <c r="DB42" s="542">
        <v>-7782</v>
      </c>
      <c r="DC42" s="542">
        <v>-1817</v>
      </c>
      <c r="DD42" s="542">
        <v>0</v>
      </c>
      <c r="DE42" s="153" t="s">
        <v>630</v>
      </c>
      <c r="DF42" s="103" t="s">
        <v>782</v>
      </c>
      <c r="DG42" s="104" t="s">
        <v>751</v>
      </c>
      <c r="DH42" s="547"/>
      <c r="DI42" s="547"/>
    </row>
    <row r="43" spans="1:113" x14ac:dyDescent="0.2">
      <c r="A43" s="93">
        <v>37</v>
      </c>
      <c r="B43" s="145" t="s">
        <v>633</v>
      </c>
      <c r="C43" s="141" t="s">
        <v>871</v>
      </c>
      <c r="D43" s="142" t="s">
        <v>872</v>
      </c>
      <c r="E43" s="149" t="s">
        <v>632</v>
      </c>
      <c r="F43" s="542">
        <v>-680498</v>
      </c>
      <c r="G43" s="542">
        <v>0</v>
      </c>
      <c r="H43" s="542">
        <v>-680498</v>
      </c>
      <c r="I43" s="542">
        <v>19127</v>
      </c>
      <c r="J43" s="542">
        <v>0</v>
      </c>
      <c r="K43" s="542">
        <v>19127</v>
      </c>
      <c r="L43" s="542">
        <v>-699625</v>
      </c>
      <c r="M43" s="542">
        <v>0</v>
      </c>
      <c r="N43" s="542">
        <v>-699625</v>
      </c>
      <c r="O43" s="543">
        <v>0.5</v>
      </c>
      <c r="P43" s="543">
        <v>0.3</v>
      </c>
      <c r="Q43" s="543">
        <v>0.2</v>
      </c>
      <c r="R43" s="543">
        <v>0</v>
      </c>
      <c r="S43" s="542">
        <v>347201</v>
      </c>
      <c r="T43" s="542">
        <v>347201</v>
      </c>
      <c r="U43" s="542">
        <v>0</v>
      </c>
      <c r="V43" s="542">
        <v>0</v>
      </c>
      <c r="W43" s="542">
        <v>0</v>
      </c>
      <c r="X43" s="542">
        <v>0</v>
      </c>
      <c r="Y43" s="542">
        <v>0</v>
      </c>
      <c r="Z43" s="542">
        <v>0</v>
      </c>
      <c r="AA43" s="542">
        <v>0</v>
      </c>
      <c r="AB43" s="542">
        <v>0</v>
      </c>
      <c r="AC43" s="542">
        <v>0</v>
      </c>
      <c r="AD43" s="542">
        <v>0</v>
      </c>
      <c r="AE43" s="542">
        <v>0</v>
      </c>
      <c r="AF43" s="542">
        <v>0</v>
      </c>
      <c r="AG43" s="542">
        <v>0</v>
      </c>
      <c r="AH43" s="542">
        <v>0</v>
      </c>
      <c r="AI43" s="542">
        <v>0</v>
      </c>
      <c r="AJ43" s="542">
        <v>0</v>
      </c>
      <c r="AK43" s="542">
        <v>0</v>
      </c>
      <c r="AL43" s="542">
        <v>0</v>
      </c>
      <c r="AM43" s="542">
        <v>0</v>
      </c>
      <c r="AN43" s="542">
        <v>0</v>
      </c>
      <c r="AO43" s="542">
        <v>0</v>
      </c>
      <c r="AP43" s="542">
        <v>0</v>
      </c>
      <c r="AQ43" s="542">
        <v>668272.16500000004</v>
      </c>
      <c r="AR43" s="542">
        <v>445514.777</v>
      </c>
      <c r="AS43" s="542">
        <v>0</v>
      </c>
      <c r="AT43" s="542">
        <v>646915</v>
      </c>
      <c r="AU43" s="542">
        <v>431277</v>
      </c>
      <c r="AV43" s="542">
        <v>0</v>
      </c>
      <c r="AW43" s="542">
        <v>21357</v>
      </c>
      <c r="AX43" s="542">
        <v>14238</v>
      </c>
      <c r="AY43" s="542">
        <v>0</v>
      </c>
      <c r="AZ43" s="542">
        <v>0</v>
      </c>
      <c r="BA43" s="542">
        <v>0</v>
      </c>
      <c r="BB43" s="542">
        <v>0</v>
      </c>
      <c r="BC43" s="542">
        <v>0</v>
      </c>
      <c r="BD43" s="542">
        <v>0</v>
      </c>
      <c r="BE43" s="542">
        <v>0</v>
      </c>
      <c r="BF43" s="542">
        <v>0</v>
      </c>
      <c r="BG43" s="542">
        <v>0</v>
      </c>
      <c r="BH43" s="542">
        <v>0</v>
      </c>
      <c r="BI43" s="542">
        <v>0</v>
      </c>
      <c r="BJ43" s="542">
        <v>0</v>
      </c>
      <c r="BK43" s="542">
        <v>0</v>
      </c>
      <c r="BL43" s="542">
        <v>0</v>
      </c>
      <c r="BM43" s="542">
        <v>0</v>
      </c>
      <c r="BN43" s="542">
        <v>0</v>
      </c>
      <c r="BO43" s="542">
        <v>0</v>
      </c>
      <c r="BP43" s="542">
        <v>0</v>
      </c>
      <c r="BQ43" s="542">
        <v>0</v>
      </c>
      <c r="BR43" s="542">
        <v>4941.3044499999996</v>
      </c>
      <c r="BS43" s="542">
        <v>3294.2029699999998</v>
      </c>
      <c r="BT43" s="542">
        <v>0</v>
      </c>
      <c r="BU43" s="542">
        <v>32567</v>
      </c>
      <c r="BV43" s="542">
        <v>21712</v>
      </c>
      <c r="BW43" s="542">
        <v>0</v>
      </c>
      <c r="BX43" s="542">
        <v>-27626</v>
      </c>
      <c r="BY43" s="542">
        <v>-18418</v>
      </c>
      <c r="BZ43" s="542">
        <v>0</v>
      </c>
      <c r="CA43" s="542">
        <v>287324.81699999998</v>
      </c>
      <c r="CB43" s="542">
        <v>191549.878</v>
      </c>
      <c r="CC43" s="542">
        <v>0</v>
      </c>
      <c r="CD43" s="542">
        <v>587326</v>
      </c>
      <c r="CE43" s="542">
        <v>391551</v>
      </c>
      <c r="CF43" s="542">
        <v>0</v>
      </c>
      <c r="CG43" s="542">
        <v>-300001</v>
      </c>
      <c r="CH43" s="542">
        <v>-200001</v>
      </c>
      <c r="CI43" s="542">
        <v>0</v>
      </c>
      <c r="CJ43" s="542">
        <v>0</v>
      </c>
      <c r="CK43" s="542">
        <v>0</v>
      </c>
      <c r="CL43" s="542">
        <v>0</v>
      </c>
      <c r="CM43" s="542">
        <v>10218.2343</v>
      </c>
      <c r="CN43" s="542">
        <v>6812.1562599999997</v>
      </c>
      <c r="CO43" s="542">
        <v>0</v>
      </c>
      <c r="CP43" s="542">
        <v>0</v>
      </c>
      <c r="CQ43" s="542">
        <v>0</v>
      </c>
      <c r="CR43" s="542">
        <v>0</v>
      </c>
      <c r="CS43" s="542">
        <v>10218</v>
      </c>
      <c r="CT43" s="542">
        <v>6812</v>
      </c>
      <c r="CU43" s="542">
        <v>0</v>
      </c>
      <c r="CV43" s="542">
        <v>248605.98</v>
      </c>
      <c r="CW43" s="542">
        <v>165737.32</v>
      </c>
      <c r="CX43" s="542">
        <v>0</v>
      </c>
      <c r="CY43" s="542">
        <v>263397</v>
      </c>
      <c r="CZ43" s="542">
        <v>173141</v>
      </c>
      <c r="DA43" s="542">
        <v>0</v>
      </c>
      <c r="DB43" s="542">
        <v>-14791</v>
      </c>
      <c r="DC43" s="542">
        <v>-7404</v>
      </c>
      <c r="DD43" s="542">
        <v>0</v>
      </c>
      <c r="DE43" s="153" t="s">
        <v>632</v>
      </c>
      <c r="DF43" s="103" t="s">
        <v>762</v>
      </c>
      <c r="DG43" s="103" t="s">
        <v>750</v>
      </c>
      <c r="DH43" s="547"/>
      <c r="DI43" s="547"/>
    </row>
    <row r="44" spans="1:113" x14ac:dyDescent="0.2">
      <c r="A44" s="93">
        <v>38</v>
      </c>
      <c r="B44" s="145" t="s">
        <v>635</v>
      </c>
      <c r="C44" s="141" t="s">
        <v>866</v>
      </c>
      <c r="D44" s="142" t="s">
        <v>876</v>
      </c>
      <c r="E44" s="149" t="s">
        <v>634</v>
      </c>
      <c r="F44" s="542">
        <v>-181257</v>
      </c>
      <c r="G44" s="542">
        <v>0</v>
      </c>
      <c r="H44" s="542">
        <v>-181257</v>
      </c>
      <c r="I44" s="542">
        <v>76285</v>
      </c>
      <c r="J44" s="542">
        <v>0</v>
      </c>
      <c r="K44" s="542">
        <v>76285</v>
      </c>
      <c r="L44" s="542">
        <v>-257542</v>
      </c>
      <c r="M44" s="542">
        <v>0</v>
      </c>
      <c r="N44" s="542">
        <v>-257542</v>
      </c>
      <c r="O44" s="543">
        <v>0.5</v>
      </c>
      <c r="P44" s="543">
        <v>0.4</v>
      </c>
      <c r="Q44" s="543">
        <v>0.09</v>
      </c>
      <c r="R44" s="543">
        <v>0.01</v>
      </c>
      <c r="S44" s="542">
        <v>124226</v>
      </c>
      <c r="T44" s="542">
        <v>124226</v>
      </c>
      <c r="U44" s="542">
        <v>0</v>
      </c>
      <c r="V44" s="542">
        <v>0</v>
      </c>
      <c r="W44" s="542">
        <v>0</v>
      </c>
      <c r="X44" s="542">
        <v>0</v>
      </c>
      <c r="Y44" s="542">
        <v>0</v>
      </c>
      <c r="Z44" s="542">
        <v>0</v>
      </c>
      <c r="AA44" s="542">
        <v>0</v>
      </c>
      <c r="AB44" s="542">
        <v>0</v>
      </c>
      <c r="AC44" s="542">
        <v>0</v>
      </c>
      <c r="AD44" s="542">
        <v>0</v>
      </c>
      <c r="AE44" s="542">
        <v>0</v>
      </c>
      <c r="AF44" s="542">
        <v>0</v>
      </c>
      <c r="AG44" s="542">
        <v>0</v>
      </c>
      <c r="AH44" s="542">
        <v>0</v>
      </c>
      <c r="AI44" s="542">
        <v>0</v>
      </c>
      <c r="AJ44" s="542">
        <v>0</v>
      </c>
      <c r="AK44" s="542">
        <v>0</v>
      </c>
      <c r="AL44" s="542">
        <v>0</v>
      </c>
      <c r="AM44" s="542">
        <v>0</v>
      </c>
      <c r="AN44" s="542">
        <v>0</v>
      </c>
      <c r="AO44" s="542">
        <v>0</v>
      </c>
      <c r="AP44" s="542">
        <v>0</v>
      </c>
      <c r="AQ44" s="542">
        <v>412724.74300000002</v>
      </c>
      <c r="AR44" s="542">
        <v>92863.067299999995</v>
      </c>
      <c r="AS44" s="542">
        <v>10318.1186</v>
      </c>
      <c r="AT44" s="542">
        <v>372089</v>
      </c>
      <c r="AU44" s="542">
        <v>83720</v>
      </c>
      <c r="AV44" s="542">
        <v>9302</v>
      </c>
      <c r="AW44" s="542">
        <v>40636</v>
      </c>
      <c r="AX44" s="542">
        <v>9143</v>
      </c>
      <c r="AY44" s="542">
        <v>1016</v>
      </c>
      <c r="AZ44" s="542">
        <v>0</v>
      </c>
      <c r="BA44" s="542">
        <v>0</v>
      </c>
      <c r="BB44" s="542">
        <v>0</v>
      </c>
      <c r="BC44" s="542">
        <v>0</v>
      </c>
      <c r="BD44" s="542">
        <v>0</v>
      </c>
      <c r="BE44" s="542">
        <v>0</v>
      </c>
      <c r="BF44" s="542">
        <v>0</v>
      </c>
      <c r="BG44" s="542">
        <v>0</v>
      </c>
      <c r="BH44" s="542">
        <v>0</v>
      </c>
      <c r="BI44" s="542">
        <v>0</v>
      </c>
      <c r="BJ44" s="542">
        <v>0</v>
      </c>
      <c r="BK44" s="542">
        <v>0</v>
      </c>
      <c r="BL44" s="542">
        <v>0</v>
      </c>
      <c r="BM44" s="542">
        <v>0</v>
      </c>
      <c r="BN44" s="542">
        <v>0</v>
      </c>
      <c r="BO44" s="542">
        <v>0</v>
      </c>
      <c r="BP44" s="542">
        <v>0</v>
      </c>
      <c r="BQ44" s="542">
        <v>0</v>
      </c>
      <c r="BR44" s="542">
        <v>1880.1494600000001</v>
      </c>
      <c r="BS44" s="542">
        <v>423.03363000000002</v>
      </c>
      <c r="BT44" s="542">
        <v>47.003736699999997</v>
      </c>
      <c r="BU44" s="542">
        <v>2607</v>
      </c>
      <c r="BV44" s="542">
        <v>586</v>
      </c>
      <c r="BW44" s="542">
        <v>65</v>
      </c>
      <c r="BX44" s="542">
        <v>-727</v>
      </c>
      <c r="BY44" s="542">
        <v>-163</v>
      </c>
      <c r="BZ44" s="542">
        <v>-18</v>
      </c>
      <c r="CA44" s="542">
        <v>161020.592</v>
      </c>
      <c r="CB44" s="542">
        <v>36229.633300000001</v>
      </c>
      <c r="CC44" s="542">
        <v>4025.5148199999999</v>
      </c>
      <c r="CD44" s="542">
        <v>172638</v>
      </c>
      <c r="CE44" s="542">
        <v>38844</v>
      </c>
      <c r="CF44" s="542">
        <v>4316</v>
      </c>
      <c r="CG44" s="542">
        <v>-11617</v>
      </c>
      <c r="CH44" s="542">
        <v>-2614</v>
      </c>
      <c r="CI44" s="542">
        <v>-290</v>
      </c>
      <c r="CJ44" s="542">
        <v>0</v>
      </c>
      <c r="CK44" s="542">
        <v>0</v>
      </c>
      <c r="CL44" s="542">
        <v>0</v>
      </c>
      <c r="CM44" s="542">
        <v>0</v>
      </c>
      <c r="CN44" s="542">
        <v>0</v>
      </c>
      <c r="CO44" s="542">
        <v>0</v>
      </c>
      <c r="CP44" s="542">
        <v>0</v>
      </c>
      <c r="CQ44" s="542">
        <v>0</v>
      </c>
      <c r="CR44" s="542">
        <v>0</v>
      </c>
      <c r="CS44" s="542">
        <v>0</v>
      </c>
      <c r="CT44" s="542">
        <v>0</v>
      </c>
      <c r="CU44" s="542">
        <v>0</v>
      </c>
      <c r="CV44" s="542">
        <v>104136.768</v>
      </c>
      <c r="CW44" s="542">
        <v>23430.7729</v>
      </c>
      <c r="CX44" s="542">
        <v>2603.41921</v>
      </c>
      <c r="CY44" s="542">
        <v>113612</v>
      </c>
      <c r="CZ44" s="542">
        <v>25266</v>
      </c>
      <c r="DA44" s="542">
        <v>2807</v>
      </c>
      <c r="DB44" s="542">
        <v>-9475</v>
      </c>
      <c r="DC44" s="542">
        <v>-1835</v>
      </c>
      <c r="DD44" s="542">
        <v>-204</v>
      </c>
      <c r="DE44" s="153" t="s">
        <v>634</v>
      </c>
      <c r="DF44" s="103" t="s">
        <v>786</v>
      </c>
      <c r="DG44" s="104" t="s">
        <v>787</v>
      </c>
      <c r="DH44" s="547"/>
      <c r="DI44" s="547"/>
    </row>
    <row r="45" spans="1:113" x14ac:dyDescent="0.2">
      <c r="A45" s="93">
        <v>39</v>
      </c>
      <c r="B45" s="145" t="s">
        <v>637</v>
      </c>
      <c r="C45" s="141" t="s">
        <v>866</v>
      </c>
      <c r="D45" s="142" t="s">
        <v>870</v>
      </c>
      <c r="E45" s="149" t="s">
        <v>636</v>
      </c>
      <c r="F45" s="542">
        <v>528912</v>
      </c>
      <c r="G45" s="542">
        <v>0</v>
      </c>
      <c r="H45" s="542">
        <v>528912</v>
      </c>
      <c r="I45" s="542">
        <v>-425451</v>
      </c>
      <c r="J45" s="542">
        <v>0</v>
      </c>
      <c r="K45" s="542">
        <v>-425451</v>
      </c>
      <c r="L45" s="542">
        <v>954363</v>
      </c>
      <c r="M45" s="542">
        <v>0</v>
      </c>
      <c r="N45" s="542">
        <v>954363</v>
      </c>
      <c r="O45" s="543">
        <v>0.5</v>
      </c>
      <c r="P45" s="543">
        <v>0.4</v>
      </c>
      <c r="Q45" s="543">
        <v>0.1</v>
      </c>
      <c r="R45" s="543">
        <v>0</v>
      </c>
      <c r="S45" s="542">
        <v>115645</v>
      </c>
      <c r="T45" s="542">
        <v>115645</v>
      </c>
      <c r="U45" s="542">
        <v>0</v>
      </c>
      <c r="V45" s="542">
        <v>0</v>
      </c>
      <c r="W45" s="542">
        <v>0</v>
      </c>
      <c r="X45" s="542">
        <v>0</v>
      </c>
      <c r="Y45" s="542">
        <v>0</v>
      </c>
      <c r="Z45" s="542">
        <v>0</v>
      </c>
      <c r="AA45" s="542">
        <v>0</v>
      </c>
      <c r="AB45" s="542">
        <v>0</v>
      </c>
      <c r="AC45" s="542">
        <v>0</v>
      </c>
      <c r="AD45" s="542">
        <v>0</v>
      </c>
      <c r="AE45" s="542">
        <v>0</v>
      </c>
      <c r="AF45" s="542">
        <v>0</v>
      </c>
      <c r="AG45" s="542">
        <v>0</v>
      </c>
      <c r="AH45" s="542">
        <v>0</v>
      </c>
      <c r="AI45" s="542">
        <v>0</v>
      </c>
      <c r="AJ45" s="542">
        <v>0</v>
      </c>
      <c r="AK45" s="542">
        <v>0</v>
      </c>
      <c r="AL45" s="542">
        <v>0</v>
      </c>
      <c r="AM45" s="542">
        <v>0</v>
      </c>
      <c r="AN45" s="542">
        <v>0</v>
      </c>
      <c r="AO45" s="542">
        <v>0</v>
      </c>
      <c r="AP45" s="542">
        <v>0</v>
      </c>
      <c r="AQ45" s="542">
        <v>281692.95899999997</v>
      </c>
      <c r="AR45" s="542">
        <v>70423.2399</v>
      </c>
      <c r="AS45" s="542">
        <v>0</v>
      </c>
      <c r="AT45" s="542">
        <v>263973</v>
      </c>
      <c r="AU45" s="542">
        <v>65993</v>
      </c>
      <c r="AV45" s="542">
        <v>0</v>
      </c>
      <c r="AW45" s="542">
        <v>17720</v>
      </c>
      <c r="AX45" s="542">
        <v>4430</v>
      </c>
      <c r="AY45" s="542">
        <v>0</v>
      </c>
      <c r="AZ45" s="542">
        <v>0</v>
      </c>
      <c r="BA45" s="542">
        <v>0</v>
      </c>
      <c r="BB45" s="542">
        <v>0</v>
      </c>
      <c r="BC45" s="542">
        <v>0</v>
      </c>
      <c r="BD45" s="542">
        <v>0</v>
      </c>
      <c r="BE45" s="542">
        <v>0</v>
      </c>
      <c r="BF45" s="542">
        <v>0</v>
      </c>
      <c r="BG45" s="542">
        <v>0</v>
      </c>
      <c r="BH45" s="542">
        <v>0</v>
      </c>
      <c r="BI45" s="542">
        <v>964.53163400000005</v>
      </c>
      <c r="BJ45" s="542">
        <v>241.13290799999999</v>
      </c>
      <c r="BK45" s="542">
        <v>0</v>
      </c>
      <c r="BL45" s="542">
        <v>0</v>
      </c>
      <c r="BM45" s="542">
        <v>0</v>
      </c>
      <c r="BN45" s="542">
        <v>0</v>
      </c>
      <c r="BO45" s="542">
        <v>965</v>
      </c>
      <c r="BP45" s="542">
        <v>241</v>
      </c>
      <c r="BQ45" s="542">
        <v>0</v>
      </c>
      <c r="BR45" s="542">
        <v>496.81868300000002</v>
      </c>
      <c r="BS45" s="542">
        <v>124.20466999999999</v>
      </c>
      <c r="BT45" s="542">
        <v>0</v>
      </c>
      <c r="BU45" s="542">
        <v>101062</v>
      </c>
      <c r="BV45" s="542">
        <v>25265</v>
      </c>
      <c r="BW45" s="542">
        <v>0</v>
      </c>
      <c r="BX45" s="542">
        <v>-100565</v>
      </c>
      <c r="BY45" s="542">
        <v>-25141</v>
      </c>
      <c r="BZ45" s="542">
        <v>0</v>
      </c>
      <c r="CA45" s="542">
        <v>160875.06400000001</v>
      </c>
      <c r="CB45" s="542">
        <v>40218.766000000003</v>
      </c>
      <c r="CC45" s="542">
        <v>0</v>
      </c>
      <c r="CD45" s="542">
        <v>252654</v>
      </c>
      <c r="CE45" s="542">
        <v>63163</v>
      </c>
      <c r="CF45" s="542">
        <v>0</v>
      </c>
      <c r="CG45" s="542">
        <v>-91779</v>
      </c>
      <c r="CH45" s="542">
        <v>-22944</v>
      </c>
      <c r="CI45" s="542">
        <v>0</v>
      </c>
      <c r="CJ45" s="542">
        <v>0</v>
      </c>
      <c r="CK45" s="542">
        <v>0</v>
      </c>
      <c r="CL45" s="542">
        <v>0</v>
      </c>
      <c r="CM45" s="542">
        <v>0</v>
      </c>
      <c r="CN45" s="542">
        <v>0</v>
      </c>
      <c r="CO45" s="542">
        <v>0</v>
      </c>
      <c r="CP45" s="542">
        <v>0</v>
      </c>
      <c r="CQ45" s="542">
        <v>0</v>
      </c>
      <c r="CR45" s="542">
        <v>0</v>
      </c>
      <c r="CS45" s="542">
        <v>0</v>
      </c>
      <c r="CT45" s="542">
        <v>0</v>
      </c>
      <c r="CU45" s="542">
        <v>0</v>
      </c>
      <c r="CV45" s="542">
        <v>162277.53200000001</v>
      </c>
      <c r="CW45" s="542">
        <v>40569.383199999997</v>
      </c>
      <c r="CX45" s="542">
        <v>0</v>
      </c>
      <c r="CY45" s="542">
        <v>169022</v>
      </c>
      <c r="CZ45" s="542">
        <v>41949</v>
      </c>
      <c r="DA45" s="542">
        <v>0</v>
      </c>
      <c r="DB45" s="542">
        <v>-6744</v>
      </c>
      <c r="DC45" s="542">
        <v>-1380</v>
      </c>
      <c r="DD45" s="542">
        <v>0</v>
      </c>
      <c r="DE45" s="153" t="s">
        <v>636</v>
      </c>
      <c r="DF45" s="103" t="s">
        <v>788</v>
      </c>
      <c r="DG45" s="104" t="s">
        <v>751</v>
      </c>
      <c r="DH45" s="547"/>
      <c r="DI45" s="547"/>
    </row>
    <row r="46" spans="1:113" x14ac:dyDescent="0.2">
      <c r="A46" s="93">
        <v>40</v>
      </c>
      <c r="B46" s="145" t="s">
        <v>639</v>
      </c>
      <c r="C46" s="141" t="s">
        <v>866</v>
      </c>
      <c r="D46" s="142" t="s">
        <v>869</v>
      </c>
      <c r="E46" s="149" t="s">
        <v>638</v>
      </c>
      <c r="F46" s="542">
        <v>-111688</v>
      </c>
      <c r="G46" s="542">
        <v>26</v>
      </c>
      <c r="H46" s="542">
        <v>-111662</v>
      </c>
      <c r="I46" s="542">
        <v>-12848</v>
      </c>
      <c r="J46" s="542">
        <v>-102</v>
      </c>
      <c r="K46" s="542">
        <v>-12950</v>
      </c>
      <c r="L46" s="542">
        <v>-98840</v>
      </c>
      <c r="M46" s="542">
        <v>128</v>
      </c>
      <c r="N46" s="542">
        <v>-98712</v>
      </c>
      <c r="O46" s="543">
        <v>0.5</v>
      </c>
      <c r="P46" s="543">
        <v>0.4</v>
      </c>
      <c r="Q46" s="543">
        <v>0.09</v>
      </c>
      <c r="R46" s="543">
        <v>0.01</v>
      </c>
      <c r="S46" s="542">
        <v>107581</v>
      </c>
      <c r="T46" s="542">
        <v>107581</v>
      </c>
      <c r="U46" s="542">
        <v>0</v>
      </c>
      <c r="V46" s="542">
        <v>0</v>
      </c>
      <c r="W46" s="542">
        <v>0</v>
      </c>
      <c r="X46" s="542">
        <v>0</v>
      </c>
      <c r="Y46" s="542">
        <v>0</v>
      </c>
      <c r="Z46" s="542">
        <v>0</v>
      </c>
      <c r="AA46" s="542">
        <v>0</v>
      </c>
      <c r="AB46" s="542">
        <v>0</v>
      </c>
      <c r="AC46" s="542">
        <v>0</v>
      </c>
      <c r="AD46" s="542">
        <v>0</v>
      </c>
      <c r="AE46" s="542">
        <v>0</v>
      </c>
      <c r="AF46" s="542">
        <v>0</v>
      </c>
      <c r="AG46" s="542">
        <v>0</v>
      </c>
      <c r="AH46" s="542">
        <v>0</v>
      </c>
      <c r="AI46" s="542">
        <v>0</v>
      </c>
      <c r="AJ46" s="542">
        <v>0</v>
      </c>
      <c r="AK46" s="542">
        <v>0</v>
      </c>
      <c r="AL46" s="542">
        <v>0</v>
      </c>
      <c r="AM46" s="542">
        <v>0</v>
      </c>
      <c r="AN46" s="542">
        <v>0</v>
      </c>
      <c r="AO46" s="542">
        <v>0</v>
      </c>
      <c r="AP46" s="542">
        <v>0</v>
      </c>
      <c r="AQ46" s="542">
        <v>334520.06599999999</v>
      </c>
      <c r="AR46" s="542">
        <v>74670.574699999997</v>
      </c>
      <c r="AS46" s="542">
        <v>8296.7305300000007</v>
      </c>
      <c r="AT46" s="542">
        <v>303725</v>
      </c>
      <c r="AU46" s="542">
        <v>68338</v>
      </c>
      <c r="AV46" s="542">
        <v>7593</v>
      </c>
      <c r="AW46" s="542">
        <v>30795</v>
      </c>
      <c r="AX46" s="542">
        <v>6333</v>
      </c>
      <c r="AY46" s="542">
        <v>704</v>
      </c>
      <c r="AZ46" s="542">
        <v>1741.89724</v>
      </c>
      <c r="BA46" s="542">
        <v>391.92687899999999</v>
      </c>
      <c r="BB46" s="542">
        <v>43.547431000000003</v>
      </c>
      <c r="BC46" s="542">
        <v>0</v>
      </c>
      <c r="BD46" s="542">
        <v>0</v>
      </c>
      <c r="BE46" s="542">
        <v>0</v>
      </c>
      <c r="BF46" s="542">
        <v>1742</v>
      </c>
      <c r="BG46" s="542">
        <v>392</v>
      </c>
      <c r="BH46" s="542">
        <v>44</v>
      </c>
      <c r="BI46" s="542">
        <v>19469.309499999999</v>
      </c>
      <c r="BJ46" s="542">
        <v>4380.59465</v>
      </c>
      <c r="BK46" s="542">
        <v>486.73273799999998</v>
      </c>
      <c r="BL46" s="542">
        <v>0</v>
      </c>
      <c r="BM46" s="542">
        <v>0</v>
      </c>
      <c r="BN46" s="542">
        <v>0</v>
      </c>
      <c r="BO46" s="542">
        <v>19469</v>
      </c>
      <c r="BP46" s="542">
        <v>4381</v>
      </c>
      <c r="BQ46" s="542">
        <v>487</v>
      </c>
      <c r="BR46" s="542">
        <v>0</v>
      </c>
      <c r="BS46" s="542">
        <v>0</v>
      </c>
      <c r="BT46" s="542">
        <v>0</v>
      </c>
      <c r="BU46" s="542">
        <v>0</v>
      </c>
      <c r="BV46" s="542">
        <v>0</v>
      </c>
      <c r="BW46" s="542">
        <v>0</v>
      </c>
      <c r="BX46" s="542">
        <v>0</v>
      </c>
      <c r="BY46" s="542">
        <v>0</v>
      </c>
      <c r="BZ46" s="542">
        <v>0</v>
      </c>
      <c r="CA46" s="542">
        <v>45700.4467</v>
      </c>
      <c r="CB46" s="542">
        <v>10282.6005</v>
      </c>
      <c r="CC46" s="542">
        <v>1142.51116</v>
      </c>
      <c r="CD46" s="542">
        <v>101061.571</v>
      </c>
      <c r="CE46" s="542">
        <v>22738.853500000001</v>
      </c>
      <c r="CF46" s="542">
        <v>2526.5392700000002</v>
      </c>
      <c r="CG46" s="542">
        <v>-55361</v>
      </c>
      <c r="CH46" s="542">
        <v>-12456</v>
      </c>
      <c r="CI46" s="542">
        <v>-1384</v>
      </c>
      <c r="CJ46" s="542">
        <v>0</v>
      </c>
      <c r="CK46" s="542">
        <v>0</v>
      </c>
      <c r="CL46" s="542">
        <v>0</v>
      </c>
      <c r="CM46" s="542">
        <v>0</v>
      </c>
      <c r="CN46" s="542">
        <v>0</v>
      </c>
      <c r="CO46" s="542">
        <v>0</v>
      </c>
      <c r="CP46" s="542">
        <v>0</v>
      </c>
      <c r="CQ46" s="542">
        <v>0</v>
      </c>
      <c r="CR46" s="542">
        <v>0</v>
      </c>
      <c r="CS46" s="542">
        <v>0</v>
      </c>
      <c r="CT46" s="542">
        <v>0</v>
      </c>
      <c r="CU46" s="542">
        <v>0</v>
      </c>
      <c r="CV46" s="542">
        <v>96478.237699999998</v>
      </c>
      <c r="CW46" s="542">
        <v>21707.603500000001</v>
      </c>
      <c r="CX46" s="542">
        <v>2411.9559399999998</v>
      </c>
      <c r="CY46" s="542">
        <v>105106</v>
      </c>
      <c r="CZ46" s="542">
        <v>23380</v>
      </c>
      <c r="DA46" s="542">
        <v>2598</v>
      </c>
      <c r="DB46" s="542">
        <v>-8628</v>
      </c>
      <c r="DC46" s="542">
        <v>-1672</v>
      </c>
      <c r="DD46" s="542">
        <v>-186</v>
      </c>
      <c r="DE46" s="153" t="s">
        <v>638</v>
      </c>
      <c r="DF46" s="103" t="s">
        <v>755</v>
      </c>
      <c r="DG46" s="104" t="s">
        <v>756</v>
      </c>
      <c r="DH46" s="549" t="s">
        <v>1181</v>
      </c>
      <c r="DI46" s="549"/>
    </row>
    <row r="47" spans="1:113" x14ac:dyDescent="0.2">
      <c r="A47" s="93">
        <v>41</v>
      </c>
      <c r="B47" s="145" t="s">
        <v>641</v>
      </c>
      <c r="C47" s="141" t="s">
        <v>866</v>
      </c>
      <c r="D47" s="142" t="s">
        <v>868</v>
      </c>
      <c r="E47" s="149" t="s">
        <v>640</v>
      </c>
      <c r="F47" s="542">
        <v>-193357</v>
      </c>
      <c r="G47" s="542">
        <v>0</v>
      </c>
      <c r="H47" s="542">
        <v>-193357</v>
      </c>
      <c r="I47" s="542">
        <v>58322</v>
      </c>
      <c r="J47" s="542">
        <v>0</v>
      </c>
      <c r="K47" s="542">
        <v>58322</v>
      </c>
      <c r="L47" s="542">
        <v>-251679</v>
      </c>
      <c r="M47" s="542">
        <v>0</v>
      </c>
      <c r="N47" s="542">
        <v>-251679</v>
      </c>
      <c r="O47" s="543">
        <v>0.5</v>
      </c>
      <c r="P47" s="543">
        <v>0.4</v>
      </c>
      <c r="Q47" s="543">
        <v>0.09</v>
      </c>
      <c r="R47" s="543">
        <v>0.01</v>
      </c>
      <c r="S47" s="542">
        <v>148397</v>
      </c>
      <c r="T47" s="542">
        <v>148397</v>
      </c>
      <c r="U47" s="542">
        <v>0</v>
      </c>
      <c r="V47" s="542">
        <v>0</v>
      </c>
      <c r="W47" s="542">
        <v>0</v>
      </c>
      <c r="X47" s="542">
        <v>0</v>
      </c>
      <c r="Y47" s="542">
        <v>134573</v>
      </c>
      <c r="Z47" s="542">
        <v>0</v>
      </c>
      <c r="AA47" s="542">
        <v>23859</v>
      </c>
      <c r="AB47" s="542">
        <v>0</v>
      </c>
      <c r="AC47" s="542">
        <v>110714</v>
      </c>
      <c r="AD47" s="542">
        <v>0</v>
      </c>
      <c r="AE47" s="542">
        <v>0</v>
      </c>
      <c r="AF47" s="542">
        <v>0</v>
      </c>
      <c r="AG47" s="542">
        <v>0</v>
      </c>
      <c r="AH47" s="542">
        <v>0</v>
      </c>
      <c r="AI47" s="542">
        <v>0</v>
      </c>
      <c r="AJ47" s="542">
        <v>0</v>
      </c>
      <c r="AK47" s="542">
        <v>0</v>
      </c>
      <c r="AL47" s="542">
        <v>0</v>
      </c>
      <c r="AM47" s="542">
        <v>0</v>
      </c>
      <c r="AN47" s="542">
        <v>0</v>
      </c>
      <c r="AO47" s="542">
        <v>0</v>
      </c>
      <c r="AP47" s="542">
        <v>0</v>
      </c>
      <c r="AQ47" s="542">
        <v>529398.10400000005</v>
      </c>
      <c r="AR47" s="542">
        <v>119114.573</v>
      </c>
      <c r="AS47" s="542">
        <v>13234.952600000001</v>
      </c>
      <c r="AT47" s="542">
        <v>493978</v>
      </c>
      <c r="AU47" s="542">
        <v>111145</v>
      </c>
      <c r="AV47" s="542">
        <v>12349</v>
      </c>
      <c r="AW47" s="542">
        <v>35420</v>
      </c>
      <c r="AX47" s="542">
        <v>7970</v>
      </c>
      <c r="AY47" s="542">
        <v>886</v>
      </c>
      <c r="AZ47" s="542">
        <v>4117.2484000000004</v>
      </c>
      <c r="BA47" s="542">
        <v>926.38089100000002</v>
      </c>
      <c r="BB47" s="542">
        <v>102.93120999999999</v>
      </c>
      <c r="BC47" s="542">
        <v>2451</v>
      </c>
      <c r="BD47" s="542">
        <v>552</v>
      </c>
      <c r="BE47" s="542">
        <v>61</v>
      </c>
      <c r="BF47" s="542">
        <v>1666</v>
      </c>
      <c r="BG47" s="542">
        <v>374</v>
      </c>
      <c r="BH47" s="542">
        <v>42</v>
      </c>
      <c r="BI47" s="542">
        <v>0</v>
      </c>
      <c r="BJ47" s="542">
        <v>0</v>
      </c>
      <c r="BK47" s="542">
        <v>0</v>
      </c>
      <c r="BL47" s="542">
        <v>26962</v>
      </c>
      <c r="BM47" s="542">
        <v>6066</v>
      </c>
      <c r="BN47" s="542">
        <v>674</v>
      </c>
      <c r="BO47" s="542">
        <v>-26962</v>
      </c>
      <c r="BP47" s="542">
        <v>-6066</v>
      </c>
      <c r="BQ47" s="542">
        <v>-674</v>
      </c>
      <c r="BR47" s="542">
        <v>4692.8951100000004</v>
      </c>
      <c r="BS47" s="542">
        <v>1055.9014</v>
      </c>
      <c r="BT47" s="542">
        <v>117.322377</v>
      </c>
      <c r="BU47" s="542">
        <v>2451</v>
      </c>
      <c r="BV47" s="542">
        <v>552</v>
      </c>
      <c r="BW47" s="542">
        <v>61</v>
      </c>
      <c r="BX47" s="542">
        <v>2242</v>
      </c>
      <c r="BY47" s="542">
        <v>504</v>
      </c>
      <c r="BZ47" s="542">
        <v>56</v>
      </c>
      <c r="CA47" s="542">
        <v>131317.788</v>
      </c>
      <c r="CB47" s="542">
        <v>29546.502400000001</v>
      </c>
      <c r="CC47" s="542">
        <v>3282.9447100000002</v>
      </c>
      <c r="CD47" s="542">
        <v>171572</v>
      </c>
      <c r="CE47" s="542">
        <v>38604</v>
      </c>
      <c r="CF47" s="542">
        <v>4289</v>
      </c>
      <c r="CG47" s="542">
        <v>-40254</v>
      </c>
      <c r="CH47" s="542">
        <v>-9057</v>
      </c>
      <c r="CI47" s="542">
        <v>-1006</v>
      </c>
      <c r="CJ47" s="542">
        <v>0</v>
      </c>
      <c r="CK47" s="542">
        <v>0</v>
      </c>
      <c r="CL47" s="542">
        <v>0</v>
      </c>
      <c r="CM47" s="542">
        <v>0</v>
      </c>
      <c r="CN47" s="542">
        <v>0</v>
      </c>
      <c r="CO47" s="542">
        <v>0</v>
      </c>
      <c r="CP47" s="542">
        <v>0</v>
      </c>
      <c r="CQ47" s="542">
        <v>0</v>
      </c>
      <c r="CR47" s="542">
        <v>0</v>
      </c>
      <c r="CS47" s="542">
        <v>0</v>
      </c>
      <c r="CT47" s="542">
        <v>0</v>
      </c>
      <c r="CU47" s="542">
        <v>0</v>
      </c>
      <c r="CV47" s="542">
        <v>95040.953200000004</v>
      </c>
      <c r="CW47" s="542">
        <v>21062.7821</v>
      </c>
      <c r="CX47" s="542">
        <v>2340.3091300000001</v>
      </c>
      <c r="CY47" s="542">
        <v>115648</v>
      </c>
      <c r="CZ47" s="542">
        <v>25609</v>
      </c>
      <c r="DA47" s="542">
        <v>2846</v>
      </c>
      <c r="DB47" s="542">
        <v>-20607</v>
      </c>
      <c r="DC47" s="542">
        <v>-4546</v>
      </c>
      <c r="DD47" s="542">
        <v>-506</v>
      </c>
      <c r="DE47" s="153" t="s">
        <v>640</v>
      </c>
      <c r="DF47" s="103" t="s">
        <v>789</v>
      </c>
      <c r="DG47" s="104" t="s">
        <v>776</v>
      </c>
      <c r="DH47" s="547"/>
      <c r="DI47" s="547"/>
    </row>
    <row r="48" spans="1:113" x14ac:dyDescent="0.2">
      <c r="A48" s="93">
        <v>42</v>
      </c>
      <c r="B48" s="145" t="s">
        <v>643</v>
      </c>
      <c r="C48" s="141" t="s">
        <v>873</v>
      </c>
      <c r="D48" s="142" t="s">
        <v>868</v>
      </c>
      <c r="E48" s="149" t="s">
        <v>642</v>
      </c>
      <c r="F48" s="542">
        <v>283221</v>
      </c>
      <c r="G48" s="542">
        <v>0</v>
      </c>
      <c r="H48" s="542">
        <v>283221</v>
      </c>
      <c r="I48" s="542">
        <v>49106</v>
      </c>
      <c r="J48" s="542">
        <v>0</v>
      </c>
      <c r="K48" s="542">
        <v>49106</v>
      </c>
      <c r="L48" s="542">
        <v>234115</v>
      </c>
      <c r="M48" s="542">
        <v>0</v>
      </c>
      <c r="N48" s="542">
        <v>234115</v>
      </c>
      <c r="O48" s="543">
        <v>0.5</v>
      </c>
      <c r="P48" s="543">
        <v>0.49</v>
      </c>
      <c r="Q48" s="543">
        <v>0</v>
      </c>
      <c r="R48" s="543">
        <v>0.01</v>
      </c>
      <c r="S48" s="542">
        <v>239233</v>
      </c>
      <c r="T48" s="542">
        <v>239233</v>
      </c>
      <c r="U48" s="542">
        <v>0</v>
      </c>
      <c r="V48" s="542">
        <v>0</v>
      </c>
      <c r="W48" s="542">
        <v>0</v>
      </c>
      <c r="X48" s="542">
        <v>0</v>
      </c>
      <c r="Y48" s="542">
        <v>0</v>
      </c>
      <c r="Z48" s="542">
        <v>0</v>
      </c>
      <c r="AA48" s="542">
        <v>0</v>
      </c>
      <c r="AB48" s="542">
        <v>0</v>
      </c>
      <c r="AC48" s="542">
        <v>0</v>
      </c>
      <c r="AD48" s="542">
        <v>0</v>
      </c>
      <c r="AE48" s="542">
        <v>0</v>
      </c>
      <c r="AF48" s="542">
        <v>0</v>
      </c>
      <c r="AG48" s="542">
        <v>0</v>
      </c>
      <c r="AH48" s="542">
        <v>0</v>
      </c>
      <c r="AI48" s="542">
        <v>0</v>
      </c>
      <c r="AJ48" s="542">
        <v>0</v>
      </c>
      <c r="AK48" s="542">
        <v>0</v>
      </c>
      <c r="AL48" s="542">
        <v>0</v>
      </c>
      <c r="AM48" s="542">
        <v>0</v>
      </c>
      <c r="AN48" s="542">
        <v>0</v>
      </c>
      <c r="AO48" s="542">
        <v>0</v>
      </c>
      <c r="AP48" s="542">
        <v>0</v>
      </c>
      <c r="AQ48" s="542">
        <v>1174925.45</v>
      </c>
      <c r="AR48" s="542">
        <v>0</v>
      </c>
      <c r="AS48" s="542">
        <v>23978.07</v>
      </c>
      <c r="AT48" s="542">
        <v>1075775</v>
      </c>
      <c r="AU48" s="542">
        <v>0</v>
      </c>
      <c r="AV48" s="542">
        <v>21955</v>
      </c>
      <c r="AW48" s="542">
        <v>99150</v>
      </c>
      <c r="AX48" s="542">
        <v>0</v>
      </c>
      <c r="AY48" s="542">
        <v>2023</v>
      </c>
      <c r="AZ48" s="542">
        <v>18864.21</v>
      </c>
      <c r="BA48" s="542">
        <v>0</v>
      </c>
      <c r="BB48" s="542">
        <v>384.98</v>
      </c>
      <c r="BC48" s="542">
        <v>0</v>
      </c>
      <c r="BD48" s="542">
        <v>0</v>
      </c>
      <c r="BE48" s="542">
        <v>0</v>
      </c>
      <c r="BF48" s="542">
        <v>18864</v>
      </c>
      <c r="BG48" s="542">
        <v>0</v>
      </c>
      <c r="BH48" s="542">
        <v>385</v>
      </c>
      <c r="BI48" s="542">
        <v>0</v>
      </c>
      <c r="BJ48" s="542">
        <v>0</v>
      </c>
      <c r="BK48" s="542">
        <v>0</v>
      </c>
      <c r="BL48" s="542">
        <v>0</v>
      </c>
      <c r="BM48" s="542">
        <v>0</v>
      </c>
      <c r="BN48" s="542">
        <v>0</v>
      </c>
      <c r="BO48" s="542">
        <v>0</v>
      </c>
      <c r="BP48" s="542">
        <v>0</v>
      </c>
      <c r="BQ48" s="542">
        <v>0</v>
      </c>
      <c r="BR48" s="542">
        <v>1185.51</v>
      </c>
      <c r="BS48" s="542">
        <v>0</v>
      </c>
      <c r="BT48" s="542">
        <v>24.19</v>
      </c>
      <c r="BU48" s="542">
        <v>109084</v>
      </c>
      <c r="BV48" s="542">
        <v>0</v>
      </c>
      <c r="BW48" s="542">
        <v>2226</v>
      </c>
      <c r="BX48" s="542">
        <v>-107898</v>
      </c>
      <c r="BY48" s="542">
        <v>0</v>
      </c>
      <c r="BZ48" s="542">
        <v>-2202</v>
      </c>
      <c r="CA48" s="542">
        <v>401075.74</v>
      </c>
      <c r="CB48" s="542">
        <v>0</v>
      </c>
      <c r="CC48" s="542">
        <v>8185.22</v>
      </c>
      <c r="CD48" s="542">
        <v>531847</v>
      </c>
      <c r="CE48" s="542">
        <v>0</v>
      </c>
      <c r="CF48" s="542">
        <v>10854</v>
      </c>
      <c r="CG48" s="542">
        <v>-130771</v>
      </c>
      <c r="CH48" s="542">
        <v>0</v>
      </c>
      <c r="CI48" s="542">
        <v>-2669</v>
      </c>
      <c r="CJ48" s="542">
        <v>0</v>
      </c>
      <c r="CK48" s="542">
        <v>0</v>
      </c>
      <c r="CL48" s="542">
        <v>0</v>
      </c>
      <c r="CM48" s="542">
        <v>0</v>
      </c>
      <c r="CN48" s="542">
        <v>0</v>
      </c>
      <c r="CO48" s="542">
        <v>0</v>
      </c>
      <c r="CP48" s="542">
        <v>0</v>
      </c>
      <c r="CQ48" s="542">
        <v>0</v>
      </c>
      <c r="CR48" s="542">
        <v>0</v>
      </c>
      <c r="CS48" s="542">
        <v>0</v>
      </c>
      <c r="CT48" s="542">
        <v>0</v>
      </c>
      <c r="CU48" s="542">
        <v>0</v>
      </c>
      <c r="CV48" s="542">
        <v>234774.81</v>
      </c>
      <c r="CW48" s="542">
        <v>0</v>
      </c>
      <c r="CX48" s="542">
        <v>4791.32</v>
      </c>
      <c r="CY48" s="542">
        <v>256673</v>
      </c>
      <c r="CZ48" s="542">
        <v>0</v>
      </c>
      <c r="DA48" s="542">
        <v>5186</v>
      </c>
      <c r="DB48" s="542">
        <v>-21898</v>
      </c>
      <c r="DC48" s="542">
        <v>0</v>
      </c>
      <c r="DD48" s="542">
        <v>-395</v>
      </c>
      <c r="DE48" s="153" t="s">
        <v>642</v>
      </c>
      <c r="DF48" s="103" t="s">
        <v>763</v>
      </c>
      <c r="DG48" s="104" t="s">
        <v>777</v>
      </c>
      <c r="DH48" s="547"/>
      <c r="DI48" s="547"/>
    </row>
    <row r="49" spans="1:113" x14ac:dyDescent="0.2">
      <c r="A49" s="93">
        <v>43</v>
      </c>
      <c r="B49" s="145" t="s">
        <v>645</v>
      </c>
      <c r="C49" s="141" t="s">
        <v>873</v>
      </c>
      <c r="D49" s="142" t="s">
        <v>874</v>
      </c>
      <c r="E49" s="149" t="s">
        <v>644</v>
      </c>
      <c r="F49" s="542">
        <v>-120132</v>
      </c>
      <c r="G49" s="542">
        <v>0</v>
      </c>
      <c r="H49" s="542">
        <v>-120132</v>
      </c>
      <c r="I49" s="542">
        <v>47517</v>
      </c>
      <c r="J49" s="542">
        <v>0</v>
      </c>
      <c r="K49" s="542">
        <v>47517</v>
      </c>
      <c r="L49" s="542">
        <v>-167649</v>
      </c>
      <c r="M49" s="542">
        <v>0</v>
      </c>
      <c r="N49" s="542">
        <v>-167649</v>
      </c>
      <c r="O49" s="543">
        <v>0.5</v>
      </c>
      <c r="P49" s="543">
        <v>0.49</v>
      </c>
      <c r="Q49" s="543">
        <v>0</v>
      </c>
      <c r="R49" s="543">
        <v>0.01</v>
      </c>
      <c r="S49" s="542">
        <v>353872</v>
      </c>
      <c r="T49" s="542">
        <v>353872</v>
      </c>
      <c r="U49" s="542">
        <v>0</v>
      </c>
      <c r="V49" s="542">
        <v>0</v>
      </c>
      <c r="W49" s="542">
        <v>0</v>
      </c>
      <c r="X49" s="542">
        <v>0</v>
      </c>
      <c r="Y49" s="542">
        <v>0</v>
      </c>
      <c r="Z49" s="542">
        <v>0</v>
      </c>
      <c r="AA49" s="542">
        <v>0</v>
      </c>
      <c r="AB49" s="542">
        <v>0</v>
      </c>
      <c r="AC49" s="542">
        <v>0</v>
      </c>
      <c r="AD49" s="542">
        <v>0</v>
      </c>
      <c r="AE49" s="542">
        <v>0</v>
      </c>
      <c r="AF49" s="542">
        <v>0</v>
      </c>
      <c r="AG49" s="542">
        <v>0</v>
      </c>
      <c r="AH49" s="542">
        <v>0</v>
      </c>
      <c r="AI49" s="542">
        <v>0</v>
      </c>
      <c r="AJ49" s="542">
        <v>0</v>
      </c>
      <c r="AK49" s="542">
        <v>0</v>
      </c>
      <c r="AL49" s="542">
        <v>0</v>
      </c>
      <c r="AM49" s="542">
        <v>0</v>
      </c>
      <c r="AN49" s="542">
        <v>0</v>
      </c>
      <c r="AO49" s="542">
        <v>0</v>
      </c>
      <c r="AP49" s="542">
        <v>0</v>
      </c>
      <c r="AQ49" s="542">
        <v>1572722.96</v>
      </c>
      <c r="AR49" s="542">
        <v>0</v>
      </c>
      <c r="AS49" s="542">
        <v>32096.39</v>
      </c>
      <c r="AT49" s="542">
        <v>1526701</v>
      </c>
      <c r="AU49" s="542">
        <v>0</v>
      </c>
      <c r="AV49" s="542">
        <v>31157</v>
      </c>
      <c r="AW49" s="542">
        <v>46022</v>
      </c>
      <c r="AX49" s="542">
        <v>0</v>
      </c>
      <c r="AY49" s="542">
        <v>939</v>
      </c>
      <c r="AZ49" s="542">
        <v>11323.28</v>
      </c>
      <c r="BA49" s="542">
        <v>0</v>
      </c>
      <c r="BB49" s="542">
        <v>231.09</v>
      </c>
      <c r="BC49" s="542">
        <v>0</v>
      </c>
      <c r="BD49" s="542">
        <v>0</v>
      </c>
      <c r="BE49" s="542">
        <v>0</v>
      </c>
      <c r="BF49" s="542">
        <v>11323</v>
      </c>
      <c r="BG49" s="542">
        <v>0</v>
      </c>
      <c r="BH49" s="542">
        <v>231</v>
      </c>
      <c r="BI49" s="542">
        <v>0</v>
      </c>
      <c r="BJ49" s="542">
        <v>0</v>
      </c>
      <c r="BK49" s="542">
        <v>0</v>
      </c>
      <c r="BL49" s="542">
        <v>0</v>
      </c>
      <c r="BM49" s="542">
        <v>0</v>
      </c>
      <c r="BN49" s="542">
        <v>0</v>
      </c>
      <c r="BO49" s="542">
        <v>0</v>
      </c>
      <c r="BP49" s="542">
        <v>0</v>
      </c>
      <c r="BQ49" s="542">
        <v>0</v>
      </c>
      <c r="BR49" s="542">
        <v>1820.86</v>
      </c>
      <c r="BS49" s="542">
        <v>0</v>
      </c>
      <c r="BT49" s="542">
        <v>37.159999999999997</v>
      </c>
      <c r="BU49" s="542">
        <v>0</v>
      </c>
      <c r="BV49" s="542">
        <v>0</v>
      </c>
      <c r="BW49" s="542">
        <v>0</v>
      </c>
      <c r="BX49" s="542">
        <v>1821</v>
      </c>
      <c r="BY49" s="542">
        <v>0</v>
      </c>
      <c r="BZ49" s="542">
        <v>37</v>
      </c>
      <c r="CA49" s="542">
        <v>318984.67</v>
      </c>
      <c r="CB49" s="542">
        <v>0</v>
      </c>
      <c r="CC49" s="542">
        <v>6509.89</v>
      </c>
      <c r="CD49" s="542">
        <v>495202</v>
      </c>
      <c r="CE49" s="542">
        <v>0</v>
      </c>
      <c r="CF49" s="542">
        <v>10106</v>
      </c>
      <c r="CG49" s="542">
        <v>-176217</v>
      </c>
      <c r="CH49" s="542">
        <v>0</v>
      </c>
      <c r="CI49" s="542">
        <v>-3596</v>
      </c>
      <c r="CJ49" s="542">
        <v>0</v>
      </c>
      <c r="CK49" s="542">
        <v>0</v>
      </c>
      <c r="CL49" s="542">
        <v>0</v>
      </c>
      <c r="CM49" s="542">
        <v>0</v>
      </c>
      <c r="CN49" s="542">
        <v>0</v>
      </c>
      <c r="CO49" s="542">
        <v>0</v>
      </c>
      <c r="CP49" s="542">
        <v>0</v>
      </c>
      <c r="CQ49" s="542">
        <v>0</v>
      </c>
      <c r="CR49" s="542">
        <v>0</v>
      </c>
      <c r="CS49" s="542">
        <v>0</v>
      </c>
      <c r="CT49" s="542">
        <v>0</v>
      </c>
      <c r="CU49" s="542">
        <v>0</v>
      </c>
      <c r="CV49" s="542">
        <v>297201.8</v>
      </c>
      <c r="CW49" s="542">
        <v>0</v>
      </c>
      <c r="CX49" s="542">
        <v>6065.34</v>
      </c>
      <c r="CY49" s="542">
        <v>308079</v>
      </c>
      <c r="CZ49" s="542">
        <v>0</v>
      </c>
      <c r="DA49" s="542">
        <v>6211</v>
      </c>
      <c r="DB49" s="542">
        <v>-10877</v>
      </c>
      <c r="DC49" s="542">
        <v>0</v>
      </c>
      <c r="DD49" s="542">
        <v>-146</v>
      </c>
      <c r="DE49" s="153" t="s">
        <v>644</v>
      </c>
      <c r="DF49" s="103" t="s">
        <v>763</v>
      </c>
      <c r="DG49" s="104" t="s">
        <v>781</v>
      </c>
      <c r="DH49" s="547"/>
      <c r="DI49" s="547"/>
    </row>
    <row r="50" spans="1:113" x14ac:dyDescent="0.2">
      <c r="A50" s="93">
        <v>44</v>
      </c>
      <c r="B50" s="145" t="s">
        <v>647</v>
      </c>
      <c r="C50" s="141" t="s">
        <v>866</v>
      </c>
      <c r="D50" s="142" t="s">
        <v>870</v>
      </c>
      <c r="E50" s="149" t="s">
        <v>646</v>
      </c>
      <c r="F50" s="542">
        <v>-1074086</v>
      </c>
      <c r="G50" s="542">
        <v>0</v>
      </c>
      <c r="H50" s="542">
        <v>-1074086</v>
      </c>
      <c r="I50" s="542">
        <v>107754</v>
      </c>
      <c r="J50" s="542">
        <v>0</v>
      </c>
      <c r="K50" s="542">
        <v>107754</v>
      </c>
      <c r="L50" s="542">
        <v>-1181840</v>
      </c>
      <c r="M50" s="542">
        <v>0</v>
      </c>
      <c r="N50" s="542">
        <v>-1181840</v>
      </c>
      <c r="O50" s="543">
        <v>0.5</v>
      </c>
      <c r="P50" s="543">
        <v>0.4</v>
      </c>
      <c r="Q50" s="543">
        <v>0.09</v>
      </c>
      <c r="R50" s="543">
        <v>0.01</v>
      </c>
      <c r="S50" s="542">
        <v>228269</v>
      </c>
      <c r="T50" s="542">
        <v>228269</v>
      </c>
      <c r="U50" s="542">
        <v>0</v>
      </c>
      <c r="V50" s="542">
        <v>0</v>
      </c>
      <c r="W50" s="542">
        <v>0</v>
      </c>
      <c r="X50" s="542">
        <v>0</v>
      </c>
      <c r="Y50" s="542">
        <v>0</v>
      </c>
      <c r="Z50" s="542">
        <v>0</v>
      </c>
      <c r="AA50" s="542">
        <v>0</v>
      </c>
      <c r="AB50" s="542">
        <v>0</v>
      </c>
      <c r="AC50" s="542">
        <v>0</v>
      </c>
      <c r="AD50" s="542">
        <v>0</v>
      </c>
      <c r="AE50" s="542">
        <v>0</v>
      </c>
      <c r="AF50" s="542">
        <v>0</v>
      </c>
      <c r="AG50" s="542">
        <v>0</v>
      </c>
      <c r="AH50" s="542">
        <v>0</v>
      </c>
      <c r="AI50" s="542">
        <v>0</v>
      </c>
      <c r="AJ50" s="542">
        <v>0</v>
      </c>
      <c r="AK50" s="542">
        <v>0</v>
      </c>
      <c r="AL50" s="542">
        <v>0</v>
      </c>
      <c r="AM50" s="542">
        <v>0</v>
      </c>
      <c r="AN50" s="542">
        <v>0</v>
      </c>
      <c r="AO50" s="542">
        <v>0</v>
      </c>
      <c r="AP50" s="542">
        <v>0</v>
      </c>
      <c r="AQ50" s="542">
        <v>278826.24699999997</v>
      </c>
      <c r="AR50" s="542">
        <v>62735.905599999998</v>
      </c>
      <c r="AS50" s="542">
        <v>6970.6561700000002</v>
      </c>
      <c r="AT50" s="542">
        <v>259193</v>
      </c>
      <c r="AU50" s="542">
        <v>58318</v>
      </c>
      <c r="AV50" s="542">
        <v>6480</v>
      </c>
      <c r="AW50" s="542">
        <v>19633</v>
      </c>
      <c r="AX50" s="542">
        <v>4418</v>
      </c>
      <c r="AY50" s="542">
        <v>491</v>
      </c>
      <c r="AZ50" s="542">
        <v>3954.7413999999999</v>
      </c>
      <c r="BA50" s="542">
        <v>889.81681500000002</v>
      </c>
      <c r="BB50" s="542">
        <v>98.868534999999994</v>
      </c>
      <c r="BC50" s="542">
        <v>0</v>
      </c>
      <c r="BD50" s="542">
        <v>0</v>
      </c>
      <c r="BE50" s="542">
        <v>0</v>
      </c>
      <c r="BF50" s="542">
        <v>3955</v>
      </c>
      <c r="BG50" s="542">
        <v>890</v>
      </c>
      <c r="BH50" s="542">
        <v>99</v>
      </c>
      <c r="BI50" s="542">
        <v>45942.590199999999</v>
      </c>
      <c r="BJ50" s="542">
        <v>10337.0828</v>
      </c>
      <c r="BK50" s="542">
        <v>1148.56475</v>
      </c>
      <c r="BL50" s="542">
        <v>35978</v>
      </c>
      <c r="BM50" s="542">
        <v>8095</v>
      </c>
      <c r="BN50" s="542">
        <v>899</v>
      </c>
      <c r="BO50" s="542">
        <v>9965</v>
      </c>
      <c r="BP50" s="542">
        <v>2242</v>
      </c>
      <c r="BQ50" s="542">
        <v>250</v>
      </c>
      <c r="BR50" s="542">
        <v>11882.415199999999</v>
      </c>
      <c r="BS50" s="542">
        <v>2673.5434300000002</v>
      </c>
      <c r="BT50" s="542">
        <v>297.060382</v>
      </c>
      <c r="BU50" s="542">
        <v>0</v>
      </c>
      <c r="BV50" s="542">
        <v>0</v>
      </c>
      <c r="BW50" s="542">
        <v>0</v>
      </c>
      <c r="BX50" s="542">
        <v>11882</v>
      </c>
      <c r="BY50" s="542">
        <v>2674</v>
      </c>
      <c r="BZ50" s="542">
        <v>297</v>
      </c>
      <c r="CA50" s="542">
        <v>291627.71600000001</v>
      </c>
      <c r="CB50" s="542">
        <v>65616.236099999995</v>
      </c>
      <c r="CC50" s="542">
        <v>7290.6929</v>
      </c>
      <c r="CD50" s="542">
        <v>315312</v>
      </c>
      <c r="CE50" s="542">
        <v>70945</v>
      </c>
      <c r="CF50" s="542">
        <v>7883</v>
      </c>
      <c r="CG50" s="542">
        <v>-23684</v>
      </c>
      <c r="CH50" s="542">
        <v>-5329</v>
      </c>
      <c r="CI50" s="542">
        <v>-592</v>
      </c>
      <c r="CJ50" s="542">
        <v>0</v>
      </c>
      <c r="CK50" s="542">
        <v>0</v>
      </c>
      <c r="CL50" s="542">
        <v>0</v>
      </c>
      <c r="CM50" s="542">
        <v>0</v>
      </c>
      <c r="CN50" s="542">
        <v>0</v>
      </c>
      <c r="CO50" s="542">
        <v>0</v>
      </c>
      <c r="CP50" s="542">
        <v>0</v>
      </c>
      <c r="CQ50" s="542">
        <v>0</v>
      </c>
      <c r="CR50" s="542">
        <v>0</v>
      </c>
      <c r="CS50" s="542">
        <v>0</v>
      </c>
      <c r="CT50" s="542">
        <v>0</v>
      </c>
      <c r="CU50" s="542">
        <v>0</v>
      </c>
      <c r="CV50" s="542">
        <v>386401.31199999998</v>
      </c>
      <c r="CW50" s="542">
        <v>86940.295199999993</v>
      </c>
      <c r="CX50" s="542">
        <v>9660.0328000000009</v>
      </c>
      <c r="CY50" s="542">
        <v>413532</v>
      </c>
      <c r="CZ50" s="542">
        <v>92499</v>
      </c>
      <c r="DA50" s="542">
        <v>10278</v>
      </c>
      <c r="DB50" s="542">
        <v>-27131</v>
      </c>
      <c r="DC50" s="542">
        <v>-5559</v>
      </c>
      <c r="DD50" s="542">
        <v>-618</v>
      </c>
      <c r="DE50" s="153" t="s">
        <v>646</v>
      </c>
      <c r="DF50" s="103" t="s">
        <v>790</v>
      </c>
      <c r="DG50" s="104" t="s">
        <v>791</v>
      </c>
      <c r="DH50" s="547"/>
      <c r="DI50" s="547"/>
    </row>
    <row r="51" spans="1:113" x14ac:dyDescent="0.2">
      <c r="A51" s="93">
        <v>45</v>
      </c>
      <c r="B51" s="145" t="s">
        <v>649</v>
      </c>
      <c r="C51" s="141" t="s">
        <v>877</v>
      </c>
      <c r="D51" s="142" t="s">
        <v>872</v>
      </c>
      <c r="E51" s="149" t="s">
        <v>648</v>
      </c>
      <c r="F51" s="542">
        <v>-7939172</v>
      </c>
      <c r="G51" s="542">
        <v>0</v>
      </c>
      <c r="H51" s="542">
        <v>-7939172</v>
      </c>
      <c r="I51" s="542">
        <v>982677</v>
      </c>
      <c r="J51" s="542">
        <v>0</v>
      </c>
      <c r="K51" s="542">
        <v>982677</v>
      </c>
      <c r="L51" s="542">
        <v>-8921849</v>
      </c>
      <c r="M51" s="542">
        <v>0</v>
      </c>
      <c r="N51" s="542">
        <v>-8921849</v>
      </c>
      <c r="O51" s="543">
        <v>0.5</v>
      </c>
      <c r="P51" s="543">
        <v>0.3</v>
      </c>
      <c r="Q51" s="543">
        <v>0.2</v>
      </c>
      <c r="R51" s="543">
        <v>0</v>
      </c>
      <c r="S51" s="542">
        <v>1190058</v>
      </c>
      <c r="T51" s="542">
        <v>1190058</v>
      </c>
      <c r="U51" s="542">
        <v>0</v>
      </c>
      <c r="V51" s="542">
        <v>0</v>
      </c>
      <c r="W51" s="542">
        <v>0</v>
      </c>
      <c r="X51" s="542">
        <v>0</v>
      </c>
      <c r="Y51" s="542">
        <v>0</v>
      </c>
      <c r="Z51" s="542">
        <v>0</v>
      </c>
      <c r="AA51" s="542">
        <v>0</v>
      </c>
      <c r="AB51" s="542">
        <v>0</v>
      </c>
      <c r="AC51" s="542">
        <v>0</v>
      </c>
      <c r="AD51" s="542">
        <v>0</v>
      </c>
      <c r="AE51" s="542">
        <v>0</v>
      </c>
      <c r="AF51" s="542">
        <v>0</v>
      </c>
      <c r="AG51" s="542">
        <v>0</v>
      </c>
      <c r="AH51" s="542">
        <v>0</v>
      </c>
      <c r="AI51" s="542">
        <v>0</v>
      </c>
      <c r="AJ51" s="542">
        <v>0</v>
      </c>
      <c r="AK51" s="542">
        <v>0</v>
      </c>
      <c r="AL51" s="542">
        <v>0</v>
      </c>
      <c r="AM51" s="542">
        <v>0</v>
      </c>
      <c r="AN51" s="542">
        <v>0</v>
      </c>
      <c r="AO51" s="542">
        <v>0</v>
      </c>
      <c r="AP51" s="542">
        <v>0</v>
      </c>
      <c r="AQ51" s="542">
        <v>457165.86200000002</v>
      </c>
      <c r="AR51" s="542">
        <v>304777.24099999998</v>
      </c>
      <c r="AS51" s="542">
        <v>0</v>
      </c>
      <c r="AT51" s="542">
        <v>436568</v>
      </c>
      <c r="AU51" s="542">
        <v>291046</v>
      </c>
      <c r="AV51" s="542">
        <v>0</v>
      </c>
      <c r="AW51" s="542">
        <v>20598</v>
      </c>
      <c r="AX51" s="542">
        <v>13731</v>
      </c>
      <c r="AY51" s="542">
        <v>0</v>
      </c>
      <c r="AZ51" s="542">
        <v>0</v>
      </c>
      <c r="BA51" s="542">
        <v>0</v>
      </c>
      <c r="BB51" s="542">
        <v>0</v>
      </c>
      <c r="BC51" s="542">
        <v>0</v>
      </c>
      <c r="BD51" s="542">
        <v>0</v>
      </c>
      <c r="BE51" s="542">
        <v>0</v>
      </c>
      <c r="BF51" s="542">
        <v>0</v>
      </c>
      <c r="BG51" s="542">
        <v>0</v>
      </c>
      <c r="BH51" s="542">
        <v>0</v>
      </c>
      <c r="BI51" s="542">
        <v>0</v>
      </c>
      <c r="BJ51" s="542">
        <v>0</v>
      </c>
      <c r="BK51" s="542">
        <v>0</v>
      </c>
      <c r="BL51" s="542">
        <v>0</v>
      </c>
      <c r="BM51" s="542">
        <v>0</v>
      </c>
      <c r="BN51" s="542">
        <v>0</v>
      </c>
      <c r="BO51" s="542">
        <v>0</v>
      </c>
      <c r="BP51" s="542">
        <v>0</v>
      </c>
      <c r="BQ51" s="542">
        <v>0</v>
      </c>
      <c r="BR51" s="542">
        <v>11024.0993</v>
      </c>
      <c r="BS51" s="542">
        <v>7349.3995699999996</v>
      </c>
      <c r="BT51" s="542">
        <v>0</v>
      </c>
      <c r="BU51" s="542">
        <v>224356.68700000001</v>
      </c>
      <c r="BV51" s="542">
        <v>149571.125</v>
      </c>
      <c r="BW51" s="542">
        <v>0</v>
      </c>
      <c r="BX51" s="542">
        <v>-213333</v>
      </c>
      <c r="BY51" s="542">
        <v>-142222</v>
      </c>
      <c r="BZ51" s="542">
        <v>0</v>
      </c>
      <c r="CA51" s="542">
        <v>766150.49899999995</v>
      </c>
      <c r="CB51" s="542">
        <v>510766.99900000001</v>
      </c>
      <c r="CC51" s="542">
        <v>0</v>
      </c>
      <c r="CD51" s="542">
        <v>691261.14599999995</v>
      </c>
      <c r="CE51" s="542">
        <v>460840.76400000002</v>
      </c>
      <c r="CF51" s="542">
        <v>0</v>
      </c>
      <c r="CG51" s="542">
        <v>74889</v>
      </c>
      <c r="CH51" s="542">
        <v>49926</v>
      </c>
      <c r="CI51" s="542">
        <v>0</v>
      </c>
      <c r="CJ51" s="542">
        <v>0</v>
      </c>
      <c r="CK51" s="542">
        <v>0</v>
      </c>
      <c r="CL51" s="542">
        <v>0</v>
      </c>
      <c r="CM51" s="542">
        <v>0</v>
      </c>
      <c r="CN51" s="542">
        <v>0</v>
      </c>
      <c r="CO51" s="542">
        <v>0</v>
      </c>
      <c r="CP51" s="542">
        <v>0</v>
      </c>
      <c r="CQ51" s="542">
        <v>0</v>
      </c>
      <c r="CR51" s="542">
        <v>0</v>
      </c>
      <c r="CS51" s="542">
        <v>0</v>
      </c>
      <c r="CT51" s="542">
        <v>0</v>
      </c>
      <c r="CU51" s="542">
        <v>0</v>
      </c>
      <c r="CV51" s="542">
        <v>1389880.65</v>
      </c>
      <c r="CW51" s="542">
        <v>926587.10100000002</v>
      </c>
      <c r="CX51" s="542">
        <v>0</v>
      </c>
      <c r="CY51" s="542">
        <v>1602842</v>
      </c>
      <c r="CZ51" s="542">
        <v>1060139</v>
      </c>
      <c r="DA51" s="542">
        <v>0</v>
      </c>
      <c r="DB51" s="542">
        <v>-212961</v>
      </c>
      <c r="DC51" s="542">
        <v>-133552</v>
      </c>
      <c r="DD51" s="542">
        <v>0</v>
      </c>
      <c r="DE51" s="153" t="s">
        <v>648</v>
      </c>
      <c r="DF51" s="103" t="s">
        <v>762</v>
      </c>
      <c r="DG51" s="103" t="s">
        <v>750</v>
      </c>
      <c r="DH51" s="547"/>
      <c r="DI51" s="547"/>
    </row>
    <row r="52" spans="1:113" x14ac:dyDescent="0.2">
      <c r="A52" s="93">
        <v>46</v>
      </c>
      <c r="B52" s="145" t="s">
        <v>651</v>
      </c>
      <c r="C52" s="141" t="s">
        <v>866</v>
      </c>
      <c r="D52" s="142" t="s">
        <v>876</v>
      </c>
      <c r="E52" s="149" t="s">
        <v>650</v>
      </c>
      <c r="F52" s="542">
        <v>224301</v>
      </c>
      <c r="G52" s="542">
        <v>0</v>
      </c>
      <c r="H52" s="542">
        <v>224301</v>
      </c>
      <c r="I52" s="542">
        <v>293042</v>
      </c>
      <c r="J52" s="542">
        <v>0</v>
      </c>
      <c r="K52" s="542">
        <v>293042</v>
      </c>
      <c r="L52" s="542">
        <v>-68741</v>
      </c>
      <c r="M52" s="542">
        <v>0</v>
      </c>
      <c r="N52" s="542">
        <v>-68741</v>
      </c>
      <c r="O52" s="543">
        <v>0.5</v>
      </c>
      <c r="P52" s="543">
        <v>0.4</v>
      </c>
      <c r="Q52" s="543">
        <v>0.09</v>
      </c>
      <c r="R52" s="543">
        <v>0.01</v>
      </c>
      <c r="S52" s="542">
        <v>139484</v>
      </c>
      <c r="T52" s="542">
        <v>139484</v>
      </c>
      <c r="U52" s="542">
        <v>0</v>
      </c>
      <c r="V52" s="542">
        <v>0</v>
      </c>
      <c r="W52" s="542">
        <v>0</v>
      </c>
      <c r="X52" s="542">
        <v>0</v>
      </c>
      <c r="Y52" s="542">
        <v>0</v>
      </c>
      <c r="Z52" s="542">
        <v>0</v>
      </c>
      <c r="AA52" s="542">
        <v>0</v>
      </c>
      <c r="AB52" s="542">
        <v>0</v>
      </c>
      <c r="AC52" s="542">
        <v>0</v>
      </c>
      <c r="AD52" s="542">
        <v>0</v>
      </c>
      <c r="AE52" s="542">
        <v>0</v>
      </c>
      <c r="AF52" s="542">
        <v>0</v>
      </c>
      <c r="AG52" s="542">
        <v>0</v>
      </c>
      <c r="AH52" s="542">
        <v>0</v>
      </c>
      <c r="AI52" s="542">
        <v>0</v>
      </c>
      <c r="AJ52" s="542">
        <v>0</v>
      </c>
      <c r="AK52" s="542">
        <v>0</v>
      </c>
      <c r="AL52" s="542">
        <v>0</v>
      </c>
      <c r="AM52" s="542">
        <v>0</v>
      </c>
      <c r="AN52" s="542">
        <v>0</v>
      </c>
      <c r="AO52" s="542">
        <v>0</v>
      </c>
      <c r="AP52" s="542">
        <v>0</v>
      </c>
      <c r="AQ52" s="542">
        <v>506392.04399999999</v>
      </c>
      <c r="AR52" s="542">
        <v>113938.209</v>
      </c>
      <c r="AS52" s="542">
        <v>12659.801100000001</v>
      </c>
      <c r="AT52" s="542">
        <v>450433</v>
      </c>
      <c r="AU52" s="542">
        <v>101347</v>
      </c>
      <c r="AV52" s="542">
        <v>11261</v>
      </c>
      <c r="AW52" s="542">
        <v>55959</v>
      </c>
      <c r="AX52" s="542">
        <v>12591</v>
      </c>
      <c r="AY52" s="542">
        <v>1399</v>
      </c>
      <c r="AZ52" s="542">
        <v>0</v>
      </c>
      <c r="BA52" s="542">
        <v>0</v>
      </c>
      <c r="BB52" s="542">
        <v>0</v>
      </c>
      <c r="BC52" s="542">
        <v>0</v>
      </c>
      <c r="BD52" s="542">
        <v>0</v>
      </c>
      <c r="BE52" s="542">
        <v>0</v>
      </c>
      <c r="BF52" s="542">
        <v>0</v>
      </c>
      <c r="BG52" s="542">
        <v>0</v>
      </c>
      <c r="BH52" s="542">
        <v>0</v>
      </c>
      <c r="BI52" s="542">
        <v>0</v>
      </c>
      <c r="BJ52" s="542">
        <v>0</v>
      </c>
      <c r="BK52" s="542">
        <v>0</v>
      </c>
      <c r="BL52" s="542">
        <v>0</v>
      </c>
      <c r="BM52" s="542">
        <v>0</v>
      </c>
      <c r="BN52" s="542">
        <v>0</v>
      </c>
      <c r="BO52" s="542">
        <v>0</v>
      </c>
      <c r="BP52" s="542">
        <v>0</v>
      </c>
      <c r="BQ52" s="542">
        <v>0</v>
      </c>
      <c r="BR52" s="542">
        <v>0</v>
      </c>
      <c r="BS52" s="542">
        <v>0</v>
      </c>
      <c r="BT52" s="542">
        <v>0</v>
      </c>
      <c r="BU52" s="542">
        <v>0</v>
      </c>
      <c r="BV52" s="542">
        <v>0</v>
      </c>
      <c r="BW52" s="542">
        <v>0</v>
      </c>
      <c r="BX52" s="542">
        <v>0</v>
      </c>
      <c r="BY52" s="542">
        <v>0</v>
      </c>
      <c r="BZ52" s="542">
        <v>0</v>
      </c>
      <c r="CA52" s="542">
        <v>83579.131999999998</v>
      </c>
      <c r="CB52" s="542">
        <v>18805.304700000001</v>
      </c>
      <c r="CC52" s="542">
        <v>2089.4783000000002</v>
      </c>
      <c r="CD52" s="542">
        <v>192326</v>
      </c>
      <c r="CE52" s="542">
        <v>43273</v>
      </c>
      <c r="CF52" s="542">
        <v>4808</v>
      </c>
      <c r="CG52" s="542">
        <v>-108747</v>
      </c>
      <c r="CH52" s="542">
        <v>-24468</v>
      </c>
      <c r="CI52" s="542">
        <v>-2719</v>
      </c>
      <c r="CJ52" s="542">
        <v>0</v>
      </c>
      <c r="CK52" s="542">
        <v>0</v>
      </c>
      <c r="CL52" s="542">
        <v>0</v>
      </c>
      <c r="CM52" s="542">
        <v>0</v>
      </c>
      <c r="CN52" s="542">
        <v>0</v>
      </c>
      <c r="CO52" s="542">
        <v>0</v>
      </c>
      <c r="CP52" s="542">
        <v>0</v>
      </c>
      <c r="CQ52" s="542">
        <v>0</v>
      </c>
      <c r="CR52" s="542">
        <v>0</v>
      </c>
      <c r="CS52" s="542">
        <v>0</v>
      </c>
      <c r="CT52" s="542">
        <v>0</v>
      </c>
      <c r="CU52" s="542">
        <v>0</v>
      </c>
      <c r="CV52" s="542">
        <v>134021.261</v>
      </c>
      <c r="CW52" s="542">
        <v>30154.7837</v>
      </c>
      <c r="CX52" s="542">
        <v>3350.53152</v>
      </c>
      <c r="CY52" s="542">
        <v>150955</v>
      </c>
      <c r="CZ52" s="542">
        <v>33632</v>
      </c>
      <c r="DA52" s="542">
        <v>3737</v>
      </c>
      <c r="DB52" s="542">
        <v>-16934</v>
      </c>
      <c r="DC52" s="542">
        <v>-3477</v>
      </c>
      <c r="DD52" s="542">
        <v>-386</v>
      </c>
      <c r="DE52" s="153" t="s">
        <v>650</v>
      </c>
      <c r="DF52" s="103" t="s">
        <v>792</v>
      </c>
      <c r="DG52" s="104" t="s">
        <v>793</v>
      </c>
      <c r="DH52" s="547"/>
      <c r="DI52" s="547"/>
    </row>
    <row r="53" spans="1:113" x14ac:dyDescent="0.2">
      <c r="A53" s="93">
        <v>47</v>
      </c>
      <c r="B53" s="145" t="s">
        <v>653</v>
      </c>
      <c r="C53" s="141" t="s">
        <v>866</v>
      </c>
      <c r="D53" s="142" t="s">
        <v>867</v>
      </c>
      <c r="E53" s="149" t="s">
        <v>652</v>
      </c>
      <c r="F53" s="542">
        <v>-48342</v>
      </c>
      <c r="G53" s="542">
        <v>0</v>
      </c>
      <c r="H53" s="542">
        <v>-48342</v>
      </c>
      <c r="I53" s="542">
        <v>56576</v>
      </c>
      <c r="J53" s="542">
        <v>0</v>
      </c>
      <c r="K53" s="542">
        <v>56576</v>
      </c>
      <c r="L53" s="542">
        <v>-104918</v>
      </c>
      <c r="M53" s="542">
        <v>0</v>
      </c>
      <c r="N53" s="542">
        <v>-104918</v>
      </c>
      <c r="O53" s="543">
        <v>0.5</v>
      </c>
      <c r="P53" s="543">
        <v>0.4</v>
      </c>
      <c r="Q53" s="543">
        <v>0.09</v>
      </c>
      <c r="R53" s="543">
        <v>0.01</v>
      </c>
      <c r="S53" s="542">
        <v>229868</v>
      </c>
      <c r="T53" s="542">
        <v>229868</v>
      </c>
      <c r="U53" s="542">
        <v>0</v>
      </c>
      <c r="V53" s="542">
        <v>0</v>
      </c>
      <c r="W53" s="542">
        <v>0</v>
      </c>
      <c r="X53" s="542">
        <v>0</v>
      </c>
      <c r="Y53" s="542">
        <v>0</v>
      </c>
      <c r="Z53" s="542">
        <v>0</v>
      </c>
      <c r="AA53" s="542">
        <v>0</v>
      </c>
      <c r="AB53" s="542">
        <v>0</v>
      </c>
      <c r="AC53" s="542">
        <v>0</v>
      </c>
      <c r="AD53" s="542">
        <v>0</v>
      </c>
      <c r="AE53" s="542">
        <v>0</v>
      </c>
      <c r="AF53" s="542">
        <v>0</v>
      </c>
      <c r="AG53" s="542">
        <v>0</v>
      </c>
      <c r="AH53" s="542">
        <v>0</v>
      </c>
      <c r="AI53" s="542">
        <v>0</v>
      </c>
      <c r="AJ53" s="542">
        <v>0</v>
      </c>
      <c r="AK53" s="542">
        <v>0</v>
      </c>
      <c r="AL53" s="542">
        <v>0</v>
      </c>
      <c r="AM53" s="542">
        <v>0</v>
      </c>
      <c r="AN53" s="542">
        <v>0</v>
      </c>
      <c r="AO53" s="542">
        <v>0</v>
      </c>
      <c r="AP53" s="542">
        <v>0</v>
      </c>
      <c r="AQ53" s="542">
        <v>678938.91099999996</v>
      </c>
      <c r="AR53" s="542">
        <v>152761.255</v>
      </c>
      <c r="AS53" s="542">
        <v>16973.472699999998</v>
      </c>
      <c r="AT53" s="542">
        <v>623699</v>
      </c>
      <c r="AU53" s="542">
        <v>140332</v>
      </c>
      <c r="AV53" s="542">
        <v>15592</v>
      </c>
      <c r="AW53" s="542">
        <v>55240</v>
      </c>
      <c r="AX53" s="542">
        <v>12429</v>
      </c>
      <c r="AY53" s="542">
        <v>1381</v>
      </c>
      <c r="AZ53" s="542">
        <v>4831.55159</v>
      </c>
      <c r="BA53" s="542">
        <v>1087.0990999999999</v>
      </c>
      <c r="BB53" s="542">
        <v>120.78878899999999</v>
      </c>
      <c r="BC53" s="542">
        <v>1416</v>
      </c>
      <c r="BD53" s="542">
        <v>318</v>
      </c>
      <c r="BE53" s="542">
        <v>35</v>
      </c>
      <c r="BF53" s="542">
        <v>3416</v>
      </c>
      <c r="BG53" s="542">
        <v>769</v>
      </c>
      <c r="BH53" s="542">
        <v>86</v>
      </c>
      <c r="BI53" s="542">
        <v>0</v>
      </c>
      <c r="BJ53" s="542">
        <v>0</v>
      </c>
      <c r="BK53" s="542">
        <v>0</v>
      </c>
      <c r="BL53" s="542">
        <v>0</v>
      </c>
      <c r="BM53" s="542">
        <v>0</v>
      </c>
      <c r="BN53" s="542">
        <v>0</v>
      </c>
      <c r="BO53" s="542">
        <v>0</v>
      </c>
      <c r="BP53" s="542">
        <v>0</v>
      </c>
      <c r="BQ53" s="542">
        <v>0</v>
      </c>
      <c r="BR53" s="542">
        <v>0</v>
      </c>
      <c r="BS53" s="542">
        <v>0</v>
      </c>
      <c r="BT53" s="542">
        <v>0</v>
      </c>
      <c r="BU53" s="542">
        <v>40424.628400000001</v>
      </c>
      <c r="BV53" s="542">
        <v>9095.5414000000001</v>
      </c>
      <c r="BW53" s="542">
        <v>1010.61571</v>
      </c>
      <c r="BX53" s="542">
        <v>-40425</v>
      </c>
      <c r="BY53" s="542">
        <v>-9096</v>
      </c>
      <c r="BZ53" s="542">
        <v>-1011</v>
      </c>
      <c r="CA53" s="542">
        <v>307477.80800000002</v>
      </c>
      <c r="CB53" s="542">
        <v>69182.506999999998</v>
      </c>
      <c r="CC53" s="542">
        <v>7686.9452199999996</v>
      </c>
      <c r="CD53" s="542">
        <v>360385.56199999998</v>
      </c>
      <c r="CE53" s="542">
        <v>81086.751499999998</v>
      </c>
      <c r="CF53" s="542">
        <v>9009.6390599999995</v>
      </c>
      <c r="CG53" s="542">
        <v>-52908</v>
      </c>
      <c r="CH53" s="542">
        <v>-11904</v>
      </c>
      <c r="CI53" s="542">
        <v>-1323</v>
      </c>
      <c r="CJ53" s="542">
        <v>2255.6</v>
      </c>
      <c r="CK53" s="542">
        <v>507.51</v>
      </c>
      <c r="CL53" s="542">
        <v>56.39</v>
      </c>
      <c r="CM53" s="542">
        <v>0</v>
      </c>
      <c r="CN53" s="542">
        <v>0</v>
      </c>
      <c r="CO53" s="542">
        <v>0</v>
      </c>
      <c r="CP53" s="542">
        <v>3837</v>
      </c>
      <c r="CQ53" s="542">
        <v>863.28</v>
      </c>
      <c r="CR53" s="542">
        <v>95.92</v>
      </c>
      <c r="CS53" s="542">
        <v>-1581</v>
      </c>
      <c r="CT53" s="542">
        <v>-356</v>
      </c>
      <c r="CU53" s="542">
        <v>-40</v>
      </c>
      <c r="CV53" s="542">
        <v>196254.31</v>
      </c>
      <c r="CW53" s="542">
        <v>44157.219700000001</v>
      </c>
      <c r="CX53" s="542">
        <v>4906.3577400000004</v>
      </c>
      <c r="CY53" s="542">
        <v>218983</v>
      </c>
      <c r="CZ53" s="542">
        <v>48722</v>
      </c>
      <c r="DA53" s="542">
        <v>5414</v>
      </c>
      <c r="DB53" s="542">
        <v>-22729</v>
      </c>
      <c r="DC53" s="542">
        <v>-4565</v>
      </c>
      <c r="DD53" s="542">
        <v>-508</v>
      </c>
      <c r="DE53" s="153" t="s">
        <v>652</v>
      </c>
      <c r="DF53" s="103" t="s">
        <v>757</v>
      </c>
      <c r="DG53" s="104" t="s">
        <v>758</v>
      </c>
      <c r="DH53" s="547"/>
      <c r="DI53" s="547"/>
    </row>
    <row r="54" spans="1:113" x14ac:dyDescent="0.2">
      <c r="A54" s="93">
        <v>48</v>
      </c>
      <c r="B54" s="145" t="s">
        <v>655</v>
      </c>
      <c r="C54" s="141" t="s">
        <v>866</v>
      </c>
      <c r="D54" s="142" t="s">
        <v>868</v>
      </c>
      <c r="E54" s="149" t="s">
        <v>654</v>
      </c>
      <c r="F54" s="542">
        <v>-276144</v>
      </c>
      <c r="G54" s="542">
        <v>0</v>
      </c>
      <c r="H54" s="542">
        <v>-276144</v>
      </c>
      <c r="I54" s="542">
        <v>23291</v>
      </c>
      <c r="J54" s="542">
        <v>0</v>
      </c>
      <c r="K54" s="542">
        <v>23291</v>
      </c>
      <c r="L54" s="542">
        <v>-299435</v>
      </c>
      <c r="M54" s="542">
        <v>0</v>
      </c>
      <c r="N54" s="542">
        <v>-299435</v>
      </c>
      <c r="O54" s="543">
        <v>0.5</v>
      </c>
      <c r="P54" s="543">
        <v>0.4</v>
      </c>
      <c r="Q54" s="543">
        <v>0.1</v>
      </c>
      <c r="R54" s="543">
        <v>0</v>
      </c>
      <c r="S54" s="542">
        <v>180284</v>
      </c>
      <c r="T54" s="542">
        <v>180284</v>
      </c>
      <c r="U54" s="542">
        <v>0</v>
      </c>
      <c r="V54" s="542">
        <v>0</v>
      </c>
      <c r="W54" s="542">
        <v>0</v>
      </c>
      <c r="X54" s="542">
        <v>0</v>
      </c>
      <c r="Y54" s="542">
        <v>16524</v>
      </c>
      <c r="Z54" s="542">
        <v>0</v>
      </c>
      <c r="AA54" s="542">
        <v>0</v>
      </c>
      <c r="AB54" s="542">
        <v>0</v>
      </c>
      <c r="AC54" s="542">
        <v>16524</v>
      </c>
      <c r="AD54" s="542">
        <v>0</v>
      </c>
      <c r="AE54" s="542">
        <v>0</v>
      </c>
      <c r="AF54" s="542">
        <v>0</v>
      </c>
      <c r="AG54" s="542">
        <v>0</v>
      </c>
      <c r="AH54" s="542">
        <v>0</v>
      </c>
      <c r="AI54" s="542">
        <v>0</v>
      </c>
      <c r="AJ54" s="542">
        <v>0</v>
      </c>
      <c r="AK54" s="542">
        <v>0</v>
      </c>
      <c r="AL54" s="542">
        <v>0</v>
      </c>
      <c r="AM54" s="542">
        <v>0</v>
      </c>
      <c r="AN54" s="542">
        <v>0</v>
      </c>
      <c r="AO54" s="542">
        <v>0</v>
      </c>
      <c r="AP54" s="542">
        <v>0</v>
      </c>
      <c r="AQ54" s="542">
        <v>508275.62900000002</v>
      </c>
      <c r="AR54" s="542">
        <v>127068.90700000001</v>
      </c>
      <c r="AS54" s="542">
        <v>0</v>
      </c>
      <c r="AT54" s="542">
        <v>476999</v>
      </c>
      <c r="AU54" s="542">
        <v>119250</v>
      </c>
      <c r="AV54" s="542">
        <v>0</v>
      </c>
      <c r="AW54" s="542">
        <v>31277</v>
      </c>
      <c r="AX54" s="542">
        <v>7819</v>
      </c>
      <c r="AY54" s="542">
        <v>0</v>
      </c>
      <c r="AZ54" s="542">
        <v>746.64288699999997</v>
      </c>
      <c r="BA54" s="542">
        <v>186.660721</v>
      </c>
      <c r="BB54" s="542">
        <v>0</v>
      </c>
      <c r="BC54" s="542">
        <v>6064</v>
      </c>
      <c r="BD54" s="542">
        <v>1516</v>
      </c>
      <c r="BE54" s="542">
        <v>0</v>
      </c>
      <c r="BF54" s="542">
        <v>-5317</v>
      </c>
      <c r="BG54" s="542">
        <v>-1329</v>
      </c>
      <c r="BH54" s="542">
        <v>0</v>
      </c>
      <c r="BI54" s="542">
        <v>1262.0569</v>
      </c>
      <c r="BJ54" s="542">
        <v>315.51422500000001</v>
      </c>
      <c r="BK54" s="542">
        <v>0</v>
      </c>
      <c r="BL54" s="542">
        <v>0</v>
      </c>
      <c r="BM54" s="542">
        <v>0</v>
      </c>
      <c r="BN54" s="542">
        <v>0</v>
      </c>
      <c r="BO54" s="542">
        <v>1262</v>
      </c>
      <c r="BP54" s="542">
        <v>316</v>
      </c>
      <c r="BQ54" s="542">
        <v>0</v>
      </c>
      <c r="BR54" s="542">
        <v>4522.3031799999999</v>
      </c>
      <c r="BS54" s="542">
        <v>1130.5757900000001</v>
      </c>
      <c r="BT54" s="542">
        <v>0</v>
      </c>
      <c r="BU54" s="542">
        <v>14686</v>
      </c>
      <c r="BV54" s="542">
        <v>3671</v>
      </c>
      <c r="BW54" s="542">
        <v>0</v>
      </c>
      <c r="BX54" s="542">
        <v>-10164</v>
      </c>
      <c r="BY54" s="542">
        <v>-2540</v>
      </c>
      <c r="BZ54" s="542">
        <v>0</v>
      </c>
      <c r="CA54" s="542">
        <v>203704.55300000001</v>
      </c>
      <c r="CB54" s="542">
        <v>50926.138400000003</v>
      </c>
      <c r="CC54" s="542">
        <v>0</v>
      </c>
      <c r="CD54" s="542">
        <v>251918</v>
      </c>
      <c r="CE54" s="542">
        <v>62980</v>
      </c>
      <c r="CF54" s="542">
        <v>0</v>
      </c>
      <c r="CG54" s="542">
        <v>-48213</v>
      </c>
      <c r="CH54" s="542">
        <v>-12054</v>
      </c>
      <c r="CI54" s="542">
        <v>0</v>
      </c>
      <c r="CJ54" s="542">
        <v>0</v>
      </c>
      <c r="CK54" s="542">
        <v>0</v>
      </c>
      <c r="CL54" s="542">
        <v>0</v>
      </c>
      <c r="CM54" s="542">
        <v>0</v>
      </c>
      <c r="CN54" s="542">
        <v>0</v>
      </c>
      <c r="CO54" s="542">
        <v>0</v>
      </c>
      <c r="CP54" s="542">
        <v>0</v>
      </c>
      <c r="CQ54" s="542">
        <v>0</v>
      </c>
      <c r="CR54" s="542">
        <v>0</v>
      </c>
      <c r="CS54" s="542">
        <v>0</v>
      </c>
      <c r="CT54" s="542">
        <v>0</v>
      </c>
      <c r="CU54" s="542">
        <v>0</v>
      </c>
      <c r="CV54" s="542">
        <v>171397.53700000001</v>
      </c>
      <c r="CW54" s="542">
        <v>42805.530700000003</v>
      </c>
      <c r="CX54" s="542">
        <v>0</v>
      </c>
      <c r="CY54" s="542">
        <v>177670</v>
      </c>
      <c r="CZ54" s="542">
        <v>43939</v>
      </c>
      <c r="DA54" s="542">
        <v>0</v>
      </c>
      <c r="DB54" s="542">
        <v>-6272</v>
      </c>
      <c r="DC54" s="542">
        <v>-1133</v>
      </c>
      <c r="DD54" s="542">
        <v>0</v>
      </c>
      <c r="DE54" s="153" t="s">
        <v>654</v>
      </c>
      <c r="DF54" s="103" t="s">
        <v>752</v>
      </c>
      <c r="DG54" s="104" t="s">
        <v>751</v>
      </c>
      <c r="DH54" s="547"/>
      <c r="DI54" s="547"/>
    </row>
    <row r="55" spans="1:113" x14ac:dyDescent="0.2">
      <c r="A55" s="93">
        <v>49</v>
      </c>
      <c r="B55" s="145" t="s">
        <v>657</v>
      </c>
      <c r="C55" s="141" t="s">
        <v>866</v>
      </c>
      <c r="D55" s="142" t="s">
        <v>870</v>
      </c>
      <c r="E55" s="149" t="s">
        <v>656</v>
      </c>
      <c r="F55" s="542">
        <v>101743</v>
      </c>
      <c r="G55" s="542">
        <v>0</v>
      </c>
      <c r="H55" s="542">
        <v>101743</v>
      </c>
      <c r="I55" s="542">
        <v>107785</v>
      </c>
      <c r="J55" s="542">
        <v>0</v>
      </c>
      <c r="K55" s="542">
        <v>107785</v>
      </c>
      <c r="L55" s="542">
        <v>-6042</v>
      </c>
      <c r="M55" s="542">
        <v>0</v>
      </c>
      <c r="N55" s="542">
        <v>-6042</v>
      </c>
      <c r="O55" s="543">
        <v>0.5</v>
      </c>
      <c r="P55" s="543">
        <v>0.4</v>
      </c>
      <c r="Q55" s="543">
        <v>0.09</v>
      </c>
      <c r="R55" s="543">
        <v>0.01</v>
      </c>
      <c r="S55" s="542">
        <v>82932</v>
      </c>
      <c r="T55" s="542">
        <v>82932</v>
      </c>
      <c r="U55" s="542">
        <v>0</v>
      </c>
      <c r="V55" s="542">
        <v>0</v>
      </c>
      <c r="W55" s="542">
        <v>0</v>
      </c>
      <c r="X55" s="542">
        <v>0</v>
      </c>
      <c r="Y55" s="542">
        <v>0</v>
      </c>
      <c r="Z55" s="542">
        <v>0</v>
      </c>
      <c r="AA55" s="542">
        <v>0</v>
      </c>
      <c r="AB55" s="542">
        <v>0</v>
      </c>
      <c r="AC55" s="542">
        <v>0</v>
      </c>
      <c r="AD55" s="542">
        <v>0</v>
      </c>
      <c r="AE55" s="542">
        <v>0</v>
      </c>
      <c r="AF55" s="542">
        <v>0</v>
      </c>
      <c r="AG55" s="542">
        <v>0</v>
      </c>
      <c r="AH55" s="542">
        <v>0</v>
      </c>
      <c r="AI55" s="542">
        <v>0</v>
      </c>
      <c r="AJ55" s="542">
        <v>0</v>
      </c>
      <c r="AK55" s="542">
        <v>0</v>
      </c>
      <c r="AL55" s="542">
        <v>0</v>
      </c>
      <c r="AM55" s="542">
        <v>0</v>
      </c>
      <c r="AN55" s="542">
        <v>0</v>
      </c>
      <c r="AO55" s="542">
        <v>0</v>
      </c>
      <c r="AP55" s="542">
        <v>0</v>
      </c>
      <c r="AQ55" s="542">
        <v>365132.424</v>
      </c>
      <c r="AR55" s="542">
        <v>82154.795499999993</v>
      </c>
      <c r="AS55" s="542">
        <v>9128.3106100000005</v>
      </c>
      <c r="AT55" s="542">
        <v>335855</v>
      </c>
      <c r="AU55" s="542">
        <v>75567</v>
      </c>
      <c r="AV55" s="542">
        <v>8396</v>
      </c>
      <c r="AW55" s="542">
        <v>29277</v>
      </c>
      <c r="AX55" s="542">
        <v>6588</v>
      </c>
      <c r="AY55" s="542">
        <v>732</v>
      </c>
      <c r="AZ55" s="542">
        <v>1884.19193</v>
      </c>
      <c r="BA55" s="542">
        <v>423.94318399999997</v>
      </c>
      <c r="BB55" s="542">
        <v>47.104798299999999</v>
      </c>
      <c r="BC55" s="542">
        <v>13684</v>
      </c>
      <c r="BD55" s="542">
        <v>3079</v>
      </c>
      <c r="BE55" s="542">
        <v>342</v>
      </c>
      <c r="BF55" s="542">
        <v>-11800</v>
      </c>
      <c r="BG55" s="542">
        <v>-2655</v>
      </c>
      <c r="BH55" s="542">
        <v>-295</v>
      </c>
      <c r="BI55" s="542">
        <v>940.27685699999995</v>
      </c>
      <c r="BJ55" s="542">
        <v>211.56229300000001</v>
      </c>
      <c r="BK55" s="542">
        <v>23.5069214</v>
      </c>
      <c r="BL55" s="542">
        <v>3032</v>
      </c>
      <c r="BM55" s="542">
        <v>682</v>
      </c>
      <c r="BN55" s="542">
        <v>76</v>
      </c>
      <c r="BO55" s="542">
        <v>-2092</v>
      </c>
      <c r="BP55" s="542">
        <v>-470</v>
      </c>
      <c r="BQ55" s="542">
        <v>-52</v>
      </c>
      <c r="BR55" s="542">
        <v>1777.47091</v>
      </c>
      <c r="BS55" s="542">
        <v>399.93095499999998</v>
      </c>
      <c r="BT55" s="542">
        <v>44.4367728</v>
      </c>
      <c r="BU55" s="542">
        <v>15862</v>
      </c>
      <c r="BV55" s="542">
        <v>3569</v>
      </c>
      <c r="BW55" s="542">
        <v>397</v>
      </c>
      <c r="BX55" s="542">
        <v>-14085</v>
      </c>
      <c r="BY55" s="542">
        <v>-3169</v>
      </c>
      <c r="BZ55" s="542">
        <v>-353</v>
      </c>
      <c r="CA55" s="542">
        <v>135436.24900000001</v>
      </c>
      <c r="CB55" s="542">
        <v>30473.1561</v>
      </c>
      <c r="CC55" s="542">
        <v>3385.9062399999998</v>
      </c>
      <c r="CD55" s="542">
        <v>173624</v>
      </c>
      <c r="CE55" s="542">
        <v>39065</v>
      </c>
      <c r="CF55" s="542">
        <v>4341</v>
      </c>
      <c r="CG55" s="542">
        <v>-38188</v>
      </c>
      <c r="CH55" s="542">
        <v>-8592</v>
      </c>
      <c r="CI55" s="542">
        <v>-955</v>
      </c>
      <c r="CJ55" s="542">
        <v>0</v>
      </c>
      <c r="CK55" s="542">
        <v>0</v>
      </c>
      <c r="CL55" s="542">
        <v>0</v>
      </c>
      <c r="CM55" s="542">
        <v>0</v>
      </c>
      <c r="CN55" s="542">
        <v>0</v>
      </c>
      <c r="CO55" s="542">
        <v>0</v>
      </c>
      <c r="CP55" s="542">
        <v>0</v>
      </c>
      <c r="CQ55" s="542">
        <v>0</v>
      </c>
      <c r="CR55" s="542">
        <v>0</v>
      </c>
      <c r="CS55" s="542">
        <v>0</v>
      </c>
      <c r="CT55" s="542">
        <v>0</v>
      </c>
      <c r="CU55" s="542">
        <v>0</v>
      </c>
      <c r="CV55" s="542">
        <v>54272.250500000002</v>
      </c>
      <c r="CW55" s="542">
        <v>12211.256299999999</v>
      </c>
      <c r="CX55" s="542">
        <v>1356.8062600000001</v>
      </c>
      <c r="CY55" s="542">
        <v>64339</v>
      </c>
      <c r="CZ55" s="542">
        <v>14278</v>
      </c>
      <c r="DA55" s="542">
        <v>1586</v>
      </c>
      <c r="DB55" s="542">
        <v>-10067</v>
      </c>
      <c r="DC55" s="542">
        <v>-2067</v>
      </c>
      <c r="DD55" s="542">
        <v>-229</v>
      </c>
      <c r="DE55" s="153" t="s">
        <v>656</v>
      </c>
      <c r="DF55" s="103" t="s">
        <v>765</v>
      </c>
      <c r="DG55" s="104" t="s">
        <v>766</v>
      </c>
      <c r="DH55" s="547"/>
      <c r="DI55" s="547"/>
    </row>
    <row r="56" spans="1:113" x14ac:dyDescent="0.2">
      <c r="A56" s="93">
        <v>50</v>
      </c>
      <c r="B56" s="145" t="s">
        <v>659</v>
      </c>
      <c r="C56" s="141" t="s">
        <v>770</v>
      </c>
      <c r="D56" s="142" t="s">
        <v>870</v>
      </c>
      <c r="E56" s="149" t="s">
        <v>658</v>
      </c>
      <c r="F56" s="542">
        <v>-140494</v>
      </c>
      <c r="G56" s="542">
        <v>0</v>
      </c>
      <c r="H56" s="542">
        <v>-140494</v>
      </c>
      <c r="I56" s="542">
        <v>199767</v>
      </c>
      <c r="J56" s="542">
        <v>0</v>
      </c>
      <c r="K56" s="542">
        <v>199767</v>
      </c>
      <c r="L56" s="542">
        <v>-340261</v>
      </c>
      <c r="M56" s="542">
        <v>0</v>
      </c>
      <c r="N56" s="542">
        <v>-340261</v>
      </c>
      <c r="O56" s="543">
        <v>0.5</v>
      </c>
      <c r="P56" s="543">
        <v>0.49</v>
      </c>
      <c r="Q56" s="543">
        <v>0</v>
      </c>
      <c r="R56" s="543">
        <v>0.01</v>
      </c>
      <c r="S56" s="542">
        <v>314370</v>
      </c>
      <c r="T56" s="542">
        <v>314370</v>
      </c>
      <c r="U56" s="542">
        <v>0</v>
      </c>
      <c r="V56" s="542">
        <v>0</v>
      </c>
      <c r="W56" s="542">
        <v>0</v>
      </c>
      <c r="X56" s="542">
        <v>0</v>
      </c>
      <c r="Y56" s="542">
        <v>348150</v>
      </c>
      <c r="Z56" s="542">
        <v>0</v>
      </c>
      <c r="AA56" s="542">
        <v>0</v>
      </c>
      <c r="AB56" s="542">
        <v>0</v>
      </c>
      <c r="AC56" s="542">
        <v>348150</v>
      </c>
      <c r="AD56" s="542">
        <v>0</v>
      </c>
      <c r="AE56" s="542">
        <v>0</v>
      </c>
      <c r="AF56" s="542">
        <v>0</v>
      </c>
      <c r="AG56" s="542">
        <v>0</v>
      </c>
      <c r="AH56" s="542">
        <v>0</v>
      </c>
      <c r="AI56" s="542">
        <v>0</v>
      </c>
      <c r="AJ56" s="542">
        <v>0</v>
      </c>
      <c r="AK56" s="542">
        <v>0</v>
      </c>
      <c r="AL56" s="542">
        <v>0</v>
      </c>
      <c r="AM56" s="542">
        <v>0</v>
      </c>
      <c r="AN56" s="542">
        <v>0</v>
      </c>
      <c r="AO56" s="542">
        <v>0</v>
      </c>
      <c r="AP56" s="542">
        <v>0</v>
      </c>
      <c r="AQ56" s="542">
        <v>1125036.3600000001</v>
      </c>
      <c r="AR56" s="542">
        <v>0</v>
      </c>
      <c r="AS56" s="542">
        <v>22959.93</v>
      </c>
      <c r="AT56" s="542">
        <v>1071210</v>
      </c>
      <c r="AU56" s="542">
        <v>0</v>
      </c>
      <c r="AV56" s="542">
        <v>21861</v>
      </c>
      <c r="AW56" s="542">
        <v>53826</v>
      </c>
      <c r="AX56" s="542">
        <v>0</v>
      </c>
      <c r="AY56" s="542">
        <v>1099</v>
      </c>
      <c r="AZ56" s="542">
        <v>0</v>
      </c>
      <c r="BA56" s="542">
        <v>0</v>
      </c>
      <c r="BB56" s="542">
        <v>0</v>
      </c>
      <c r="BC56" s="542">
        <v>-34986</v>
      </c>
      <c r="BD56" s="542">
        <v>0</v>
      </c>
      <c r="BE56" s="542">
        <v>-714</v>
      </c>
      <c r="BF56" s="542">
        <v>34986</v>
      </c>
      <c r="BG56" s="542">
        <v>0</v>
      </c>
      <c r="BH56" s="542">
        <v>714</v>
      </c>
      <c r="BI56" s="542">
        <v>8472.41</v>
      </c>
      <c r="BJ56" s="542">
        <v>0</v>
      </c>
      <c r="BK56" s="542">
        <v>172.91</v>
      </c>
      <c r="BL56" s="542">
        <v>0</v>
      </c>
      <c r="BM56" s="542">
        <v>0</v>
      </c>
      <c r="BN56" s="542">
        <v>0</v>
      </c>
      <c r="BO56" s="542">
        <v>8472</v>
      </c>
      <c r="BP56" s="542">
        <v>0</v>
      </c>
      <c r="BQ56" s="542">
        <v>173</v>
      </c>
      <c r="BR56" s="542">
        <v>5132.2700000000004</v>
      </c>
      <c r="BS56" s="542">
        <v>0</v>
      </c>
      <c r="BT56" s="542">
        <v>104.74</v>
      </c>
      <c r="BU56" s="542">
        <v>148560</v>
      </c>
      <c r="BV56" s="542">
        <v>0</v>
      </c>
      <c r="BW56" s="542">
        <v>3032</v>
      </c>
      <c r="BX56" s="542">
        <v>-143428</v>
      </c>
      <c r="BY56" s="542">
        <v>0</v>
      </c>
      <c r="BZ56" s="542">
        <v>-2927</v>
      </c>
      <c r="CA56" s="542">
        <v>518146.37</v>
      </c>
      <c r="CB56" s="542">
        <v>0</v>
      </c>
      <c r="CC56" s="542">
        <v>10574.42</v>
      </c>
      <c r="CD56" s="542">
        <v>531166</v>
      </c>
      <c r="CE56" s="542">
        <v>0</v>
      </c>
      <c r="CF56" s="542">
        <v>10840</v>
      </c>
      <c r="CG56" s="542">
        <v>-13020</v>
      </c>
      <c r="CH56" s="542">
        <v>0</v>
      </c>
      <c r="CI56" s="542">
        <v>-266</v>
      </c>
      <c r="CJ56" s="542">
        <v>0</v>
      </c>
      <c r="CK56" s="542">
        <v>0</v>
      </c>
      <c r="CL56" s="542">
        <v>0</v>
      </c>
      <c r="CM56" s="542">
        <v>0</v>
      </c>
      <c r="CN56" s="542">
        <v>0</v>
      </c>
      <c r="CO56" s="542">
        <v>0</v>
      </c>
      <c r="CP56" s="542">
        <v>0</v>
      </c>
      <c r="CQ56" s="542">
        <v>0</v>
      </c>
      <c r="CR56" s="542">
        <v>0</v>
      </c>
      <c r="CS56" s="542">
        <v>0</v>
      </c>
      <c r="CT56" s="542">
        <v>0</v>
      </c>
      <c r="CU56" s="542">
        <v>0</v>
      </c>
      <c r="CV56" s="542">
        <v>401976.79</v>
      </c>
      <c r="CW56" s="542">
        <v>0</v>
      </c>
      <c r="CX56" s="542">
        <v>8128.18</v>
      </c>
      <c r="CY56" s="542">
        <v>401849</v>
      </c>
      <c r="CZ56" s="542">
        <v>0</v>
      </c>
      <c r="DA56" s="542">
        <v>8133</v>
      </c>
      <c r="DB56" s="542">
        <v>128</v>
      </c>
      <c r="DC56" s="542">
        <v>0</v>
      </c>
      <c r="DD56" s="542">
        <v>-5</v>
      </c>
      <c r="DE56" s="153" t="s">
        <v>658</v>
      </c>
      <c r="DF56" s="103" t="s">
        <v>770</v>
      </c>
      <c r="DG56" s="104" t="s">
        <v>772</v>
      </c>
      <c r="DH56" s="547"/>
      <c r="DI56" s="547"/>
    </row>
    <row r="57" spans="1:113" x14ac:dyDescent="0.2">
      <c r="A57" s="93">
        <v>51</v>
      </c>
      <c r="B57" s="145" t="s">
        <v>661</v>
      </c>
      <c r="C57" s="141" t="s">
        <v>866</v>
      </c>
      <c r="D57" s="142" t="s">
        <v>869</v>
      </c>
      <c r="E57" s="149" t="s">
        <v>660</v>
      </c>
      <c r="F57" s="542">
        <v>-30755</v>
      </c>
      <c r="G57" s="542">
        <v>0</v>
      </c>
      <c r="H57" s="542">
        <v>-30755</v>
      </c>
      <c r="I57" s="542">
        <v>54423</v>
      </c>
      <c r="J57" s="542">
        <v>0</v>
      </c>
      <c r="K57" s="542">
        <v>54423</v>
      </c>
      <c r="L57" s="542">
        <v>-85178</v>
      </c>
      <c r="M57" s="542">
        <v>0</v>
      </c>
      <c r="N57" s="542">
        <v>-85178</v>
      </c>
      <c r="O57" s="543">
        <v>0.5</v>
      </c>
      <c r="P57" s="543">
        <v>0.4</v>
      </c>
      <c r="Q57" s="543">
        <v>0.09</v>
      </c>
      <c r="R57" s="543">
        <v>0.01</v>
      </c>
      <c r="S57" s="542">
        <v>193882</v>
      </c>
      <c r="T57" s="542">
        <v>193882</v>
      </c>
      <c r="U57" s="542">
        <v>0</v>
      </c>
      <c r="V57" s="542">
        <v>0</v>
      </c>
      <c r="W57" s="542">
        <v>0</v>
      </c>
      <c r="X57" s="542">
        <v>0</v>
      </c>
      <c r="Y57" s="542">
        <v>150473</v>
      </c>
      <c r="Z57" s="542">
        <v>0</v>
      </c>
      <c r="AA57" s="542">
        <v>130140</v>
      </c>
      <c r="AB57" s="542">
        <v>0</v>
      </c>
      <c r="AC57" s="542">
        <v>20333</v>
      </c>
      <c r="AD57" s="542">
        <v>0</v>
      </c>
      <c r="AE57" s="542">
        <v>0</v>
      </c>
      <c r="AF57" s="542">
        <v>0</v>
      </c>
      <c r="AG57" s="542">
        <v>0</v>
      </c>
      <c r="AH57" s="542">
        <v>0</v>
      </c>
      <c r="AI57" s="542">
        <v>0</v>
      </c>
      <c r="AJ57" s="542">
        <v>0</v>
      </c>
      <c r="AK57" s="542">
        <v>0</v>
      </c>
      <c r="AL57" s="542">
        <v>0</v>
      </c>
      <c r="AM57" s="542">
        <v>0</v>
      </c>
      <c r="AN57" s="542">
        <v>0</v>
      </c>
      <c r="AO57" s="542">
        <v>0</v>
      </c>
      <c r="AP57" s="542">
        <v>0</v>
      </c>
      <c r="AQ57" s="542">
        <v>657834.02099999995</v>
      </c>
      <c r="AR57" s="542">
        <v>148012.65400000001</v>
      </c>
      <c r="AS57" s="542">
        <v>16445.8505</v>
      </c>
      <c r="AT57" s="542">
        <v>595965</v>
      </c>
      <c r="AU57" s="542">
        <v>134092</v>
      </c>
      <c r="AV57" s="542">
        <v>14899</v>
      </c>
      <c r="AW57" s="542">
        <v>61869</v>
      </c>
      <c r="AX57" s="542">
        <v>13921</v>
      </c>
      <c r="AY57" s="542">
        <v>1547</v>
      </c>
      <c r="AZ57" s="542">
        <v>1106.01783</v>
      </c>
      <c r="BA57" s="542">
        <v>248.85401200000001</v>
      </c>
      <c r="BB57" s="542">
        <v>27.6504458</v>
      </c>
      <c r="BC57" s="542">
        <v>4042</v>
      </c>
      <c r="BD57" s="542">
        <v>910</v>
      </c>
      <c r="BE57" s="542">
        <v>101</v>
      </c>
      <c r="BF57" s="542">
        <v>-2936</v>
      </c>
      <c r="BG57" s="542">
        <v>-661</v>
      </c>
      <c r="BH57" s="542">
        <v>-73</v>
      </c>
      <c r="BI57" s="542">
        <v>9283.5159199999998</v>
      </c>
      <c r="BJ57" s="542">
        <v>2088.79108</v>
      </c>
      <c r="BK57" s="542">
        <v>232.087898</v>
      </c>
      <c r="BL57" s="542">
        <v>0</v>
      </c>
      <c r="BM57" s="542">
        <v>0</v>
      </c>
      <c r="BN57" s="542">
        <v>0</v>
      </c>
      <c r="BO57" s="542">
        <v>9284</v>
      </c>
      <c r="BP57" s="542">
        <v>2089</v>
      </c>
      <c r="BQ57" s="542">
        <v>232</v>
      </c>
      <c r="BR57" s="542">
        <v>3362.11634</v>
      </c>
      <c r="BS57" s="542">
        <v>756.476178</v>
      </c>
      <c r="BT57" s="542">
        <v>84.052908700000003</v>
      </c>
      <c r="BU57" s="542">
        <v>16498</v>
      </c>
      <c r="BV57" s="542">
        <v>3712</v>
      </c>
      <c r="BW57" s="542">
        <v>412</v>
      </c>
      <c r="BX57" s="542">
        <v>-13136</v>
      </c>
      <c r="BY57" s="542">
        <v>-2956</v>
      </c>
      <c r="BZ57" s="542">
        <v>-328</v>
      </c>
      <c r="CA57" s="542">
        <v>198269.462</v>
      </c>
      <c r="CB57" s="542">
        <v>44610.629000000001</v>
      </c>
      <c r="CC57" s="542">
        <v>4956.7365600000003</v>
      </c>
      <c r="CD57" s="542">
        <v>235332</v>
      </c>
      <c r="CE57" s="542">
        <v>52950</v>
      </c>
      <c r="CF57" s="542">
        <v>5883</v>
      </c>
      <c r="CG57" s="542">
        <v>-37063</v>
      </c>
      <c r="CH57" s="542">
        <v>-8339</v>
      </c>
      <c r="CI57" s="542">
        <v>-926</v>
      </c>
      <c r="CJ57" s="542">
        <v>0</v>
      </c>
      <c r="CK57" s="542">
        <v>0</v>
      </c>
      <c r="CL57" s="542">
        <v>0</v>
      </c>
      <c r="CM57" s="542">
        <v>0</v>
      </c>
      <c r="CN57" s="542">
        <v>0</v>
      </c>
      <c r="CO57" s="542">
        <v>0</v>
      </c>
      <c r="CP57" s="542">
        <v>0</v>
      </c>
      <c r="CQ57" s="542">
        <v>0</v>
      </c>
      <c r="CR57" s="542">
        <v>0</v>
      </c>
      <c r="CS57" s="542">
        <v>0</v>
      </c>
      <c r="CT57" s="542">
        <v>0</v>
      </c>
      <c r="CU57" s="542">
        <v>0</v>
      </c>
      <c r="CV57" s="542">
        <v>184913.356</v>
      </c>
      <c r="CW57" s="542">
        <v>41246.095200000003</v>
      </c>
      <c r="CX57" s="542">
        <v>4582.8994599999996</v>
      </c>
      <c r="CY57" s="542">
        <v>172206</v>
      </c>
      <c r="CZ57" s="542">
        <v>37972</v>
      </c>
      <c r="DA57" s="542">
        <v>4219</v>
      </c>
      <c r="DB57" s="542">
        <v>12707</v>
      </c>
      <c r="DC57" s="542">
        <v>3274</v>
      </c>
      <c r="DD57" s="542">
        <v>364</v>
      </c>
      <c r="DE57" s="153" t="s">
        <v>660</v>
      </c>
      <c r="DF57" s="103" t="s">
        <v>774</v>
      </c>
      <c r="DG57" s="104" t="s">
        <v>775</v>
      </c>
      <c r="DH57" s="547"/>
      <c r="DI57" s="547"/>
    </row>
    <row r="58" spans="1:113" x14ac:dyDescent="0.2">
      <c r="A58" s="93">
        <v>52</v>
      </c>
      <c r="B58" s="145" t="s">
        <v>663</v>
      </c>
      <c r="C58" s="141" t="s">
        <v>866</v>
      </c>
      <c r="D58" s="142" t="s">
        <v>870</v>
      </c>
      <c r="E58" s="149" t="s">
        <v>662</v>
      </c>
      <c r="F58" s="542">
        <v>-431420</v>
      </c>
      <c r="G58" s="542">
        <v>0</v>
      </c>
      <c r="H58" s="542">
        <v>-431420</v>
      </c>
      <c r="I58" s="542">
        <v>44003</v>
      </c>
      <c r="J58" s="542">
        <v>0</v>
      </c>
      <c r="K58" s="542">
        <v>44003</v>
      </c>
      <c r="L58" s="542">
        <v>-475423</v>
      </c>
      <c r="M58" s="542">
        <v>0</v>
      </c>
      <c r="N58" s="542">
        <v>-475423</v>
      </c>
      <c r="O58" s="543">
        <v>0.5</v>
      </c>
      <c r="P58" s="543">
        <v>0.4</v>
      </c>
      <c r="Q58" s="543">
        <v>0.09</v>
      </c>
      <c r="R58" s="543">
        <v>0.01</v>
      </c>
      <c r="S58" s="542">
        <v>223812</v>
      </c>
      <c r="T58" s="542">
        <v>223812</v>
      </c>
      <c r="U58" s="542">
        <v>0</v>
      </c>
      <c r="V58" s="542">
        <v>0</v>
      </c>
      <c r="W58" s="542">
        <v>0</v>
      </c>
      <c r="X58" s="542">
        <v>0</v>
      </c>
      <c r="Y58" s="542">
        <v>0</v>
      </c>
      <c r="Z58" s="542">
        <v>0</v>
      </c>
      <c r="AA58" s="542">
        <v>0</v>
      </c>
      <c r="AB58" s="542">
        <v>0</v>
      </c>
      <c r="AC58" s="542">
        <v>0</v>
      </c>
      <c r="AD58" s="542">
        <v>0</v>
      </c>
      <c r="AE58" s="542">
        <v>0</v>
      </c>
      <c r="AF58" s="542">
        <v>0</v>
      </c>
      <c r="AG58" s="542">
        <v>0</v>
      </c>
      <c r="AH58" s="542">
        <v>0</v>
      </c>
      <c r="AI58" s="542">
        <v>0</v>
      </c>
      <c r="AJ58" s="542">
        <v>0</v>
      </c>
      <c r="AK58" s="542">
        <v>0</v>
      </c>
      <c r="AL58" s="542">
        <v>0</v>
      </c>
      <c r="AM58" s="542">
        <v>0</v>
      </c>
      <c r="AN58" s="542">
        <v>0</v>
      </c>
      <c r="AO58" s="542">
        <v>0</v>
      </c>
      <c r="AP58" s="542">
        <v>0</v>
      </c>
      <c r="AQ58" s="542">
        <v>546421.11699999997</v>
      </c>
      <c r="AR58" s="542">
        <v>122944.751</v>
      </c>
      <c r="AS58" s="542">
        <v>13660.527899999999</v>
      </c>
      <c r="AT58" s="542">
        <v>475602</v>
      </c>
      <c r="AU58" s="542">
        <v>107010</v>
      </c>
      <c r="AV58" s="542">
        <v>11890</v>
      </c>
      <c r="AW58" s="542">
        <v>70819</v>
      </c>
      <c r="AX58" s="542">
        <v>15935</v>
      </c>
      <c r="AY58" s="542">
        <v>1771</v>
      </c>
      <c r="AZ58" s="542">
        <v>0</v>
      </c>
      <c r="BA58" s="542">
        <v>0</v>
      </c>
      <c r="BB58" s="542">
        <v>0</v>
      </c>
      <c r="BC58" s="542">
        <v>0</v>
      </c>
      <c r="BD58" s="542">
        <v>0</v>
      </c>
      <c r="BE58" s="542">
        <v>0</v>
      </c>
      <c r="BF58" s="542">
        <v>0</v>
      </c>
      <c r="BG58" s="542">
        <v>0</v>
      </c>
      <c r="BH58" s="542">
        <v>0</v>
      </c>
      <c r="BI58" s="542">
        <v>0</v>
      </c>
      <c r="BJ58" s="542">
        <v>0</v>
      </c>
      <c r="BK58" s="542">
        <v>0</v>
      </c>
      <c r="BL58" s="542">
        <v>0</v>
      </c>
      <c r="BM58" s="542">
        <v>0</v>
      </c>
      <c r="BN58" s="542">
        <v>0</v>
      </c>
      <c r="BO58" s="542">
        <v>0</v>
      </c>
      <c r="BP58" s="542">
        <v>0</v>
      </c>
      <c r="BQ58" s="542">
        <v>0</v>
      </c>
      <c r="BR58" s="542">
        <v>1838.1078500000001</v>
      </c>
      <c r="BS58" s="542">
        <v>413.57426700000002</v>
      </c>
      <c r="BT58" s="542">
        <v>45.952696299999999</v>
      </c>
      <c r="BU58" s="542">
        <v>60637</v>
      </c>
      <c r="BV58" s="542">
        <v>13643</v>
      </c>
      <c r="BW58" s="542">
        <v>1516</v>
      </c>
      <c r="BX58" s="542">
        <v>-58799</v>
      </c>
      <c r="BY58" s="542">
        <v>-13229</v>
      </c>
      <c r="BZ58" s="542">
        <v>-1470</v>
      </c>
      <c r="CA58" s="542">
        <v>276711.43199999997</v>
      </c>
      <c r="CB58" s="542">
        <v>62260.0723</v>
      </c>
      <c r="CC58" s="542">
        <v>6917.7858100000003</v>
      </c>
      <c r="CD58" s="542">
        <v>327439</v>
      </c>
      <c r="CE58" s="542">
        <v>73674</v>
      </c>
      <c r="CF58" s="542">
        <v>8186</v>
      </c>
      <c r="CG58" s="542">
        <v>-50728</v>
      </c>
      <c r="CH58" s="542">
        <v>-11414</v>
      </c>
      <c r="CI58" s="542">
        <v>-1268</v>
      </c>
      <c r="CJ58" s="542">
        <v>0</v>
      </c>
      <c r="CK58" s="542">
        <v>0</v>
      </c>
      <c r="CL58" s="542">
        <v>0</v>
      </c>
      <c r="CM58" s="542">
        <v>0</v>
      </c>
      <c r="CN58" s="542">
        <v>0</v>
      </c>
      <c r="CO58" s="542">
        <v>0</v>
      </c>
      <c r="CP58" s="542">
        <v>0</v>
      </c>
      <c r="CQ58" s="542">
        <v>0</v>
      </c>
      <c r="CR58" s="542">
        <v>0</v>
      </c>
      <c r="CS58" s="542">
        <v>0</v>
      </c>
      <c r="CT58" s="542">
        <v>0</v>
      </c>
      <c r="CU58" s="542">
        <v>0</v>
      </c>
      <c r="CV58" s="542">
        <v>283751.07799999998</v>
      </c>
      <c r="CW58" s="542">
        <v>63843.992599999998</v>
      </c>
      <c r="CX58" s="542">
        <v>7093.7769600000001</v>
      </c>
      <c r="CY58" s="542">
        <v>331831</v>
      </c>
      <c r="CZ58" s="542">
        <v>74127</v>
      </c>
      <c r="DA58" s="542">
        <v>8236</v>
      </c>
      <c r="DB58" s="542">
        <v>-48080</v>
      </c>
      <c r="DC58" s="542">
        <v>-10283</v>
      </c>
      <c r="DD58" s="542">
        <v>-1142</v>
      </c>
      <c r="DE58" s="153" t="s">
        <v>662</v>
      </c>
      <c r="DF58" s="103" t="s">
        <v>765</v>
      </c>
      <c r="DG58" s="104" t="s">
        <v>766</v>
      </c>
      <c r="DH58" s="547"/>
      <c r="DI58" s="547"/>
    </row>
    <row r="59" spans="1:113" x14ac:dyDescent="0.2">
      <c r="A59" s="93">
        <v>53</v>
      </c>
      <c r="B59" s="145" t="s">
        <v>665</v>
      </c>
      <c r="C59" s="141" t="s">
        <v>866</v>
      </c>
      <c r="D59" s="142" t="s">
        <v>875</v>
      </c>
      <c r="E59" s="149" t="s">
        <v>664</v>
      </c>
      <c r="F59" s="542">
        <v>-80710</v>
      </c>
      <c r="G59" s="542">
        <v>0</v>
      </c>
      <c r="H59" s="542">
        <v>-80710</v>
      </c>
      <c r="I59" s="542">
        <v>-17861</v>
      </c>
      <c r="J59" s="542">
        <v>0</v>
      </c>
      <c r="K59" s="542">
        <v>-17861</v>
      </c>
      <c r="L59" s="542">
        <v>-62849</v>
      </c>
      <c r="M59" s="542">
        <v>0</v>
      </c>
      <c r="N59" s="542">
        <v>-62849</v>
      </c>
      <c r="O59" s="543">
        <v>0.5</v>
      </c>
      <c r="P59" s="543">
        <v>0.4</v>
      </c>
      <c r="Q59" s="543">
        <v>0.1</v>
      </c>
      <c r="R59" s="543">
        <v>0</v>
      </c>
      <c r="S59" s="542">
        <v>183923</v>
      </c>
      <c r="T59" s="542">
        <v>183923</v>
      </c>
      <c r="U59" s="542">
        <v>0</v>
      </c>
      <c r="V59" s="542">
        <v>0</v>
      </c>
      <c r="W59" s="542">
        <v>0</v>
      </c>
      <c r="X59" s="542">
        <v>0</v>
      </c>
      <c r="Y59" s="542">
        <v>0</v>
      </c>
      <c r="Z59" s="542">
        <v>0</v>
      </c>
      <c r="AA59" s="542">
        <v>0</v>
      </c>
      <c r="AB59" s="542">
        <v>0</v>
      </c>
      <c r="AC59" s="542">
        <v>0</v>
      </c>
      <c r="AD59" s="542">
        <v>0</v>
      </c>
      <c r="AE59" s="542">
        <v>0</v>
      </c>
      <c r="AF59" s="542">
        <v>0</v>
      </c>
      <c r="AG59" s="542">
        <v>0</v>
      </c>
      <c r="AH59" s="542">
        <v>0</v>
      </c>
      <c r="AI59" s="542">
        <v>0</v>
      </c>
      <c r="AJ59" s="542">
        <v>0</v>
      </c>
      <c r="AK59" s="542">
        <v>0</v>
      </c>
      <c r="AL59" s="542">
        <v>0</v>
      </c>
      <c r="AM59" s="542">
        <v>0</v>
      </c>
      <c r="AN59" s="542">
        <v>0</v>
      </c>
      <c r="AO59" s="542">
        <v>0</v>
      </c>
      <c r="AP59" s="542">
        <v>0</v>
      </c>
      <c r="AQ59" s="542">
        <v>465186.41100000002</v>
      </c>
      <c r="AR59" s="542">
        <v>116296.603</v>
      </c>
      <c r="AS59" s="542">
        <v>0</v>
      </c>
      <c r="AT59" s="542">
        <v>429127</v>
      </c>
      <c r="AU59" s="542">
        <v>107282</v>
      </c>
      <c r="AV59" s="542">
        <v>0</v>
      </c>
      <c r="AW59" s="542">
        <v>36059</v>
      </c>
      <c r="AX59" s="542">
        <v>9015</v>
      </c>
      <c r="AY59" s="542">
        <v>0</v>
      </c>
      <c r="AZ59" s="542">
        <v>0</v>
      </c>
      <c r="BA59" s="542">
        <v>0</v>
      </c>
      <c r="BB59" s="542">
        <v>0</v>
      </c>
      <c r="BC59" s="542">
        <v>2022</v>
      </c>
      <c r="BD59" s="542">
        <v>505</v>
      </c>
      <c r="BE59" s="542">
        <v>0</v>
      </c>
      <c r="BF59" s="542">
        <v>-2022</v>
      </c>
      <c r="BG59" s="542">
        <v>-505</v>
      </c>
      <c r="BH59" s="542">
        <v>0</v>
      </c>
      <c r="BI59" s="542">
        <v>0</v>
      </c>
      <c r="BJ59" s="542">
        <v>0</v>
      </c>
      <c r="BK59" s="542">
        <v>0</v>
      </c>
      <c r="BL59" s="542">
        <v>12127</v>
      </c>
      <c r="BM59" s="542">
        <v>3032</v>
      </c>
      <c r="BN59" s="542">
        <v>0</v>
      </c>
      <c r="BO59" s="542">
        <v>-12127</v>
      </c>
      <c r="BP59" s="542">
        <v>-3032</v>
      </c>
      <c r="BQ59" s="542">
        <v>0</v>
      </c>
      <c r="BR59" s="542">
        <v>3446.6038199999998</v>
      </c>
      <c r="BS59" s="542">
        <v>861.65095499999995</v>
      </c>
      <c r="BT59" s="542">
        <v>0</v>
      </c>
      <c r="BU59" s="542">
        <v>30318</v>
      </c>
      <c r="BV59" s="542">
        <v>7580</v>
      </c>
      <c r="BW59" s="542">
        <v>0</v>
      </c>
      <c r="BX59" s="542">
        <v>-26871</v>
      </c>
      <c r="BY59" s="542">
        <v>-6718</v>
      </c>
      <c r="BZ59" s="542">
        <v>0</v>
      </c>
      <c r="CA59" s="542">
        <v>172327.76500000001</v>
      </c>
      <c r="CB59" s="542">
        <v>43081.941400000003</v>
      </c>
      <c r="CC59" s="542">
        <v>0</v>
      </c>
      <c r="CD59" s="542">
        <v>303185</v>
      </c>
      <c r="CE59" s="542">
        <v>75796</v>
      </c>
      <c r="CF59" s="542">
        <v>0</v>
      </c>
      <c r="CG59" s="542">
        <v>-130857</v>
      </c>
      <c r="CH59" s="542">
        <v>-32714</v>
      </c>
      <c r="CI59" s="542">
        <v>0</v>
      </c>
      <c r="CJ59" s="542">
        <v>0</v>
      </c>
      <c r="CK59" s="542">
        <v>0</v>
      </c>
      <c r="CL59" s="542">
        <v>0</v>
      </c>
      <c r="CM59" s="542">
        <v>0</v>
      </c>
      <c r="CN59" s="542">
        <v>0</v>
      </c>
      <c r="CO59" s="542">
        <v>0</v>
      </c>
      <c r="CP59" s="542">
        <v>0</v>
      </c>
      <c r="CQ59" s="542">
        <v>0</v>
      </c>
      <c r="CR59" s="542">
        <v>0</v>
      </c>
      <c r="CS59" s="542">
        <v>0</v>
      </c>
      <c r="CT59" s="542">
        <v>0</v>
      </c>
      <c r="CU59" s="542">
        <v>0</v>
      </c>
      <c r="CV59" s="542">
        <v>230456.99299999999</v>
      </c>
      <c r="CW59" s="542">
        <v>57614.248399999997</v>
      </c>
      <c r="CX59" s="542">
        <v>0</v>
      </c>
      <c r="CY59" s="542">
        <v>231324</v>
      </c>
      <c r="CZ59" s="542">
        <v>57343</v>
      </c>
      <c r="DA59" s="542">
        <v>0</v>
      </c>
      <c r="DB59" s="542">
        <v>-867</v>
      </c>
      <c r="DC59" s="542">
        <v>271</v>
      </c>
      <c r="DD59" s="542">
        <v>0</v>
      </c>
      <c r="DE59" s="153" t="s">
        <v>664</v>
      </c>
      <c r="DF59" s="103" t="s">
        <v>794</v>
      </c>
      <c r="DG59" s="104" t="s">
        <v>751</v>
      </c>
      <c r="DH59" s="547"/>
      <c r="DI59" s="547"/>
    </row>
    <row r="60" spans="1:113" x14ac:dyDescent="0.2">
      <c r="A60" s="93">
        <v>54</v>
      </c>
      <c r="B60" s="145" t="s">
        <v>667</v>
      </c>
      <c r="C60" s="141" t="s">
        <v>866</v>
      </c>
      <c r="D60" s="142" t="s">
        <v>867</v>
      </c>
      <c r="E60" s="149" t="s">
        <v>666</v>
      </c>
      <c r="F60" s="542">
        <v>-377236</v>
      </c>
      <c r="G60" s="542">
        <v>0</v>
      </c>
      <c r="H60" s="542">
        <v>-377236</v>
      </c>
      <c r="I60" s="542">
        <v>84538</v>
      </c>
      <c r="J60" s="542">
        <v>0</v>
      </c>
      <c r="K60" s="542">
        <v>84538</v>
      </c>
      <c r="L60" s="542">
        <v>-461774</v>
      </c>
      <c r="M60" s="542">
        <v>0</v>
      </c>
      <c r="N60" s="542">
        <v>-461774</v>
      </c>
      <c r="O60" s="543">
        <v>0.5</v>
      </c>
      <c r="P60" s="543">
        <v>0.4</v>
      </c>
      <c r="Q60" s="543">
        <v>0.1</v>
      </c>
      <c r="R60" s="543">
        <v>0</v>
      </c>
      <c r="S60" s="542">
        <v>219880</v>
      </c>
      <c r="T60" s="542">
        <v>219880</v>
      </c>
      <c r="U60" s="542">
        <v>0</v>
      </c>
      <c r="V60" s="542">
        <v>0</v>
      </c>
      <c r="W60" s="542">
        <v>0</v>
      </c>
      <c r="X60" s="542">
        <v>0</v>
      </c>
      <c r="Y60" s="542">
        <v>70854</v>
      </c>
      <c r="Z60" s="542">
        <v>107493</v>
      </c>
      <c r="AA60" s="542">
        <v>19536</v>
      </c>
      <c r="AB60" s="542">
        <v>415430</v>
      </c>
      <c r="AC60" s="542">
        <v>51318</v>
      </c>
      <c r="AD60" s="542">
        <v>-307937</v>
      </c>
      <c r="AE60" s="542">
        <v>0</v>
      </c>
      <c r="AF60" s="542">
        <v>0</v>
      </c>
      <c r="AG60" s="542">
        <v>0</v>
      </c>
      <c r="AH60" s="542">
        <v>0</v>
      </c>
      <c r="AI60" s="542">
        <v>0</v>
      </c>
      <c r="AJ60" s="542">
        <v>0</v>
      </c>
      <c r="AK60" s="542">
        <v>0</v>
      </c>
      <c r="AL60" s="542">
        <v>0</v>
      </c>
      <c r="AM60" s="542">
        <v>0</v>
      </c>
      <c r="AN60" s="542">
        <v>0</v>
      </c>
      <c r="AO60" s="542">
        <v>0</v>
      </c>
      <c r="AP60" s="542">
        <v>0</v>
      </c>
      <c r="AQ60" s="542">
        <v>441841.99699999997</v>
      </c>
      <c r="AR60" s="542">
        <v>110460.499</v>
      </c>
      <c r="AS60" s="542">
        <v>0</v>
      </c>
      <c r="AT60" s="542">
        <v>374468</v>
      </c>
      <c r="AU60" s="542">
        <v>93617</v>
      </c>
      <c r="AV60" s="542">
        <v>0</v>
      </c>
      <c r="AW60" s="542">
        <v>67374</v>
      </c>
      <c r="AX60" s="542">
        <v>16843</v>
      </c>
      <c r="AY60" s="542">
        <v>0</v>
      </c>
      <c r="AZ60" s="542">
        <v>0</v>
      </c>
      <c r="BA60" s="542">
        <v>0</v>
      </c>
      <c r="BB60" s="542">
        <v>0</v>
      </c>
      <c r="BC60" s="542">
        <v>22848</v>
      </c>
      <c r="BD60" s="542">
        <v>5712</v>
      </c>
      <c r="BE60" s="542">
        <v>0</v>
      </c>
      <c r="BF60" s="542">
        <v>-22848</v>
      </c>
      <c r="BG60" s="542">
        <v>-5712</v>
      </c>
      <c r="BH60" s="542">
        <v>0</v>
      </c>
      <c r="BI60" s="542">
        <v>0</v>
      </c>
      <c r="BJ60" s="542">
        <v>0</v>
      </c>
      <c r="BK60" s="542">
        <v>0</v>
      </c>
      <c r="BL60" s="542">
        <v>163315</v>
      </c>
      <c r="BM60" s="542">
        <v>40829</v>
      </c>
      <c r="BN60" s="542">
        <v>0</v>
      </c>
      <c r="BO60" s="542">
        <v>-163315</v>
      </c>
      <c r="BP60" s="542">
        <v>-40829</v>
      </c>
      <c r="BQ60" s="542">
        <v>0</v>
      </c>
      <c r="BR60" s="542">
        <v>3045.5915</v>
      </c>
      <c r="BS60" s="542">
        <v>761.397876</v>
      </c>
      <c r="BT60" s="542">
        <v>0</v>
      </c>
      <c r="BU60" s="542">
        <v>136635</v>
      </c>
      <c r="BV60" s="542">
        <v>34159</v>
      </c>
      <c r="BW60" s="542">
        <v>0</v>
      </c>
      <c r="BX60" s="542">
        <v>-133589</v>
      </c>
      <c r="BY60" s="542">
        <v>-33398</v>
      </c>
      <c r="BZ60" s="542">
        <v>0</v>
      </c>
      <c r="CA60" s="542">
        <v>225435.217</v>
      </c>
      <c r="CB60" s="542">
        <v>56358.804199999999</v>
      </c>
      <c r="CC60" s="542">
        <v>0</v>
      </c>
      <c r="CD60" s="542">
        <v>172613</v>
      </c>
      <c r="CE60" s="542">
        <v>43153</v>
      </c>
      <c r="CF60" s="542">
        <v>0</v>
      </c>
      <c r="CG60" s="542">
        <v>52822</v>
      </c>
      <c r="CH60" s="542">
        <v>13206</v>
      </c>
      <c r="CI60" s="542">
        <v>0</v>
      </c>
      <c r="CJ60" s="542">
        <v>0</v>
      </c>
      <c r="CK60" s="542">
        <v>0</v>
      </c>
      <c r="CL60" s="542">
        <v>0</v>
      </c>
      <c r="CM60" s="542">
        <v>0</v>
      </c>
      <c r="CN60" s="542">
        <v>0</v>
      </c>
      <c r="CO60" s="542">
        <v>0</v>
      </c>
      <c r="CP60" s="542">
        <v>0</v>
      </c>
      <c r="CQ60" s="542">
        <v>0</v>
      </c>
      <c r="CR60" s="542">
        <v>0</v>
      </c>
      <c r="CS60" s="542">
        <v>0</v>
      </c>
      <c r="CT60" s="542">
        <v>0</v>
      </c>
      <c r="CU60" s="542">
        <v>0</v>
      </c>
      <c r="CV60" s="542">
        <v>281934.35200000001</v>
      </c>
      <c r="CW60" s="542">
        <v>71436.661300000007</v>
      </c>
      <c r="CX60" s="542">
        <v>0</v>
      </c>
      <c r="CY60" s="542">
        <v>300337</v>
      </c>
      <c r="CZ60" s="542">
        <v>78859</v>
      </c>
      <c r="DA60" s="542">
        <v>0</v>
      </c>
      <c r="DB60" s="542">
        <v>-18403</v>
      </c>
      <c r="DC60" s="542">
        <v>-7422</v>
      </c>
      <c r="DD60" s="542">
        <v>0</v>
      </c>
      <c r="DE60" s="153" t="s">
        <v>666</v>
      </c>
      <c r="DF60" s="103" t="s">
        <v>795</v>
      </c>
      <c r="DG60" s="104" t="s">
        <v>751</v>
      </c>
      <c r="DH60" s="547"/>
      <c r="DI60" s="547"/>
    </row>
    <row r="61" spans="1:113" x14ac:dyDescent="0.2">
      <c r="A61" s="93">
        <v>55</v>
      </c>
      <c r="B61" s="145" t="s">
        <v>669</v>
      </c>
      <c r="C61" s="141" t="s">
        <v>770</v>
      </c>
      <c r="D61" s="142" t="s">
        <v>868</v>
      </c>
      <c r="E61" s="149" t="s">
        <v>668</v>
      </c>
      <c r="F61" s="542">
        <v>-600801</v>
      </c>
      <c r="G61" s="542">
        <v>0</v>
      </c>
      <c r="H61" s="542">
        <v>-600801</v>
      </c>
      <c r="I61" s="542">
        <v>90100</v>
      </c>
      <c r="J61" s="542">
        <v>0</v>
      </c>
      <c r="K61" s="542">
        <v>90100</v>
      </c>
      <c r="L61" s="542">
        <v>-690901</v>
      </c>
      <c r="M61" s="542">
        <v>0</v>
      </c>
      <c r="N61" s="542">
        <v>-690901</v>
      </c>
      <c r="O61" s="543">
        <v>0.5</v>
      </c>
      <c r="P61" s="543">
        <v>0.49</v>
      </c>
      <c r="Q61" s="543">
        <v>0</v>
      </c>
      <c r="R61" s="543">
        <v>0.01</v>
      </c>
      <c r="S61" s="542">
        <v>560489</v>
      </c>
      <c r="T61" s="542">
        <v>560489</v>
      </c>
      <c r="U61" s="542">
        <v>0</v>
      </c>
      <c r="V61" s="542">
        <v>0</v>
      </c>
      <c r="W61" s="542">
        <v>0</v>
      </c>
      <c r="X61" s="542">
        <v>0</v>
      </c>
      <c r="Y61" s="542">
        <v>3137</v>
      </c>
      <c r="Z61" s="542">
        <v>0</v>
      </c>
      <c r="AA61" s="542">
        <v>0</v>
      </c>
      <c r="AB61" s="542">
        <v>0</v>
      </c>
      <c r="AC61" s="542">
        <v>3137</v>
      </c>
      <c r="AD61" s="542">
        <v>0</v>
      </c>
      <c r="AE61" s="542">
        <v>0</v>
      </c>
      <c r="AF61" s="542">
        <v>0</v>
      </c>
      <c r="AG61" s="542">
        <v>0</v>
      </c>
      <c r="AH61" s="542">
        <v>0</v>
      </c>
      <c r="AI61" s="542">
        <v>0</v>
      </c>
      <c r="AJ61" s="542">
        <v>0</v>
      </c>
      <c r="AK61" s="542">
        <v>0</v>
      </c>
      <c r="AL61" s="542">
        <v>0</v>
      </c>
      <c r="AM61" s="542">
        <v>0</v>
      </c>
      <c r="AN61" s="542">
        <v>0</v>
      </c>
      <c r="AO61" s="542">
        <v>0</v>
      </c>
      <c r="AP61" s="542">
        <v>0</v>
      </c>
      <c r="AQ61" s="542">
        <v>2021451.22</v>
      </c>
      <c r="AR61" s="542">
        <v>0</v>
      </c>
      <c r="AS61" s="542">
        <v>41254.11</v>
      </c>
      <c r="AT61" s="542">
        <v>2001385</v>
      </c>
      <c r="AU61" s="542">
        <v>0</v>
      </c>
      <c r="AV61" s="542">
        <v>40845</v>
      </c>
      <c r="AW61" s="542">
        <v>20066</v>
      </c>
      <c r="AX61" s="542">
        <v>0</v>
      </c>
      <c r="AY61" s="542">
        <v>409</v>
      </c>
      <c r="AZ61" s="542">
        <v>12426.59</v>
      </c>
      <c r="BA61" s="542">
        <v>0</v>
      </c>
      <c r="BB61" s="542">
        <v>253.6</v>
      </c>
      <c r="BC61" s="542">
        <v>0</v>
      </c>
      <c r="BD61" s="542">
        <v>0</v>
      </c>
      <c r="BE61" s="542">
        <v>0</v>
      </c>
      <c r="BF61" s="542">
        <v>12427</v>
      </c>
      <c r="BG61" s="542">
        <v>0</v>
      </c>
      <c r="BH61" s="542">
        <v>254</v>
      </c>
      <c r="BI61" s="542">
        <v>0</v>
      </c>
      <c r="BJ61" s="542">
        <v>0</v>
      </c>
      <c r="BK61" s="542">
        <v>0</v>
      </c>
      <c r="BL61" s="542">
        <v>0</v>
      </c>
      <c r="BM61" s="542">
        <v>0</v>
      </c>
      <c r="BN61" s="542">
        <v>0</v>
      </c>
      <c r="BO61" s="542">
        <v>0</v>
      </c>
      <c r="BP61" s="542">
        <v>0</v>
      </c>
      <c r="BQ61" s="542">
        <v>0</v>
      </c>
      <c r="BR61" s="542">
        <v>6601.53</v>
      </c>
      <c r="BS61" s="542">
        <v>0</v>
      </c>
      <c r="BT61" s="542">
        <v>134.72999999999999</v>
      </c>
      <c r="BU61" s="542">
        <v>77249</v>
      </c>
      <c r="BV61" s="542">
        <v>0</v>
      </c>
      <c r="BW61" s="542">
        <v>1577</v>
      </c>
      <c r="BX61" s="542">
        <v>-70647</v>
      </c>
      <c r="BY61" s="542">
        <v>0</v>
      </c>
      <c r="BZ61" s="542">
        <v>-1442</v>
      </c>
      <c r="CA61" s="542">
        <v>756115.06</v>
      </c>
      <c r="CB61" s="542">
        <v>0</v>
      </c>
      <c r="CC61" s="542">
        <v>15430.92</v>
      </c>
      <c r="CD61" s="542">
        <v>1610577</v>
      </c>
      <c r="CE61" s="542">
        <v>0</v>
      </c>
      <c r="CF61" s="542">
        <v>32869</v>
      </c>
      <c r="CG61" s="542">
        <v>-854462</v>
      </c>
      <c r="CH61" s="542">
        <v>0</v>
      </c>
      <c r="CI61" s="542">
        <v>-17438</v>
      </c>
      <c r="CJ61" s="542">
        <v>0</v>
      </c>
      <c r="CK61" s="542">
        <v>0</v>
      </c>
      <c r="CL61" s="542">
        <v>0</v>
      </c>
      <c r="CM61" s="542">
        <v>0</v>
      </c>
      <c r="CN61" s="542">
        <v>0</v>
      </c>
      <c r="CO61" s="542">
        <v>0</v>
      </c>
      <c r="CP61" s="542">
        <v>0</v>
      </c>
      <c r="CQ61" s="542">
        <v>0</v>
      </c>
      <c r="CR61" s="542">
        <v>0</v>
      </c>
      <c r="CS61" s="542">
        <v>0</v>
      </c>
      <c r="CT61" s="542">
        <v>0</v>
      </c>
      <c r="CU61" s="542">
        <v>0</v>
      </c>
      <c r="CV61" s="542">
        <v>675162.82</v>
      </c>
      <c r="CW61" s="542">
        <v>0</v>
      </c>
      <c r="CX61" s="542">
        <v>13778.15</v>
      </c>
      <c r="CY61" s="542">
        <v>709123</v>
      </c>
      <c r="CZ61" s="542">
        <v>0</v>
      </c>
      <c r="DA61" s="542">
        <v>14350</v>
      </c>
      <c r="DB61" s="542">
        <v>-33960</v>
      </c>
      <c r="DC61" s="542">
        <v>0</v>
      </c>
      <c r="DD61" s="542">
        <v>-572</v>
      </c>
      <c r="DE61" s="153" t="s">
        <v>668</v>
      </c>
      <c r="DF61" s="103" t="s">
        <v>770</v>
      </c>
      <c r="DG61" s="104" t="s">
        <v>796</v>
      </c>
      <c r="DH61" s="547"/>
      <c r="DI61" s="547"/>
    </row>
    <row r="62" spans="1:113" x14ac:dyDescent="0.2">
      <c r="A62" s="93">
        <v>56</v>
      </c>
      <c r="B62" s="145" t="s">
        <v>671</v>
      </c>
      <c r="C62" s="141" t="s">
        <v>770</v>
      </c>
      <c r="D62" s="142" t="s">
        <v>868</v>
      </c>
      <c r="E62" s="149" t="s">
        <v>693</v>
      </c>
      <c r="F62" s="542">
        <v>-2776302</v>
      </c>
      <c r="G62" s="542">
        <v>0</v>
      </c>
      <c r="H62" s="542">
        <v>-2776302</v>
      </c>
      <c r="I62" s="542">
        <v>-50426</v>
      </c>
      <c r="J62" s="542">
        <v>0</v>
      </c>
      <c r="K62" s="542">
        <v>-50426</v>
      </c>
      <c r="L62" s="542">
        <v>-2725876</v>
      </c>
      <c r="M62" s="542">
        <v>0</v>
      </c>
      <c r="N62" s="542">
        <v>-2725876</v>
      </c>
      <c r="O62" s="543">
        <v>0.5</v>
      </c>
      <c r="P62" s="543">
        <v>0.49</v>
      </c>
      <c r="Q62" s="543">
        <v>0</v>
      </c>
      <c r="R62" s="543">
        <v>0.01</v>
      </c>
      <c r="S62" s="542">
        <v>501621</v>
      </c>
      <c r="T62" s="542">
        <v>501621</v>
      </c>
      <c r="U62" s="542">
        <v>0</v>
      </c>
      <c r="V62" s="542">
        <v>0</v>
      </c>
      <c r="W62" s="542">
        <v>0</v>
      </c>
      <c r="X62" s="542">
        <v>0</v>
      </c>
      <c r="Y62" s="542">
        <v>0</v>
      </c>
      <c r="Z62" s="542">
        <v>0</v>
      </c>
      <c r="AA62" s="542">
        <v>0</v>
      </c>
      <c r="AB62" s="542">
        <v>0</v>
      </c>
      <c r="AC62" s="542">
        <v>0</v>
      </c>
      <c r="AD62" s="542">
        <v>0</v>
      </c>
      <c r="AE62" s="542">
        <v>0</v>
      </c>
      <c r="AF62" s="542">
        <v>0</v>
      </c>
      <c r="AG62" s="542">
        <v>0</v>
      </c>
      <c r="AH62" s="542">
        <v>0</v>
      </c>
      <c r="AI62" s="542">
        <v>0</v>
      </c>
      <c r="AJ62" s="542">
        <v>0</v>
      </c>
      <c r="AK62" s="542">
        <v>0</v>
      </c>
      <c r="AL62" s="542">
        <v>0</v>
      </c>
      <c r="AM62" s="542">
        <v>0</v>
      </c>
      <c r="AN62" s="542">
        <v>0</v>
      </c>
      <c r="AO62" s="542">
        <v>0</v>
      </c>
      <c r="AP62" s="542">
        <v>0</v>
      </c>
      <c r="AQ62" s="542">
        <v>1526153.7</v>
      </c>
      <c r="AR62" s="542">
        <v>0</v>
      </c>
      <c r="AS62" s="542">
        <v>31145.99</v>
      </c>
      <c r="AT62" s="542">
        <v>1452707</v>
      </c>
      <c r="AU62" s="542">
        <v>0</v>
      </c>
      <c r="AV62" s="542">
        <v>29647</v>
      </c>
      <c r="AW62" s="542">
        <v>73447</v>
      </c>
      <c r="AX62" s="542">
        <v>0</v>
      </c>
      <c r="AY62" s="542">
        <v>1499</v>
      </c>
      <c r="AZ62" s="542">
        <v>11060.33</v>
      </c>
      <c r="BA62" s="542">
        <v>0</v>
      </c>
      <c r="BB62" s="542">
        <v>225.72</v>
      </c>
      <c r="BC62" s="542">
        <v>9904</v>
      </c>
      <c r="BD62" s="542">
        <v>0</v>
      </c>
      <c r="BE62" s="542">
        <v>202</v>
      </c>
      <c r="BF62" s="542">
        <v>1156</v>
      </c>
      <c r="BG62" s="542">
        <v>0</v>
      </c>
      <c r="BH62" s="542">
        <v>24</v>
      </c>
      <c r="BI62" s="542">
        <v>15476.04</v>
      </c>
      <c r="BJ62" s="542">
        <v>0</v>
      </c>
      <c r="BK62" s="542">
        <v>315.83999999999997</v>
      </c>
      <c r="BL62" s="542">
        <v>9904</v>
      </c>
      <c r="BM62" s="542">
        <v>0</v>
      </c>
      <c r="BN62" s="542">
        <v>202</v>
      </c>
      <c r="BO62" s="542">
        <v>5572</v>
      </c>
      <c r="BP62" s="542">
        <v>0</v>
      </c>
      <c r="BQ62" s="542">
        <v>114</v>
      </c>
      <c r="BR62" s="542">
        <v>13098.58</v>
      </c>
      <c r="BS62" s="542">
        <v>0</v>
      </c>
      <c r="BT62" s="542">
        <v>267.32</v>
      </c>
      <c r="BU62" s="542">
        <v>153512</v>
      </c>
      <c r="BV62" s="542">
        <v>0</v>
      </c>
      <c r="BW62" s="542">
        <v>3133</v>
      </c>
      <c r="BX62" s="542">
        <v>-140413</v>
      </c>
      <c r="BY62" s="542">
        <v>0</v>
      </c>
      <c r="BZ62" s="542">
        <v>-2866</v>
      </c>
      <c r="CA62" s="542">
        <v>687426.62</v>
      </c>
      <c r="CB62" s="542">
        <v>0</v>
      </c>
      <c r="CC62" s="542">
        <v>14029.11</v>
      </c>
      <c r="CD62" s="542">
        <v>866603</v>
      </c>
      <c r="CE62" s="542">
        <v>0</v>
      </c>
      <c r="CF62" s="542">
        <v>17686</v>
      </c>
      <c r="CG62" s="542">
        <v>-179176</v>
      </c>
      <c r="CH62" s="542">
        <v>0</v>
      </c>
      <c r="CI62" s="542">
        <v>-3657</v>
      </c>
      <c r="CJ62" s="542">
        <v>0</v>
      </c>
      <c r="CK62" s="542">
        <v>0</v>
      </c>
      <c r="CL62" s="542">
        <v>0</v>
      </c>
      <c r="CM62" s="542">
        <v>0</v>
      </c>
      <c r="CN62" s="542">
        <v>0</v>
      </c>
      <c r="CO62" s="542">
        <v>0</v>
      </c>
      <c r="CP62" s="542">
        <v>0</v>
      </c>
      <c r="CQ62" s="542">
        <v>0</v>
      </c>
      <c r="CR62" s="542">
        <v>0</v>
      </c>
      <c r="CS62" s="542">
        <v>0</v>
      </c>
      <c r="CT62" s="542">
        <v>0</v>
      </c>
      <c r="CU62" s="542">
        <v>0</v>
      </c>
      <c r="CV62" s="542">
        <v>807678.76</v>
      </c>
      <c r="CW62" s="542">
        <v>0</v>
      </c>
      <c r="CX62" s="542">
        <v>16483.240000000002</v>
      </c>
      <c r="CY62" s="542">
        <v>782587</v>
      </c>
      <c r="CZ62" s="542">
        <v>0</v>
      </c>
      <c r="DA62" s="542">
        <v>15862</v>
      </c>
      <c r="DB62" s="542">
        <v>25092</v>
      </c>
      <c r="DC62" s="542">
        <v>0</v>
      </c>
      <c r="DD62" s="542">
        <v>621</v>
      </c>
      <c r="DE62" s="153" t="s">
        <v>693</v>
      </c>
      <c r="DF62" s="103" t="s">
        <v>770</v>
      </c>
      <c r="DG62" s="104" t="s">
        <v>796</v>
      </c>
      <c r="DH62" s="547"/>
      <c r="DI62" s="547"/>
    </row>
    <row r="63" spans="1:113" x14ac:dyDescent="0.2">
      <c r="A63" s="93">
        <v>57</v>
      </c>
      <c r="B63" s="145" t="s">
        <v>673</v>
      </c>
      <c r="C63" s="141" t="s">
        <v>866</v>
      </c>
      <c r="D63" s="142" t="s">
        <v>869</v>
      </c>
      <c r="E63" s="149" t="s">
        <v>672</v>
      </c>
      <c r="F63" s="542">
        <v>207269</v>
      </c>
      <c r="G63" s="542">
        <v>0</v>
      </c>
      <c r="H63" s="542">
        <v>207269</v>
      </c>
      <c r="I63" s="542">
        <v>-15898</v>
      </c>
      <c r="J63" s="542">
        <v>0</v>
      </c>
      <c r="K63" s="542">
        <v>-15898</v>
      </c>
      <c r="L63" s="542">
        <v>223167</v>
      </c>
      <c r="M63" s="542">
        <v>0</v>
      </c>
      <c r="N63" s="542">
        <v>223167</v>
      </c>
      <c r="O63" s="543">
        <v>0.5</v>
      </c>
      <c r="P63" s="543">
        <v>0.4</v>
      </c>
      <c r="Q63" s="543">
        <v>0.09</v>
      </c>
      <c r="R63" s="543">
        <v>0.01</v>
      </c>
      <c r="S63" s="542">
        <v>166169</v>
      </c>
      <c r="T63" s="542">
        <v>166169</v>
      </c>
      <c r="U63" s="542">
        <v>0</v>
      </c>
      <c r="V63" s="542">
        <v>125218</v>
      </c>
      <c r="W63" s="542">
        <v>0</v>
      </c>
      <c r="X63" s="542">
        <v>125218</v>
      </c>
      <c r="Y63" s="542">
        <v>0</v>
      </c>
      <c r="Z63" s="542">
        <v>0</v>
      </c>
      <c r="AA63" s="542">
        <v>0</v>
      </c>
      <c r="AB63" s="542">
        <v>0</v>
      </c>
      <c r="AC63" s="542">
        <v>0</v>
      </c>
      <c r="AD63" s="542">
        <v>0</v>
      </c>
      <c r="AE63" s="542">
        <v>0</v>
      </c>
      <c r="AF63" s="542">
        <v>0</v>
      </c>
      <c r="AG63" s="542">
        <v>0</v>
      </c>
      <c r="AH63" s="542">
        <v>0</v>
      </c>
      <c r="AI63" s="542">
        <v>0</v>
      </c>
      <c r="AJ63" s="542">
        <v>0</v>
      </c>
      <c r="AK63" s="542">
        <v>0</v>
      </c>
      <c r="AL63" s="542">
        <v>0</v>
      </c>
      <c r="AM63" s="542">
        <v>0</v>
      </c>
      <c r="AN63" s="542">
        <v>0</v>
      </c>
      <c r="AO63" s="542">
        <v>0</v>
      </c>
      <c r="AP63" s="542">
        <v>0</v>
      </c>
      <c r="AQ63" s="542">
        <v>562911.13199999998</v>
      </c>
      <c r="AR63" s="542">
        <v>126655.004</v>
      </c>
      <c r="AS63" s="542">
        <v>14072.7783</v>
      </c>
      <c r="AT63" s="542">
        <v>512148</v>
      </c>
      <c r="AU63" s="542">
        <v>115233</v>
      </c>
      <c r="AV63" s="542">
        <v>12804</v>
      </c>
      <c r="AW63" s="542">
        <v>50763</v>
      </c>
      <c r="AX63" s="542">
        <v>11422</v>
      </c>
      <c r="AY63" s="542">
        <v>1269</v>
      </c>
      <c r="AZ63" s="542">
        <v>1171.5057300000001</v>
      </c>
      <c r="BA63" s="542">
        <v>263.58878900000002</v>
      </c>
      <c r="BB63" s="542">
        <v>29.287643299999999</v>
      </c>
      <c r="BC63" s="542">
        <v>0</v>
      </c>
      <c r="BD63" s="542">
        <v>0</v>
      </c>
      <c r="BE63" s="542">
        <v>0</v>
      </c>
      <c r="BF63" s="542">
        <v>1172</v>
      </c>
      <c r="BG63" s="542">
        <v>264</v>
      </c>
      <c r="BH63" s="542">
        <v>29</v>
      </c>
      <c r="BI63" s="542">
        <v>0</v>
      </c>
      <c r="BJ63" s="542">
        <v>0</v>
      </c>
      <c r="BK63" s="542">
        <v>0</v>
      </c>
      <c r="BL63" s="542">
        <v>0</v>
      </c>
      <c r="BM63" s="542">
        <v>0</v>
      </c>
      <c r="BN63" s="542">
        <v>0</v>
      </c>
      <c r="BO63" s="542">
        <v>0</v>
      </c>
      <c r="BP63" s="542">
        <v>0</v>
      </c>
      <c r="BQ63" s="542">
        <v>0</v>
      </c>
      <c r="BR63" s="542">
        <v>0</v>
      </c>
      <c r="BS63" s="542">
        <v>0</v>
      </c>
      <c r="BT63" s="542">
        <v>0</v>
      </c>
      <c r="BU63" s="542">
        <v>11156</v>
      </c>
      <c r="BV63" s="542">
        <v>2510</v>
      </c>
      <c r="BW63" s="542">
        <v>279</v>
      </c>
      <c r="BX63" s="542">
        <v>-11156</v>
      </c>
      <c r="BY63" s="542">
        <v>-2510</v>
      </c>
      <c r="BZ63" s="542">
        <v>-279</v>
      </c>
      <c r="CA63" s="542">
        <v>208979.15900000001</v>
      </c>
      <c r="CB63" s="542">
        <v>47020.310799999999</v>
      </c>
      <c r="CC63" s="542">
        <v>5224.4789799999999</v>
      </c>
      <c r="CD63" s="542">
        <v>235984</v>
      </c>
      <c r="CE63" s="542">
        <v>53097</v>
      </c>
      <c r="CF63" s="542">
        <v>5900</v>
      </c>
      <c r="CG63" s="542">
        <v>-27005</v>
      </c>
      <c r="CH63" s="542">
        <v>-6077</v>
      </c>
      <c r="CI63" s="542">
        <v>-676</v>
      </c>
      <c r="CJ63" s="542">
        <v>0</v>
      </c>
      <c r="CK63" s="542">
        <v>0</v>
      </c>
      <c r="CL63" s="542">
        <v>0</v>
      </c>
      <c r="CM63" s="542">
        <v>0</v>
      </c>
      <c r="CN63" s="542">
        <v>0</v>
      </c>
      <c r="CO63" s="542">
        <v>0</v>
      </c>
      <c r="CP63" s="542">
        <v>0</v>
      </c>
      <c r="CQ63" s="542">
        <v>0</v>
      </c>
      <c r="CR63" s="542">
        <v>0</v>
      </c>
      <c r="CS63" s="542">
        <v>0</v>
      </c>
      <c r="CT63" s="542">
        <v>0</v>
      </c>
      <c r="CU63" s="542">
        <v>0</v>
      </c>
      <c r="CV63" s="542">
        <v>138099.53700000001</v>
      </c>
      <c r="CW63" s="542">
        <v>30773.308199999999</v>
      </c>
      <c r="CX63" s="542">
        <v>3419.2564699999998</v>
      </c>
      <c r="CY63" s="542">
        <v>153692</v>
      </c>
      <c r="CZ63" s="542">
        <v>34184</v>
      </c>
      <c r="DA63" s="542">
        <v>3798</v>
      </c>
      <c r="DB63" s="542">
        <v>-15592</v>
      </c>
      <c r="DC63" s="542">
        <v>-3411</v>
      </c>
      <c r="DD63" s="542">
        <v>-379</v>
      </c>
      <c r="DE63" s="153" t="s">
        <v>672</v>
      </c>
      <c r="DF63" s="103" t="s">
        <v>753</v>
      </c>
      <c r="DG63" s="104" t="s">
        <v>754</v>
      </c>
      <c r="DH63" s="549" t="s">
        <v>1182</v>
      </c>
      <c r="DI63" s="549"/>
    </row>
    <row r="64" spans="1:113" x14ac:dyDescent="0.2">
      <c r="A64" s="93">
        <v>58</v>
      </c>
      <c r="B64" s="145" t="s">
        <v>675</v>
      </c>
      <c r="C64" s="141" t="s">
        <v>866</v>
      </c>
      <c r="D64" s="142" t="s">
        <v>867</v>
      </c>
      <c r="E64" s="149" t="s">
        <v>674</v>
      </c>
      <c r="F64" s="542">
        <v>-121375</v>
      </c>
      <c r="G64" s="542">
        <v>0</v>
      </c>
      <c r="H64" s="542">
        <v>-121375</v>
      </c>
      <c r="I64" s="542">
        <v>-197957</v>
      </c>
      <c r="J64" s="542">
        <v>0</v>
      </c>
      <c r="K64" s="542">
        <v>-197957</v>
      </c>
      <c r="L64" s="542">
        <v>76582</v>
      </c>
      <c r="M64" s="542">
        <v>0</v>
      </c>
      <c r="N64" s="542">
        <v>76582</v>
      </c>
      <c r="O64" s="543">
        <v>0.5</v>
      </c>
      <c r="P64" s="543">
        <v>0.4</v>
      </c>
      <c r="Q64" s="543">
        <v>0.1</v>
      </c>
      <c r="R64" s="543">
        <v>0</v>
      </c>
      <c r="S64" s="542">
        <v>195843</v>
      </c>
      <c r="T64" s="542">
        <v>195843</v>
      </c>
      <c r="U64" s="542">
        <v>0</v>
      </c>
      <c r="V64" s="542">
        <v>0</v>
      </c>
      <c r="W64" s="542">
        <v>0</v>
      </c>
      <c r="X64" s="542">
        <v>0</v>
      </c>
      <c r="Y64" s="542">
        <v>45165</v>
      </c>
      <c r="Z64" s="542">
        <v>0</v>
      </c>
      <c r="AA64" s="542">
        <v>0</v>
      </c>
      <c r="AB64" s="542">
        <v>0</v>
      </c>
      <c r="AC64" s="542">
        <v>45165</v>
      </c>
      <c r="AD64" s="542">
        <v>0</v>
      </c>
      <c r="AE64" s="542">
        <v>0</v>
      </c>
      <c r="AF64" s="542">
        <v>0</v>
      </c>
      <c r="AG64" s="542">
        <v>0</v>
      </c>
      <c r="AH64" s="542">
        <v>0</v>
      </c>
      <c r="AI64" s="542">
        <v>0</v>
      </c>
      <c r="AJ64" s="542">
        <v>0</v>
      </c>
      <c r="AK64" s="542">
        <v>0</v>
      </c>
      <c r="AL64" s="542">
        <v>0</v>
      </c>
      <c r="AM64" s="542">
        <v>0</v>
      </c>
      <c r="AN64" s="542">
        <v>0</v>
      </c>
      <c r="AO64" s="542">
        <v>0</v>
      </c>
      <c r="AP64" s="542">
        <v>0</v>
      </c>
      <c r="AQ64" s="542">
        <v>648053.07999999996</v>
      </c>
      <c r="AR64" s="542">
        <v>162013.26999999999</v>
      </c>
      <c r="AS64" s="542">
        <v>0</v>
      </c>
      <c r="AT64" s="542">
        <v>567253</v>
      </c>
      <c r="AU64" s="542">
        <v>141813</v>
      </c>
      <c r="AV64" s="542">
        <v>0</v>
      </c>
      <c r="AW64" s="542">
        <v>80800</v>
      </c>
      <c r="AX64" s="542">
        <v>20200</v>
      </c>
      <c r="AY64" s="542">
        <v>0</v>
      </c>
      <c r="AZ64" s="542">
        <v>6704.0203799999999</v>
      </c>
      <c r="BA64" s="542">
        <v>1676.0050900000001</v>
      </c>
      <c r="BB64" s="542">
        <v>0</v>
      </c>
      <c r="BC64" s="542">
        <v>12127</v>
      </c>
      <c r="BD64" s="542">
        <v>3032</v>
      </c>
      <c r="BE64" s="542">
        <v>0</v>
      </c>
      <c r="BF64" s="542">
        <v>-5423</v>
      </c>
      <c r="BG64" s="542">
        <v>-1356</v>
      </c>
      <c r="BH64" s="542">
        <v>0</v>
      </c>
      <c r="BI64" s="542">
        <v>0</v>
      </c>
      <c r="BJ64" s="542">
        <v>0</v>
      </c>
      <c r="BK64" s="542">
        <v>0</v>
      </c>
      <c r="BL64" s="542">
        <v>20212</v>
      </c>
      <c r="BM64" s="542">
        <v>5053</v>
      </c>
      <c r="BN64" s="542">
        <v>0</v>
      </c>
      <c r="BO64" s="542">
        <v>-20212</v>
      </c>
      <c r="BP64" s="542">
        <v>-5053</v>
      </c>
      <c r="BQ64" s="542">
        <v>0</v>
      </c>
      <c r="BR64" s="542">
        <v>435.37324799999999</v>
      </c>
      <c r="BS64" s="542">
        <v>108.843312</v>
      </c>
      <c r="BT64" s="542">
        <v>0</v>
      </c>
      <c r="BU64" s="542">
        <v>20212</v>
      </c>
      <c r="BV64" s="542">
        <v>5053</v>
      </c>
      <c r="BW64" s="542">
        <v>0</v>
      </c>
      <c r="BX64" s="542">
        <v>-19777</v>
      </c>
      <c r="BY64" s="542">
        <v>-4944</v>
      </c>
      <c r="BZ64" s="542">
        <v>0</v>
      </c>
      <c r="CA64" s="542">
        <v>217902.087</v>
      </c>
      <c r="CB64" s="542">
        <v>54475.521800000002</v>
      </c>
      <c r="CC64" s="542">
        <v>0</v>
      </c>
      <c r="CD64" s="542">
        <v>262760</v>
      </c>
      <c r="CE64" s="542">
        <v>65690</v>
      </c>
      <c r="CF64" s="542">
        <v>0</v>
      </c>
      <c r="CG64" s="542">
        <v>-44858</v>
      </c>
      <c r="CH64" s="542">
        <v>-11214</v>
      </c>
      <c r="CI64" s="542">
        <v>0</v>
      </c>
      <c r="CJ64" s="542">
        <v>0</v>
      </c>
      <c r="CK64" s="542">
        <v>0</v>
      </c>
      <c r="CL64" s="542">
        <v>0</v>
      </c>
      <c r="CM64" s="542">
        <v>7704.1256899999998</v>
      </c>
      <c r="CN64" s="542">
        <v>1926.03142</v>
      </c>
      <c r="CO64" s="542">
        <v>0</v>
      </c>
      <c r="CP64" s="542">
        <v>0</v>
      </c>
      <c r="CQ64" s="542">
        <v>0</v>
      </c>
      <c r="CR64" s="542">
        <v>0</v>
      </c>
      <c r="CS64" s="542">
        <v>7704</v>
      </c>
      <c r="CT64" s="542">
        <v>1926</v>
      </c>
      <c r="CU64" s="542">
        <v>0</v>
      </c>
      <c r="CV64" s="542">
        <v>177126.49400000001</v>
      </c>
      <c r="CW64" s="542">
        <v>44161.758999999998</v>
      </c>
      <c r="CX64" s="542">
        <v>0</v>
      </c>
      <c r="CY64" s="542">
        <v>182782</v>
      </c>
      <c r="CZ64" s="542">
        <v>45176</v>
      </c>
      <c r="DA64" s="542">
        <v>0</v>
      </c>
      <c r="DB64" s="542">
        <v>-5656</v>
      </c>
      <c r="DC64" s="542">
        <v>-1014</v>
      </c>
      <c r="DD64" s="542">
        <v>0</v>
      </c>
      <c r="DE64" s="153" t="s">
        <v>674</v>
      </c>
      <c r="DF64" s="103" t="s">
        <v>749</v>
      </c>
      <c r="DG64" s="104" t="s">
        <v>751</v>
      </c>
      <c r="DH64" s="547"/>
      <c r="DI64" s="547"/>
    </row>
    <row r="65" spans="1:113" x14ac:dyDescent="0.2">
      <c r="A65" s="93">
        <v>59</v>
      </c>
      <c r="B65" s="145" t="s">
        <v>677</v>
      </c>
      <c r="C65" s="141" t="s">
        <v>866</v>
      </c>
      <c r="D65" s="142" t="s">
        <v>867</v>
      </c>
      <c r="E65" s="149" t="s">
        <v>676</v>
      </c>
      <c r="F65" s="542">
        <v>-12334</v>
      </c>
      <c r="G65" s="542">
        <v>0</v>
      </c>
      <c r="H65" s="542">
        <v>-12334</v>
      </c>
      <c r="I65" s="542">
        <v>-60412</v>
      </c>
      <c r="J65" s="542">
        <v>0</v>
      </c>
      <c r="K65" s="542">
        <v>-60412</v>
      </c>
      <c r="L65" s="542">
        <v>48078</v>
      </c>
      <c r="M65" s="542">
        <v>0</v>
      </c>
      <c r="N65" s="542">
        <v>48078</v>
      </c>
      <c r="O65" s="543">
        <v>0.5</v>
      </c>
      <c r="P65" s="543">
        <v>0.4</v>
      </c>
      <c r="Q65" s="543">
        <v>0.09</v>
      </c>
      <c r="R65" s="543">
        <v>0.01</v>
      </c>
      <c r="S65" s="542">
        <v>116496</v>
      </c>
      <c r="T65" s="542">
        <v>116496</v>
      </c>
      <c r="U65" s="542">
        <v>0</v>
      </c>
      <c r="V65" s="542">
        <v>0</v>
      </c>
      <c r="W65" s="542">
        <v>0</v>
      </c>
      <c r="X65" s="542">
        <v>0</v>
      </c>
      <c r="Y65" s="542">
        <v>0</v>
      </c>
      <c r="Z65" s="542">
        <v>0</v>
      </c>
      <c r="AA65" s="542">
        <v>0</v>
      </c>
      <c r="AB65" s="542">
        <v>0</v>
      </c>
      <c r="AC65" s="542">
        <v>0</v>
      </c>
      <c r="AD65" s="542">
        <v>0</v>
      </c>
      <c r="AE65" s="542">
        <v>0</v>
      </c>
      <c r="AF65" s="542">
        <v>0</v>
      </c>
      <c r="AG65" s="542">
        <v>0</v>
      </c>
      <c r="AH65" s="542">
        <v>0</v>
      </c>
      <c r="AI65" s="542">
        <v>0</v>
      </c>
      <c r="AJ65" s="542">
        <v>0</v>
      </c>
      <c r="AK65" s="542">
        <v>0</v>
      </c>
      <c r="AL65" s="542">
        <v>0</v>
      </c>
      <c r="AM65" s="542">
        <v>0</v>
      </c>
      <c r="AN65" s="542">
        <v>0</v>
      </c>
      <c r="AO65" s="542">
        <v>0</v>
      </c>
      <c r="AP65" s="542">
        <v>0</v>
      </c>
      <c r="AQ65" s="542">
        <v>303046.46100000001</v>
      </c>
      <c r="AR65" s="542">
        <v>68185.453699999998</v>
      </c>
      <c r="AS65" s="542">
        <v>7576.1615199999997</v>
      </c>
      <c r="AT65" s="542">
        <v>271473</v>
      </c>
      <c r="AU65" s="542">
        <v>61081</v>
      </c>
      <c r="AV65" s="542">
        <v>6787</v>
      </c>
      <c r="AW65" s="542">
        <v>31573</v>
      </c>
      <c r="AX65" s="542">
        <v>7104</v>
      </c>
      <c r="AY65" s="542">
        <v>789</v>
      </c>
      <c r="AZ65" s="542">
        <v>0</v>
      </c>
      <c r="BA65" s="542">
        <v>0</v>
      </c>
      <c r="BB65" s="542">
        <v>0</v>
      </c>
      <c r="BC65" s="542">
        <v>0</v>
      </c>
      <c r="BD65" s="542">
        <v>0</v>
      </c>
      <c r="BE65" s="542">
        <v>0</v>
      </c>
      <c r="BF65" s="542">
        <v>0</v>
      </c>
      <c r="BG65" s="542">
        <v>0</v>
      </c>
      <c r="BH65" s="542">
        <v>0</v>
      </c>
      <c r="BI65" s="542">
        <v>0</v>
      </c>
      <c r="BJ65" s="542">
        <v>0</v>
      </c>
      <c r="BK65" s="542">
        <v>0</v>
      </c>
      <c r="BL65" s="542">
        <v>0</v>
      </c>
      <c r="BM65" s="542">
        <v>0</v>
      </c>
      <c r="BN65" s="542">
        <v>0</v>
      </c>
      <c r="BO65" s="542">
        <v>0</v>
      </c>
      <c r="BP65" s="542">
        <v>0</v>
      </c>
      <c r="BQ65" s="542">
        <v>0</v>
      </c>
      <c r="BR65" s="542">
        <v>0</v>
      </c>
      <c r="BS65" s="542">
        <v>0</v>
      </c>
      <c r="BT65" s="542">
        <v>0</v>
      </c>
      <c r="BU65" s="542">
        <v>0</v>
      </c>
      <c r="BV65" s="542">
        <v>0</v>
      </c>
      <c r="BW65" s="542">
        <v>0</v>
      </c>
      <c r="BX65" s="542">
        <v>0</v>
      </c>
      <c r="BY65" s="542">
        <v>0</v>
      </c>
      <c r="BZ65" s="542">
        <v>0</v>
      </c>
      <c r="CA65" s="542">
        <v>149201.239</v>
      </c>
      <c r="CB65" s="542">
        <v>33570.278899999998</v>
      </c>
      <c r="CC65" s="542">
        <v>3730.0309900000002</v>
      </c>
      <c r="CD65" s="542">
        <v>241739.27799999999</v>
      </c>
      <c r="CE65" s="542">
        <v>54391.337500000001</v>
      </c>
      <c r="CF65" s="542">
        <v>6043.4819500000003</v>
      </c>
      <c r="CG65" s="542">
        <v>-92538</v>
      </c>
      <c r="CH65" s="542">
        <v>-20821</v>
      </c>
      <c r="CI65" s="542">
        <v>-2313</v>
      </c>
      <c r="CJ65" s="542">
        <v>9812.768</v>
      </c>
      <c r="CK65" s="542">
        <v>2207.8728000000001</v>
      </c>
      <c r="CL65" s="542">
        <v>245.3192</v>
      </c>
      <c r="CM65" s="542">
        <v>20806.151999999998</v>
      </c>
      <c r="CN65" s="542">
        <v>4681.3842000000004</v>
      </c>
      <c r="CO65" s="542">
        <v>520.15380000000005</v>
      </c>
      <c r="CP65" s="542">
        <v>0</v>
      </c>
      <c r="CQ65" s="542">
        <v>0</v>
      </c>
      <c r="CR65" s="542">
        <v>0</v>
      </c>
      <c r="CS65" s="542">
        <v>30619</v>
      </c>
      <c r="CT65" s="542">
        <v>6889</v>
      </c>
      <c r="CU65" s="542">
        <v>765</v>
      </c>
      <c r="CV65" s="542">
        <v>82995.919299999994</v>
      </c>
      <c r="CW65" s="542">
        <v>18674.0818</v>
      </c>
      <c r="CX65" s="542">
        <v>2074.8979800000002</v>
      </c>
      <c r="CY65" s="542">
        <v>89173</v>
      </c>
      <c r="CZ65" s="542">
        <v>19786</v>
      </c>
      <c r="DA65" s="542">
        <v>2198</v>
      </c>
      <c r="DB65" s="542">
        <v>-6177</v>
      </c>
      <c r="DC65" s="542">
        <v>-1112</v>
      </c>
      <c r="DD65" s="542">
        <v>-123</v>
      </c>
      <c r="DE65" s="153" t="s">
        <v>676</v>
      </c>
      <c r="DF65" s="103" t="s">
        <v>759</v>
      </c>
      <c r="DG65" s="104" t="s">
        <v>760</v>
      </c>
      <c r="DH65" s="547"/>
      <c r="DI65" s="547"/>
    </row>
    <row r="66" spans="1:113" x14ac:dyDescent="0.2">
      <c r="A66" s="93">
        <v>60</v>
      </c>
      <c r="B66" s="145" t="s">
        <v>679</v>
      </c>
      <c r="C66" s="141" t="s">
        <v>866</v>
      </c>
      <c r="D66" s="142" t="s">
        <v>868</v>
      </c>
      <c r="E66" s="149" t="s">
        <v>678</v>
      </c>
      <c r="F66" s="542">
        <v>-75028</v>
      </c>
      <c r="G66" s="542">
        <v>0</v>
      </c>
      <c r="H66" s="542">
        <v>-75028</v>
      </c>
      <c r="I66" s="542">
        <v>53559</v>
      </c>
      <c r="J66" s="542">
        <v>0</v>
      </c>
      <c r="K66" s="542">
        <v>53559</v>
      </c>
      <c r="L66" s="542">
        <v>-128587</v>
      </c>
      <c r="M66" s="542">
        <v>0</v>
      </c>
      <c r="N66" s="542">
        <v>-128587</v>
      </c>
      <c r="O66" s="543">
        <v>0.5</v>
      </c>
      <c r="P66" s="543">
        <v>0.4</v>
      </c>
      <c r="Q66" s="543">
        <v>0.09</v>
      </c>
      <c r="R66" s="543">
        <v>0.01</v>
      </c>
      <c r="S66" s="542">
        <v>132564</v>
      </c>
      <c r="T66" s="542">
        <v>132564</v>
      </c>
      <c r="U66" s="542">
        <v>0</v>
      </c>
      <c r="V66" s="542">
        <v>0</v>
      </c>
      <c r="W66" s="542">
        <v>0</v>
      </c>
      <c r="X66" s="542">
        <v>0</v>
      </c>
      <c r="Y66" s="542">
        <v>0</v>
      </c>
      <c r="Z66" s="542">
        <v>0</v>
      </c>
      <c r="AA66" s="542">
        <v>0</v>
      </c>
      <c r="AB66" s="542">
        <v>0</v>
      </c>
      <c r="AC66" s="542">
        <v>0</v>
      </c>
      <c r="AD66" s="542">
        <v>0</v>
      </c>
      <c r="AE66" s="542">
        <v>0</v>
      </c>
      <c r="AF66" s="542">
        <v>0</v>
      </c>
      <c r="AG66" s="542">
        <v>0</v>
      </c>
      <c r="AH66" s="542">
        <v>0</v>
      </c>
      <c r="AI66" s="542">
        <v>0</v>
      </c>
      <c r="AJ66" s="542">
        <v>0</v>
      </c>
      <c r="AK66" s="542">
        <v>0</v>
      </c>
      <c r="AL66" s="542">
        <v>0</v>
      </c>
      <c r="AM66" s="542">
        <v>0</v>
      </c>
      <c r="AN66" s="542">
        <v>0</v>
      </c>
      <c r="AO66" s="542">
        <v>0</v>
      </c>
      <c r="AP66" s="542">
        <v>0</v>
      </c>
      <c r="AQ66" s="542">
        <v>501971.212</v>
      </c>
      <c r="AR66" s="542">
        <v>112943.522</v>
      </c>
      <c r="AS66" s="542">
        <v>12549.2803</v>
      </c>
      <c r="AT66" s="542">
        <v>478633</v>
      </c>
      <c r="AU66" s="542">
        <v>107693</v>
      </c>
      <c r="AV66" s="542">
        <v>11966</v>
      </c>
      <c r="AW66" s="542">
        <v>23338</v>
      </c>
      <c r="AX66" s="542">
        <v>5251</v>
      </c>
      <c r="AY66" s="542">
        <v>583</v>
      </c>
      <c r="AZ66" s="542">
        <v>1130.66473</v>
      </c>
      <c r="BA66" s="542">
        <v>254.399564</v>
      </c>
      <c r="BB66" s="542">
        <v>28.2666182</v>
      </c>
      <c r="BC66" s="542">
        <v>5595</v>
      </c>
      <c r="BD66" s="542">
        <v>1259</v>
      </c>
      <c r="BE66" s="542">
        <v>140</v>
      </c>
      <c r="BF66" s="542">
        <v>-4464</v>
      </c>
      <c r="BG66" s="542">
        <v>-1005</v>
      </c>
      <c r="BH66" s="542">
        <v>-112</v>
      </c>
      <c r="BI66" s="542">
        <v>0</v>
      </c>
      <c r="BJ66" s="542">
        <v>0</v>
      </c>
      <c r="BK66" s="542">
        <v>0</v>
      </c>
      <c r="BL66" s="542">
        <v>20212</v>
      </c>
      <c r="BM66" s="542">
        <v>4548</v>
      </c>
      <c r="BN66" s="542">
        <v>505</v>
      </c>
      <c r="BO66" s="542">
        <v>-20212</v>
      </c>
      <c r="BP66" s="542">
        <v>-4548</v>
      </c>
      <c r="BQ66" s="542">
        <v>-505</v>
      </c>
      <c r="BR66" s="542">
        <v>2206.3762200000001</v>
      </c>
      <c r="BS66" s="542">
        <v>496.43464899999998</v>
      </c>
      <c r="BT66" s="542">
        <v>55.159405499999998</v>
      </c>
      <c r="BU66" s="542">
        <v>14792</v>
      </c>
      <c r="BV66" s="542">
        <v>3328</v>
      </c>
      <c r="BW66" s="542">
        <v>370</v>
      </c>
      <c r="BX66" s="542">
        <v>-12586</v>
      </c>
      <c r="BY66" s="542">
        <v>-2832</v>
      </c>
      <c r="BZ66" s="542">
        <v>-315</v>
      </c>
      <c r="CA66" s="542">
        <v>105145.671</v>
      </c>
      <c r="CB66" s="542">
        <v>23657.776000000002</v>
      </c>
      <c r="CC66" s="542">
        <v>2628.6417799999999</v>
      </c>
      <c r="CD66" s="542">
        <v>198485</v>
      </c>
      <c r="CE66" s="542">
        <v>44659</v>
      </c>
      <c r="CF66" s="542">
        <v>4962</v>
      </c>
      <c r="CG66" s="542">
        <v>-93339</v>
      </c>
      <c r="CH66" s="542">
        <v>-21001</v>
      </c>
      <c r="CI66" s="542">
        <v>-2333</v>
      </c>
      <c r="CJ66" s="542">
        <v>0</v>
      </c>
      <c r="CK66" s="542">
        <v>0</v>
      </c>
      <c r="CL66" s="542">
        <v>0</v>
      </c>
      <c r="CM66" s="542">
        <v>0</v>
      </c>
      <c r="CN66" s="542">
        <v>0</v>
      </c>
      <c r="CO66" s="542">
        <v>0</v>
      </c>
      <c r="CP66" s="542">
        <v>0</v>
      </c>
      <c r="CQ66" s="542">
        <v>0</v>
      </c>
      <c r="CR66" s="542">
        <v>0</v>
      </c>
      <c r="CS66" s="542">
        <v>0</v>
      </c>
      <c r="CT66" s="542">
        <v>0</v>
      </c>
      <c r="CU66" s="542">
        <v>0</v>
      </c>
      <c r="CV66" s="542">
        <v>116736.084</v>
      </c>
      <c r="CW66" s="542">
        <v>26265.6191</v>
      </c>
      <c r="CX66" s="542">
        <v>2918.4021200000002</v>
      </c>
      <c r="CY66" s="542">
        <v>116022</v>
      </c>
      <c r="CZ66" s="542">
        <v>25788</v>
      </c>
      <c r="DA66" s="542">
        <v>2865</v>
      </c>
      <c r="DB66" s="542">
        <v>714</v>
      </c>
      <c r="DC66" s="542">
        <v>478</v>
      </c>
      <c r="DD66" s="542">
        <v>53</v>
      </c>
      <c r="DE66" s="153" t="s">
        <v>678</v>
      </c>
      <c r="DF66" s="103" t="s">
        <v>789</v>
      </c>
      <c r="DG66" s="104" t="s">
        <v>776</v>
      </c>
      <c r="DH66" s="547"/>
      <c r="DI66" s="547"/>
    </row>
    <row r="67" spans="1:113" x14ac:dyDescent="0.2">
      <c r="A67" s="93">
        <v>61</v>
      </c>
      <c r="B67" s="145" t="s">
        <v>681</v>
      </c>
      <c r="C67" s="141" t="s">
        <v>866</v>
      </c>
      <c r="D67" s="142" t="s">
        <v>875</v>
      </c>
      <c r="E67" s="149" t="s">
        <v>680</v>
      </c>
      <c r="F67" s="542">
        <v>1123</v>
      </c>
      <c r="G67" s="542">
        <v>0</v>
      </c>
      <c r="H67" s="542">
        <v>1123</v>
      </c>
      <c r="I67" s="542">
        <v>21246</v>
      </c>
      <c r="J67" s="542">
        <v>0</v>
      </c>
      <c r="K67" s="542">
        <v>21246</v>
      </c>
      <c r="L67" s="542">
        <v>-20123</v>
      </c>
      <c r="M67" s="542">
        <v>0</v>
      </c>
      <c r="N67" s="542">
        <v>-20123</v>
      </c>
      <c r="O67" s="543">
        <v>0.5</v>
      </c>
      <c r="P67" s="543">
        <v>0.4</v>
      </c>
      <c r="Q67" s="543">
        <v>0.09</v>
      </c>
      <c r="R67" s="543">
        <v>0.01</v>
      </c>
      <c r="S67" s="542">
        <v>75172</v>
      </c>
      <c r="T67" s="542">
        <v>75172</v>
      </c>
      <c r="U67" s="542">
        <v>0</v>
      </c>
      <c r="V67" s="542">
        <v>0</v>
      </c>
      <c r="W67" s="542">
        <v>0</v>
      </c>
      <c r="X67" s="542">
        <v>0</v>
      </c>
      <c r="Y67" s="542">
        <v>146460</v>
      </c>
      <c r="Z67" s="542">
        <v>0</v>
      </c>
      <c r="AA67" s="542">
        <v>0</v>
      </c>
      <c r="AB67" s="542">
        <v>0</v>
      </c>
      <c r="AC67" s="542">
        <v>146460</v>
      </c>
      <c r="AD67" s="542">
        <v>0</v>
      </c>
      <c r="AE67" s="542">
        <v>0</v>
      </c>
      <c r="AF67" s="542">
        <v>0</v>
      </c>
      <c r="AG67" s="542">
        <v>0</v>
      </c>
      <c r="AH67" s="542">
        <v>0</v>
      </c>
      <c r="AI67" s="542">
        <v>0</v>
      </c>
      <c r="AJ67" s="542">
        <v>0</v>
      </c>
      <c r="AK67" s="542">
        <v>0</v>
      </c>
      <c r="AL67" s="542">
        <v>0</v>
      </c>
      <c r="AM67" s="542">
        <v>0</v>
      </c>
      <c r="AN67" s="542">
        <v>0</v>
      </c>
      <c r="AO67" s="542">
        <v>0</v>
      </c>
      <c r="AP67" s="542">
        <v>0</v>
      </c>
      <c r="AQ67" s="542">
        <v>240891.573</v>
      </c>
      <c r="AR67" s="542">
        <v>54200.603999999999</v>
      </c>
      <c r="AS67" s="542">
        <v>6022.2893400000003</v>
      </c>
      <c r="AT67" s="542">
        <v>221483</v>
      </c>
      <c r="AU67" s="542">
        <v>49834</v>
      </c>
      <c r="AV67" s="542">
        <v>5537</v>
      </c>
      <c r="AW67" s="542">
        <v>19409</v>
      </c>
      <c r="AX67" s="542">
        <v>4367</v>
      </c>
      <c r="AY67" s="542">
        <v>485</v>
      </c>
      <c r="AZ67" s="542">
        <v>0</v>
      </c>
      <c r="BA67" s="542">
        <v>0</v>
      </c>
      <c r="BB67" s="542">
        <v>0</v>
      </c>
      <c r="BC67" s="542">
        <v>0</v>
      </c>
      <c r="BD67" s="542">
        <v>0</v>
      </c>
      <c r="BE67" s="542">
        <v>0</v>
      </c>
      <c r="BF67" s="542">
        <v>0</v>
      </c>
      <c r="BG67" s="542">
        <v>0</v>
      </c>
      <c r="BH67" s="542">
        <v>0</v>
      </c>
      <c r="BI67" s="542">
        <v>0</v>
      </c>
      <c r="BJ67" s="542">
        <v>0</v>
      </c>
      <c r="BK67" s="542">
        <v>0</v>
      </c>
      <c r="BL67" s="542">
        <v>0</v>
      </c>
      <c r="BM67" s="542">
        <v>0</v>
      </c>
      <c r="BN67" s="542">
        <v>0</v>
      </c>
      <c r="BO67" s="542">
        <v>0</v>
      </c>
      <c r="BP67" s="542">
        <v>0</v>
      </c>
      <c r="BQ67" s="542">
        <v>0</v>
      </c>
      <c r="BR67" s="542">
        <v>0</v>
      </c>
      <c r="BS67" s="542">
        <v>0</v>
      </c>
      <c r="BT67" s="542">
        <v>0</v>
      </c>
      <c r="BU67" s="542">
        <v>492</v>
      </c>
      <c r="BV67" s="542">
        <v>111</v>
      </c>
      <c r="BW67" s="542">
        <v>12</v>
      </c>
      <c r="BX67" s="542">
        <v>-492</v>
      </c>
      <c r="BY67" s="542">
        <v>-111</v>
      </c>
      <c r="BZ67" s="542">
        <v>-12</v>
      </c>
      <c r="CA67" s="542">
        <v>106567.405</v>
      </c>
      <c r="CB67" s="542">
        <v>23977.6662</v>
      </c>
      <c r="CC67" s="542">
        <v>2664.1851299999998</v>
      </c>
      <c r="CD67" s="542">
        <v>134327</v>
      </c>
      <c r="CE67" s="542">
        <v>30223</v>
      </c>
      <c r="CF67" s="542">
        <v>3358</v>
      </c>
      <c r="CG67" s="542">
        <v>-27760</v>
      </c>
      <c r="CH67" s="542">
        <v>-6245</v>
      </c>
      <c r="CI67" s="542">
        <v>-694</v>
      </c>
      <c r="CJ67" s="542">
        <v>0</v>
      </c>
      <c r="CK67" s="542">
        <v>0</v>
      </c>
      <c r="CL67" s="542">
        <v>0</v>
      </c>
      <c r="CM67" s="542">
        <v>7965.6730299999999</v>
      </c>
      <c r="CN67" s="542">
        <v>1792.2764299999999</v>
      </c>
      <c r="CO67" s="542">
        <v>199.14182500000001</v>
      </c>
      <c r="CP67" s="542">
        <v>0</v>
      </c>
      <c r="CQ67" s="542">
        <v>0</v>
      </c>
      <c r="CR67" s="542">
        <v>0</v>
      </c>
      <c r="CS67" s="542">
        <v>7966</v>
      </c>
      <c r="CT67" s="542">
        <v>1792</v>
      </c>
      <c r="CU67" s="542">
        <v>199</v>
      </c>
      <c r="CV67" s="542">
        <v>77149.569000000003</v>
      </c>
      <c r="CW67" s="542">
        <v>17008.828099999999</v>
      </c>
      <c r="CX67" s="542">
        <v>1889.86979</v>
      </c>
      <c r="CY67" s="542">
        <v>71923</v>
      </c>
      <c r="CZ67" s="542">
        <v>16003</v>
      </c>
      <c r="DA67" s="542">
        <v>1778</v>
      </c>
      <c r="DB67" s="542">
        <v>5227</v>
      </c>
      <c r="DC67" s="542">
        <v>1006</v>
      </c>
      <c r="DD67" s="542">
        <v>112</v>
      </c>
      <c r="DE67" s="153" t="s">
        <v>680</v>
      </c>
      <c r="DF67" s="103" t="s">
        <v>797</v>
      </c>
      <c r="DG67" s="104" t="s">
        <v>779</v>
      </c>
      <c r="DH67" s="547"/>
      <c r="DI67" s="547"/>
    </row>
    <row r="68" spans="1:113" x14ac:dyDescent="0.2">
      <c r="A68" s="93">
        <v>62</v>
      </c>
      <c r="B68" s="145" t="s">
        <v>0</v>
      </c>
      <c r="C68" s="141" t="s">
        <v>877</v>
      </c>
      <c r="D68" s="142" t="s">
        <v>872</v>
      </c>
      <c r="E68" s="149" t="s">
        <v>682</v>
      </c>
      <c r="F68" s="542">
        <v>-1336705</v>
      </c>
      <c r="G68" s="542">
        <v>0</v>
      </c>
      <c r="H68" s="542">
        <v>-1336705</v>
      </c>
      <c r="I68" s="542">
        <v>162394</v>
      </c>
      <c r="J68" s="542">
        <v>0</v>
      </c>
      <c r="K68" s="542">
        <v>162394</v>
      </c>
      <c r="L68" s="542">
        <v>-1499099</v>
      </c>
      <c r="M68" s="542">
        <v>0</v>
      </c>
      <c r="N68" s="542">
        <v>-1499099</v>
      </c>
      <c r="O68" s="543">
        <v>0.5</v>
      </c>
      <c r="P68" s="543">
        <v>0.3</v>
      </c>
      <c r="Q68" s="543">
        <v>0.2</v>
      </c>
      <c r="R68" s="543">
        <v>0</v>
      </c>
      <c r="S68" s="542">
        <v>1680657</v>
      </c>
      <c r="T68" s="542">
        <v>1680657</v>
      </c>
      <c r="U68" s="542">
        <v>0</v>
      </c>
      <c r="V68" s="542">
        <v>0</v>
      </c>
      <c r="W68" s="542">
        <v>0</v>
      </c>
      <c r="X68" s="542">
        <v>0</v>
      </c>
      <c r="Y68" s="542">
        <v>0</v>
      </c>
      <c r="Z68" s="542">
        <v>0</v>
      </c>
      <c r="AA68" s="542">
        <v>0</v>
      </c>
      <c r="AB68" s="542">
        <v>0</v>
      </c>
      <c r="AC68" s="542">
        <v>0</v>
      </c>
      <c r="AD68" s="542">
        <v>0</v>
      </c>
      <c r="AE68" s="542">
        <v>0</v>
      </c>
      <c r="AF68" s="542">
        <v>0</v>
      </c>
      <c r="AG68" s="542">
        <v>0</v>
      </c>
      <c r="AH68" s="542">
        <v>0</v>
      </c>
      <c r="AI68" s="542">
        <v>0</v>
      </c>
      <c r="AJ68" s="542">
        <v>0</v>
      </c>
      <c r="AK68" s="542">
        <v>0</v>
      </c>
      <c r="AL68" s="542">
        <v>0</v>
      </c>
      <c r="AM68" s="542">
        <v>0</v>
      </c>
      <c r="AN68" s="542">
        <v>0</v>
      </c>
      <c r="AO68" s="542">
        <v>0</v>
      </c>
      <c r="AP68" s="542">
        <v>0</v>
      </c>
      <c r="AQ68" s="542">
        <v>64693.554100000001</v>
      </c>
      <c r="AR68" s="542">
        <v>43129.036</v>
      </c>
      <c r="AS68" s="542">
        <v>0</v>
      </c>
      <c r="AT68" s="542">
        <v>56656</v>
      </c>
      <c r="AU68" s="542">
        <v>37770</v>
      </c>
      <c r="AV68" s="542">
        <v>0</v>
      </c>
      <c r="AW68" s="542">
        <v>8038</v>
      </c>
      <c r="AX68" s="542">
        <v>5359</v>
      </c>
      <c r="AY68" s="542">
        <v>0</v>
      </c>
      <c r="AZ68" s="542">
        <v>314.09936299999998</v>
      </c>
      <c r="BA68" s="542">
        <v>209.399575</v>
      </c>
      <c r="BB68" s="542">
        <v>0</v>
      </c>
      <c r="BC68" s="542">
        <v>0</v>
      </c>
      <c r="BD68" s="542">
        <v>0</v>
      </c>
      <c r="BE68" s="542">
        <v>0</v>
      </c>
      <c r="BF68" s="542">
        <v>314</v>
      </c>
      <c r="BG68" s="542">
        <v>209</v>
      </c>
      <c r="BH68" s="542">
        <v>0</v>
      </c>
      <c r="BI68" s="542">
        <v>0</v>
      </c>
      <c r="BJ68" s="542">
        <v>0</v>
      </c>
      <c r="BK68" s="542">
        <v>0</v>
      </c>
      <c r="BL68" s="542">
        <v>0</v>
      </c>
      <c r="BM68" s="542">
        <v>0</v>
      </c>
      <c r="BN68" s="542">
        <v>0</v>
      </c>
      <c r="BO68" s="542">
        <v>0</v>
      </c>
      <c r="BP68" s="542">
        <v>0</v>
      </c>
      <c r="BQ68" s="542">
        <v>0</v>
      </c>
      <c r="BR68" s="542">
        <v>5327.8649599999999</v>
      </c>
      <c r="BS68" s="542">
        <v>3551.9099700000002</v>
      </c>
      <c r="BT68" s="542">
        <v>0</v>
      </c>
      <c r="BU68" s="542">
        <v>45006.5579</v>
      </c>
      <c r="BV68" s="542">
        <v>30004.371899999998</v>
      </c>
      <c r="BW68" s="542">
        <v>0</v>
      </c>
      <c r="BX68" s="542">
        <v>-39679</v>
      </c>
      <c r="BY68" s="542">
        <v>-26452</v>
      </c>
      <c r="BZ68" s="542">
        <v>0</v>
      </c>
      <c r="CA68" s="542">
        <v>113565.717</v>
      </c>
      <c r="CB68" s="542">
        <v>75710.478099999993</v>
      </c>
      <c r="CC68" s="542">
        <v>0</v>
      </c>
      <c r="CD68" s="542">
        <v>186155.41399999999</v>
      </c>
      <c r="CE68" s="542">
        <v>124103.609</v>
      </c>
      <c r="CF68" s="542">
        <v>0</v>
      </c>
      <c r="CG68" s="542">
        <v>-72590</v>
      </c>
      <c r="CH68" s="542">
        <v>-48393</v>
      </c>
      <c r="CI68" s="542">
        <v>0</v>
      </c>
      <c r="CJ68" s="542">
        <v>0</v>
      </c>
      <c r="CK68" s="542">
        <v>0</v>
      </c>
      <c r="CL68" s="542">
        <v>0</v>
      </c>
      <c r="CM68" s="542">
        <v>0</v>
      </c>
      <c r="CN68" s="542">
        <v>0</v>
      </c>
      <c r="CO68" s="542">
        <v>0</v>
      </c>
      <c r="CP68" s="542">
        <v>0</v>
      </c>
      <c r="CQ68" s="542">
        <v>0</v>
      </c>
      <c r="CR68" s="542">
        <v>0</v>
      </c>
      <c r="CS68" s="542">
        <v>0</v>
      </c>
      <c r="CT68" s="542">
        <v>0</v>
      </c>
      <c r="CU68" s="542">
        <v>0</v>
      </c>
      <c r="CV68" s="542">
        <v>2418949.1200000001</v>
      </c>
      <c r="CW68" s="542">
        <v>1612632.74</v>
      </c>
      <c r="CX68" s="542">
        <v>0</v>
      </c>
      <c r="CY68" s="542">
        <v>2458061</v>
      </c>
      <c r="CZ68" s="542">
        <v>1550784</v>
      </c>
      <c r="DA68" s="542">
        <v>0</v>
      </c>
      <c r="DB68" s="542">
        <v>-39112</v>
      </c>
      <c r="DC68" s="542">
        <v>61849</v>
      </c>
      <c r="DD68" s="542">
        <v>0</v>
      </c>
      <c r="DE68" s="153" t="s">
        <v>682</v>
      </c>
      <c r="DF68" s="103" t="s">
        <v>798</v>
      </c>
      <c r="DG68" s="103" t="s">
        <v>750</v>
      </c>
      <c r="DH68" s="547"/>
      <c r="DI68" s="547"/>
    </row>
    <row r="69" spans="1:113" x14ac:dyDescent="0.2">
      <c r="A69" s="93">
        <v>63</v>
      </c>
      <c r="B69" s="145" t="s">
        <v>2</v>
      </c>
      <c r="C69" s="141" t="s">
        <v>866</v>
      </c>
      <c r="D69" s="142" t="s">
        <v>870</v>
      </c>
      <c r="E69" s="149" t="s">
        <v>1</v>
      </c>
      <c r="F69" s="542">
        <v>-646271</v>
      </c>
      <c r="G69" s="542">
        <v>0</v>
      </c>
      <c r="H69" s="542">
        <v>-646271</v>
      </c>
      <c r="I69" s="542">
        <v>16909</v>
      </c>
      <c r="J69" s="542">
        <v>0</v>
      </c>
      <c r="K69" s="542">
        <v>16909</v>
      </c>
      <c r="L69" s="542">
        <v>-663180</v>
      </c>
      <c r="M69" s="542">
        <v>0</v>
      </c>
      <c r="N69" s="542">
        <v>-663180</v>
      </c>
      <c r="O69" s="543">
        <v>0.5</v>
      </c>
      <c r="P69" s="543">
        <v>0.4</v>
      </c>
      <c r="Q69" s="543">
        <v>0.09</v>
      </c>
      <c r="R69" s="543">
        <v>0.01</v>
      </c>
      <c r="S69" s="542">
        <v>237985</v>
      </c>
      <c r="T69" s="542">
        <v>237985</v>
      </c>
      <c r="U69" s="542">
        <v>0</v>
      </c>
      <c r="V69" s="542">
        <v>0</v>
      </c>
      <c r="W69" s="542">
        <v>0</v>
      </c>
      <c r="X69" s="542">
        <v>0</v>
      </c>
      <c r="Y69" s="542">
        <v>0</v>
      </c>
      <c r="Z69" s="542">
        <v>0</v>
      </c>
      <c r="AA69" s="542">
        <v>0</v>
      </c>
      <c r="AB69" s="542">
        <v>0</v>
      </c>
      <c r="AC69" s="542">
        <v>0</v>
      </c>
      <c r="AD69" s="542">
        <v>0</v>
      </c>
      <c r="AE69" s="542">
        <v>0</v>
      </c>
      <c r="AF69" s="542">
        <v>0</v>
      </c>
      <c r="AG69" s="542">
        <v>0</v>
      </c>
      <c r="AH69" s="542">
        <v>0</v>
      </c>
      <c r="AI69" s="542">
        <v>0</v>
      </c>
      <c r="AJ69" s="542">
        <v>0</v>
      </c>
      <c r="AK69" s="542">
        <v>0</v>
      </c>
      <c r="AL69" s="542">
        <v>0</v>
      </c>
      <c r="AM69" s="542">
        <v>0</v>
      </c>
      <c r="AN69" s="542">
        <v>0</v>
      </c>
      <c r="AO69" s="542">
        <v>0</v>
      </c>
      <c r="AP69" s="542">
        <v>0</v>
      </c>
      <c r="AQ69" s="542">
        <v>610633.21400000004</v>
      </c>
      <c r="AR69" s="542">
        <v>137392.473</v>
      </c>
      <c r="AS69" s="542">
        <v>15265.8303</v>
      </c>
      <c r="AT69" s="542">
        <v>531637</v>
      </c>
      <c r="AU69" s="542">
        <v>119618</v>
      </c>
      <c r="AV69" s="542">
        <v>13291</v>
      </c>
      <c r="AW69" s="542">
        <v>78996</v>
      </c>
      <c r="AX69" s="542">
        <v>17774</v>
      </c>
      <c r="AY69" s="542">
        <v>1975</v>
      </c>
      <c r="AZ69" s="542">
        <v>0</v>
      </c>
      <c r="BA69" s="542">
        <v>0</v>
      </c>
      <c r="BB69" s="542">
        <v>0</v>
      </c>
      <c r="BC69" s="542">
        <v>40424</v>
      </c>
      <c r="BD69" s="542">
        <v>9096</v>
      </c>
      <c r="BE69" s="542">
        <v>1011</v>
      </c>
      <c r="BF69" s="542">
        <v>-40424</v>
      </c>
      <c r="BG69" s="542">
        <v>-9096</v>
      </c>
      <c r="BH69" s="542">
        <v>-1011</v>
      </c>
      <c r="BI69" s="542">
        <v>0</v>
      </c>
      <c r="BJ69" s="542">
        <v>0</v>
      </c>
      <c r="BK69" s="542">
        <v>0</v>
      </c>
      <c r="BL69" s="542">
        <v>40424</v>
      </c>
      <c r="BM69" s="542">
        <v>9096</v>
      </c>
      <c r="BN69" s="542">
        <v>1011</v>
      </c>
      <c r="BO69" s="542">
        <v>-40424</v>
      </c>
      <c r="BP69" s="542">
        <v>-9096</v>
      </c>
      <c r="BQ69" s="542">
        <v>-1011</v>
      </c>
      <c r="BR69" s="542">
        <v>4215.4802499999996</v>
      </c>
      <c r="BS69" s="542">
        <v>948.48305700000003</v>
      </c>
      <c r="BT69" s="542">
        <v>105.387006</v>
      </c>
      <c r="BU69" s="542">
        <v>104064</v>
      </c>
      <c r="BV69" s="542">
        <v>23415</v>
      </c>
      <c r="BW69" s="542">
        <v>2602</v>
      </c>
      <c r="BX69" s="542">
        <v>-99849</v>
      </c>
      <c r="BY69" s="542">
        <v>-22467</v>
      </c>
      <c r="BZ69" s="542">
        <v>-2497</v>
      </c>
      <c r="CA69" s="542">
        <v>308703.07900000003</v>
      </c>
      <c r="CB69" s="542">
        <v>69458.192800000004</v>
      </c>
      <c r="CC69" s="542">
        <v>7717.5769799999998</v>
      </c>
      <c r="CD69" s="542">
        <v>333889</v>
      </c>
      <c r="CE69" s="542">
        <v>75125</v>
      </c>
      <c r="CF69" s="542">
        <v>8347</v>
      </c>
      <c r="CG69" s="542">
        <v>-25186</v>
      </c>
      <c r="CH69" s="542">
        <v>-5667</v>
      </c>
      <c r="CI69" s="542">
        <v>-629</v>
      </c>
      <c r="CJ69" s="542">
        <v>0</v>
      </c>
      <c r="CK69" s="542">
        <v>0</v>
      </c>
      <c r="CL69" s="542">
        <v>0</v>
      </c>
      <c r="CM69" s="542">
        <v>0</v>
      </c>
      <c r="CN69" s="542">
        <v>0</v>
      </c>
      <c r="CO69" s="542">
        <v>0</v>
      </c>
      <c r="CP69" s="542">
        <v>0</v>
      </c>
      <c r="CQ69" s="542">
        <v>0</v>
      </c>
      <c r="CR69" s="542">
        <v>0</v>
      </c>
      <c r="CS69" s="542">
        <v>0</v>
      </c>
      <c r="CT69" s="542">
        <v>0</v>
      </c>
      <c r="CU69" s="542">
        <v>0</v>
      </c>
      <c r="CV69" s="542">
        <v>238560.976</v>
      </c>
      <c r="CW69" s="542">
        <v>53676.219700000001</v>
      </c>
      <c r="CX69" s="542">
        <v>5964.02441</v>
      </c>
      <c r="CY69" s="542">
        <v>257368</v>
      </c>
      <c r="CZ69" s="542">
        <v>57339</v>
      </c>
      <c r="DA69" s="542">
        <v>6371</v>
      </c>
      <c r="DB69" s="542">
        <v>-18807</v>
      </c>
      <c r="DC69" s="542">
        <v>-3663</v>
      </c>
      <c r="DD69" s="542">
        <v>-407</v>
      </c>
      <c r="DE69" s="153" t="s">
        <v>1</v>
      </c>
      <c r="DF69" s="103" t="s">
        <v>765</v>
      </c>
      <c r="DG69" s="104" t="s">
        <v>766</v>
      </c>
      <c r="DH69" s="547"/>
      <c r="DI69" s="547"/>
    </row>
    <row r="70" spans="1:113" x14ac:dyDescent="0.2">
      <c r="A70" s="93">
        <v>64</v>
      </c>
      <c r="B70" s="145" t="s">
        <v>4</v>
      </c>
      <c r="C70" s="141" t="s">
        <v>866</v>
      </c>
      <c r="D70" s="142" t="s">
        <v>868</v>
      </c>
      <c r="E70" s="149" t="s">
        <v>3</v>
      </c>
      <c r="F70" s="542">
        <v>-70390</v>
      </c>
      <c r="G70" s="542">
        <v>0</v>
      </c>
      <c r="H70" s="542">
        <v>-70390</v>
      </c>
      <c r="I70" s="542">
        <v>20052</v>
      </c>
      <c r="J70" s="542">
        <v>0</v>
      </c>
      <c r="K70" s="542">
        <v>20052</v>
      </c>
      <c r="L70" s="542">
        <v>-90442</v>
      </c>
      <c r="M70" s="542">
        <v>0</v>
      </c>
      <c r="N70" s="542">
        <v>-90442</v>
      </c>
      <c r="O70" s="543">
        <v>0.5</v>
      </c>
      <c r="P70" s="543">
        <v>0.4</v>
      </c>
      <c r="Q70" s="543">
        <v>0.1</v>
      </c>
      <c r="R70" s="543">
        <v>0</v>
      </c>
      <c r="S70" s="542">
        <v>112133</v>
      </c>
      <c r="T70" s="542">
        <v>112133</v>
      </c>
      <c r="U70" s="542">
        <v>0</v>
      </c>
      <c r="V70" s="542">
        <v>0</v>
      </c>
      <c r="W70" s="542">
        <v>0</v>
      </c>
      <c r="X70" s="542">
        <v>0</v>
      </c>
      <c r="Y70" s="542">
        <v>12545</v>
      </c>
      <c r="Z70" s="542">
        <v>0</v>
      </c>
      <c r="AA70" s="542">
        <v>487</v>
      </c>
      <c r="AB70" s="542">
        <v>0</v>
      </c>
      <c r="AC70" s="542">
        <v>12058</v>
      </c>
      <c r="AD70" s="542">
        <v>0</v>
      </c>
      <c r="AE70" s="542">
        <v>0</v>
      </c>
      <c r="AF70" s="542">
        <v>0</v>
      </c>
      <c r="AG70" s="542">
        <v>0</v>
      </c>
      <c r="AH70" s="542">
        <v>0</v>
      </c>
      <c r="AI70" s="542">
        <v>0</v>
      </c>
      <c r="AJ70" s="542">
        <v>0</v>
      </c>
      <c r="AK70" s="542">
        <v>0</v>
      </c>
      <c r="AL70" s="542">
        <v>0</v>
      </c>
      <c r="AM70" s="542">
        <v>0</v>
      </c>
      <c r="AN70" s="542">
        <v>0</v>
      </c>
      <c r="AO70" s="542">
        <v>0</v>
      </c>
      <c r="AP70" s="542">
        <v>0</v>
      </c>
      <c r="AQ70" s="542">
        <v>277638.77</v>
      </c>
      <c r="AR70" s="542">
        <v>69409.69</v>
      </c>
      <c r="AS70" s="542">
        <v>0</v>
      </c>
      <c r="AT70" s="542">
        <v>268990</v>
      </c>
      <c r="AU70" s="542">
        <v>67247</v>
      </c>
      <c r="AV70" s="542">
        <v>0</v>
      </c>
      <c r="AW70" s="542">
        <v>8649</v>
      </c>
      <c r="AX70" s="542">
        <v>2163</v>
      </c>
      <c r="AY70" s="542">
        <v>0</v>
      </c>
      <c r="AZ70" s="542">
        <v>0</v>
      </c>
      <c r="BA70" s="542">
        <v>0</v>
      </c>
      <c r="BB70" s="542">
        <v>0</v>
      </c>
      <c r="BC70" s="542">
        <v>6064</v>
      </c>
      <c r="BD70" s="542">
        <v>1516</v>
      </c>
      <c r="BE70" s="542">
        <v>0</v>
      </c>
      <c r="BF70" s="542">
        <v>-6064</v>
      </c>
      <c r="BG70" s="542">
        <v>-1516</v>
      </c>
      <c r="BH70" s="542">
        <v>0</v>
      </c>
      <c r="BI70" s="542">
        <v>0</v>
      </c>
      <c r="BJ70" s="542">
        <v>0</v>
      </c>
      <c r="BK70" s="542">
        <v>0</v>
      </c>
      <c r="BL70" s="542">
        <v>0</v>
      </c>
      <c r="BM70" s="542">
        <v>0</v>
      </c>
      <c r="BN70" s="542">
        <v>0</v>
      </c>
      <c r="BO70" s="542">
        <v>0</v>
      </c>
      <c r="BP70" s="542">
        <v>0</v>
      </c>
      <c r="BQ70" s="542">
        <v>0</v>
      </c>
      <c r="BR70" s="542">
        <v>0</v>
      </c>
      <c r="BS70" s="542">
        <v>0</v>
      </c>
      <c r="BT70" s="542">
        <v>0</v>
      </c>
      <c r="BU70" s="542">
        <v>2022</v>
      </c>
      <c r="BV70" s="542">
        <v>505</v>
      </c>
      <c r="BW70" s="542">
        <v>0</v>
      </c>
      <c r="BX70" s="542">
        <v>-2022</v>
      </c>
      <c r="BY70" s="542">
        <v>-505</v>
      </c>
      <c r="BZ70" s="542">
        <v>0</v>
      </c>
      <c r="CA70" s="542">
        <v>99677.03</v>
      </c>
      <c r="CB70" s="542">
        <v>24919.26</v>
      </c>
      <c r="CC70" s="542">
        <v>0</v>
      </c>
      <c r="CD70" s="542">
        <v>133886</v>
      </c>
      <c r="CE70" s="542">
        <v>33471</v>
      </c>
      <c r="CF70" s="542">
        <v>0</v>
      </c>
      <c r="CG70" s="542">
        <v>-34209</v>
      </c>
      <c r="CH70" s="542">
        <v>-8552</v>
      </c>
      <c r="CI70" s="542">
        <v>0</v>
      </c>
      <c r="CJ70" s="542">
        <v>0</v>
      </c>
      <c r="CK70" s="542">
        <v>0</v>
      </c>
      <c r="CL70" s="542">
        <v>0</v>
      </c>
      <c r="CM70" s="542">
        <v>0</v>
      </c>
      <c r="CN70" s="542">
        <v>0</v>
      </c>
      <c r="CO70" s="542">
        <v>0</v>
      </c>
      <c r="CP70" s="542">
        <v>0</v>
      </c>
      <c r="CQ70" s="542">
        <v>0</v>
      </c>
      <c r="CR70" s="542">
        <v>0</v>
      </c>
      <c r="CS70" s="542">
        <v>0</v>
      </c>
      <c r="CT70" s="542">
        <v>0</v>
      </c>
      <c r="CU70" s="542">
        <v>0</v>
      </c>
      <c r="CV70" s="542">
        <v>135882.20000000001</v>
      </c>
      <c r="CW70" s="542">
        <v>33937.26</v>
      </c>
      <c r="CX70" s="542">
        <v>0</v>
      </c>
      <c r="CY70" s="542">
        <v>171110</v>
      </c>
      <c r="CZ70" s="542">
        <v>42479</v>
      </c>
      <c r="DA70" s="542">
        <v>0</v>
      </c>
      <c r="DB70" s="542">
        <v>-35228</v>
      </c>
      <c r="DC70" s="542">
        <v>-8542</v>
      </c>
      <c r="DD70" s="542">
        <v>0</v>
      </c>
      <c r="DE70" s="153" t="s">
        <v>3</v>
      </c>
      <c r="DF70" s="103" t="s">
        <v>752</v>
      </c>
      <c r="DG70" s="104" t="s">
        <v>751</v>
      </c>
      <c r="DH70" s="547"/>
      <c r="DI70" s="547"/>
    </row>
    <row r="71" spans="1:113" x14ac:dyDescent="0.2">
      <c r="A71" s="93">
        <v>65</v>
      </c>
      <c r="B71" s="145" t="s">
        <v>6</v>
      </c>
      <c r="C71" s="141" t="s">
        <v>866</v>
      </c>
      <c r="D71" s="142" t="s">
        <v>869</v>
      </c>
      <c r="E71" s="149" t="s">
        <v>5</v>
      </c>
      <c r="F71" s="542">
        <v>249102</v>
      </c>
      <c r="G71" s="542">
        <v>0</v>
      </c>
      <c r="H71" s="542">
        <v>249102</v>
      </c>
      <c r="I71" s="542">
        <v>192564</v>
      </c>
      <c r="J71" s="542">
        <v>0</v>
      </c>
      <c r="K71" s="542">
        <v>192564</v>
      </c>
      <c r="L71" s="542">
        <v>56538</v>
      </c>
      <c r="M71" s="542">
        <v>0</v>
      </c>
      <c r="N71" s="542">
        <v>56538</v>
      </c>
      <c r="O71" s="543">
        <v>0.5</v>
      </c>
      <c r="P71" s="543">
        <v>0.4</v>
      </c>
      <c r="Q71" s="543">
        <v>0.1</v>
      </c>
      <c r="R71" s="543">
        <v>0</v>
      </c>
      <c r="S71" s="542">
        <v>88685</v>
      </c>
      <c r="T71" s="542">
        <v>88685</v>
      </c>
      <c r="U71" s="542">
        <v>0</v>
      </c>
      <c r="V71" s="542">
        <v>0</v>
      </c>
      <c r="W71" s="542">
        <v>0</v>
      </c>
      <c r="X71" s="542">
        <v>0</v>
      </c>
      <c r="Y71" s="542">
        <v>0</v>
      </c>
      <c r="Z71" s="542">
        <v>0</v>
      </c>
      <c r="AA71" s="542">
        <v>0</v>
      </c>
      <c r="AB71" s="542">
        <v>0</v>
      </c>
      <c r="AC71" s="542">
        <v>0</v>
      </c>
      <c r="AD71" s="542">
        <v>0</v>
      </c>
      <c r="AE71" s="542">
        <v>0</v>
      </c>
      <c r="AF71" s="542">
        <v>0</v>
      </c>
      <c r="AG71" s="542">
        <v>0</v>
      </c>
      <c r="AH71" s="542">
        <v>0</v>
      </c>
      <c r="AI71" s="542">
        <v>0</v>
      </c>
      <c r="AJ71" s="542">
        <v>0</v>
      </c>
      <c r="AK71" s="542">
        <v>0</v>
      </c>
      <c r="AL71" s="542">
        <v>0</v>
      </c>
      <c r="AM71" s="542">
        <v>0</v>
      </c>
      <c r="AN71" s="542">
        <v>0</v>
      </c>
      <c r="AO71" s="542">
        <v>0</v>
      </c>
      <c r="AP71" s="542">
        <v>0</v>
      </c>
      <c r="AQ71" s="542">
        <v>219709.068</v>
      </c>
      <c r="AR71" s="542">
        <v>54927.267</v>
      </c>
      <c r="AS71" s="542">
        <v>0</v>
      </c>
      <c r="AT71" s="542">
        <v>96005</v>
      </c>
      <c r="AU71" s="542">
        <v>24001</v>
      </c>
      <c r="AV71" s="542">
        <v>0</v>
      </c>
      <c r="AW71" s="542">
        <v>123704</v>
      </c>
      <c r="AX71" s="542">
        <v>30926</v>
      </c>
      <c r="AY71" s="542">
        <v>0</v>
      </c>
      <c r="AZ71" s="542">
        <v>0</v>
      </c>
      <c r="BA71" s="542">
        <v>0</v>
      </c>
      <c r="BB71" s="542">
        <v>0</v>
      </c>
      <c r="BC71" s="542">
        <v>7277</v>
      </c>
      <c r="BD71" s="542">
        <v>1819</v>
      </c>
      <c r="BE71" s="542">
        <v>0</v>
      </c>
      <c r="BF71" s="542">
        <v>-7277</v>
      </c>
      <c r="BG71" s="542">
        <v>-1819</v>
      </c>
      <c r="BH71" s="542">
        <v>0</v>
      </c>
      <c r="BI71" s="542">
        <v>0</v>
      </c>
      <c r="BJ71" s="542">
        <v>0</v>
      </c>
      <c r="BK71" s="542">
        <v>0</v>
      </c>
      <c r="BL71" s="542">
        <v>0</v>
      </c>
      <c r="BM71" s="542">
        <v>0</v>
      </c>
      <c r="BN71" s="542">
        <v>0</v>
      </c>
      <c r="BO71" s="542">
        <v>0</v>
      </c>
      <c r="BP71" s="542">
        <v>0</v>
      </c>
      <c r="BQ71" s="542">
        <v>0</v>
      </c>
      <c r="BR71" s="542">
        <v>0</v>
      </c>
      <c r="BS71" s="542">
        <v>0</v>
      </c>
      <c r="BT71" s="542">
        <v>0</v>
      </c>
      <c r="BU71" s="542">
        <v>19325.802100000001</v>
      </c>
      <c r="BV71" s="542">
        <v>4831.4505300000001</v>
      </c>
      <c r="BW71" s="542">
        <v>0</v>
      </c>
      <c r="BX71" s="542">
        <v>-19326</v>
      </c>
      <c r="BY71" s="542">
        <v>-4831</v>
      </c>
      <c r="BZ71" s="542">
        <v>0</v>
      </c>
      <c r="CA71" s="542">
        <v>95699.244099999996</v>
      </c>
      <c r="CB71" s="542">
        <v>23924.811000000002</v>
      </c>
      <c r="CC71" s="542">
        <v>0</v>
      </c>
      <c r="CD71" s="542">
        <v>2425.4776999999999</v>
      </c>
      <c r="CE71" s="542">
        <v>606.36942599999998</v>
      </c>
      <c r="CF71" s="542">
        <v>0</v>
      </c>
      <c r="CG71" s="542">
        <v>93274</v>
      </c>
      <c r="CH71" s="542">
        <v>23318</v>
      </c>
      <c r="CI71" s="542">
        <v>0</v>
      </c>
      <c r="CJ71" s="542">
        <v>0</v>
      </c>
      <c r="CK71" s="542">
        <v>0</v>
      </c>
      <c r="CL71" s="542">
        <v>0</v>
      </c>
      <c r="CM71" s="542">
        <v>0</v>
      </c>
      <c r="CN71" s="542">
        <v>0</v>
      </c>
      <c r="CO71" s="542">
        <v>0</v>
      </c>
      <c r="CP71" s="542">
        <v>0</v>
      </c>
      <c r="CQ71" s="542">
        <v>0</v>
      </c>
      <c r="CR71" s="542">
        <v>0</v>
      </c>
      <c r="CS71" s="542">
        <v>0</v>
      </c>
      <c r="CT71" s="542">
        <v>0</v>
      </c>
      <c r="CU71" s="542">
        <v>0</v>
      </c>
      <c r="CV71" s="542">
        <v>136323.93599999999</v>
      </c>
      <c r="CW71" s="542">
        <v>34080.983999999997</v>
      </c>
      <c r="CX71" s="542">
        <v>0</v>
      </c>
      <c r="CY71" s="542">
        <v>150962</v>
      </c>
      <c r="CZ71" s="542">
        <v>37505</v>
      </c>
      <c r="DA71" s="542">
        <v>0</v>
      </c>
      <c r="DB71" s="542">
        <v>-14638</v>
      </c>
      <c r="DC71" s="542">
        <v>-3424</v>
      </c>
      <c r="DD71" s="542">
        <v>0</v>
      </c>
      <c r="DE71" s="153" t="s">
        <v>5</v>
      </c>
      <c r="DF71" s="103" t="s">
        <v>799</v>
      </c>
      <c r="DG71" s="104" t="s">
        <v>751</v>
      </c>
      <c r="DH71" s="547"/>
      <c r="DI71" s="547"/>
    </row>
    <row r="72" spans="1:113" x14ac:dyDescent="0.2">
      <c r="A72" s="93">
        <v>66</v>
      </c>
      <c r="B72" s="145" t="s">
        <v>8</v>
      </c>
      <c r="C72" s="141" t="s">
        <v>770</v>
      </c>
      <c r="D72" s="142" t="s">
        <v>875</v>
      </c>
      <c r="E72" s="149" t="s">
        <v>7</v>
      </c>
      <c r="F72" s="542">
        <v>-284203</v>
      </c>
      <c r="G72" s="542">
        <v>0</v>
      </c>
      <c r="H72" s="542">
        <v>-284203</v>
      </c>
      <c r="I72" s="542">
        <v>842886</v>
      </c>
      <c r="J72" s="542">
        <v>0</v>
      </c>
      <c r="K72" s="542">
        <v>842886</v>
      </c>
      <c r="L72" s="542">
        <v>-1127089</v>
      </c>
      <c r="M72" s="542">
        <v>0</v>
      </c>
      <c r="N72" s="542">
        <v>-1127089</v>
      </c>
      <c r="O72" s="543">
        <v>0.5</v>
      </c>
      <c r="P72" s="543">
        <v>0.5</v>
      </c>
      <c r="Q72" s="543">
        <v>0</v>
      </c>
      <c r="R72" s="543">
        <v>0</v>
      </c>
      <c r="S72" s="542">
        <v>1110285</v>
      </c>
      <c r="T72" s="542">
        <v>1110285</v>
      </c>
      <c r="U72" s="542">
        <v>0</v>
      </c>
      <c r="V72" s="542">
        <v>0</v>
      </c>
      <c r="W72" s="542">
        <v>0</v>
      </c>
      <c r="X72" s="542">
        <v>0</v>
      </c>
      <c r="Y72" s="542">
        <v>519623</v>
      </c>
      <c r="Z72" s="542">
        <v>0</v>
      </c>
      <c r="AA72" s="542">
        <v>260280</v>
      </c>
      <c r="AB72" s="542">
        <v>0</v>
      </c>
      <c r="AC72" s="542">
        <v>259343</v>
      </c>
      <c r="AD72" s="542">
        <v>0</v>
      </c>
      <c r="AE72" s="542">
        <v>118249.11199999999</v>
      </c>
      <c r="AF72" s="542">
        <v>118249.11199999999</v>
      </c>
      <c r="AG72" s="542">
        <v>0</v>
      </c>
      <c r="AH72" s="542">
        <v>0</v>
      </c>
      <c r="AI72" s="542">
        <v>172053</v>
      </c>
      <c r="AJ72" s="542">
        <v>172053</v>
      </c>
      <c r="AK72" s="542">
        <v>0</v>
      </c>
      <c r="AL72" s="542">
        <v>0</v>
      </c>
      <c r="AM72" s="542">
        <v>-53804</v>
      </c>
      <c r="AN72" s="542">
        <v>-53804</v>
      </c>
      <c r="AO72" s="542">
        <v>0</v>
      </c>
      <c r="AP72" s="542">
        <v>0</v>
      </c>
      <c r="AQ72" s="542">
        <v>5848316.6399999997</v>
      </c>
      <c r="AR72" s="542">
        <v>0</v>
      </c>
      <c r="AS72" s="542">
        <v>0</v>
      </c>
      <c r="AT72" s="542">
        <v>5309178</v>
      </c>
      <c r="AU72" s="542">
        <v>0</v>
      </c>
      <c r="AV72" s="542">
        <v>0</v>
      </c>
      <c r="AW72" s="542">
        <v>539139</v>
      </c>
      <c r="AX72" s="542">
        <v>0</v>
      </c>
      <c r="AY72" s="542">
        <v>0</v>
      </c>
      <c r="AZ72" s="542">
        <v>8004.0764300000001</v>
      </c>
      <c r="BA72" s="542">
        <v>0</v>
      </c>
      <c r="BB72" s="542">
        <v>0</v>
      </c>
      <c r="BC72" s="542">
        <v>0</v>
      </c>
      <c r="BD72" s="542">
        <v>0</v>
      </c>
      <c r="BE72" s="542">
        <v>0</v>
      </c>
      <c r="BF72" s="542">
        <v>8004</v>
      </c>
      <c r="BG72" s="542">
        <v>0</v>
      </c>
      <c r="BH72" s="542">
        <v>0</v>
      </c>
      <c r="BI72" s="542">
        <v>23351.7919</v>
      </c>
      <c r="BJ72" s="542">
        <v>0</v>
      </c>
      <c r="BK72" s="542">
        <v>0</v>
      </c>
      <c r="BL72" s="542">
        <v>0</v>
      </c>
      <c r="BM72" s="542">
        <v>0</v>
      </c>
      <c r="BN72" s="542">
        <v>0</v>
      </c>
      <c r="BO72" s="542">
        <v>23352</v>
      </c>
      <c r="BP72" s="542">
        <v>0</v>
      </c>
      <c r="BQ72" s="542">
        <v>0</v>
      </c>
      <c r="BR72" s="542">
        <v>9979.83014</v>
      </c>
      <c r="BS72" s="542">
        <v>0</v>
      </c>
      <c r="BT72" s="542">
        <v>0</v>
      </c>
      <c r="BU72" s="542">
        <v>96232</v>
      </c>
      <c r="BV72" s="542">
        <v>0</v>
      </c>
      <c r="BW72" s="542">
        <v>0</v>
      </c>
      <c r="BX72" s="542">
        <v>-86252</v>
      </c>
      <c r="BY72" s="542">
        <v>0</v>
      </c>
      <c r="BZ72" s="542">
        <v>0</v>
      </c>
      <c r="CA72" s="542">
        <v>1597604.05</v>
      </c>
      <c r="CB72" s="542">
        <v>0</v>
      </c>
      <c r="CC72" s="542">
        <v>0</v>
      </c>
      <c r="CD72" s="542">
        <v>1977987</v>
      </c>
      <c r="CE72" s="542">
        <v>0</v>
      </c>
      <c r="CF72" s="542">
        <v>0</v>
      </c>
      <c r="CG72" s="542">
        <v>-380383</v>
      </c>
      <c r="CH72" s="542">
        <v>0</v>
      </c>
      <c r="CI72" s="542">
        <v>0</v>
      </c>
      <c r="CJ72" s="542">
        <v>510.5</v>
      </c>
      <c r="CK72" s="542">
        <v>0</v>
      </c>
      <c r="CL72" s="542">
        <v>0</v>
      </c>
      <c r="CM72" s="542">
        <v>127449.758</v>
      </c>
      <c r="CN72" s="542">
        <v>0</v>
      </c>
      <c r="CO72" s="542">
        <v>0</v>
      </c>
      <c r="CP72" s="542">
        <v>14444</v>
      </c>
      <c r="CQ72" s="542">
        <v>0</v>
      </c>
      <c r="CR72" s="542">
        <v>0</v>
      </c>
      <c r="CS72" s="542">
        <v>113516</v>
      </c>
      <c r="CT72" s="542">
        <v>0</v>
      </c>
      <c r="CU72" s="542">
        <v>0</v>
      </c>
      <c r="CV72" s="542">
        <v>765445.46699999995</v>
      </c>
      <c r="CW72" s="542">
        <v>0</v>
      </c>
      <c r="CX72" s="542">
        <v>0</v>
      </c>
      <c r="CY72" s="542">
        <v>761755</v>
      </c>
      <c r="CZ72" s="542">
        <v>0</v>
      </c>
      <c r="DA72" s="542">
        <v>0</v>
      </c>
      <c r="DB72" s="542">
        <v>3690</v>
      </c>
      <c r="DC72" s="542">
        <v>0</v>
      </c>
      <c r="DD72" s="542">
        <v>0</v>
      </c>
      <c r="DE72" s="153" t="s">
        <v>7</v>
      </c>
      <c r="DF72" s="103" t="s">
        <v>770</v>
      </c>
      <c r="DG72" s="104" t="s">
        <v>751</v>
      </c>
      <c r="DH72" s="549" t="s">
        <v>1183</v>
      </c>
      <c r="DI72" s="549"/>
    </row>
    <row r="73" spans="1:113" x14ac:dyDescent="0.2">
      <c r="A73" s="93">
        <v>67</v>
      </c>
      <c r="B73" s="145" t="s">
        <v>10</v>
      </c>
      <c r="C73" s="141" t="s">
        <v>866</v>
      </c>
      <c r="D73" s="142" t="s">
        <v>875</v>
      </c>
      <c r="E73" s="149" t="s">
        <v>9</v>
      </c>
      <c r="F73" s="542">
        <v>50452</v>
      </c>
      <c r="G73" s="542">
        <v>0</v>
      </c>
      <c r="H73" s="542">
        <v>50452</v>
      </c>
      <c r="I73" s="542">
        <v>183908</v>
      </c>
      <c r="J73" s="542">
        <v>0</v>
      </c>
      <c r="K73" s="542">
        <v>183908</v>
      </c>
      <c r="L73" s="542">
        <v>-133456</v>
      </c>
      <c r="M73" s="542">
        <v>0</v>
      </c>
      <c r="N73" s="542">
        <v>-133456</v>
      </c>
      <c r="O73" s="543">
        <v>0.5</v>
      </c>
      <c r="P73" s="543">
        <v>0.4</v>
      </c>
      <c r="Q73" s="543">
        <v>0.1</v>
      </c>
      <c r="R73" s="543">
        <v>0</v>
      </c>
      <c r="S73" s="542">
        <v>180018</v>
      </c>
      <c r="T73" s="542">
        <v>180018</v>
      </c>
      <c r="U73" s="542">
        <v>0</v>
      </c>
      <c r="V73" s="542">
        <v>0</v>
      </c>
      <c r="W73" s="542">
        <v>0</v>
      </c>
      <c r="X73" s="542">
        <v>0</v>
      </c>
      <c r="Y73" s="542">
        <v>67176</v>
      </c>
      <c r="Z73" s="542">
        <v>0</v>
      </c>
      <c r="AA73" s="542">
        <v>0</v>
      </c>
      <c r="AB73" s="542">
        <v>0</v>
      </c>
      <c r="AC73" s="542">
        <v>67176</v>
      </c>
      <c r="AD73" s="542">
        <v>0</v>
      </c>
      <c r="AE73" s="542">
        <v>0</v>
      </c>
      <c r="AF73" s="542">
        <v>0</v>
      </c>
      <c r="AG73" s="542">
        <v>0</v>
      </c>
      <c r="AH73" s="542">
        <v>0</v>
      </c>
      <c r="AI73" s="542">
        <v>0</v>
      </c>
      <c r="AJ73" s="542">
        <v>0</v>
      </c>
      <c r="AK73" s="542">
        <v>0</v>
      </c>
      <c r="AL73" s="542">
        <v>0</v>
      </c>
      <c r="AM73" s="542">
        <v>0</v>
      </c>
      <c r="AN73" s="542">
        <v>0</v>
      </c>
      <c r="AO73" s="542">
        <v>0</v>
      </c>
      <c r="AP73" s="542">
        <v>0</v>
      </c>
      <c r="AQ73" s="542">
        <v>591974.21600000001</v>
      </c>
      <c r="AR73" s="542">
        <v>147993.554</v>
      </c>
      <c r="AS73" s="542">
        <v>0</v>
      </c>
      <c r="AT73" s="542">
        <v>510182</v>
      </c>
      <c r="AU73" s="542">
        <v>127545</v>
      </c>
      <c r="AV73" s="542">
        <v>0</v>
      </c>
      <c r="AW73" s="542">
        <v>81792</v>
      </c>
      <c r="AX73" s="542">
        <v>20449</v>
      </c>
      <c r="AY73" s="542">
        <v>0</v>
      </c>
      <c r="AZ73" s="542">
        <v>3106.6326899999999</v>
      </c>
      <c r="BA73" s="542">
        <v>776.65817400000003</v>
      </c>
      <c r="BB73" s="542">
        <v>0</v>
      </c>
      <c r="BC73" s="542">
        <v>0</v>
      </c>
      <c r="BD73" s="542">
        <v>0</v>
      </c>
      <c r="BE73" s="542">
        <v>0</v>
      </c>
      <c r="BF73" s="542">
        <v>3107</v>
      </c>
      <c r="BG73" s="542">
        <v>777</v>
      </c>
      <c r="BH73" s="542">
        <v>0</v>
      </c>
      <c r="BI73" s="542">
        <v>1873.27728</v>
      </c>
      <c r="BJ73" s="542">
        <v>468.31932</v>
      </c>
      <c r="BK73" s="542">
        <v>0</v>
      </c>
      <c r="BL73" s="542">
        <v>0</v>
      </c>
      <c r="BM73" s="542">
        <v>0</v>
      </c>
      <c r="BN73" s="542">
        <v>0</v>
      </c>
      <c r="BO73" s="542">
        <v>1873</v>
      </c>
      <c r="BP73" s="542">
        <v>468</v>
      </c>
      <c r="BQ73" s="542">
        <v>0</v>
      </c>
      <c r="BR73" s="542">
        <v>0</v>
      </c>
      <c r="BS73" s="542">
        <v>0</v>
      </c>
      <c r="BT73" s="542">
        <v>0</v>
      </c>
      <c r="BU73" s="542">
        <v>1941</v>
      </c>
      <c r="BV73" s="542">
        <v>485</v>
      </c>
      <c r="BW73" s="542">
        <v>0</v>
      </c>
      <c r="BX73" s="542">
        <v>-1941</v>
      </c>
      <c r="BY73" s="542">
        <v>-485</v>
      </c>
      <c r="BZ73" s="542">
        <v>0</v>
      </c>
      <c r="CA73" s="542">
        <v>229236.74900000001</v>
      </c>
      <c r="CB73" s="542">
        <v>57309.1872</v>
      </c>
      <c r="CC73" s="542">
        <v>0</v>
      </c>
      <c r="CD73" s="542">
        <v>136706</v>
      </c>
      <c r="CE73" s="542">
        <v>34176</v>
      </c>
      <c r="CF73" s="542">
        <v>0</v>
      </c>
      <c r="CG73" s="542">
        <v>92531</v>
      </c>
      <c r="CH73" s="542">
        <v>23133</v>
      </c>
      <c r="CI73" s="542">
        <v>0</v>
      </c>
      <c r="CJ73" s="542">
        <v>13274.8</v>
      </c>
      <c r="CK73" s="542">
        <v>3318.7</v>
      </c>
      <c r="CL73" s="542">
        <v>0</v>
      </c>
      <c r="CM73" s="542">
        <v>589.39108199999998</v>
      </c>
      <c r="CN73" s="542">
        <v>147.34777</v>
      </c>
      <c r="CO73" s="542">
        <v>0</v>
      </c>
      <c r="CP73" s="542">
        <v>11633</v>
      </c>
      <c r="CQ73" s="542">
        <v>2908.3</v>
      </c>
      <c r="CR73" s="542">
        <v>0</v>
      </c>
      <c r="CS73" s="542">
        <v>2231</v>
      </c>
      <c r="CT73" s="542">
        <v>558</v>
      </c>
      <c r="CU73" s="542">
        <v>0</v>
      </c>
      <c r="CV73" s="542">
        <v>117052.30499999999</v>
      </c>
      <c r="CW73" s="542">
        <v>29084.7961</v>
      </c>
      <c r="CX73" s="542">
        <v>0</v>
      </c>
      <c r="CY73" s="542">
        <v>125160</v>
      </c>
      <c r="CZ73" s="542">
        <v>30812</v>
      </c>
      <c r="DA73" s="542">
        <v>0</v>
      </c>
      <c r="DB73" s="542">
        <v>-8108</v>
      </c>
      <c r="DC73" s="542">
        <v>-1727</v>
      </c>
      <c r="DD73" s="542">
        <v>0</v>
      </c>
      <c r="DE73" s="153" t="s">
        <v>9</v>
      </c>
      <c r="DF73" s="103" t="s">
        <v>794</v>
      </c>
      <c r="DG73" s="104" t="s">
        <v>751</v>
      </c>
      <c r="DH73" s="547"/>
      <c r="DI73" s="547"/>
    </row>
    <row r="74" spans="1:113" ht="12.75" x14ac:dyDescent="0.2">
      <c r="A74" s="93">
        <v>68</v>
      </c>
      <c r="B74" s="145" t="s">
        <v>12</v>
      </c>
      <c r="C74" s="141" t="s">
        <v>873</v>
      </c>
      <c r="D74" s="142" t="s">
        <v>876</v>
      </c>
      <c r="E74" s="149" t="s">
        <v>11</v>
      </c>
      <c r="F74" s="542">
        <v>-784015</v>
      </c>
      <c r="G74" s="542">
        <v>0</v>
      </c>
      <c r="H74" s="542">
        <v>-784015</v>
      </c>
      <c r="I74" s="542">
        <v>8211</v>
      </c>
      <c r="J74" s="542">
        <v>0</v>
      </c>
      <c r="K74" s="542">
        <v>8211</v>
      </c>
      <c r="L74" s="542">
        <v>-792226</v>
      </c>
      <c r="M74" s="542">
        <v>0</v>
      </c>
      <c r="N74" s="542">
        <v>-792226</v>
      </c>
      <c r="O74" s="543">
        <v>0.5</v>
      </c>
      <c r="P74" s="543">
        <v>0.49</v>
      </c>
      <c r="Q74" s="543">
        <v>0</v>
      </c>
      <c r="R74" s="543">
        <v>0.01</v>
      </c>
      <c r="S74" s="542">
        <v>379506</v>
      </c>
      <c r="T74" s="542">
        <v>379506</v>
      </c>
      <c r="U74" s="542">
        <v>0</v>
      </c>
      <c r="V74" s="542">
        <v>0</v>
      </c>
      <c r="W74" s="542">
        <v>0</v>
      </c>
      <c r="X74" s="542">
        <v>0</v>
      </c>
      <c r="Y74" s="542">
        <v>0</v>
      </c>
      <c r="Z74" s="542">
        <v>0</v>
      </c>
      <c r="AA74" s="542">
        <v>0</v>
      </c>
      <c r="AB74" s="542">
        <v>0</v>
      </c>
      <c r="AC74" s="542">
        <v>0</v>
      </c>
      <c r="AD74" s="542">
        <v>0</v>
      </c>
      <c r="AE74" s="542">
        <v>0</v>
      </c>
      <c r="AF74" s="542">
        <v>0</v>
      </c>
      <c r="AG74" s="542">
        <v>0</v>
      </c>
      <c r="AH74" s="542">
        <v>0</v>
      </c>
      <c r="AI74" s="542">
        <v>0</v>
      </c>
      <c r="AJ74" s="542">
        <v>0</v>
      </c>
      <c r="AK74" s="542">
        <v>0</v>
      </c>
      <c r="AL74" s="542">
        <v>0</v>
      </c>
      <c r="AM74" s="542">
        <v>0</v>
      </c>
      <c r="AN74" s="542">
        <v>0</v>
      </c>
      <c r="AO74" s="542">
        <v>0</v>
      </c>
      <c r="AP74" s="542">
        <v>0</v>
      </c>
      <c r="AQ74" s="542">
        <v>1296465.28</v>
      </c>
      <c r="AR74" s="542">
        <v>0</v>
      </c>
      <c r="AS74" s="542">
        <v>26458.48</v>
      </c>
      <c r="AT74" s="542">
        <v>1216292</v>
      </c>
      <c r="AU74" s="542">
        <v>0</v>
      </c>
      <c r="AV74" s="542">
        <v>24822</v>
      </c>
      <c r="AW74" s="542">
        <v>80173</v>
      </c>
      <c r="AX74" s="542">
        <v>0</v>
      </c>
      <c r="AY74" s="542">
        <v>1636</v>
      </c>
      <c r="AZ74" s="542">
        <v>364.96</v>
      </c>
      <c r="BA74" s="542">
        <v>0</v>
      </c>
      <c r="BB74" s="542">
        <v>7.45</v>
      </c>
      <c r="BC74" s="542">
        <v>0</v>
      </c>
      <c r="BD74" s="542">
        <v>0</v>
      </c>
      <c r="BE74" s="542">
        <v>0</v>
      </c>
      <c r="BF74" s="542">
        <v>365</v>
      </c>
      <c r="BG74" s="542">
        <v>0</v>
      </c>
      <c r="BH74" s="542">
        <v>7</v>
      </c>
      <c r="BI74" s="542">
        <v>15875.18</v>
      </c>
      <c r="BJ74" s="542">
        <v>0</v>
      </c>
      <c r="BK74" s="542">
        <v>323.98</v>
      </c>
      <c r="BL74" s="542">
        <v>0</v>
      </c>
      <c r="BM74" s="542">
        <v>0</v>
      </c>
      <c r="BN74" s="542">
        <v>0</v>
      </c>
      <c r="BO74" s="542">
        <v>15875</v>
      </c>
      <c r="BP74" s="542">
        <v>0</v>
      </c>
      <c r="BQ74" s="542">
        <v>324</v>
      </c>
      <c r="BR74" s="542">
        <v>0</v>
      </c>
      <c r="BS74" s="542">
        <v>0</v>
      </c>
      <c r="BT74" s="542">
        <v>0</v>
      </c>
      <c r="BU74" s="542">
        <v>95079</v>
      </c>
      <c r="BV74" s="542">
        <v>0</v>
      </c>
      <c r="BW74" s="542">
        <v>1940</v>
      </c>
      <c r="BX74" s="542">
        <v>-95079</v>
      </c>
      <c r="BY74" s="542">
        <v>0</v>
      </c>
      <c r="BZ74" s="542">
        <v>-1940</v>
      </c>
      <c r="CA74" s="542">
        <v>387531.97</v>
      </c>
      <c r="CB74" s="542">
        <v>0</v>
      </c>
      <c r="CC74" s="542">
        <v>7908.82</v>
      </c>
      <c r="CD74" s="542">
        <v>544722</v>
      </c>
      <c r="CE74" s="542">
        <v>0</v>
      </c>
      <c r="CF74" s="542">
        <v>11117</v>
      </c>
      <c r="CG74" s="542">
        <v>-157190</v>
      </c>
      <c r="CH74" s="542">
        <v>0</v>
      </c>
      <c r="CI74" s="542">
        <v>-3208</v>
      </c>
      <c r="CJ74" s="542">
        <v>0</v>
      </c>
      <c r="CK74" s="542">
        <v>0</v>
      </c>
      <c r="CL74" s="542">
        <v>0</v>
      </c>
      <c r="CM74" s="542">
        <v>0</v>
      </c>
      <c r="CN74" s="542">
        <v>0</v>
      </c>
      <c r="CO74" s="542">
        <v>0</v>
      </c>
      <c r="CP74" s="542">
        <v>0</v>
      </c>
      <c r="CQ74" s="542">
        <v>0</v>
      </c>
      <c r="CR74" s="542">
        <v>0</v>
      </c>
      <c r="CS74" s="542">
        <v>0</v>
      </c>
      <c r="CT74" s="542">
        <v>0</v>
      </c>
      <c r="CU74" s="542">
        <v>0</v>
      </c>
      <c r="CV74" s="542">
        <v>621391.81000000006</v>
      </c>
      <c r="CW74" s="542">
        <v>0</v>
      </c>
      <c r="CX74" s="542">
        <v>12681.47</v>
      </c>
      <c r="CY74" s="542">
        <v>603151</v>
      </c>
      <c r="CZ74" s="542">
        <v>0</v>
      </c>
      <c r="DA74" s="542">
        <v>12227</v>
      </c>
      <c r="DB74" s="542">
        <v>18241</v>
      </c>
      <c r="DC74" s="542">
        <v>0</v>
      </c>
      <c r="DD74" s="542">
        <v>454</v>
      </c>
      <c r="DE74" s="153" t="s">
        <v>11</v>
      </c>
      <c r="DF74" s="103" t="s">
        <v>763</v>
      </c>
      <c r="DG74" s="104" t="s">
        <v>773</v>
      </c>
      <c r="DH74" s="548"/>
      <c r="DI74" s="548"/>
    </row>
    <row r="75" spans="1:113" x14ac:dyDescent="0.2">
      <c r="A75" s="93">
        <v>69</v>
      </c>
      <c r="B75" s="145" t="s">
        <v>14</v>
      </c>
      <c r="C75" s="141" t="s">
        <v>866</v>
      </c>
      <c r="D75" s="142" t="s">
        <v>874</v>
      </c>
      <c r="E75" s="149" t="s">
        <v>13</v>
      </c>
      <c r="F75" s="542">
        <v>-56757</v>
      </c>
      <c r="G75" s="542">
        <v>0</v>
      </c>
      <c r="H75" s="542">
        <v>-56757</v>
      </c>
      <c r="I75" s="542">
        <v>23630</v>
      </c>
      <c r="J75" s="542">
        <v>0</v>
      </c>
      <c r="K75" s="542">
        <v>23630</v>
      </c>
      <c r="L75" s="542">
        <v>-80387</v>
      </c>
      <c r="M75" s="542">
        <v>0</v>
      </c>
      <c r="N75" s="542">
        <v>-80387</v>
      </c>
      <c r="O75" s="543">
        <v>0.5</v>
      </c>
      <c r="P75" s="543">
        <v>0.4</v>
      </c>
      <c r="Q75" s="543">
        <v>0.09</v>
      </c>
      <c r="R75" s="543">
        <v>0.01</v>
      </c>
      <c r="S75" s="542">
        <v>119174</v>
      </c>
      <c r="T75" s="542">
        <v>119174</v>
      </c>
      <c r="U75" s="542">
        <v>0</v>
      </c>
      <c r="V75" s="542">
        <v>0</v>
      </c>
      <c r="W75" s="542">
        <v>0</v>
      </c>
      <c r="X75" s="542">
        <v>0</v>
      </c>
      <c r="Y75" s="542">
        <v>0</v>
      </c>
      <c r="Z75" s="542">
        <v>0</v>
      </c>
      <c r="AA75" s="542">
        <v>0</v>
      </c>
      <c r="AB75" s="542">
        <v>0</v>
      </c>
      <c r="AC75" s="542">
        <v>0</v>
      </c>
      <c r="AD75" s="542">
        <v>0</v>
      </c>
      <c r="AE75" s="542">
        <v>0</v>
      </c>
      <c r="AF75" s="542">
        <v>0</v>
      </c>
      <c r="AG75" s="542">
        <v>0</v>
      </c>
      <c r="AH75" s="542">
        <v>0</v>
      </c>
      <c r="AI75" s="542">
        <v>0</v>
      </c>
      <c r="AJ75" s="542">
        <v>0</v>
      </c>
      <c r="AK75" s="542">
        <v>0</v>
      </c>
      <c r="AL75" s="542">
        <v>0</v>
      </c>
      <c r="AM75" s="542">
        <v>0</v>
      </c>
      <c r="AN75" s="542">
        <v>0</v>
      </c>
      <c r="AO75" s="542">
        <v>0</v>
      </c>
      <c r="AP75" s="542">
        <v>0</v>
      </c>
      <c r="AQ75" s="542">
        <v>467167.42</v>
      </c>
      <c r="AR75" s="542">
        <v>105112.66899999999</v>
      </c>
      <c r="AS75" s="542">
        <v>11679.1855</v>
      </c>
      <c r="AT75" s="542">
        <v>206224</v>
      </c>
      <c r="AU75" s="542">
        <v>46400</v>
      </c>
      <c r="AV75" s="542">
        <v>5156</v>
      </c>
      <c r="AW75" s="542">
        <v>260943</v>
      </c>
      <c r="AX75" s="542">
        <v>58713</v>
      </c>
      <c r="AY75" s="542">
        <v>6523</v>
      </c>
      <c r="AZ75" s="542">
        <v>2021.2314200000001</v>
      </c>
      <c r="BA75" s="542">
        <v>454.77706999999998</v>
      </c>
      <c r="BB75" s="542">
        <v>50.5307855</v>
      </c>
      <c r="BC75" s="542">
        <v>4042</v>
      </c>
      <c r="BD75" s="542">
        <v>910</v>
      </c>
      <c r="BE75" s="542">
        <v>101</v>
      </c>
      <c r="BF75" s="542">
        <v>-2021</v>
      </c>
      <c r="BG75" s="542">
        <v>-455</v>
      </c>
      <c r="BH75" s="542">
        <v>-50</v>
      </c>
      <c r="BI75" s="542">
        <v>1404.35159</v>
      </c>
      <c r="BJ75" s="542">
        <v>315.979108</v>
      </c>
      <c r="BK75" s="542">
        <v>35.108789799999997</v>
      </c>
      <c r="BL75" s="542">
        <v>24255</v>
      </c>
      <c r="BM75" s="542">
        <v>5457</v>
      </c>
      <c r="BN75" s="542">
        <v>606</v>
      </c>
      <c r="BO75" s="542">
        <v>-22851</v>
      </c>
      <c r="BP75" s="542">
        <v>-5141</v>
      </c>
      <c r="BQ75" s="542">
        <v>-571</v>
      </c>
      <c r="BR75" s="542">
        <v>1584.24118</v>
      </c>
      <c r="BS75" s="542">
        <v>356.45426700000002</v>
      </c>
      <c r="BT75" s="542">
        <v>39.606029700000001</v>
      </c>
      <c r="BU75" s="542">
        <v>12127</v>
      </c>
      <c r="BV75" s="542">
        <v>2729</v>
      </c>
      <c r="BW75" s="542">
        <v>303</v>
      </c>
      <c r="BX75" s="542">
        <v>-10543</v>
      </c>
      <c r="BY75" s="542">
        <v>-2373</v>
      </c>
      <c r="BZ75" s="542">
        <v>-263</v>
      </c>
      <c r="CA75" s="542">
        <v>155716.88099999999</v>
      </c>
      <c r="CB75" s="542">
        <v>35036.298300000002</v>
      </c>
      <c r="CC75" s="542">
        <v>3892.9220300000002</v>
      </c>
      <c r="CD75" s="542">
        <v>291058</v>
      </c>
      <c r="CE75" s="542">
        <v>65488</v>
      </c>
      <c r="CF75" s="542">
        <v>7276</v>
      </c>
      <c r="CG75" s="542">
        <v>-135341</v>
      </c>
      <c r="CH75" s="542">
        <v>-30452</v>
      </c>
      <c r="CI75" s="542">
        <v>-3383</v>
      </c>
      <c r="CJ75" s="542">
        <v>0</v>
      </c>
      <c r="CK75" s="542">
        <v>0</v>
      </c>
      <c r="CL75" s="542">
        <v>0</v>
      </c>
      <c r="CM75" s="542">
        <v>0</v>
      </c>
      <c r="CN75" s="542">
        <v>0</v>
      </c>
      <c r="CO75" s="542">
        <v>0</v>
      </c>
      <c r="CP75" s="542">
        <v>0</v>
      </c>
      <c r="CQ75" s="542">
        <v>0</v>
      </c>
      <c r="CR75" s="542">
        <v>0</v>
      </c>
      <c r="CS75" s="542">
        <v>0</v>
      </c>
      <c r="CT75" s="542">
        <v>0</v>
      </c>
      <c r="CU75" s="542">
        <v>0</v>
      </c>
      <c r="CV75" s="542">
        <v>73578.632700000002</v>
      </c>
      <c r="CW75" s="542">
        <v>16555.192299999999</v>
      </c>
      <c r="CX75" s="542">
        <v>1839.4658099999999</v>
      </c>
      <c r="CY75" s="542">
        <v>78656</v>
      </c>
      <c r="CZ75" s="542">
        <v>17413</v>
      </c>
      <c r="DA75" s="542">
        <v>1935</v>
      </c>
      <c r="DB75" s="542">
        <v>-5077</v>
      </c>
      <c r="DC75" s="542">
        <v>-858</v>
      </c>
      <c r="DD75" s="542">
        <v>-96</v>
      </c>
      <c r="DE75" s="153" t="s">
        <v>13</v>
      </c>
      <c r="DF75" s="103" t="s">
        <v>800</v>
      </c>
      <c r="DG75" s="104" t="s">
        <v>801</v>
      </c>
      <c r="DH75" s="547"/>
      <c r="DI75" s="547"/>
    </row>
    <row r="76" spans="1:113" x14ac:dyDescent="0.2">
      <c r="A76" s="93">
        <v>70</v>
      </c>
      <c r="B76" s="145" t="s">
        <v>16</v>
      </c>
      <c r="C76" s="141" t="s">
        <v>866</v>
      </c>
      <c r="D76" s="142" t="s">
        <v>867</v>
      </c>
      <c r="E76" s="149" t="s">
        <v>15</v>
      </c>
      <c r="F76" s="542">
        <v>-514696</v>
      </c>
      <c r="G76" s="542">
        <v>0</v>
      </c>
      <c r="H76" s="542">
        <v>-514696</v>
      </c>
      <c r="I76" s="542">
        <v>20183</v>
      </c>
      <c r="J76" s="542">
        <v>0</v>
      </c>
      <c r="K76" s="542">
        <v>20183</v>
      </c>
      <c r="L76" s="542">
        <v>-534879</v>
      </c>
      <c r="M76" s="542">
        <v>0</v>
      </c>
      <c r="N76" s="542">
        <v>-534879</v>
      </c>
      <c r="O76" s="543">
        <v>0.5</v>
      </c>
      <c r="P76" s="543">
        <v>0.4</v>
      </c>
      <c r="Q76" s="543">
        <v>0.1</v>
      </c>
      <c r="R76" s="543">
        <v>0</v>
      </c>
      <c r="S76" s="542">
        <v>216300</v>
      </c>
      <c r="T76" s="542">
        <v>216300</v>
      </c>
      <c r="U76" s="542">
        <v>0</v>
      </c>
      <c r="V76" s="542">
        <v>0</v>
      </c>
      <c r="W76" s="542">
        <v>0</v>
      </c>
      <c r="X76" s="542">
        <v>0</v>
      </c>
      <c r="Y76" s="542">
        <v>0</v>
      </c>
      <c r="Z76" s="542">
        <v>0</v>
      </c>
      <c r="AA76" s="542">
        <v>0</v>
      </c>
      <c r="AB76" s="542">
        <v>0</v>
      </c>
      <c r="AC76" s="542">
        <v>0</v>
      </c>
      <c r="AD76" s="542">
        <v>0</v>
      </c>
      <c r="AE76" s="542">
        <v>0</v>
      </c>
      <c r="AF76" s="542">
        <v>0</v>
      </c>
      <c r="AG76" s="542">
        <v>0</v>
      </c>
      <c r="AH76" s="542">
        <v>0</v>
      </c>
      <c r="AI76" s="542">
        <v>0</v>
      </c>
      <c r="AJ76" s="542">
        <v>0</v>
      </c>
      <c r="AK76" s="542">
        <v>0</v>
      </c>
      <c r="AL76" s="542">
        <v>0</v>
      </c>
      <c r="AM76" s="542">
        <v>0</v>
      </c>
      <c r="AN76" s="542">
        <v>0</v>
      </c>
      <c r="AO76" s="542">
        <v>0</v>
      </c>
      <c r="AP76" s="542">
        <v>0</v>
      </c>
      <c r="AQ76" s="542">
        <v>149690.984</v>
      </c>
      <c r="AR76" s="542">
        <v>37422.745999999999</v>
      </c>
      <c r="AS76" s="542">
        <v>0</v>
      </c>
      <c r="AT76" s="542">
        <v>151449</v>
      </c>
      <c r="AU76" s="542">
        <v>37862</v>
      </c>
      <c r="AV76" s="542">
        <v>0</v>
      </c>
      <c r="AW76" s="542">
        <v>-1758</v>
      </c>
      <c r="AX76" s="542">
        <v>-439</v>
      </c>
      <c r="AY76" s="542">
        <v>0</v>
      </c>
      <c r="AZ76" s="542">
        <v>225.16517999999999</v>
      </c>
      <c r="BA76" s="542">
        <v>56.291295099999999</v>
      </c>
      <c r="BB76" s="542">
        <v>0</v>
      </c>
      <c r="BC76" s="542">
        <v>2284</v>
      </c>
      <c r="BD76" s="542">
        <v>571</v>
      </c>
      <c r="BE76" s="542">
        <v>0</v>
      </c>
      <c r="BF76" s="542">
        <v>-2059</v>
      </c>
      <c r="BG76" s="542">
        <v>-515</v>
      </c>
      <c r="BH76" s="542">
        <v>0</v>
      </c>
      <c r="BI76" s="542">
        <v>0</v>
      </c>
      <c r="BJ76" s="542">
        <v>0</v>
      </c>
      <c r="BK76" s="542">
        <v>0</v>
      </c>
      <c r="BL76" s="542">
        <v>12127</v>
      </c>
      <c r="BM76" s="542">
        <v>3032</v>
      </c>
      <c r="BN76" s="542">
        <v>0</v>
      </c>
      <c r="BO76" s="542">
        <v>-12127</v>
      </c>
      <c r="BP76" s="542">
        <v>-3032</v>
      </c>
      <c r="BQ76" s="542">
        <v>0</v>
      </c>
      <c r="BR76" s="542">
        <v>4092.5893799999999</v>
      </c>
      <c r="BS76" s="542">
        <v>1023.14734</v>
      </c>
      <c r="BT76" s="542">
        <v>0</v>
      </c>
      <c r="BU76" s="542">
        <v>70210</v>
      </c>
      <c r="BV76" s="542">
        <v>17552</v>
      </c>
      <c r="BW76" s="542">
        <v>0</v>
      </c>
      <c r="BX76" s="542">
        <v>-66117</v>
      </c>
      <c r="BY76" s="542">
        <v>-16529</v>
      </c>
      <c r="BZ76" s="542">
        <v>0</v>
      </c>
      <c r="CA76" s="542">
        <v>95543.609299999996</v>
      </c>
      <c r="CB76" s="542">
        <v>23885.902300000002</v>
      </c>
      <c r="CC76" s="542">
        <v>0</v>
      </c>
      <c r="CD76" s="542">
        <v>173826</v>
      </c>
      <c r="CE76" s="542">
        <v>43456</v>
      </c>
      <c r="CF76" s="542">
        <v>0</v>
      </c>
      <c r="CG76" s="542">
        <v>-78282</v>
      </c>
      <c r="CH76" s="542">
        <v>-19570</v>
      </c>
      <c r="CI76" s="542">
        <v>0</v>
      </c>
      <c r="CJ76" s="542">
        <v>2576.8000000000002</v>
      </c>
      <c r="CK76" s="542">
        <v>644.20000000000005</v>
      </c>
      <c r="CL76" s="542">
        <v>0</v>
      </c>
      <c r="CM76" s="542">
        <v>-1712.3871999999999</v>
      </c>
      <c r="CN76" s="542">
        <v>-428.09681</v>
      </c>
      <c r="CO76" s="542">
        <v>0</v>
      </c>
      <c r="CP76" s="542">
        <v>7743</v>
      </c>
      <c r="CQ76" s="542">
        <v>1935.8140000000001</v>
      </c>
      <c r="CR76" s="542">
        <v>0</v>
      </c>
      <c r="CS76" s="542">
        <v>-6879</v>
      </c>
      <c r="CT76" s="542">
        <v>-1720</v>
      </c>
      <c r="CU76" s="542">
        <v>0</v>
      </c>
      <c r="CV76" s="542">
        <v>472378.22</v>
      </c>
      <c r="CW76" s="542">
        <v>118094.55499999999</v>
      </c>
      <c r="CX76" s="542">
        <v>0</v>
      </c>
      <c r="CY76" s="542">
        <v>470665</v>
      </c>
      <c r="CZ76" s="542">
        <v>117092</v>
      </c>
      <c r="DA76" s="542">
        <v>0</v>
      </c>
      <c r="DB76" s="542">
        <v>1713</v>
      </c>
      <c r="DC76" s="542">
        <v>1003</v>
      </c>
      <c r="DD76" s="542">
        <v>0</v>
      </c>
      <c r="DE76" s="153" t="s">
        <v>15</v>
      </c>
      <c r="DF76" s="103" t="s">
        <v>749</v>
      </c>
      <c r="DG76" s="104" t="s">
        <v>751</v>
      </c>
      <c r="DH76" s="547"/>
      <c r="DI76" s="547"/>
    </row>
    <row r="77" spans="1:113" x14ac:dyDescent="0.2">
      <c r="A77" s="93">
        <v>71</v>
      </c>
      <c r="B77" s="145" t="s">
        <v>18</v>
      </c>
      <c r="C77" s="141" t="s">
        <v>871</v>
      </c>
      <c r="D77" s="142" t="s">
        <v>872</v>
      </c>
      <c r="E77" s="149" t="s">
        <v>17</v>
      </c>
      <c r="F77" s="542">
        <v>1462854</v>
      </c>
      <c r="G77" s="542">
        <v>0</v>
      </c>
      <c r="H77" s="542">
        <v>1462854</v>
      </c>
      <c r="I77" s="542">
        <v>248544</v>
      </c>
      <c r="J77" s="542">
        <v>0</v>
      </c>
      <c r="K77" s="542">
        <v>248544</v>
      </c>
      <c r="L77" s="542">
        <v>1214310</v>
      </c>
      <c r="M77" s="542">
        <v>0</v>
      </c>
      <c r="N77" s="542">
        <v>1214310</v>
      </c>
      <c r="O77" s="543">
        <v>0.5</v>
      </c>
      <c r="P77" s="543">
        <v>0.3</v>
      </c>
      <c r="Q77" s="543">
        <v>0.2</v>
      </c>
      <c r="R77" s="543">
        <v>0</v>
      </c>
      <c r="S77" s="542">
        <v>437992</v>
      </c>
      <c r="T77" s="542">
        <v>437992</v>
      </c>
      <c r="U77" s="542">
        <v>0</v>
      </c>
      <c r="V77" s="542">
        <v>0</v>
      </c>
      <c r="W77" s="542">
        <v>0</v>
      </c>
      <c r="X77" s="542">
        <v>0</v>
      </c>
      <c r="Y77" s="542">
        <v>0</v>
      </c>
      <c r="Z77" s="542">
        <v>0</v>
      </c>
      <c r="AA77" s="542">
        <v>0</v>
      </c>
      <c r="AB77" s="542">
        <v>0</v>
      </c>
      <c r="AC77" s="542">
        <v>0</v>
      </c>
      <c r="AD77" s="542">
        <v>0</v>
      </c>
      <c r="AE77" s="542">
        <v>8764.06</v>
      </c>
      <c r="AF77" s="542">
        <v>5258.44</v>
      </c>
      <c r="AG77" s="542">
        <v>3505.62</v>
      </c>
      <c r="AH77" s="542">
        <v>0</v>
      </c>
      <c r="AI77" s="542">
        <v>0</v>
      </c>
      <c r="AJ77" s="542">
        <v>0</v>
      </c>
      <c r="AK77" s="542">
        <v>0</v>
      </c>
      <c r="AL77" s="542">
        <v>0</v>
      </c>
      <c r="AM77" s="542">
        <v>8764</v>
      </c>
      <c r="AN77" s="542">
        <v>5258</v>
      </c>
      <c r="AO77" s="542">
        <v>3506</v>
      </c>
      <c r="AP77" s="542">
        <v>0</v>
      </c>
      <c r="AQ77" s="542">
        <v>866700.65</v>
      </c>
      <c r="AR77" s="542">
        <v>577800.43000000005</v>
      </c>
      <c r="AS77" s="542">
        <v>0</v>
      </c>
      <c r="AT77" s="542">
        <v>849965</v>
      </c>
      <c r="AU77" s="542">
        <v>566644</v>
      </c>
      <c r="AV77" s="542">
        <v>0</v>
      </c>
      <c r="AW77" s="542">
        <v>16736</v>
      </c>
      <c r="AX77" s="542">
        <v>11156</v>
      </c>
      <c r="AY77" s="542">
        <v>0</v>
      </c>
      <c r="AZ77" s="542">
        <v>454.78</v>
      </c>
      <c r="BA77" s="542">
        <v>303.18</v>
      </c>
      <c r="BB77" s="542">
        <v>0</v>
      </c>
      <c r="BC77" s="542">
        <v>29131</v>
      </c>
      <c r="BD77" s="542">
        <v>19421</v>
      </c>
      <c r="BE77" s="542">
        <v>0</v>
      </c>
      <c r="BF77" s="542">
        <v>-28676</v>
      </c>
      <c r="BG77" s="542">
        <v>-19118</v>
      </c>
      <c r="BH77" s="542">
        <v>0</v>
      </c>
      <c r="BI77" s="542">
        <v>0</v>
      </c>
      <c r="BJ77" s="542">
        <v>0</v>
      </c>
      <c r="BK77" s="542">
        <v>0</v>
      </c>
      <c r="BL77" s="542">
        <v>0</v>
      </c>
      <c r="BM77" s="542">
        <v>0</v>
      </c>
      <c r="BN77" s="542">
        <v>0</v>
      </c>
      <c r="BO77" s="542">
        <v>0</v>
      </c>
      <c r="BP77" s="542">
        <v>0</v>
      </c>
      <c r="BQ77" s="542">
        <v>0</v>
      </c>
      <c r="BR77" s="542">
        <v>0</v>
      </c>
      <c r="BS77" s="542">
        <v>0</v>
      </c>
      <c r="BT77" s="542">
        <v>0</v>
      </c>
      <c r="BU77" s="542">
        <v>101404</v>
      </c>
      <c r="BV77" s="542">
        <v>67603</v>
      </c>
      <c r="BW77" s="542">
        <v>0</v>
      </c>
      <c r="BX77" s="542">
        <v>-101404</v>
      </c>
      <c r="BY77" s="542">
        <v>-67603</v>
      </c>
      <c r="BZ77" s="542">
        <v>0</v>
      </c>
      <c r="CA77" s="542">
        <v>224214.8</v>
      </c>
      <c r="CB77" s="542">
        <v>149476.53</v>
      </c>
      <c r="CC77" s="542">
        <v>0</v>
      </c>
      <c r="CD77" s="542">
        <v>180698</v>
      </c>
      <c r="CE77" s="542">
        <v>120465</v>
      </c>
      <c r="CF77" s="542">
        <v>0</v>
      </c>
      <c r="CG77" s="542">
        <v>43517</v>
      </c>
      <c r="CH77" s="542">
        <v>29012</v>
      </c>
      <c r="CI77" s="542">
        <v>0</v>
      </c>
      <c r="CJ77" s="542">
        <v>0</v>
      </c>
      <c r="CK77" s="542">
        <v>0</v>
      </c>
      <c r="CL77" s="542">
        <v>0</v>
      </c>
      <c r="CM77" s="542">
        <v>16513.560000000001</v>
      </c>
      <c r="CN77" s="542">
        <v>11009.04</v>
      </c>
      <c r="CO77" s="542">
        <v>0</v>
      </c>
      <c r="CP77" s="542">
        <v>18530</v>
      </c>
      <c r="CQ77" s="542">
        <v>12353.56</v>
      </c>
      <c r="CR77" s="542">
        <v>0</v>
      </c>
      <c r="CS77" s="542">
        <v>-2016</v>
      </c>
      <c r="CT77" s="542">
        <v>-1345</v>
      </c>
      <c r="CU77" s="542">
        <v>0</v>
      </c>
      <c r="CV77" s="542">
        <v>337285.05</v>
      </c>
      <c r="CW77" s="542">
        <v>224856.7</v>
      </c>
      <c r="CX77" s="542">
        <v>0</v>
      </c>
      <c r="CY77" s="542">
        <v>355978</v>
      </c>
      <c r="CZ77" s="542">
        <v>234219</v>
      </c>
      <c r="DA77" s="542">
        <v>0</v>
      </c>
      <c r="DB77" s="542">
        <v>-18693</v>
      </c>
      <c r="DC77" s="542">
        <v>-9362</v>
      </c>
      <c r="DD77" s="542">
        <v>0</v>
      </c>
      <c r="DE77" s="153" t="s">
        <v>17</v>
      </c>
      <c r="DF77" s="103" t="s">
        <v>762</v>
      </c>
      <c r="DG77" s="103" t="s">
        <v>750</v>
      </c>
      <c r="DH77" s="547"/>
      <c r="DI77" s="547"/>
    </row>
    <row r="78" spans="1:113" x14ac:dyDescent="0.2">
      <c r="A78" s="93">
        <v>72</v>
      </c>
      <c r="B78" s="145" t="s">
        <v>20</v>
      </c>
      <c r="C78" s="141" t="s">
        <v>866</v>
      </c>
      <c r="D78" s="142" t="s">
        <v>870</v>
      </c>
      <c r="E78" s="149" t="s">
        <v>19</v>
      </c>
      <c r="F78" s="542">
        <v>-1004385</v>
      </c>
      <c r="G78" s="542">
        <v>0</v>
      </c>
      <c r="H78" s="542">
        <v>-1004385</v>
      </c>
      <c r="I78" s="542">
        <v>-68477</v>
      </c>
      <c r="J78" s="542">
        <v>0</v>
      </c>
      <c r="K78" s="542">
        <v>-68477</v>
      </c>
      <c r="L78" s="542">
        <v>-935908</v>
      </c>
      <c r="M78" s="542">
        <v>0</v>
      </c>
      <c r="N78" s="542">
        <v>-935908</v>
      </c>
      <c r="O78" s="543">
        <v>0.5</v>
      </c>
      <c r="P78" s="543">
        <v>0.4</v>
      </c>
      <c r="Q78" s="543">
        <v>0.1</v>
      </c>
      <c r="R78" s="543">
        <v>0</v>
      </c>
      <c r="S78" s="542">
        <v>219911</v>
      </c>
      <c r="T78" s="542">
        <v>219911</v>
      </c>
      <c r="U78" s="542">
        <v>0</v>
      </c>
      <c r="V78" s="542">
        <v>0</v>
      </c>
      <c r="W78" s="542">
        <v>0</v>
      </c>
      <c r="X78" s="542">
        <v>0</v>
      </c>
      <c r="Y78" s="542">
        <v>0</v>
      </c>
      <c r="Z78" s="542">
        <v>0</v>
      </c>
      <c r="AA78" s="542">
        <v>0</v>
      </c>
      <c r="AB78" s="542">
        <v>0</v>
      </c>
      <c r="AC78" s="542">
        <v>0</v>
      </c>
      <c r="AD78" s="542">
        <v>0</v>
      </c>
      <c r="AE78" s="542">
        <v>0</v>
      </c>
      <c r="AF78" s="542">
        <v>0</v>
      </c>
      <c r="AG78" s="542">
        <v>0</v>
      </c>
      <c r="AH78" s="542">
        <v>0</v>
      </c>
      <c r="AI78" s="542">
        <v>0</v>
      </c>
      <c r="AJ78" s="542">
        <v>0</v>
      </c>
      <c r="AK78" s="542">
        <v>0</v>
      </c>
      <c r="AL78" s="542">
        <v>0</v>
      </c>
      <c r="AM78" s="542">
        <v>0</v>
      </c>
      <c r="AN78" s="542">
        <v>0</v>
      </c>
      <c r="AO78" s="542">
        <v>0</v>
      </c>
      <c r="AP78" s="542">
        <v>0</v>
      </c>
      <c r="AQ78" s="542">
        <v>450986.01</v>
      </c>
      <c r="AR78" s="542">
        <v>112746.5</v>
      </c>
      <c r="AS78" s="542">
        <v>0</v>
      </c>
      <c r="AT78" s="542">
        <v>397641</v>
      </c>
      <c r="AU78" s="542">
        <v>99410</v>
      </c>
      <c r="AV78" s="542">
        <v>0</v>
      </c>
      <c r="AW78" s="542">
        <v>53345</v>
      </c>
      <c r="AX78" s="542">
        <v>13337</v>
      </c>
      <c r="AY78" s="542">
        <v>0</v>
      </c>
      <c r="AZ78" s="542">
        <v>0</v>
      </c>
      <c r="BA78" s="542">
        <v>0</v>
      </c>
      <c r="BB78" s="542">
        <v>0</v>
      </c>
      <c r="BC78" s="542">
        <v>19882</v>
      </c>
      <c r="BD78" s="542">
        <v>4971</v>
      </c>
      <c r="BE78" s="542">
        <v>0</v>
      </c>
      <c r="BF78" s="542">
        <v>-19882</v>
      </c>
      <c r="BG78" s="542">
        <v>-4971</v>
      </c>
      <c r="BH78" s="542">
        <v>0</v>
      </c>
      <c r="BI78" s="542">
        <v>0</v>
      </c>
      <c r="BJ78" s="542">
        <v>0</v>
      </c>
      <c r="BK78" s="542">
        <v>0</v>
      </c>
      <c r="BL78" s="542">
        <v>0</v>
      </c>
      <c r="BM78" s="542">
        <v>0</v>
      </c>
      <c r="BN78" s="542">
        <v>0</v>
      </c>
      <c r="BO78" s="542">
        <v>0</v>
      </c>
      <c r="BP78" s="542">
        <v>0</v>
      </c>
      <c r="BQ78" s="542">
        <v>0</v>
      </c>
      <c r="BR78" s="542">
        <v>3432.46</v>
      </c>
      <c r="BS78" s="542">
        <v>858.11</v>
      </c>
      <c r="BT78" s="542">
        <v>0</v>
      </c>
      <c r="BU78" s="542">
        <v>3458</v>
      </c>
      <c r="BV78" s="542">
        <v>865</v>
      </c>
      <c r="BW78" s="542">
        <v>0</v>
      </c>
      <c r="BX78" s="542">
        <v>-26</v>
      </c>
      <c r="BY78" s="542">
        <v>-7</v>
      </c>
      <c r="BZ78" s="542">
        <v>0</v>
      </c>
      <c r="CA78" s="542">
        <v>217908.96</v>
      </c>
      <c r="CB78" s="542">
        <v>54477.24</v>
      </c>
      <c r="CC78" s="542">
        <v>0</v>
      </c>
      <c r="CD78" s="542">
        <v>455182</v>
      </c>
      <c r="CE78" s="542">
        <v>113795</v>
      </c>
      <c r="CF78" s="542">
        <v>0</v>
      </c>
      <c r="CG78" s="542">
        <v>-237273</v>
      </c>
      <c r="CH78" s="542">
        <v>-59318</v>
      </c>
      <c r="CI78" s="542">
        <v>0</v>
      </c>
      <c r="CJ78" s="542">
        <v>0</v>
      </c>
      <c r="CK78" s="542">
        <v>0</v>
      </c>
      <c r="CL78" s="542">
        <v>0</v>
      </c>
      <c r="CM78" s="542">
        <v>142.44999999999999</v>
      </c>
      <c r="CN78" s="542">
        <v>35.61</v>
      </c>
      <c r="CO78" s="542">
        <v>0</v>
      </c>
      <c r="CP78" s="542">
        <v>0</v>
      </c>
      <c r="CQ78" s="542">
        <v>0</v>
      </c>
      <c r="CR78" s="542">
        <v>0</v>
      </c>
      <c r="CS78" s="542">
        <v>142</v>
      </c>
      <c r="CT78" s="542">
        <v>36</v>
      </c>
      <c r="CU78" s="542">
        <v>0</v>
      </c>
      <c r="CV78" s="542">
        <v>230920.9</v>
      </c>
      <c r="CW78" s="542">
        <v>57730.23</v>
      </c>
      <c r="CX78" s="542">
        <v>0</v>
      </c>
      <c r="CY78" s="542">
        <v>250443</v>
      </c>
      <c r="CZ78" s="542">
        <v>62027</v>
      </c>
      <c r="DA78" s="542">
        <v>0</v>
      </c>
      <c r="DB78" s="542">
        <v>-19522</v>
      </c>
      <c r="DC78" s="542">
        <v>-4297</v>
      </c>
      <c r="DD78" s="542">
        <v>0</v>
      </c>
      <c r="DE78" s="153" t="s">
        <v>19</v>
      </c>
      <c r="DF78" s="103" t="s">
        <v>788</v>
      </c>
      <c r="DG78" s="104" t="s">
        <v>751</v>
      </c>
      <c r="DH78" s="547"/>
      <c r="DI78" s="547"/>
    </row>
    <row r="79" spans="1:113" x14ac:dyDescent="0.2">
      <c r="A79" s="93">
        <v>73</v>
      </c>
      <c r="B79" s="145" t="s">
        <v>22</v>
      </c>
      <c r="C79" s="141" t="s">
        <v>770</v>
      </c>
      <c r="D79" s="142" t="s">
        <v>878</v>
      </c>
      <c r="E79" s="149" t="s">
        <v>694</v>
      </c>
      <c r="F79" s="542">
        <v>-787719</v>
      </c>
      <c r="G79" s="542">
        <v>0</v>
      </c>
      <c r="H79" s="542">
        <v>-787719</v>
      </c>
      <c r="I79" s="542">
        <v>-120246</v>
      </c>
      <c r="J79" s="542">
        <v>0</v>
      </c>
      <c r="K79" s="542">
        <v>-120246</v>
      </c>
      <c r="L79" s="542">
        <v>-667473</v>
      </c>
      <c r="M79" s="542">
        <v>0</v>
      </c>
      <c r="N79" s="542">
        <v>-667473</v>
      </c>
      <c r="O79" s="543">
        <v>0.5</v>
      </c>
      <c r="P79" s="543">
        <v>0.49</v>
      </c>
      <c r="Q79" s="543">
        <v>0</v>
      </c>
      <c r="R79" s="543">
        <v>0.01</v>
      </c>
      <c r="S79" s="542">
        <v>147527</v>
      </c>
      <c r="T79" s="542">
        <v>147527</v>
      </c>
      <c r="U79" s="542">
        <v>0</v>
      </c>
      <c r="V79" s="542">
        <v>0</v>
      </c>
      <c r="W79" s="542">
        <v>0</v>
      </c>
      <c r="X79" s="542">
        <v>0</v>
      </c>
      <c r="Y79" s="542">
        <v>0</v>
      </c>
      <c r="Z79" s="542">
        <v>0</v>
      </c>
      <c r="AA79" s="542">
        <v>0</v>
      </c>
      <c r="AB79" s="542">
        <v>0</v>
      </c>
      <c r="AC79" s="542">
        <v>0</v>
      </c>
      <c r="AD79" s="542">
        <v>0</v>
      </c>
      <c r="AE79" s="542">
        <v>0</v>
      </c>
      <c r="AF79" s="542">
        <v>0</v>
      </c>
      <c r="AG79" s="542">
        <v>0</v>
      </c>
      <c r="AH79" s="542">
        <v>0</v>
      </c>
      <c r="AI79" s="542">
        <v>0</v>
      </c>
      <c r="AJ79" s="542">
        <v>0</v>
      </c>
      <c r="AK79" s="542">
        <v>0</v>
      </c>
      <c r="AL79" s="542">
        <v>0</v>
      </c>
      <c r="AM79" s="542">
        <v>0</v>
      </c>
      <c r="AN79" s="542">
        <v>0</v>
      </c>
      <c r="AO79" s="542">
        <v>0</v>
      </c>
      <c r="AP79" s="542">
        <v>0</v>
      </c>
      <c r="AQ79" s="542">
        <v>558404.53799999994</v>
      </c>
      <c r="AR79" s="542">
        <v>0</v>
      </c>
      <c r="AS79" s="542">
        <v>11396.011</v>
      </c>
      <c r="AT79" s="542">
        <v>517562</v>
      </c>
      <c r="AU79" s="542">
        <v>0</v>
      </c>
      <c r="AV79" s="542">
        <v>10562</v>
      </c>
      <c r="AW79" s="542">
        <v>40843</v>
      </c>
      <c r="AX79" s="542">
        <v>0</v>
      </c>
      <c r="AY79" s="542">
        <v>834</v>
      </c>
      <c r="AZ79" s="542">
        <v>0</v>
      </c>
      <c r="BA79" s="542">
        <v>0</v>
      </c>
      <c r="BB79" s="542">
        <v>0</v>
      </c>
      <c r="BC79" s="542">
        <v>0</v>
      </c>
      <c r="BD79" s="542">
        <v>0</v>
      </c>
      <c r="BE79" s="542">
        <v>0</v>
      </c>
      <c r="BF79" s="542">
        <v>0</v>
      </c>
      <c r="BG79" s="542">
        <v>0</v>
      </c>
      <c r="BH79" s="542">
        <v>0</v>
      </c>
      <c r="BI79" s="542">
        <v>0</v>
      </c>
      <c r="BJ79" s="542">
        <v>0</v>
      </c>
      <c r="BK79" s="542">
        <v>0</v>
      </c>
      <c r="BL79" s="542">
        <v>0</v>
      </c>
      <c r="BM79" s="542">
        <v>0</v>
      </c>
      <c r="BN79" s="542">
        <v>0</v>
      </c>
      <c r="BO79" s="542">
        <v>0</v>
      </c>
      <c r="BP79" s="542">
        <v>0</v>
      </c>
      <c r="BQ79" s="542">
        <v>0</v>
      </c>
      <c r="BR79" s="542">
        <v>11175.7119</v>
      </c>
      <c r="BS79" s="542">
        <v>0</v>
      </c>
      <c r="BT79" s="542">
        <v>228.07575299999999</v>
      </c>
      <c r="BU79" s="542">
        <v>0</v>
      </c>
      <c r="BV79" s="542">
        <v>0</v>
      </c>
      <c r="BW79" s="542">
        <v>0</v>
      </c>
      <c r="BX79" s="542">
        <v>11176</v>
      </c>
      <c r="BY79" s="542">
        <v>0</v>
      </c>
      <c r="BZ79" s="542">
        <v>228</v>
      </c>
      <c r="CA79" s="542">
        <v>173385.465</v>
      </c>
      <c r="CB79" s="542">
        <v>0</v>
      </c>
      <c r="CC79" s="542">
        <v>3538.4788899999999</v>
      </c>
      <c r="CD79" s="542">
        <v>0</v>
      </c>
      <c r="CE79" s="542">
        <v>0</v>
      </c>
      <c r="CF79" s="542">
        <v>0</v>
      </c>
      <c r="CG79" s="542">
        <v>173385</v>
      </c>
      <c r="CH79" s="542">
        <v>0</v>
      </c>
      <c r="CI79" s="542">
        <v>3538</v>
      </c>
      <c r="CJ79" s="542">
        <v>0</v>
      </c>
      <c r="CK79" s="542">
        <v>0</v>
      </c>
      <c r="CL79" s="542">
        <v>0</v>
      </c>
      <c r="CM79" s="542">
        <v>0</v>
      </c>
      <c r="CN79" s="542">
        <v>0</v>
      </c>
      <c r="CO79" s="542">
        <v>0</v>
      </c>
      <c r="CP79" s="542">
        <v>0</v>
      </c>
      <c r="CQ79" s="542">
        <v>0</v>
      </c>
      <c r="CR79" s="542">
        <v>0</v>
      </c>
      <c r="CS79" s="542">
        <v>0</v>
      </c>
      <c r="CT79" s="542">
        <v>0</v>
      </c>
      <c r="CU79" s="542">
        <v>0</v>
      </c>
      <c r="CV79" s="542">
        <v>174587.59299999999</v>
      </c>
      <c r="CW79" s="542">
        <v>0</v>
      </c>
      <c r="CX79" s="542">
        <v>3563.0120999999999</v>
      </c>
      <c r="CY79" s="542">
        <v>183038</v>
      </c>
      <c r="CZ79" s="542">
        <v>0</v>
      </c>
      <c r="DA79" s="542">
        <v>3703</v>
      </c>
      <c r="DB79" s="542">
        <v>-8450</v>
      </c>
      <c r="DC79" s="542">
        <v>0</v>
      </c>
      <c r="DD79" s="542">
        <v>-140</v>
      </c>
      <c r="DE79" s="153" t="s">
        <v>694</v>
      </c>
      <c r="DF79" s="103" t="s">
        <v>770</v>
      </c>
      <c r="DG79" s="104" t="s">
        <v>802</v>
      </c>
      <c r="DH79" s="547"/>
      <c r="DI79" s="547"/>
    </row>
    <row r="80" spans="1:113" x14ac:dyDescent="0.2">
      <c r="A80" s="93">
        <v>74</v>
      </c>
      <c r="B80" s="145" t="s">
        <v>24</v>
      </c>
      <c r="C80" s="141" t="s">
        <v>866</v>
      </c>
      <c r="D80" s="142" t="s">
        <v>867</v>
      </c>
      <c r="E80" s="149" t="s">
        <v>23</v>
      </c>
      <c r="F80" s="542">
        <v>-230224</v>
      </c>
      <c r="G80" s="542">
        <v>0</v>
      </c>
      <c r="H80" s="542">
        <v>-230224</v>
      </c>
      <c r="I80" s="542">
        <v>39846</v>
      </c>
      <c r="J80" s="542">
        <v>0</v>
      </c>
      <c r="K80" s="542">
        <v>39846</v>
      </c>
      <c r="L80" s="542">
        <v>-270070</v>
      </c>
      <c r="M80" s="542">
        <v>0</v>
      </c>
      <c r="N80" s="542">
        <v>-270070</v>
      </c>
      <c r="O80" s="543">
        <v>0.5</v>
      </c>
      <c r="P80" s="543">
        <v>0.4</v>
      </c>
      <c r="Q80" s="543">
        <v>0.09</v>
      </c>
      <c r="R80" s="543">
        <v>0.01</v>
      </c>
      <c r="S80" s="542">
        <v>174373</v>
      </c>
      <c r="T80" s="542">
        <v>174373</v>
      </c>
      <c r="U80" s="542">
        <v>0</v>
      </c>
      <c r="V80" s="542">
        <v>0</v>
      </c>
      <c r="W80" s="542">
        <v>0</v>
      </c>
      <c r="X80" s="542">
        <v>0</v>
      </c>
      <c r="Y80" s="542">
        <v>0</v>
      </c>
      <c r="Z80" s="542">
        <v>0</v>
      </c>
      <c r="AA80" s="542">
        <v>0</v>
      </c>
      <c r="AB80" s="542">
        <v>0</v>
      </c>
      <c r="AC80" s="542">
        <v>0</v>
      </c>
      <c r="AD80" s="542">
        <v>0</v>
      </c>
      <c r="AE80" s="542">
        <v>0</v>
      </c>
      <c r="AF80" s="542">
        <v>0</v>
      </c>
      <c r="AG80" s="542">
        <v>0</v>
      </c>
      <c r="AH80" s="542">
        <v>0</v>
      </c>
      <c r="AI80" s="542">
        <v>0</v>
      </c>
      <c r="AJ80" s="542">
        <v>0</v>
      </c>
      <c r="AK80" s="542">
        <v>0</v>
      </c>
      <c r="AL80" s="542">
        <v>0</v>
      </c>
      <c r="AM80" s="542">
        <v>0</v>
      </c>
      <c r="AN80" s="542">
        <v>0</v>
      </c>
      <c r="AO80" s="542">
        <v>0</v>
      </c>
      <c r="AP80" s="542">
        <v>0</v>
      </c>
      <c r="AQ80" s="542">
        <v>293606.90600000002</v>
      </c>
      <c r="AR80" s="542">
        <v>66061.553799999994</v>
      </c>
      <c r="AS80" s="542">
        <v>7340.1726500000004</v>
      </c>
      <c r="AT80" s="542">
        <v>271572</v>
      </c>
      <c r="AU80" s="542">
        <v>61104</v>
      </c>
      <c r="AV80" s="542">
        <v>6789</v>
      </c>
      <c r="AW80" s="542">
        <v>22035</v>
      </c>
      <c r="AX80" s="542">
        <v>4958</v>
      </c>
      <c r="AY80" s="542">
        <v>551</v>
      </c>
      <c r="AZ80" s="542">
        <v>1652.55881</v>
      </c>
      <c r="BA80" s="542">
        <v>371.82573200000002</v>
      </c>
      <c r="BB80" s="542">
        <v>41.3139702</v>
      </c>
      <c r="BC80" s="542">
        <v>800</v>
      </c>
      <c r="BD80" s="542">
        <v>180</v>
      </c>
      <c r="BE80" s="542">
        <v>20</v>
      </c>
      <c r="BF80" s="542">
        <v>853</v>
      </c>
      <c r="BG80" s="542">
        <v>192</v>
      </c>
      <c r="BH80" s="542">
        <v>21</v>
      </c>
      <c r="BI80" s="542">
        <v>0</v>
      </c>
      <c r="BJ80" s="542">
        <v>0</v>
      </c>
      <c r="BK80" s="542">
        <v>0</v>
      </c>
      <c r="BL80" s="542">
        <v>59682</v>
      </c>
      <c r="BM80" s="542">
        <v>13428</v>
      </c>
      <c r="BN80" s="542">
        <v>1492</v>
      </c>
      <c r="BO80" s="542">
        <v>-59682</v>
      </c>
      <c r="BP80" s="542">
        <v>-13428</v>
      </c>
      <c r="BQ80" s="542">
        <v>-1492</v>
      </c>
      <c r="BR80" s="542">
        <v>0</v>
      </c>
      <c r="BS80" s="542">
        <v>0</v>
      </c>
      <c r="BT80" s="542">
        <v>0</v>
      </c>
      <c r="BU80" s="542">
        <v>36473</v>
      </c>
      <c r="BV80" s="542">
        <v>8206</v>
      </c>
      <c r="BW80" s="542">
        <v>912</v>
      </c>
      <c r="BX80" s="542">
        <v>-36473</v>
      </c>
      <c r="BY80" s="542">
        <v>-8206</v>
      </c>
      <c r="BZ80" s="542">
        <v>-912</v>
      </c>
      <c r="CA80" s="542">
        <v>70862.352400000003</v>
      </c>
      <c r="CB80" s="542">
        <v>15944.0293</v>
      </c>
      <c r="CC80" s="542">
        <v>1771.55881</v>
      </c>
      <c r="CD80" s="542">
        <v>168847</v>
      </c>
      <c r="CE80" s="542">
        <v>37991</v>
      </c>
      <c r="CF80" s="542">
        <v>4221</v>
      </c>
      <c r="CG80" s="542">
        <v>-97985</v>
      </c>
      <c r="CH80" s="542">
        <v>-22047</v>
      </c>
      <c r="CI80" s="542">
        <v>-2449</v>
      </c>
      <c r="CJ80" s="542">
        <v>0</v>
      </c>
      <c r="CK80" s="542">
        <v>0</v>
      </c>
      <c r="CL80" s="542">
        <v>0</v>
      </c>
      <c r="CM80" s="542">
        <v>0</v>
      </c>
      <c r="CN80" s="542">
        <v>0</v>
      </c>
      <c r="CO80" s="542">
        <v>0</v>
      </c>
      <c r="CP80" s="542">
        <v>0</v>
      </c>
      <c r="CQ80" s="542">
        <v>0</v>
      </c>
      <c r="CR80" s="542">
        <v>0</v>
      </c>
      <c r="CS80" s="542">
        <v>0</v>
      </c>
      <c r="CT80" s="542">
        <v>0</v>
      </c>
      <c r="CU80" s="542">
        <v>0</v>
      </c>
      <c r="CV80" s="542">
        <v>348792.76</v>
      </c>
      <c r="CW80" s="542">
        <v>78478.370999999999</v>
      </c>
      <c r="CX80" s="542">
        <v>8719.8189999999995</v>
      </c>
      <c r="CY80" s="542">
        <v>329877</v>
      </c>
      <c r="CZ80" s="542">
        <v>73806</v>
      </c>
      <c r="DA80" s="542">
        <v>8201</v>
      </c>
      <c r="DB80" s="542">
        <v>18916</v>
      </c>
      <c r="DC80" s="542">
        <v>4672</v>
      </c>
      <c r="DD80" s="542">
        <v>519</v>
      </c>
      <c r="DE80" s="153" t="s">
        <v>23</v>
      </c>
      <c r="DF80" s="103" t="s">
        <v>757</v>
      </c>
      <c r="DG80" s="104" t="s">
        <v>758</v>
      </c>
      <c r="DH80" s="547"/>
      <c r="DI80" s="547"/>
    </row>
    <row r="81" spans="1:113" x14ac:dyDescent="0.2">
      <c r="A81" s="93">
        <v>75</v>
      </c>
      <c r="B81" s="145" t="s">
        <v>26</v>
      </c>
      <c r="C81" s="141" t="s">
        <v>866</v>
      </c>
      <c r="D81" s="142" t="s">
        <v>869</v>
      </c>
      <c r="E81" s="149" t="s">
        <v>25</v>
      </c>
      <c r="F81" s="542">
        <v>-242976</v>
      </c>
      <c r="G81" s="542">
        <v>0</v>
      </c>
      <c r="H81" s="542">
        <v>-242976</v>
      </c>
      <c r="I81" s="542">
        <v>37590</v>
      </c>
      <c r="J81" s="542">
        <v>0</v>
      </c>
      <c r="K81" s="542">
        <v>37590</v>
      </c>
      <c r="L81" s="542">
        <v>-280566</v>
      </c>
      <c r="M81" s="542">
        <v>0</v>
      </c>
      <c r="N81" s="542">
        <v>-280566</v>
      </c>
      <c r="O81" s="543">
        <v>0.5</v>
      </c>
      <c r="P81" s="543">
        <v>0.4</v>
      </c>
      <c r="Q81" s="543">
        <v>0.1</v>
      </c>
      <c r="R81" s="543">
        <v>0</v>
      </c>
      <c r="S81" s="542">
        <v>116893</v>
      </c>
      <c r="T81" s="542">
        <v>116893</v>
      </c>
      <c r="U81" s="542">
        <v>0</v>
      </c>
      <c r="V81" s="542">
        <v>0</v>
      </c>
      <c r="W81" s="542">
        <v>0</v>
      </c>
      <c r="X81" s="542">
        <v>0</v>
      </c>
      <c r="Y81" s="542">
        <v>197814</v>
      </c>
      <c r="Z81" s="542">
        <v>0</v>
      </c>
      <c r="AA81" s="542">
        <v>213390</v>
      </c>
      <c r="AB81" s="542">
        <v>0</v>
      </c>
      <c r="AC81" s="542">
        <v>-15576</v>
      </c>
      <c r="AD81" s="542">
        <v>0</v>
      </c>
      <c r="AE81" s="542">
        <v>0</v>
      </c>
      <c r="AF81" s="542">
        <v>0</v>
      </c>
      <c r="AG81" s="542">
        <v>0</v>
      </c>
      <c r="AH81" s="542">
        <v>0</v>
      </c>
      <c r="AI81" s="542">
        <v>0</v>
      </c>
      <c r="AJ81" s="542">
        <v>0</v>
      </c>
      <c r="AK81" s="542">
        <v>0</v>
      </c>
      <c r="AL81" s="542">
        <v>0</v>
      </c>
      <c r="AM81" s="542">
        <v>0</v>
      </c>
      <c r="AN81" s="542">
        <v>0</v>
      </c>
      <c r="AO81" s="542">
        <v>0</v>
      </c>
      <c r="AP81" s="542">
        <v>0</v>
      </c>
      <c r="AQ81" s="542">
        <v>328058.79499999998</v>
      </c>
      <c r="AR81" s="542">
        <v>82014.698900000003</v>
      </c>
      <c r="AS81" s="542">
        <v>0</v>
      </c>
      <c r="AT81" s="542">
        <v>286852</v>
      </c>
      <c r="AU81" s="542">
        <v>71713</v>
      </c>
      <c r="AV81" s="542">
        <v>0</v>
      </c>
      <c r="AW81" s="542">
        <v>41207</v>
      </c>
      <c r="AX81" s="542">
        <v>10302</v>
      </c>
      <c r="AY81" s="542">
        <v>0</v>
      </c>
      <c r="AZ81" s="542">
        <v>112.380467</v>
      </c>
      <c r="BA81" s="542">
        <v>28.095116699999998</v>
      </c>
      <c r="BB81" s="542">
        <v>0</v>
      </c>
      <c r="BC81" s="542">
        <v>0</v>
      </c>
      <c r="BD81" s="542">
        <v>0</v>
      </c>
      <c r="BE81" s="542">
        <v>0</v>
      </c>
      <c r="BF81" s="542">
        <v>112</v>
      </c>
      <c r="BG81" s="542">
        <v>28</v>
      </c>
      <c r="BH81" s="542">
        <v>0</v>
      </c>
      <c r="BI81" s="542">
        <v>0</v>
      </c>
      <c r="BJ81" s="542">
        <v>0</v>
      </c>
      <c r="BK81" s="542">
        <v>0</v>
      </c>
      <c r="BL81" s="542">
        <v>0</v>
      </c>
      <c r="BM81" s="542">
        <v>0</v>
      </c>
      <c r="BN81" s="542">
        <v>0</v>
      </c>
      <c r="BO81" s="542">
        <v>0</v>
      </c>
      <c r="BP81" s="542">
        <v>0</v>
      </c>
      <c r="BQ81" s="542">
        <v>0</v>
      </c>
      <c r="BR81" s="542">
        <v>0</v>
      </c>
      <c r="BS81" s="542">
        <v>0</v>
      </c>
      <c r="BT81" s="542">
        <v>0</v>
      </c>
      <c r="BU81" s="542">
        <v>26680</v>
      </c>
      <c r="BV81" s="542">
        <v>6670</v>
      </c>
      <c r="BW81" s="542">
        <v>0</v>
      </c>
      <c r="BX81" s="542">
        <v>-26680</v>
      </c>
      <c r="BY81" s="542">
        <v>-6670</v>
      </c>
      <c r="BZ81" s="542">
        <v>0</v>
      </c>
      <c r="CA81" s="542">
        <v>105124.65</v>
      </c>
      <c r="CB81" s="542">
        <v>26281.1626</v>
      </c>
      <c r="CC81" s="542">
        <v>0</v>
      </c>
      <c r="CD81" s="542">
        <v>133402</v>
      </c>
      <c r="CE81" s="542">
        <v>33350</v>
      </c>
      <c r="CF81" s="542">
        <v>0</v>
      </c>
      <c r="CG81" s="542">
        <v>-28277</v>
      </c>
      <c r="CH81" s="542">
        <v>-7069</v>
      </c>
      <c r="CI81" s="542">
        <v>0</v>
      </c>
      <c r="CJ81" s="542">
        <v>0</v>
      </c>
      <c r="CK81" s="542">
        <v>0</v>
      </c>
      <c r="CL81" s="542">
        <v>0</v>
      </c>
      <c r="CM81" s="542">
        <v>2553.6237700000001</v>
      </c>
      <c r="CN81" s="542">
        <v>638.40594399999998</v>
      </c>
      <c r="CO81" s="542">
        <v>0</v>
      </c>
      <c r="CP81" s="542">
        <v>0</v>
      </c>
      <c r="CQ81" s="542">
        <v>0</v>
      </c>
      <c r="CR81" s="542">
        <v>0</v>
      </c>
      <c r="CS81" s="542">
        <v>2554</v>
      </c>
      <c r="CT81" s="542">
        <v>638</v>
      </c>
      <c r="CU81" s="542">
        <v>0</v>
      </c>
      <c r="CV81" s="542">
        <v>152954.02499999999</v>
      </c>
      <c r="CW81" s="542">
        <v>37713.522199999999</v>
      </c>
      <c r="CX81" s="542">
        <v>0</v>
      </c>
      <c r="CY81" s="542">
        <v>169857</v>
      </c>
      <c r="CZ81" s="542">
        <v>41588</v>
      </c>
      <c r="DA81" s="542">
        <v>0</v>
      </c>
      <c r="DB81" s="542">
        <v>-16903</v>
      </c>
      <c r="DC81" s="542">
        <v>-3874</v>
      </c>
      <c r="DD81" s="542">
        <v>0</v>
      </c>
      <c r="DE81" s="153" t="s">
        <v>25</v>
      </c>
      <c r="DF81" s="103" t="s">
        <v>799</v>
      </c>
      <c r="DG81" s="104" t="s">
        <v>751</v>
      </c>
      <c r="DH81" s="547"/>
      <c r="DI81" s="547"/>
    </row>
    <row r="82" spans="1:113" x14ac:dyDescent="0.2">
      <c r="A82" s="93">
        <v>76</v>
      </c>
      <c r="B82" s="145" t="s">
        <v>28</v>
      </c>
      <c r="C82" s="141" t="s">
        <v>770</v>
      </c>
      <c r="D82" s="142" t="s">
        <v>869</v>
      </c>
      <c r="E82" s="149" t="s">
        <v>695</v>
      </c>
      <c r="F82" s="542">
        <v>-830284</v>
      </c>
      <c r="G82" s="542">
        <v>0</v>
      </c>
      <c r="H82" s="542">
        <v>-830284</v>
      </c>
      <c r="I82" s="542">
        <v>32453</v>
      </c>
      <c r="J82" s="542">
        <v>0</v>
      </c>
      <c r="K82" s="542">
        <v>32453</v>
      </c>
      <c r="L82" s="542">
        <v>-862737</v>
      </c>
      <c r="M82" s="542">
        <v>0</v>
      </c>
      <c r="N82" s="542">
        <v>-862737</v>
      </c>
      <c r="O82" s="543">
        <v>0.5</v>
      </c>
      <c r="P82" s="543">
        <v>0.49</v>
      </c>
      <c r="Q82" s="543">
        <v>0</v>
      </c>
      <c r="R82" s="543">
        <v>0.01</v>
      </c>
      <c r="S82" s="542">
        <v>314441</v>
      </c>
      <c r="T82" s="542">
        <v>314441</v>
      </c>
      <c r="U82" s="542">
        <v>0</v>
      </c>
      <c r="V82" s="542">
        <v>0</v>
      </c>
      <c r="W82" s="542">
        <v>0</v>
      </c>
      <c r="X82" s="542">
        <v>0</v>
      </c>
      <c r="Y82" s="542">
        <v>708540</v>
      </c>
      <c r="Z82" s="542">
        <v>0</v>
      </c>
      <c r="AA82" s="542">
        <v>300000</v>
      </c>
      <c r="AB82" s="542">
        <v>0</v>
      </c>
      <c r="AC82" s="542">
        <v>408540</v>
      </c>
      <c r="AD82" s="542">
        <v>0</v>
      </c>
      <c r="AE82" s="542">
        <v>0</v>
      </c>
      <c r="AF82" s="542">
        <v>0</v>
      </c>
      <c r="AG82" s="542">
        <v>0</v>
      </c>
      <c r="AH82" s="542">
        <v>0</v>
      </c>
      <c r="AI82" s="542">
        <v>0</v>
      </c>
      <c r="AJ82" s="542">
        <v>0</v>
      </c>
      <c r="AK82" s="542">
        <v>0</v>
      </c>
      <c r="AL82" s="542">
        <v>0</v>
      </c>
      <c r="AM82" s="542">
        <v>0</v>
      </c>
      <c r="AN82" s="542">
        <v>0</v>
      </c>
      <c r="AO82" s="542">
        <v>0</v>
      </c>
      <c r="AP82" s="542">
        <v>0</v>
      </c>
      <c r="AQ82" s="542">
        <v>1020043.69</v>
      </c>
      <c r="AR82" s="542">
        <v>0</v>
      </c>
      <c r="AS82" s="542">
        <v>20817.22</v>
      </c>
      <c r="AT82" s="542">
        <v>923420</v>
      </c>
      <c r="AU82" s="542">
        <v>0</v>
      </c>
      <c r="AV82" s="542">
        <v>18845</v>
      </c>
      <c r="AW82" s="542">
        <v>96624</v>
      </c>
      <c r="AX82" s="542">
        <v>0</v>
      </c>
      <c r="AY82" s="542">
        <v>1972</v>
      </c>
      <c r="AZ82" s="542">
        <v>0</v>
      </c>
      <c r="BA82" s="542">
        <v>0</v>
      </c>
      <c r="BB82" s="542">
        <v>0</v>
      </c>
      <c r="BC82" s="542">
        <v>24760</v>
      </c>
      <c r="BD82" s="542">
        <v>0</v>
      </c>
      <c r="BE82" s="542">
        <v>505</v>
      </c>
      <c r="BF82" s="542">
        <v>-24760</v>
      </c>
      <c r="BG82" s="542">
        <v>0</v>
      </c>
      <c r="BH82" s="542">
        <v>-505</v>
      </c>
      <c r="BI82" s="542">
        <v>0</v>
      </c>
      <c r="BJ82" s="542">
        <v>0</v>
      </c>
      <c r="BK82" s="542">
        <v>0</v>
      </c>
      <c r="BL82" s="542">
        <v>0</v>
      </c>
      <c r="BM82" s="542">
        <v>0</v>
      </c>
      <c r="BN82" s="542">
        <v>0</v>
      </c>
      <c r="BO82" s="542">
        <v>0</v>
      </c>
      <c r="BP82" s="542">
        <v>0</v>
      </c>
      <c r="BQ82" s="542">
        <v>0</v>
      </c>
      <c r="BR82" s="542">
        <v>6875.88</v>
      </c>
      <c r="BS82" s="542">
        <v>0</v>
      </c>
      <c r="BT82" s="542">
        <v>140.32</v>
      </c>
      <c r="BU82" s="542">
        <v>28748</v>
      </c>
      <c r="BV82" s="542">
        <v>0</v>
      </c>
      <c r="BW82" s="542">
        <v>587</v>
      </c>
      <c r="BX82" s="542">
        <v>-21872</v>
      </c>
      <c r="BY82" s="542">
        <v>0</v>
      </c>
      <c r="BZ82" s="542">
        <v>-447</v>
      </c>
      <c r="CA82" s="542">
        <v>452284.55</v>
      </c>
      <c r="CB82" s="542">
        <v>0</v>
      </c>
      <c r="CC82" s="542">
        <v>9230.2999999999993</v>
      </c>
      <c r="CD82" s="542">
        <v>495310</v>
      </c>
      <c r="CE82" s="542">
        <v>0</v>
      </c>
      <c r="CF82" s="542">
        <v>10108</v>
      </c>
      <c r="CG82" s="542">
        <v>-43025</v>
      </c>
      <c r="CH82" s="542">
        <v>0</v>
      </c>
      <c r="CI82" s="542">
        <v>-878</v>
      </c>
      <c r="CJ82" s="542">
        <v>0</v>
      </c>
      <c r="CK82" s="542">
        <v>0</v>
      </c>
      <c r="CL82" s="542">
        <v>0</v>
      </c>
      <c r="CM82" s="542">
        <v>0</v>
      </c>
      <c r="CN82" s="542">
        <v>0</v>
      </c>
      <c r="CO82" s="542">
        <v>0</v>
      </c>
      <c r="CP82" s="542">
        <v>0</v>
      </c>
      <c r="CQ82" s="542">
        <v>0</v>
      </c>
      <c r="CR82" s="542">
        <v>0</v>
      </c>
      <c r="CS82" s="542">
        <v>0</v>
      </c>
      <c r="CT82" s="542">
        <v>0</v>
      </c>
      <c r="CU82" s="542">
        <v>0</v>
      </c>
      <c r="CV82" s="542">
        <v>457543.2</v>
      </c>
      <c r="CW82" s="542">
        <v>0</v>
      </c>
      <c r="CX82" s="542">
        <v>9184.11</v>
      </c>
      <c r="CY82" s="542">
        <v>441247</v>
      </c>
      <c r="CZ82" s="542">
        <v>0</v>
      </c>
      <c r="DA82" s="542">
        <v>8872</v>
      </c>
      <c r="DB82" s="542">
        <v>16296</v>
      </c>
      <c r="DC82" s="542">
        <v>0</v>
      </c>
      <c r="DD82" s="542">
        <v>312</v>
      </c>
      <c r="DE82" s="153" t="s">
        <v>695</v>
      </c>
      <c r="DF82" s="103" t="s">
        <v>770</v>
      </c>
      <c r="DG82" s="104" t="s">
        <v>754</v>
      </c>
      <c r="DH82" s="549" t="s">
        <v>1184</v>
      </c>
      <c r="DI82" s="547"/>
    </row>
    <row r="83" spans="1:113" x14ac:dyDescent="0.2">
      <c r="A83" s="93">
        <v>77</v>
      </c>
      <c r="B83" s="145" t="s">
        <v>30</v>
      </c>
      <c r="C83" s="141" t="s">
        <v>866</v>
      </c>
      <c r="D83" s="142" t="s">
        <v>869</v>
      </c>
      <c r="E83" s="149" t="s">
        <v>29</v>
      </c>
      <c r="F83" s="542">
        <v>2249</v>
      </c>
      <c r="G83" s="542">
        <v>0</v>
      </c>
      <c r="H83" s="542">
        <v>2249</v>
      </c>
      <c r="I83" s="542">
        <v>42055</v>
      </c>
      <c r="J83" s="542">
        <v>0</v>
      </c>
      <c r="K83" s="542">
        <v>42055</v>
      </c>
      <c r="L83" s="542">
        <v>-39806</v>
      </c>
      <c r="M83" s="542">
        <v>0</v>
      </c>
      <c r="N83" s="542">
        <v>-39806</v>
      </c>
      <c r="O83" s="543">
        <v>0.5</v>
      </c>
      <c r="P83" s="543">
        <v>0.4</v>
      </c>
      <c r="Q83" s="543">
        <v>0.09</v>
      </c>
      <c r="R83" s="543">
        <v>0.01</v>
      </c>
      <c r="S83" s="542">
        <v>146520</v>
      </c>
      <c r="T83" s="542">
        <v>146520</v>
      </c>
      <c r="U83" s="542">
        <v>0</v>
      </c>
      <c r="V83" s="542">
        <v>0</v>
      </c>
      <c r="W83" s="542">
        <v>0</v>
      </c>
      <c r="X83" s="542">
        <v>0</v>
      </c>
      <c r="Y83" s="542">
        <v>61696</v>
      </c>
      <c r="Z83" s="542">
        <v>0</v>
      </c>
      <c r="AA83" s="542">
        <v>0</v>
      </c>
      <c r="AB83" s="542">
        <v>0</v>
      </c>
      <c r="AC83" s="542">
        <v>61696</v>
      </c>
      <c r="AD83" s="542">
        <v>0</v>
      </c>
      <c r="AE83" s="542">
        <v>0</v>
      </c>
      <c r="AF83" s="542">
        <v>0</v>
      </c>
      <c r="AG83" s="542">
        <v>0</v>
      </c>
      <c r="AH83" s="542">
        <v>0</v>
      </c>
      <c r="AI83" s="542">
        <v>0</v>
      </c>
      <c r="AJ83" s="542">
        <v>0</v>
      </c>
      <c r="AK83" s="542">
        <v>0</v>
      </c>
      <c r="AL83" s="542">
        <v>0</v>
      </c>
      <c r="AM83" s="542">
        <v>0</v>
      </c>
      <c r="AN83" s="542">
        <v>0</v>
      </c>
      <c r="AO83" s="542">
        <v>0</v>
      </c>
      <c r="AP83" s="542">
        <v>0</v>
      </c>
      <c r="AQ83" s="542">
        <v>533766.38899999997</v>
      </c>
      <c r="AR83" s="542">
        <v>120097.43700000001</v>
      </c>
      <c r="AS83" s="542">
        <v>13344.1597</v>
      </c>
      <c r="AT83" s="542">
        <v>503941</v>
      </c>
      <c r="AU83" s="542">
        <v>113387</v>
      </c>
      <c r="AV83" s="542">
        <v>12599</v>
      </c>
      <c r="AW83" s="542">
        <v>29825</v>
      </c>
      <c r="AX83" s="542">
        <v>6710</v>
      </c>
      <c r="AY83" s="542">
        <v>745</v>
      </c>
      <c r="AZ83" s="542">
        <v>0</v>
      </c>
      <c r="BA83" s="542">
        <v>0</v>
      </c>
      <c r="BB83" s="542">
        <v>0</v>
      </c>
      <c r="BC83" s="542">
        <v>0</v>
      </c>
      <c r="BD83" s="542">
        <v>0</v>
      </c>
      <c r="BE83" s="542">
        <v>0</v>
      </c>
      <c r="BF83" s="542">
        <v>0</v>
      </c>
      <c r="BG83" s="542">
        <v>0</v>
      </c>
      <c r="BH83" s="542">
        <v>0</v>
      </c>
      <c r="BI83" s="542">
        <v>0</v>
      </c>
      <c r="BJ83" s="542">
        <v>0</v>
      </c>
      <c r="BK83" s="542">
        <v>0</v>
      </c>
      <c r="BL83" s="542">
        <v>0</v>
      </c>
      <c r="BM83" s="542">
        <v>0</v>
      </c>
      <c r="BN83" s="542">
        <v>0</v>
      </c>
      <c r="BO83" s="542">
        <v>0</v>
      </c>
      <c r="BP83" s="542">
        <v>0</v>
      </c>
      <c r="BQ83" s="542">
        <v>0</v>
      </c>
      <c r="BR83" s="542">
        <v>0</v>
      </c>
      <c r="BS83" s="542">
        <v>0</v>
      </c>
      <c r="BT83" s="542">
        <v>0</v>
      </c>
      <c r="BU83" s="542">
        <v>9748</v>
      </c>
      <c r="BV83" s="542">
        <v>2193</v>
      </c>
      <c r="BW83" s="542">
        <v>244</v>
      </c>
      <c r="BX83" s="542">
        <v>-9748</v>
      </c>
      <c r="BY83" s="542">
        <v>-2193</v>
      </c>
      <c r="BZ83" s="542">
        <v>-244</v>
      </c>
      <c r="CA83" s="542">
        <v>213124.3</v>
      </c>
      <c r="CB83" s="542">
        <v>47952.967600000004</v>
      </c>
      <c r="CC83" s="542">
        <v>5328.1075099999998</v>
      </c>
      <c r="CD83" s="542">
        <v>232128</v>
      </c>
      <c r="CE83" s="542">
        <v>52229</v>
      </c>
      <c r="CF83" s="542">
        <v>5803</v>
      </c>
      <c r="CG83" s="542">
        <v>-19004</v>
      </c>
      <c r="CH83" s="542">
        <v>-4276</v>
      </c>
      <c r="CI83" s="542">
        <v>-475</v>
      </c>
      <c r="CJ83" s="542">
        <v>0</v>
      </c>
      <c r="CK83" s="542">
        <v>0</v>
      </c>
      <c r="CL83" s="542">
        <v>0</v>
      </c>
      <c r="CM83" s="542">
        <v>0</v>
      </c>
      <c r="CN83" s="542">
        <v>0</v>
      </c>
      <c r="CO83" s="542">
        <v>0</v>
      </c>
      <c r="CP83" s="542">
        <v>0</v>
      </c>
      <c r="CQ83" s="542">
        <v>0</v>
      </c>
      <c r="CR83" s="542">
        <v>0</v>
      </c>
      <c r="CS83" s="542">
        <v>0</v>
      </c>
      <c r="CT83" s="542">
        <v>0</v>
      </c>
      <c r="CU83" s="542">
        <v>0</v>
      </c>
      <c r="CV83" s="542">
        <v>71762.840700000001</v>
      </c>
      <c r="CW83" s="542">
        <v>15999.276099999999</v>
      </c>
      <c r="CX83" s="542">
        <v>1777.6973399999999</v>
      </c>
      <c r="CY83" s="542">
        <v>72392</v>
      </c>
      <c r="CZ83" s="542">
        <v>15938</v>
      </c>
      <c r="DA83" s="542">
        <v>1771</v>
      </c>
      <c r="DB83" s="542">
        <v>-629</v>
      </c>
      <c r="DC83" s="542">
        <v>61</v>
      </c>
      <c r="DD83" s="542">
        <v>7</v>
      </c>
      <c r="DE83" s="153" t="s">
        <v>29</v>
      </c>
      <c r="DF83" s="103" t="s">
        <v>753</v>
      </c>
      <c r="DG83" s="104" t="s">
        <v>754</v>
      </c>
      <c r="DH83" s="547"/>
      <c r="DI83" s="547"/>
    </row>
    <row r="84" spans="1:113" ht="12.75" x14ac:dyDescent="0.2">
      <c r="A84" s="93">
        <v>78</v>
      </c>
      <c r="B84" s="145" t="s">
        <v>32</v>
      </c>
      <c r="C84" s="141" t="s">
        <v>873</v>
      </c>
      <c r="D84" s="142" t="s">
        <v>874</v>
      </c>
      <c r="E84" s="149" t="s">
        <v>31</v>
      </c>
      <c r="F84" s="542">
        <v>-756997</v>
      </c>
      <c r="G84" s="542">
        <v>0</v>
      </c>
      <c r="H84" s="542">
        <v>-756997</v>
      </c>
      <c r="I84" s="542">
        <v>76610</v>
      </c>
      <c r="J84" s="542">
        <v>0</v>
      </c>
      <c r="K84" s="542">
        <v>76610</v>
      </c>
      <c r="L84" s="542">
        <v>-833607</v>
      </c>
      <c r="M84" s="542">
        <v>0</v>
      </c>
      <c r="N84" s="542">
        <v>-833607</v>
      </c>
      <c r="O84" s="543">
        <v>0.5</v>
      </c>
      <c r="P84" s="543">
        <v>0.49</v>
      </c>
      <c r="Q84" s="543">
        <v>0</v>
      </c>
      <c r="R84" s="543">
        <v>0.01</v>
      </c>
      <c r="S84" s="542">
        <v>369928</v>
      </c>
      <c r="T84" s="542">
        <v>369928</v>
      </c>
      <c r="U84" s="542">
        <v>0</v>
      </c>
      <c r="V84" s="542">
        <v>0</v>
      </c>
      <c r="W84" s="542">
        <v>0</v>
      </c>
      <c r="X84" s="542">
        <v>0</v>
      </c>
      <c r="Y84" s="542">
        <v>141206</v>
      </c>
      <c r="Z84" s="542">
        <v>0</v>
      </c>
      <c r="AA84" s="542">
        <v>0</v>
      </c>
      <c r="AB84" s="542">
        <v>0</v>
      </c>
      <c r="AC84" s="542">
        <v>141206</v>
      </c>
      <c r="AD84" s="542">
        <v>0</v>
      </c>
      <c r="AE84" s="542">
        <v>0</v>
      </c>
      <c r="AF84" s="542">
        <v>0</v>
      </c>
      <c r="AG84" s="542">
        <v>0</v>
      </c>
      <c r="AH84" s="542">
        <v>0</v>
      </c>
      <c r="AI84" s="542">
        <v>0</v>
      </c>
      <c r="AJ84" s="542">
        <v>0</v>
      </c>
      <c r="AK84" s="542">
        <v>0</v>
      </c>
      <c r="AL84" s="542">
        <v>0</v>
      </c>
      <c r="AM84" s="542">
        <v>0</v>
      </c>
      <c r="AN84" s="542">
        <v>0</v>
      </c>
      <c r="AO84" s="542">
        <v>0</v>
      </c>
      <c r="AP84" s="542">
        <v>0</v>
      </c>
      <c r="AQ84" s="542">
        <v>1516586.65</v>
      </c>
      <c r="AR84" s="542">
        <v>0</v>
      </c>
      <c r="AS84" s="542">
        <v>30950.75</v>
      </c>
      <c r="AT84" s="542">
        <v>1360646</v>
      </c>
      <c r="AU84" s="542">
        <v>0</v>
      </c>
      <c r="AV84" s="542">
        <v>27768</v>
      </c>
      <c r="AW84" s="542">
        <v>155941</v>
      </c>
      <c r="AX84" s="542">
        <v>0</v>
      </c>
      <c r="AY84" s="542">
        <v>3183</v>
      </c>
      <c r="AZ84" s="542">
        <v>8887.8799999999992</v>
      </c>
      <c r="BA84" s="542">
        <v>0</v>
      </c>
      <c r="BB84" s="542">
        <v>181.39</v>
      </c>
      <c r="BC84" s="542">
        <v>0</v>
      </c>
      <c r="BD84" s="542">
        <v>0</v>
      </c>
      <c r="BE84" s="542">
        <v>0</v>
      </c>
      <c r="BF84" s="542">
        <v>8888</v>
      </c>
      <c r="BG84" s="542">
        <v>0</v>
      </c>
      <c r="BH84" s="542">
        <v>181</v>
      </c>
      <c r="BI84" s="542">
        <v>426.37</v>
      </c>
      <c r="BJ84" s="542">
        <v>0</v>
      </c>
      <c r="BK84" s="542">
        <v>8.6999999999999993</v>
      </c>
      <c r="BL84" s="542">
        <v>0</v>
      </c>
      <c r="BM84" s="542">
        <v>0</v>
      </c>
      <c r="BN84" s="542">
        <v>0</v>
      </c>
      <c r="BO84" s="542">
        <v>426</v>
      </c>
      <c r="BP84" s="542">
        <v>0</v>
      </c>
      <c r="BQ84" s="542">
        <v>9</v>
      </c>
      <c r="BR84" s="542">
        <v>10033.780000000001</v>
      </c>
      <c r="BS84" s="542">
        <v>0</v>
      </c>
      <c r="BT84" s="542">
        <v>204.77</v>
      </c>
      <c r="BU84" s="542">
        <v>121419</v>
      </c>
      <c r="BV84" s="542">
        <v>0</v>
      </c>
      <c r="BW84" s="542">
        <v>2478</v>
      </c>
      <c r="BX84" s="542">
        <v>-111385</v>
      </c>
      <c r="BY84" s="542">
        <v>0</v>
      </c>
      <c r="BZ84" s="542">
        <v>-2273</v>
      </c>
      <c r="CA84" s="542">
        <v>364582.35</v>
      </c>
      <c r="CB84" s="542">
        <v>0</v>
      </c>
      <c r="CC84" s="542">
        <v>7440.46</v>
      </c>
      <c r="CD84" s="542">
        <v>568851</v>
      </c>
      <c r="CE84" s="542">
        <v>0</v>
      </c>
      <c r="CF84" s="542">
        <v>11609</v>
      </c>
      <c r="CG84" s="542">
        <v>-204269</v>
      </c>
      <c r="CH84" s="542">
        <v>0</v>
      </c>
      <c r="CI84" s="542">
        <v>-4169</v>
      </c>
      <c r="CJ84" s="542">
        <v>0</v>
      </c>
      <c r="CK84" s="542">
        <v>0</v>
      </c>
      <c r="CL84" s="542">
        <v>0</v>
      </c>
      <c r="CM84" s="542">
        <v>0</v>
      </c>
      <c r="CN84" s="542">
        <v>0</v>
      </c>
      <c r="CO84" s="542">
        <v>0</v>
      </c>
      <c r="CP84" s="542">
        <v>0</v>
      </c>
      <c r="CQ84" s="542">
        <v>0</v>
      </c>
      <c r="CR84" s="542">
        <v>0</v>
      </c>
      <c r="CS84" s="542">
        <v>0</v>
      </c>
      <c r="CT84" s="542">
        <v>0</v>
      </c>
      <c r="CU84" s="542">
        <v>0</v>
      </c>
      <c r="CV84" s="542">
        <v>451153.5</v>
      </c>
      <c r="CW84" s="542">
        <v>0</v>
      </c>
      <c r="CX84" s="542">
        <v>9176.6200000000008</v>
      </c>
      <c r="CY84" s="542">
        <v>473893</v>
      </c>
      <c r="CZ84" s="542">
        <v>0</v>
      </c>
      <c r="DA84" s="542">
        <v>9591</v>
      </c>
      <c r="DB84" s="542">
        <v>-22740</v>
      </c>
      <c r="DC84" s="542">
        <v>0</v>
      </c>
      <c r="DD84" s="542">
        <v>-414</v>
      </c>
      <c r="DE84" s="153" t="s">
        <v>31</v>
      </c>
      <c r="DF84" s="103" t="s">
        <v>763</v>
      </c>
      <c r="DG84" s="104" t="s">
        <v>764</v>
      </c>
      <c r="DH84" s="548"/>
      <c r="DI84" s="548"/>
    </row>
    <row r="85" spans="1:113" x14ac:dyDescent="0.2">
      <c r="A85" s="93">
        <v>79</v>
      </c>
      <c r="B85" s="145" t="s">
        <v>36</v>
      </c>
      <c r="C85" s="141" t="s">
        <v>866</v>
      </c>
      <c r="D85" s="142" t="s">
        <v>867</v>
      </c>
      <c r="E85" s="149" t="s">
        <v>35</v>
      </c>
      <c r="F85" s="542">
        <v>62328</v>
      </c>
      <c r="G85" s="542">
        <v>0</v>
      </c>
      <c r="H85" s="542">
        <v>62328</v>
      </c>
      <c r="I85" s="542">
        <v>422539</v>
      </c>
      <c r="J85" s="542">
        <v>22308</v>
      </c>
      <c r="K85" s="542">
        <v>444847</v>
      </c>
      <c r="L85" s="542">
        <v>-360211</v>
      </c>
      <c r="M85" s="542">
        <v>-22308</v>
      </c>
      <c r="N85" s="542">
        <v>-382519</v>
      </c>
      <c r="O85" s="543">
        <v>0.5</v>
      </c>
      <c r="P85" s="543">
        <v>0.4</v>
      </c>
      <c r="Q85" s="543">
        <v>0.09</v>
      </c>
      <c r="R85" s="543">
        <v>0.01</v>
      </c>
      <c r="S85" s="542">
        <v>153665</v>
      </c>
      <c r="T85" s="542">
        <v>153665</v>
      </c>
      <c r="U85" s="542">
        <v>0</v>
      </c>
      <c r="V85" s="542">
        <v>0</v>
      </c>
      <c r="W85" s="542">
        <v>0</v>
      </c>
      <c r="X85" s="542">
        <v>0</v>
      </c>
      <c r="Y85" s="542">
        <v>0</v>
      </c>
      <c r="Z85" s="542">
        <v>0</v>
      </c>
      <c r="AA85" s="542">
        <v>0</v>
      </c>
      <c r="AB85" s="542">
        <v>0</v>
      </c>
      <c r="AC85" s="542">
        <v>0</v>
      </c>
      <c r="AD85" s="542">
        <v>0</v>
      </c>
      <c r="AE85" s="542">
        <v>1344345.27</v>
      </c>
      <c r="AF85" s="542">
        <v>1075476.21</v>
      </c>
      <c r="AG85" s="542">
        <v>241982.149</v>
      </c>
      <c r="AH85" s="542">
        <v>26886.9054</v>
      </c>
      <c r="AI85" s="542">
        <v>279688</v>
      </c>
      <c r="AJ85" s="542">
        <v>223750</v>
      </c>
      <c r="AK85" s="542">
        <v>50344</v>
      </c>
      <c r="AL85" s="542">
        <v>5594</v>
      </c>
      <c r="AM85" s="542">
        <v>1064657</v>
      </c>
      <c r="AN85" s="542">
        <v>851726</v>
      </c>
      <c r="AO85" s="542">
        <v>191638</v>
      </c>
      <c r="AP85" s="542">
        <v>21293</v>
      </c>
      <c r="AQ85" s="542">
        <v>494787.95199999999</v>
      </c>
      <c r="AR85" s="542">
        <v>111327.289</v>
      </c>
      <c r="AS85" s="542">
        <v>12369.6988</v>
      </c>
      <c r="AT85" s="542">
        <v>423272</v>
      </c>
      <c r="AU85" s="542">
        <v>95236</v>
      </c>
      <c r="AV85" s="542">
        <v>10582</v>
      </c>
      <c r="AW85" s="542">
        <v>71516</v>
      </c>
      <c r="AX85" s="542">
        <v>16091</v>
      </c>
      <c r="AY85" s="542">
        <v>1788</v>
      </c>
      <c r="AZ85" s="542">
        <v>1803.34267</v>
      </c>
      <c r="BA85" s="542">
        <v>405.75210099999998</v>
      </c>
      <c r="BB85" s="542">
        <v>45.0835668</v>
      </c>
      <c r="BC85" s="542">
        <v>2442</v>
      </c>
      <c r="BD85" s="542">
        <v>550</v>
      </c>
      <c r="BE85" s="542">
        <v>61</v>
      </c>
      <c r="BF85" s="542">
        <v>-639</v>
      </c>
      <c r="BG85" s="542">
        <v>-144</v>
      </c>
      <c r="BH85" s="542">
        <v>-16</v>
      </c>
      <c r="BI85" s="542">
        <v>0</v>
      </c>
      <c r="BJ85" s="542">
        <v>0</v>
      </c>
      <c r="BK85" s="542">
        <v>0</v>
      </c>
      <c r="BL85" s="542">
        <v>40424</v>
      </c>
      <c r="BM85" s="542">
        <v>9096</v>
      </c>
      <c r="BN85" s="542">
        <v>1011</v>
      </c>
      <c r="BO85" s="542">
        <v>-40424</v>
      </c>
      <c r="BP85" s="542">
        <v>-9096</v>
      </c>
      <c r="BQ85" s="542">
        <v>-1011</v>
      </c>
      <c r="BR85" s="542">
        <v>3130.4468400000001</v>
      </c>
      <c r="BS85" s="542">
        <v>704.35054000000002</v>
      </c>
      <c r="BT85" s="542">
        <v>78.261171099999999</v>
      </c>
      <c r="BU85" s="542">
        <v>36382</v>
      </c>
      <c r="BV85" s="542">
        <v>8186</v>
      </c>
      <c r="BW85" s="542">
        <v>910</v>
      </c>
      <c r="BX85" s="542">
        <v>-33252</v>
      </c>
      <c r="BY85" s="542">
        <v>-7482</v>
      </c>
      <c r="BZ85" s="542">
        <v>-832</v>
      </c>
      <c r="CA85" s="542">
        <v>192822.01300000001</v>
      </c>
      <c r="CB85" s="542">
        <v>43384.953000000001</v>
      </c>
      <c r="CC85" s="542">
        <v>4820.55033</v>
      </c>
      <c r="CD85" s="542">
        <v>235452</v>
      </c>
      <c r="CE85" s="542">
        <v>52977</v>
      </c>
      <c r="CF85" s="542">
        <v>5886</v>
      </c>
      <c r="CG85" s="542">
        <v>-42630</v>
      </c>
      <c r="CH85" s="542">
        <v>-9592</v>
      </c>
      <c r="CI85" s="542">
        <v>-1065</v>
      </c>
      <c r="CJ85" s="542">
        <v>0</v>
      </c>
      <c r="CK85" s="542">
        <v>0</v>
      </c>
      <c r="CL85" s="542">
        <v>0</v>
      </c>
      <c r="CM85" s="542">
        <v>9260.06963</v>
      </c>
      <c r="CN85" s="542">
        <v>2083.51566</v>
      </c>
      <c r="CO85" s="542">
        <v>231.50174100000001</v>
      </c>
      <c r="CP85" s="542">
        <v>627</v>
      </c>
      <c r="CQ85" s="542">
        <v>141.12</v>
      </c>
      <c r="CR85" s="542">
        <v>15.68</v>
      </c>
      <c r="CS85" s="542">
        <v>8633</v>
      </c>
      <c r="CT85" s="542">
        <v>1942</v>
      </c>
      <c r="CU85" s="542">
        <v>216</v>
      </c>
      <c r="CV85" s="542">
        <v>119930.399</v>
      </c>
      <c r="CW85" s="542">
        <v>26984.339800000002</v>
      </c>
      <c r="CX85" s="542">
        <v>2998.2599700000001</v>
      </c>
      <c r="CY85" s="542">
        <v>141411</v>
      </c>
      <c r="CZ85" s="542">
        <v>31451</v>
      </c>
      <c r="DA85" s="542">
        <v>3495</v>
      </c>
      <c r="DB85" s="542">
        <v>-21481</v>
      </c>
      <c r="DC85" s="542">
        <v>-4467</v>
      </c>
      <c r="DD85" s="542">
        <v>-497</v>
      </c>
      <c r="DE85" s="153" t="s">
        <v>35</v>
      </c>
      <c r="DF85" s="103" t="s">
        <v>757</v>
      </c>
      <c r="DG85" s="104" t="s">
        <v>758</v>
      </c>
      <c r="DH85" s="547"/>
      <c r="DI85" s="547"/>
    </row>
    <row r="86" spans="1:113" x14ac:dyDescent="0.2">
      <c r="A86" s="93">
        <v>80</v>
      </c>
      <c r="B86" s="145" t="s">
        <v>38</v>
      </c>
      <c r="C86" s="141" t="s">
        <v>873</v>
      </c>
      <c r="D86" s="142" t="s">
        <v>876</v>
      </c>
      <c r="E86" s="149" t="s">
        <v>37</v>
      </c>
      <c r="F86" s="542">
        <v>-232147</v>
      </c>
      <c r="G86" s="542">
        <v>0</v>
      </c>
      <c r="H86" s="542">
        <v>-232147</v>
      </c>
      <c r="I86" s="542">
        <v>350</v>
      </c>
      <c r="J86" s="542">
        <v>0</v>
      </c>
      <c r="K86" s="542">
        <v>350</v>
      </c>
      <c r="L86" s="542">
        <v>-232497</v>
      </c>
      <c r="M86" s="542">
        <v>0</v>
      </c>
      <c r="N86" s="542">
        <v>-232497</v>
      </c>
      <c r="O86" s="543">
        <v>0.5</v>
      </c>
      <c r="P86" s="543">
        <v>0.49</v>
      </c>
      <c r="Q86" s="543">
        <v>0</v>
      </c>
      <c r="R86" s="543">
        <v>0.01</v>
      </c>
      <c r="S86" s="542">
        <v>432845</v>
      </c>
      <c r="T86" s="542">
        <v>432845</v>
      </c>
      <c r="U86" s="542">
        <v>0</v>
      </c>
      <c r="V86" s="542">
        <v>0</v>
      </c>
      <c r="W86" s="542">
        <v>0</v>
      </c>
      <c r="X86" s="542">
        <v>0</v>
      </c>
      <c r="Y86" s="542">
        <v>0</v>
      </c>
      <c r="Z86" s="542">
        <v>0</v>
      </c>
      <c r="AA86" s="542">
        <v>0</v>
      </c>
      <c r="AB86" s="542">
        <v>0</v>
      </c>
      <c r="AC86" s="542">
        <v>0</v>
      </c>
      <c r="AD86" s="542">
        <v>0</v>
      </c>
      <c r="AE86" s="542">
        <v>0</v>
      </c>
      <c r="AF86" s="542">
        <v>0</v>
      </c>
      <c r="AG86" s="542">
        <v>0</v>
      </c>
      <c r="AH86" s="542">
        <v>0</v>
      </c>
      <c r="AI86" s="542">
        <v>0</v>
      </c>
      <c r="AJ86" s="542">
        <v>0</v>
      </c>
      <c r="AK86" s="542">
        <v>0</v>
      </c>
      <c r="AL86" s="542">
        <v>0</v>
      </c>
      <c r="AM86" s="542">
        <v>0</v>
      </c>
      <c r="AN86" s="542">
        <v>0</v>
      </c>
      <c r="AO86" s="542">
        <v>0</v>
      </c>
      <c r="AP86" s="542">
        <v>0</v>
      </c>
      <c r="AQ86" s="542">
        <v>1711417.81</v>
      </c>
      <c r="AR86" s="542">
        <v>0</v>
      </c>
      <c r="AS86" s="542">
        <v>34926.89</v>
      </c>
      <c r="AT86" s="542">
        <v>1525364</v>
      </c>
      <c r="AU86" s="542">
        <v>0</v>
      </c>
      <c r="AV86" s="542">
        <v>31130</v>
      </c>
      <c r="AW86" s="542">
        <v>186054</v>
      </c>
      <c r="AX86" s="542">
        <v>0</v>
      </c>
      <c r="AY86" s="542">
        <v>3797</v>
      </c>
      <c r="AZ86" s="542">
        <v>5542.79</v>
      </c>
      <c r="BA86" s="542">
        <v>0</v>
      </c>
      <c r="BB86" s="542">
        <v>113.12</v>
      </c>
      <c r="BC86" s="542">
        <v>24760</v>
      </c>
      <c r="BD86" s="542">
        <v>0</v>
      </c>
      <c r="BE86" s="542">
        <v>505</v>
      </c>
      <c r="BF86" s="542">
        <v>-19217</v>
      </c>
      <c r="BG86" s="542">
        <v>0</v>
      </c>
      <c r="BH86" s="542">
        <v>-392</v>
      </c>
      <c r="BI86" s="542">
        <v>0</v>
      </c>
      <c r="BJ86" s="542">
        <v>0</v>
      </c>
      <c r="BK86" s="542">
        <v>0</v>
      </c>
      <c r="BL86" s="542">
        <v>49520</v>
      </c>
      <c r="BM86" s="542">
        <v>0</v>
      </c>
      <c r="BN86" s="542">
        <v>1011</v>
      </c>
      <c r="BO86" s="542">
        <v>-49520</v>
      </c>
      <c r="BP86" s="542">
        <v>0</v>
      </c>
      <c r="BQ86" s="542">
        <v>-1011</v>
      </c>
      <c r="BR86" s="542">
        <v>7319.58</v>
      </c>
      <c r="BS86" s="542">
        <v>0</v>
      </c>
      <c r="BT86" s="542">
        <v>149.38</v>
      </c>
      <c r="BU86" s="542">
        <v>123800</v>
      </c>
      <c r="BV86" s="542">
        <v>0</v>
      </c>
      <c r="BW86" s="542">
        <v>2527</v>
      </c>
      <c r="BX86" s="542">
        <v>-116480</v>
      </c>
      <c r="BY86" s="542">
        <v>0</v>
      </c>
      <c r="BZ86" s="542">
        <v>-2378</v>
      </c>
      <c r="CA86" s="542">
        <v>564023.84</v>
      </c>
      <c r="CB86" s="542">
        <v>0</v>
      </c>
      <c r="CC86" s="542">
        <v>11510.69</v>
      </c>
      <c r="CD86" s="542">
        <v>495202</v>
      </c>
      <c r="CE86" s="542">
        <v>0</v>
      </c>
      <c r="CF86" s="542">
        <v>10106</v>
      </c>
      <c r="CG86" s="542">
        <v>68822</v>
      </c>
      <c r="CH86" s="542">
        <v>0</v>
      </c>
      <c r="CI86" s="542">
        <v>1405</v>
      </c>
      <c r="CJ86" s="542">
        <v>0</v>
      </c>
      <c r="CK86" s="542">
        <v>0</v>
      </c>
      <c r="CL86" s="542">
        <v>0</v>
      </c>
      <c r="CM86" s="542">
        <v>0</v>
      </c>
      <c r="CN86" s="542">
        <v>0</v>
      </c>
      <c r="CO86" s="542">
        <v>0</v>
      </c>
      <c r="CP86" s="542">
        <v>0</v>
      </c>
      <c r="CQ86" s="542">
        <v>0</v>
      </c>
      <c r="CR86" s="542">
        <v>0</v>
      </c>
      <c r="CS86" s="542">
        <v>0</v>
      </c>
      <c r="CT86" s="542">
        <v>0</v>
      </c>
      <c r="CU86" s="542">
        <v>0</v>
      </c>
      <c r="CV86" s="542">
        <v>461802.86</v>
      </c>
      <c r="CW86" s="542">
        <v>0</v>
      </c>
      <c r="CX86" s="542">
        <v>9424.5499999999993</v>
      </c>
      <c r="CY86" s="542">
        <v>488750</v>
      </c>
      <c r="CZ86" s="542">
        <v>0</v>
      </c>
      <c r="DA86" s="542">
        <v>9881</v>
      </c>
      <c r="DB86" s="542">
        <v>-26947</v>
      </c>
      <c r="DC86" s="542">
        <v>0</v>
      </c>
      <c r="DD86" s="542">
        <v>-456</v>
      </c>
      <c r="DE86" s="153" t="s">
        <v>37</v>
      </c>
      <c r="DF86" s="103" t="s">
        <v>763</v>
      </c>
      <c r="DG86" s="104" t="s">
        <v>773</v>
      </c>
      <c r="DH86" s="547"/>
      <c r="DI86" s="547"/>
    </row>
    <row r="87" spans="1:113" x14ac:dyDescent="0.2">
      <c r="A87" s="93">
        <v>81</v>
      </c>
      <c r="B87" s="145" t="s">
        <v>40</v>
      </c>
      <c r="C87" s="141" t="s">
        <v>770</v>
      </c>
      <c r="D87" s="142" t="s">
        <v>878</v>
      </c>
      <c r="E87" s="149" t="s">
        <v>39</v>
      </c>
      <c r="F87" s="542">
        <v>63453</v>
      </c>
      <c r="G87" s="542">
        <v>0</v>
      </c>
      <c r="H87" s="542">
        <v>63453</v>
      </c>
      <c r="I87" s="542">
        <v>176181</v>
      </c>
      <c r="J87" s="542">
        <v>0</v>
      </c>
      <c r="K87" s="542">
        <v>176181</v>
      </c>
      <c r="L87" s="542">
        <v>-112728</v>
      </c>
      <c r="M87" s="542">
        <v>0</v>
      </c>
      <c r="N87" s="542">
        <v>-112728</v>
      </c>
      <c r="O87" s="543">
        <v>0.5</v>
      </c>
      <c r="P87" s="543">
        <v>0.49</v>
      </c>
      <c r="Q87" s="543">
        <v>0</v>
      </c>
      <c r="R87" s="543">
        <v>0.01</v>
      </c>
      <c r="S87" s="542">
        <v>600349</v>
      </c>
      <c r="T87" s="542">
        <v>600349</v>
      </c>
      <c r="U87" s="542">
        <v>0</v>
      </c>
      <c r="V87" s="542">
        <v>0</v>
      </c>
      <c r="W87" s="542">
        <v>0</v>
      </c>
      <c r="X87" s="542">
        <v>0</v>
      </c>
      <c r="Y87" s="542">
        <v>11341</v>
      </c>
      <c r="Z87" s="542">
        <v>0</v>
      </c>
      <c r="AA87" s="542">
        <v>10127</v>
      </c>
      <c r="AB87" s="542">
        <v>0</v>
      </c>
      <c r="AC87" s="542">
        <v>1214</v>
      </c>
      <c r="AD87" s="542">
        <v>0</v>
      </c>
      <c r="AE87" s="542">
        <v>0</v>
      </c>
      <c r="AF87" s="542">
        <v>0</v>
      </c>
      <c r="AG87" s="542">
        <v>0</v>
      </c>
      <c r="AH87" s="542">
        <v>0</v>
      </c>
      <c r="AI87" s="542">
        <v>0</v>
      </c>
      <c r="AJ87" s="542">
        <v>0</v>
      </c>
      <c r="AK87" s="542">
        <v>0</v>
      </c>
      <c r="AL87" s="542">
        <v>0</v>
      </c>
      <c r="AM87" s="542">
        <v>0</v>
      </c>
      <c r="AN87" s="542">
        <v>0</v>
      </c>
      <c r="AO87" s="542">
        <v>0</v>
      </c>
      <c r="AP87" s="542">
        <v>0</v>
      </c>
      <c r="AQ87" s="542">
        <v>2385835.98</v>
      </c>
      <c r="AR87" s="542">
        <v>0</v>
      </c>
      <c r="AS87" s="542">
        <v>48690.53</v>
      </c>
      <c r="AT87" s="542">
        <v>2245841</v>
      </c>
      <c r="AU87" s="542">
        <v>0</v>
      </c>
      <c r="AV87" s="542">
        <v>45833</v>
      </c>
      <c r="AW87" s="542">
        <v>139995</v>
      </c>
      <c r="AX87" s="542">
        <v>0</v>
      </c>
      <c r="AY87" s="542">
        <v>2858</v>
      </c>
      <c r="AZ87" s="542">
        <v>11339.62</v>
      </c>
      <c r="BA87" s="542">
        <v>0</v>
      </c>
      <c r="BB87" s="542">
        <v>231.42</v>
      </c>
      <c r="BC87" s="542">
        <v>4952</v>
      </c>
      <c r="BD87" s="542">
        <v>0</v>
      </c>
      <c r="BE87" s="542">
        <v>101</v>
      </c>
      <c r="BF87" s="542">
        <v>6388</v>
      </c>
      <c r="BG87" s="542">
        <v>0</v>
      </c>
      <c r="BH87" s="542">
        <v>130</v>
      </c>
      <c r="BI87" s="542">
        <v>173071.01</v>
      </c>
      <c r="BJ87" s="542">
        <v>0</v>
      </c>
      <c r="BK87" s="542">
        <v>3532.06</v>
      </c>
      <c r="BL87" s="542">
        <v>97994</v>
      </c>
      <c r="BM87" s="542">
        <v>0</v>
      </c>
      <c r="BN87" s="542">
        <v>2000</v>
      </c>
      <c r="BO87" s="542">
        <v>75077</v>
      </c>
      <c r="BP87" s="542">
        <v>0</v>
      </c>
      <c r="BQ87" s="542">
        <v>1532</v>
      </c>
      <c r="BR87" s="542">
        <v>3455.52</v>
      </c>
      <c r="BS87" s="542">
        <v>0</v>
      </c>
      <c r="BT87" s="542">
        <v>70.52</v>
      </c>
      <c r="BU87" s="542">
        <v>560448.98</v>
      </c>
      <c r="BV87" s="542">
        <v>0</v>
      </c>
      <c r="BW87" s="542">
        <v>11437.73</v>
      </c>
      <c r="BX87" s="542">
        <v>-556993</v>
      </c>
      <c r="BY87" s="542">
        <v>0</v>
      </c>
      <c r="BZ87" s="542">
        <v>-11367</v>
      </c>
      <c r="CA87" s="542">
        <v>589547.03</v>
      </c>
      <c r="CB87" s="542">
        <v>0</v>
      </c>
      <c r="CC87" s="542">
        <v>12031.57</v>
      </c>
      <c r="CD87" s="542">
        <v>1028785</v>
      </c>
      <c r="CE87" s="542">
        <v>0</v>
      </c>
      <c r="CF87" s="542">
        <v>20995.61</v>
      </c>
      <c r="CG87" s="542">
        <v>-439238</v>
      </c>
      <c r="CH87" s="542">
        <v>0</v>
      </c>
      <c r="CI87" s="542">
        <v>-8964</v>
      </c>
      <c r="CJ87" s="542">
        <v>0</v>
      </c>
      <c r="CK87" s="542">
        <v>0</v>
      </c>
      <c r="CL87" s="542">
        <v>0</v>
      </c>
      <c r="CM87" s="542">
        <v>0</v>
      </c>
      <c r="CN87" s="542">
        <v>0</v>
      </c>
      <c r="CO87" s="542">
        <v>0</v>
      </c>
      <c r="CP87" s="542">
        <v>0</v>
      </c>
      <c r="CQ87" s="542">
        <v>0</v>
      </c>
      <c r="CR87" s="542">
        <v>0</v>
      </c>
      <c r="CS87" s="542">
        <v>0</v>
      </c>
      <c r="CT87" s="542">
        <v>0</v>
      </c>
      <c r="CU87" s="542">
        <v>0</v>
      </c>
      <c r="CV87" s="542">
        <v>580947.51</v>
      </c>
      <c r="CW87" s="542">
        <v>0</v>
      </c>
      <c r="CX87" s="542">
        <v>11853.61</v>
      </c>
      <c r="CY87" s="542">
        <v>579200</v>
      </c>
      <c r="CZ87" s="542">
        <v>0</v>
      </c>
      <c r="DA87" s="542">
        <v>11688</v>
      </c>
      <c r="DB87" s="542">
        <v>1748</v>
      </c>
      <c r="DC87" s="542">
        <v>0</v>
      </c>
      <c r="DD87" s="542">
        <v>166</v>
      </c>
      <c r="DE87" s="153" t="s">
        <v>39</v>
      </c>
      <c r="DF87" s="103" t="s">
        <v>770</v>
      </c>
      <c r="DG87" s="104" t="s">
        <v>802</v>
      </c>
      <c r="DH87" s="547"/>
      <c r="DI87" s="547"/>
    </row>
    <row r="88" spans="1:113" x14ac:dyDescent="0.2">
      <c r="A88" s="93">
        <v>82</v>
      </c>
      <c r="B88" s="145" t="s">
        <v>42</v>
      </c>
      <c r="C88" s="141" t="s">
        <v>871</v>
      </c>
      <c r="D88" s="142" t="s">
        <v>872</v>
      </c>
      <c r="E88" s="149" t="s">
        <v>41</v>
      </c>
      <c r="F88" s="542">
        <v>-1028726</v>
      </c>
      <c r="G88" s="542">
        <v>0</v>
      </c>
      <c r="H88" s="542">
        <v>-1028726</v>
      </c>
      <c r="I88" s="542">
        <v>113270</v>
      </c>
      <c r="J88" s="542">
        <v>0</v>
      </c>
      <c r="K88" s="542">
        <v>113270</v>
      </c>
      <c r="L88" s="542">
        <v>-1141996</v>
      </c>
      <c r="M88" s="542">
        <v>0</v>
      </c>
      <c r="N88" s="542">
        <v>-1141996</v>
      </c>
      <c r="O88" s="543">
        <v>0.5</v>
      </c>
      <c r="P88" s="543">
        <v>0.3</v>
      </c>
      <c r="Q88" s="543">
        <v>0.2</v>
      </c>
      <c r="R88" s="543">
        <v>0</v>
      </c>
      <c r="S88" s="542">
        <v>494217</v>
      </c>
      <c r="T88" s="542">
        <v>494217</v>
      </c>
      <c r="U88" s="542">
        <v>0</v>
      </c>
      <c r="V88" s="542">
        <v>0</v>
      </c>
      <c r="W88" s="542">
        <v>0</v>
      </c>
      <c r="X88" s="542">
        <v>0</v>
      </c>
      <c r="Y88" s="542">
        <v>0</v>
      </c>
      <c r="Z88" s="542">
        <v>0</v>
      </c>
      <c r="AA88" s="542">
        <v>0</v>
      </c>
      <c r="AB88" s="542">
        <v>0</v>
      </c>
      <c r="AC88" s="542">
        <v>0</v>
      </c>
      <c r="AD88" s="542">
        <v>0</v>
      </c>
      <c r="AE88" s="542">
        <v>0</v>
      </c>
      <c r="AF88" s="542">
        <v>0</v>
      </c>
      <c r="AG88" s="542">
        <v>0</v>
      </c>
      <c r="AH88" s="542">
        <v>0</v>
      </c>
      <c r="AI88" s="542">
        <v>0</v>
      </c>
      <c r="AJ88" s="542">
        <v>0</v>
      </c>
      <c r="AK88" s="542">
        <v>0</v>
      </c>
      <c r="AL88" s="542">
        <v>0</v>
      </c>
      <c r="AM88" s="542">
        <v>0</v>
      </c>
      <c r="AN88" s="542">
        <v>0</v>
      </c>
      <c r="AO88" s="542">
        <v>0</v>
      </c>
      <c r="AP88" s="542">
        <v>0</v>
      </c>
      <c r="AQ88" s="542">
        <v>720382.49300000002</v>
      </c>
      <c r="AR88" s="542">
        <v>480254.995</v>
      </c>
      <c r="AS88" s="542">
        <v>0</v>
      </c>
      <c r="AT88" s="542">
        <v>612230</v>
      </c>
      <c r="AU88" s="542">
        <v>408153</v>
      </c>
      <c r="AV88" s="542">
        <v>0</v>
      </c>
      <c r="AW88" s="542">
        <v>108152</v>
      </c>
      <c r="AX88" s="542">
        <v>72102</v>
      </c>
      <c r="AY88" s="542">
        <v>0</v>
      </c>
      <c r="AZ88" s="542">
        <v>1579.28917</v>
      </c>
      <c r="BA88" s="542">
        <v>1052.8594399999999</v>
      </c>
      <c r="BB88" s="542">
        <v>0</v>
      </c>
      <c r="BC88" s="542">
        <v>30319</v>
      </c>
      <c r="BD88" s="542">
        <v>20212</v>
      </c>
      <c r="BE88" s="542">
        <v>0</v>
      </c>
      <c r="BF88" s="542">
        <v>-28740</v>
      </c>
      <c r="BG88" s="542">
        <v>-19159</v>
      </c>
      <c r="BH88" s="542">
        <v>0</v>
      </c>
      <c r="BI88" s="542">
        <v>45515.605100000001</v>
      </c>
      <c r="BJ88" s="542">
        <v>30343.736700000001</v>
      </c>
      <c r="BK88" s="542">
        <v>0</v>
      </c>
      <c r="BL88" s="542">
        <v>1428000</v>
      </c>
      <c r="BM88" s="542">
        <v>952000</v>
      </c>
      <c r="BN88" s="542">
        <v>0</v>
      </c>
      <c r="BO88" s="542">
        <v>-1382484</v>
      </c>
      <c r="BP88" s="542">
        <v>-921656</v>
      </c>
      <c r="BQ88" s="542">
        <v>0</v>
      </c>
      <c r="BR88" s="542">
        <v>10463.2076</v>
      </c>
      <c r="BS88" s="542">
        <v>6975.4717600000004</v>
      </c>
      <c r="BT88" s="542">
        <v>0</v>
      </c>
      <c r="BU88" s="542">
        <v>765257.31700000004</v>
      </c>
      <c r="BV88" s="542">
        <v>510171.54399999999</v>
      </c>
      <c r="BW88" s="542">
        <v>0</v>
      </c>
      <c r="BX88" s="542">
        <v>-754794</v>
      </c>
      <c r="BY88" s="542">
        <v>-503196</v>
      </c>
      <c r="BZ88" s="542">
        <v>0</v>
      </c>
      <c r="CA88" s="542">
        <v>593591.70700000005</v>
      </c>
      <c r="CB88" s="542">
        <v>395727.804</v>
      </c>
      <c r="CC88" s="542">
        <v>0</v>
      </c>
      <c r="CD88" s="542">
        <v>740255.79599999997</v>
      </c>
      <c r="CE88" s="542">
        <v>493503.864</v>
      </c>
      <c r="CF88" s="542">
        <v>0</v>
      </c>
      <c r="CG88" s="542">
        <v>-146664</v>
      </c>
      <c r="CH88" s="542">
        <v>-97776</v>
      </c>
      <c r="CI88" s="542">
        <v>0</v>
      </c>
      <c r="CJ88" s="542">
        <v>0</v>
      </c>
      <c r="CK88" s="542">
        <v>0</v>
      </c>
      <c r="CL88" s="542">
        <v>0</v>
      </c>
      <c r="CM88" s="542">
        <v>0</v>
      </c>
      <c r="CN88" s="542">
        <v>0</v>
      </c>
      <c r="CO88" s="542">
        <v>0</v>
      </c>
      <c r="CP88" s="542">
        <v>0</v>
      </c>
      <c r="CQ88" s="542">
        <v>0</v>
      </c>
      <c r="CR88" s="542">
        <v>0</v>
      </c>
      <c r="CS88" s="542">
        <v>0</v>
      </c>
      <c r="CT88" s="542">
        <v>0</v>
      </c>
      <c r="CU88" s="542">
        <v>0</v>
      </c>
      <c r="CV88" s="542">
        <v>482760.84700000001</v>
      </c>
      <c r="CW88" s="542">
        <v>321840.56400000001</v>
      </c>
      <c r="CX88" s="542">
        <v>0</v>
      </c>
      <c r="CY88" s="542">
        <v>399992</v>
      </c>
      <c r="CZ88" s="542">
        <v>263163</v>
      </c>
      <c r="DA88" s="542">
        <v>0</v>
      </c>
      <c r="DB88" s="542">
        <v>82769</v>
      </c>
      <c r="DC88" s="542">
        <v>58678</v>
      </c>
      <c r="DD88" s="542">
        <v>0</v>
      </c>
      <c r="DE88" s="153" t="s">
        <v>41</v>
      </c>
      <c r="DF88" s="103" t="s">
        <v>762</v>
      </c>
      <c r="DG88" s="103" t="s">
        <v>750</v>
      </c>
      <c r="DH88" s="547"/>
      <c r="DI88" s="547"/>
    </row>
    <row r="89" spans="1:113" x14ac:dyDescent="0.2">
      <c r="A89" s="93">
        <v>83</v>
      </c>
      <c r="B89" s="145" t="s">
        <v>44</v>
      </c>
      <c r="C89" s="141" t="s">
        <v>866</v>
      </c>
      <c r="D89" s="142" t="s">
        <v>870</v>
      </c>
      <c r="E89" s="149" t="s">
        <v>43</v>
      </c>
      <c r="F89" s="542">
        <v>-4565</v>
      </c>
      <c r="G89" s="542">
        <v>0</v>
      </c>
      <c r="H89" s="542">
        <v>-4565</v>
      </c>
      <c r="I89" s="542">
        <v>19953</v>
      </c>
      <c r="J89" s="542">
        <v>0</v>
      </c>
      <c r="K89" s="542">
        <v>19953</v>
      </c>
      <c r="L89" s="542">
        <v>-24518</v>
      </c>
      <c r="M89" s="542">
        <v>0</v>
      </c>
      <c r="N89" s="542">
        <v>-24518</v>
      </c>
      <c r="O89" s="543">
        <v>0.5</v>
      </c>
      <c r="P89" s="543">
        <v>0.4</v>
      </c>
      <c r="Q89" s="543">
        <v>0.09</v>
      </c>
      <c r="R89" s="543">
        <v>0.01</v>
      </c>
      <c r="S89" s="542">
        <v>91787</v>
      </c>
      <c r="T89" s="542">
        <v>91787</v>
      </c>
      <c r="U89" s="542">
        <v>0</v>
      </c>
      <c r="V89" s="542">
        <v>0</v>
      </c>
      <c r="W89" s="542">
        <v>0</v>
      </c>
      <c r="X89" s="542">
        <v>0</v>
      </c>
      <c r="Y89" s="542">
        <v>77408</v>
      </c>
      <c r="Z89" s="542">
        <v>0</v>
      </c>
      <c r="AA89" s="542">
        <v>30000</v>
      </c>
      <c r="AB89" s="542">
        <v>0</v>
      </c>
      <c r="AC89" s="542">
        <v>47408</v>
      </c>
      <c r="AD89" s="542">
        <v>0</v>
      </c>
      <c r="AE89" s="542">
        <v>0</v>
      </c>
      <c r="AF89" s="542">
        <v>0</v>
      </c>
      <c r="AG89" s="542">
        <v>0</v>
      </c>
      <c r="AH89" s="542">
        <v>0</v>
      </c>
      <c r="AI89" s="542">
        <v>0</v>
      </c>
      <c r="AJ89" s="542">
        <v>0</v>
      </c>
      <c r="AK89" s="542">
        <v>0</v>
      </c>
      <c r="AL89" s="542">
        <v>0</v>
      </c>
      <c r="AM89" s="542">
        <v>0</v>
      </c>
      <c r="AN89" s="542">
        <v>0</v>
      </c>
      <c r="AO89" s="542">
        <v>0</v>
      </c>
      <c r="AP89" s="542">
        <v>0</v>
      </c>
      <c r="AQ89" s="542">
        <v>313185.36200000002</v>
      </c>
      <c r="AR89" s="542">
        <v>70466.7065</v>
      </c>
      <c r="AS89" s="542">
        <v>7829.6340499999997</v>
      </c>
      <c r="AT89" s="542">
        <v>304743</v>
      </c>
      <c r="AU89" s="542">
        <v>68567</v>
      </c>
      <c r="AV89" s="542">
        <v>7619</v>
      </c>
      <c r="AW89" s="542">
        <v>8442</v>
      </c>
      <c r="AX89" s="542">
        <v>1900</v>
      </c>
      <c r="AY89" s="542">
        <v>211</v>
      </c>
      <c r="AZ89" s="542">
        <v>1694.60042</v>
      </c>
      <c r="BA89" s="542">
        <v>381.28509500000001</v>
      </c>
      <c r="BB89" s="542">
        <v>42.365010599999998</v>
      </c>
      <c r="BC89" s="542">
        <v>0</v>
      </c>
      <c r="BD89" s="542">
        <v>0</v>
      </c>
      <c r="BE89" s="542">
        <v>0</v>
      </c>
      <c r="BF89" s="542">
        <v>1695</v>
      </c>
      <c r="BG89" s="542">
        <v>381</v>
      </c>
      <c r="BH89" s="542">
        <v>42</v>
      </c>
      <c r="BI89" s="542">
        <v>0</v>
      </c>
      <c r="BJ89" s="542">
        <v>0</v>
      </c>
      <c r="BK89" s="542">
        <v>0</v>
      </c>
      <c r="BL89" s="542">
        <v>0</v>
      </c>
      <c r="BM89" s="542">
        <v>0</v>
      </c>
      <c r="BN89" s="542">
        <v>0</v>
      </c>
      <c r="BO89" s="542">
        <v>0</v>
      </c>
      <c r="BP89" s="542">
        <v>0</v>
      </c>
      <c r="BQ89" s="542">
        <v>0</v>
      </c>
      <c r="BR89" s="542">
        <v>0</v>
      </c>
      <c r="BS89" s="542">
        <v>0</v>
      </c>
      <c r="BT89" s="542">
        <v>0</v>
      </c>
      <c r="BU89" s="542">
        <v>8085</v>
      </c>
      <c r="BV89" s="542">
        <v>1819</v>
      </c>
      <c r="BW89" s="542">
        <v>202</v>
      </c>
      <c r="BX89" s="542">
        <v>-8085</v>
      </c>
      <c r="BY89" s="542">
        <v>-1819</v>
      </c>
      <c r="BZ89" s="542">
        <v>-202</v>
      </c>
      <c r="CA89" s="542">
        <v>97923.811400000006</v>
      </c>
      <c r="CB89" s="542">
        <v>22032.857499999998</v>
      </c>
      <c r="CC89" s="542">
        <v>2448.09528</v>
      </c>
      <c r="CD89" s="542">
        <v>111168</v>
      </c>
      <c r="CE89" s="542">
        <v>25013</v>
      </c>
      <c r="CF89" s="542">
        <v>2779</v>
      </c>
      <c r="CG89" s="542">
        <v>-13244</v>
      </c>
      <c r="CH89" s="542">
        <v>-2980</v>
      </c>
      <c r="CI89" s="542">
        <v>-331</v>
      </c>
      <c r="CJ89" s="542">
        <v>0</v>
      </c>
      <c r="CK89" s="542">
        <v>0</v>
      </c>
      <c r="CL89" s="542">
        <v>0</v>
      </c>
      <c r="CM89" s="542">
        <v>0</v>
      </c>
      <c r="CN89" s="542">
        <v>0</v>
      </c>
      <c r="CO89" s="542">
        <v>0</v>
      </c>
      <c r="CP89" s="542">
        <v>0</v>
      </c>
      <c r="CQ89" s="542">
        <v>0</v>
      </c>
      <c r="CR89" s="542">
        <v>0</v>
      </c>
      <c r="CS89" s="542">
        <v>0</v>
      </c>
      <c r="CT89" s="542">
        <v>0</v>
      </c>
      <c r="CU89" s="542">
        <v>0</v>
      </c>
      <c r="CV89" s="542">
        <v>78311.626300000004</v>
      </c>
      <c r="CW89" s="542">
        <v>17435.224200000001</v>
      </c>
      <c r="CX89" s="542">
        <v>1937.24713</v>
      </c>
      <c r="CY89" s="542">
        <v>74959</v>
      </c>
      <c r="CZ89" s="542">
        <v>16575</v>
      </c>
      <c r="DA89" s="542">
        <v>1842</v>
      </c>
      <c r="DB89" s="542">
        <v>3353</v>
      </c>
      <c r="DC89" s="542">
        <v>860</v>
      </c>
      <c r="DD89" s="542">
        <v>95</v>
      </c>
      <c r="DE89" s="153" t="s">
        <v>43</v>
      </c>
      <c r="DF89" s="103" t="s">
        <v>790</v>
      </c>
      <c r="DG89" s="104" t="s">
        <v>791</v>
      </c>
      <c r="DH89" s="547"/>
      <c r="DI89" s="547"/>
    </row>
    <row r="90" spans="1:113" x14ac:dyDescent="0.2">
      <c r="A90" s="93">
        <v>84</v>
      </c>
      <c r="B90" s="145" t="s">
        <v>46</v>
      </c>
      <c r="C90" s="141" t="s">
        <v>866</v>
      </c>
      <c r="D90" s="142" t="s">
        <v>875</v>
      </c>
      <c r="E90" s="149" t="s">
        <v>45</v>
      </c>
      <c r="F90" s="542">
        <v>157337</v>
      </c>
      <c r="G90" s="542">
        <v>0</v>
      </c>
      <c r="H90" s="542">
        <v>157337</v>
      </c>
      <c r="I90" s="542">
        <v>271954</v>
      </c>
      <c r="J90" s="542">
        <v>0</v>
      </c>
      <c r="K90" s="542">
        <v>271954</v>
      </c>
      <c r="L90" s="542">
        <v>-114617</v>
      </c>
      <c r="M90" s="542">
        <v>0</v>
      </c>
      <c r="N90" s="542">
        <v>-114617</v>
      </c>
      <c r="O90" s="543">
        <v>0.5</v>
      </c>
      <c r="P90" s="543">
        <v>0.4</v>
      </c>
      <c r="Q90" s="543">
        <v>0.09</v>
      </c>
      <c r="R90" s="543">
        <v>0.01</v>
      </c>
      <c r="S90" s="542">
        <v>227568</v>
      </c>
      <c r="T90" s="542">
        <v>227568</v>
      </c>
      <c r="U90" s="542">
        <v>0</v>
      </c>
      <c r="V90" s="542">
        <v>0</v>
      </c>
      <c r="W90" s="542">
        <v>0</v>
      </c>
      <c r="X90" s="542">
        <v>0</v>
      </c>
      <c r="Y90" s="542">
        <v>122152</v>
      </c>
      <c r="Z90" s="542">
        <v>0</v>
      </c>
      <c r="AA90" s="542">
        <v>58800</v>
      </c>
      <c r="AB90" s="542">
        <v>0</v>
      </c>
      <c r="AC90" s="542">
        <v>63352</v>
      </c>
      <c r="AD90" s="542">
        <v>0</v>
      </c>
      <c r="AE90" s="542">
        <v>0</v>
      </c>
      <c r="AF90" s="542">
        <v>0</v>
      </c>
      <c r="AG90" s="542">
        <v>0</v>
      </c>
      <c r="AH90" s="542">
        <v>0</v>
      </c>
      <c r="AI90" s="542">
        <v>0</v>
      </c>
      <c r="AJ90" s="542">
        <v>0</v>
      </c>
      <c r="AK90" s="542">
        <v>0</v>
      </c>
      <c r="AL90" s="542">
        <v>0</v>
      </c>
      <c r="AM90" s="542">
        <v>0</v>
      </c>
      <c r="AN90" s="542">
        <v>0</v>
      </c>
      <c r="AO90" s="542">
        <v>0</v>
      </c>
      <c r="AP90" s="542">
        <v>0</v>
      </c>
      <c r="AQ90" s="542">
        <v>862924.12899999996</v>
      </c>
      <c r="AR90" s="542">
        <v>194157.929</v>
      </c>
      <c r="AS90" s="542">
        <v>21573.103200000001</v>
      </c>
      <c r="AT90" s="542">
        <v>793677</v>
      </c>
      <c r="AU90" s="542">
        <v>178577</v>
      </c>
      <c r="AV90" s="542">
        <v>19842</v>
      </c>
      <c r="AW90" s="542">
        <v>69247</v>
      </c>
      <c r="AX90" s="542">
        <v>15581</v>
      </c>
      <c r="AY90" s="542">
        <v>1731</v>
      </c>
      <c r="AZ90" s="542">
        <v>4221.1396999999997</v>
      </c>
      <c r="BA90" s="542">
        <v>949.75643300000002</v>
      </c>
      <c r="BB90" s="542">
        <v>105.528492</v>
      </c>
      <c r="BC90" s="542">
        <v>13211</v>
      </c>
      <c r="BD90" s="542">
        <v>2972</v>
      </c>
      <c r="BE90" s="542">
        <v>330</v>
      </c>
      <c r="BF90" s="542">
        <v>-8990</v>
      </c>
      <c r="BG90" s="542">
        <v>-2022</v>
      </c>
      <c r="BH90" s="542">
        <v>-224</v>
      </c>
      <c r="BI90" s="542">
        <v>0</v>
      </c>
      <c r="BJ90" s="542">
        <v>0</v>
      </c>
      <c r="BK90" s="542">
        <v>0</v>
      </c>
      <c r="BL90" s="542">
        <v>0</v>
      </c>
      <c r="BM90" s="542">
        <v>0</v>
      </c>
      <c r="BN90" s="542">
        <v>0</v>
      </c>
      <c r="BO90" s="542">
        <v>0</v>
      </c>
      <c r="BP90" s="542">
        <v>0</v>
      </c>
      <c r="BQ90" s="542">
        <v>0</v>
      </c>
      <c r="BR90" s="542">
        <v>680.75074300000006</v>
      </c>
      <c r="BS90" s="542">
        <v>153.16891699999999</v>
      </c>
      <c r="BT90" s="542">
        <v>17.0187685</v>
      </c>
      <c r="BU90" s="542">
        <v>0</v>
      </c>
      <c r="BV90" s="542">
        <v>0</v>
      </c>
      <c r="BW90" s="542">
        <v>0</v>
      </c>
      <c r="BX90" s="542">
        <v>681</v>
      </c>
      <c r="BY90" s="542">
        <v>153</v>
      </c>
      <c r="BZ90" s="542">
        <v>17</v>
      </c>
      <c r="CA90" s="542">
        <v>263448.11200000002</v>
      </c>
      <c r="CB90" s="542">
        <v>59275.825199999999</v>
      </c>
      <c r="CC90" s="542">
        <v>6586.2028</v>
      </c>
      <c r="CD90" s="542">
        <v>346035</v>
      </c>
      <c r="CE90" s="542">
        <v>77858</v>
      </c>
      <c r="CF90" s="542">
        <v>8651</v>
      </c>
      <c r="CG90" s="542">
        <v>-82587</v>
      </c>
      <c r="CH90" s="542">
        <v>-18582</v>
      </c>
      <c r="CI90" s="542">
        <v>-2065</v>
      </c>
      <c r="CJ90" s="542">
        <v>0</v>
      </c>
      <c r="CK90" s="542">
        <v>0</v>
      </c>
      <c r="CL90" s="542">
        <v>0</v>
      </c>
      <c r="CM90" s="542">
        <v>6459.0471299999999</v>
      </c>
      <c r="CN90" s="542">
        <v>1453.2855999999999</v>
      </c>
      <c r="CO90" s="542">
        <v>161.476178</v>
      </c>
      <c r="CP90" s="542">
        <v>0</v>
      </c>
      <c r="CQ90" s="542">
        <v>0</v>
      </c>
      <c r="CR90" s="542">
        <v>0</v>
      </c>
      <c r="CS90" s="542">
        <v>6459</v>
      </c>
      <c r="CT90" s="542">
        <v>1453</v>
      </c>
      <c r="CU90" s="542">
        <v>161</v>
      </c>
      <c r="CV90" s="542">
        <v>125446.79399999999</v>
      </c>
      <c r="CW90" s="542">
        <v>27933.764299999999</v>
      </c>
      <c r="CX90" s="542">
        <v>3103.7515899999999</v>
      </c>
      <c r="CY90" s="542">
        <v>137284</v>
      </c>
      <c r="CZ90" s="542">
        <v>30205</v>
      </c>
      <c r="DA90" s="542">
        <v>3356</v>
      </c>
      <c r="DB90" s="542">
        <v>-11837</v>
      </c>
      <c r="DC90" s="542">
        <v>-2271</v>
      </c>
      <c r="DD90" s="542">
        <v>-252</v>
      </c>
      <c r="DE90" s="153" t="s">
        <v>45</v>
      </c>
      <c r="DF90" s="103" t="s">
        <v>803</v>
      </c>
      <c r="DG90" s="106" t="s">
        <v>804</v>
      </c>
      <c r="DH90" s="547"/>
      <c r="DI90" s="547"/>
    </row>
    <row r="91" spans="1:113" x14ac:dyDescent="0.2">
      <c r="A91" s="93">
        <v>85</v>
      </c>
      <c r="B91" s="145" t="s">
        <v>48</v>
      </c>
      <c r="C91" s="141" t="s">
        <v>866</v>
      </c>
      <c r="D91" s="142" t="s">
        <v>875</v>
      </c>
      <c r="E91" s="149" t="s">
        <v>47</v>
      </c>
      <c r="F91" s="542">
        <v>-32119</v>
      </c>
      <c r="G91" s="542">
        <v>0</v>
      </c>
      <c r="H91" s="542">
        <v>-32119</v>
      </c>
      <c r="I91" s="542">
        <v>18224</v>
      </c>
      <c r="J91" s="542">
        <v>0</v>
      </c>
      <c r="K91" s="542">
        <v>18224</v>
      </c>
      <c r="L91" s="542">
        <v>-50343</v>
      </c>
      <c r="M91" s="542">
        <v>0</v>
      </c>
      <c r="N91" s="542">
        <v>-50343</v>
      </c>
      <c r="O91" s="543">
        <v>0.5</v>
      </c>
      <c r="P91" s="543">
        <v>0.4</v>
      </c>
      <c r="Q91" s="543">
        <v>0.09</v>
      </c>
      <c r="R91" s="543">
        <v>0.01</v>
      </c>
      <c r="S91" s="542">
        <v>109348</v>
      </c>
      <c r="T91" s="542">
        <v>109348</v>
      </c>
      <c r="U91" s="542">
        <v>0</v>
      </c>
      <c r="V91" s="542">
        <v>0</v>
      </c>
      <c r="W91" s="542">
        <v>0</v>
      </c>
      <c r="X91" s="542">
        <v>0</v>
      </c>
      <c r="Y91" s="542">
        <v>43601</v>
      </c>
      <c r="Z91" s="542">
        <v>0</v>
      </c>
      <c r="AA91" s="542">
        <v>0</v>
      </c>
      <c r="AB91" s="542">
        <v>0</v>
      </c>
      <c r="AC91" s="542">
        <v>43601</v>
      </c>
      <c r="AD91" s="542">
        <v>0</v>
      </c>
      <c r="AE91" s="542">
        <v>0</v>
      </c>
      <c r="AF91" s="542">
        <v>0</v>
      </c>
      <c r="AG91" s="542">
        <v>0</v>
      </c>
      <c r="AH91" s="542">
        <v>0</v>
      </c>
      <c r="AI91" s="542">
        <v>0</v>
      </c>
      <c r="AJ91" s="542">
        <v>0</v>
      </c>
      <c r="AK91" s="542">
        <v>0</v>
      </c>
      <c r="AL91" s="542">
        <v>0</v>
      </c>
      <c r="AM91" s="542">
        <v>0</v>
      </c>
      <c r="AN91" s="542">
        <v>0</v>
      </c>
      <c r="AO91" s="542">
        <v>0</v>
      </c>
      <c r="AP91" s="542">
        <v>0</v>
      </c>
      <c r="AQ91" s="542">
        <v>400306.09600000002</v>
      </c>
      <c r="AR91" s="542">
        <v>90068.871499999994</v>
      </c>
      <c r="AS91" s="542">
        <v>10007.652400000001</v>
      </c>
      <c r="AT91" s="542">
        <v>381804</v>
      </c>
      <c r="AU91" s="542">
        <v>85906</v>
      </c>
      <c r="AV91" s="542">
        <v>9545</v>
      </c>
      <c r="AW91" s="542">
        <v>18502</v>
      </c>
      <c r="AX91" s="542">
        <v>4163</v>
      </c>
      <c r="AY91" s="542">
        <v>463</v>
      </c>
      <c r="AZ91" s="542">
        <v>0</v>
      </c>
      <c r="BA91" s="542">
        <v>0</v>
      </c>
      <c r="BB91" s="542">
        <v>0</v>
      </c>
      <c r="BC91" s="542">
        <v>0</v>
      </c>
      <c r="BD91" s="542">
        <v>0</v>
      </c>
      <c r="BE91" s="542">
        <v>0</v>
      </c>
      <c r="BF91" s="542">
        <v>0</v>
      </c>
      <c r="BG91" s="542">
        <v>0</v>
      </c>
      <c r="BH91" s="542">
        <v>0</v>
      </c>
      <c r="BI91" s="542">
        <v>0</v>
      </c>
      <c r="BJ91" s="542">
        <v>0</v>
      </c>
      <c r="BK91" s="542">
        <v>0</v>
      </c>
      <c r="BL91" s="542">
        <v>0</v>
      </c>
      <c r="BM91" s="542">
        <v>0</v>
      </c>
      <c r="BN91" s="542">
        <v>0</v>
      </c>
      <c r="BO91" s="542">
        <v>0</v>
      </c>
      <c r="BP91" s="542">
        <v>0</v>
      </c>
      <c r="BQ91" s="542">
        <v>0</v>
      </c>
      <c r="BR91" s="542">
        <v>0</v>
      </c>
      <c r="BS91" s="542">
        <v>0</v>
      </c>
      <c r="BT91" s="542">
        <v>0</v>
      </c>
      <c r="BU91" s="542">
        <v>5992</v>
      </c>
      <c r="BV91" s="542">
        <v>1348</v>
      </c>
      <c r="BW91" s="542">
        <v>150</v>
      </c>
      <c r="BX91" s="542">
        <v>-5992</v>
      </c>
      <c r="BY91" s="542">
        <v>-1348</v>
      </c>
      <c r="BZ91" s="542">
        <v>-150</v>
      </c>
      <c r="CA91" s="542">
        <v>130241.68399999999</v>
      </c>
      <c r="CB91" s="542">
        <v>29304.379099999998</v>
      </c>
      <c r="CC91" s="542">
        <v>3256.0421200000001</v>
      </c>
      <c r="CD91" s="542">
        <v>162919</v>
      </c>
      <c r="CE91" s="542">
        <v>36657</v>
      </c>
      <c r="CF91" s="542">
        <v>4073</v>
      </c>
      <c r="CG91" s="542">
        <v>-32677</v>
      </c>
      <c r="CH91" s="542">
        <v>-7353</v>
      </c>
      <c r="CI91" s="542">
        <v>-817</v>
      </c>
      <c r="CJ91" s="542">
        <v>0</v>
      </c>
      <c r="CK91" s="542">
        <v>0</v>
      </c>
      <c r="CL91" s="542">
        <v>0</v>
      </c>
      <c r="CM91" s="542">
        <v>30585.678100000001</v>
      </c>
      <c r="CN91" s="542">
        <v>6881.7775799999999</v>
      </c>
      <c r="CO91" s="542">
        <v>764.64195299999994</v>
      </c>
      <c r="CP91" s="542">
        <v>0</v>
      </c>
      <c r="CQ91" s="542">
        <v>0</v>
      </c>
      <c r="CR91" s="542">
        <v>0</v>
      </c>
      <c r="CS91" s="542">
        <v>30586</v>
      </c>
      <c r="CT91" s="542">
        <v>6882</v>
      </c>
      <c r="CU91" s="542">
        <v>765</v>
      </c>
      <c r="CV91" s="542">
        <v>90610.013099999996</v>
      </c>
      <c r="CW91" s="542">
        <v>20283.110400000001</v>
      </c>
      <c r="CX91" s="542">
        <v>2253.67893</v>
      </c>
      <c r="CY91" s="542">
        <v>85821</v>
      </c>
      <c r="CZ91" s="542">
        <v>19049</v>
      </c>
      <c r="DA91" s="542">
        <v>2117</v>
      </c>
      <c r="DB91" s="542">
        <v>4789</v>
      </c>
      <c r="DC91" s="542">
        <v>1234</v>
      </c>
      <c r="DD91" s="542">
        <v>137</v>
      </c>
      <c r="DE91" s="153" t="s">
        <v>47</v>
      </c>
      <c r="DF91" s="103" t="s">
        <v>797</v>
      </c>
      <c r="DG91" s="104" t="s">
        <v>779</v>
      </c>
      <c r="DH91" s="547"/>
      <c r="DI91" s="547"/>
    </row>
    <row r="92" spans="1:113" x14ac:dyDescent="0.2">
      <c r="A92" s="93">
        <v>86</v>
      </c>
      <c r="B92" s="145" t="s">
        <v>50</v>
      </c>
      <c r="C92" s="141" t="s">
        <v>866</v>
      </c>
      <c r="D92" s="142" t="s">
        <v>867</v>
      </c>
      <c r="E92" s="149" t="s">
        <v>49</v>
      </c>
      <c r="F92" s="542">
        <v>-168439</v>
      </c>
      <c r="G92" s="542">
        <v>0</v>
      </c>
      <c r="H92" s="542">
        <v>-168439</v>
      </c>
      <c r="I92" s="542">
        <v>24313</v>
      </c>
      <c r="J92" s="542">
        <v>0</v>
      </c>
      <c r="K92" s="542">
        <v>24313</v>
      </c>
      <c r="L92" s="542">
        <v>-192752</v>
      </c>
      <c r="M92" s="542">
        <v>0</v>
      </c>
      <c r="N92" s="542">
        <v>-192752</v>
      </c>
      <c r="O92" s="543">
        <v>0.5</v>
      </c>
      <c r="P92" s="543">
        <v>0.4</v>
      </c>
      <c r="Q92" s="543">
        <v>0.09</v>
      </c>
      <c r="R92" s="543">
        <v>0.01</v>
      </c>
      <c r="S92" s="542">
        <v>151081</v>
      </c>
      <c r="T92" s="542">
        <v>151081</v>
      </c>
      <c r="U92" s="542">
        <v>0</v>
      </c>
      <c r="V92" s="542">
        <v>0</v>
      </c>
      <c r="W92" s="542">
        <v>0</v>
      </c>
      <c r="X92" s="542">
        <v>0</v>
      </c>
      <c r="Y92" s="542">
        <v>0</v>
      </c>
      <c r="Z92" s="542">
        <v>0</v>
      </c>
      <c r="AA92" s="542">
        <v>0</v>
      </c>
      <c r="AB92" s="542">
        <v>0</v>
      </c>
      <c r="AC92" s="542">
        <v>0</v>
      </c>
      <c r="AD92" s="542">
        <v>0</v>
      </c>
      <c r="AE92" s="542">
        <v>0</v>
      </c>
      <c r="AF92" s="542">
        <v>0</v>
      </c>
      <c r="AG92" s="542">
        <v>0</v>
      </c>
      <c r="AH92" s="542">
        <v>0</v>
      </c>
      <c r="AI92" s="542">
        <v>0</v>
      </c>
      <c r="AJ92" s="542">
        <v>0</v>
      </c>
      <c r="AK92" s="542">
        <v>0</v>
      </c>
      <c r="AL92" s="542">
        <v>0</v>
      </c>
      <c r="AM92" s="542">
        <v>0</v>
      </c>
      <c r="AN92" s="542">
        <v>0</v>
      </c>
      <c r="AO92" s="542">
        <v>0</v>
      </c>
      <c r="AP92" s="542">
        <v>0</v>
      </c>
      <c r="AQ92" s="542">
        <v>510735.18300000002</v>
      </c>
      <c r="AR92" s="542">
        <v>114915.416</v>
      </c>
      <c r="AS92" s="542">
        <v>12768.379499999999</v>
      </c>
      <c r="AT92" s="542">
        <v>470780</v>
      </c>
      <c r="AU92" s="542">
        <v>105925</v>
      </c>
      <c r="AV92" s="542">
        <v>11769</v>
      </c>
      <c r="AW92" s="542">
        <v>39955</v>
      </c>
      <c r="AX92" s="542">
        <v>8990</v>
      </c>
      <c r="AY92" s="542">
        <v>999</v>
      </c>
      <c r="AZ92" s="542">
        <v>3279.0073499999999</v>
      </c>
      <c r="BA92" s="542">
        <v>737.77665400000001</v>
      </c>
      <c r="BB92" s="542">
        <v>81.975183799999996</v>
      </c>
      <c r="BC92" s="542">
        <v>8085</v>
      </c>
      <c r="BD92" s="542">
        <v>1819</v>
      </c>
      <c r="BE92" s="542">
        <v>202</v>
      </c>
      <c r="BF92" s="542">
        <v>-4806</v>
      </c>
      <c r="BG92" s="542">
        <v>-1081</v>
      </c>
      <c r="BH92" s="542">
        <v>-120</v>
      </c>
      <c r="BI92" s="542">
        <v>0</v>
      </c>
      <c r="BJ92" s="542">
        <v>0</v>
      </c>
      <c r="BK92" s="542">
        <v>0</v>
      </c>
      <c r="BL92" s="542">
        <v>20212</v>
      </c>
      <c r="BM92" s="542">
        <v>4548</v>
      </c>
      <c r="BN92" s="542">
        <v>505</v>
      </c>
      <c r="BO92" s="542">
        <v>-20212</v>
      </c>
      <c r="BP92" s="542">
        <v>-4548</v>
      </c>
      <c r="BQ92" s="542">
        <v>-505</v>
      </c>
      <c r="BR92" s="542">
        <v>5444.3889600000002</v>
      </c>
      <c r="BS92" s="542">
        <v>1224.9875099999999</v>
      </c>
      <c r="BT92" s="542">
        <v>136.109724</v>
      </c>
      <c r="BU92" s="542">
        <v>30318</v>
      </c>
      <c r="BV92" s="542">
        <v>6822</v>
      </c>
      <c r="BW92" s="542">
        <v>758</v>
      </c>
      <c r="BX92" s="542">
        <v>-24874</v>
      </c>
      <c r="BY92" s="542">
        <v>-5597</v>
      </c>
      <c r="BZ92" s="542">
        <v>-622</v>
      </c>
      <c r="CA92" s="542">
        <v>219052.16800000001</v>
      </c>
      <c r="CB92" s="542">
        <v>49286.737800000003</v>
      </c>
      <c r="CC92" s="542">
        <v>5476.3041999999996</v>
      </c>
      <c r="CD92" s="542">
        <v>202123</v>
      </c>
      <c r="CE92" s="542">
        <v>45478</v>
      </c>
      <c r="CF92" s="542">
        <v>5053</v>
      </c>
      <c r="CG92" s="542">
        <v>16929</v>
      </c>
      <c r="CH92" s="542">
        <v>3809</v>
      </c>
      <c r="CI92" s="542">
        <v>423</v>
      </c>
      <c r="CJ92" s="542">
        <v>4180.8</v>
      </c>
      <c r="CK92" s="542">
        <v>940.68</v>
      </c>
      <c r="CL92" s="542">
        <v>104.52</v>
      </c>
      <c r="CM92" s="542">
        <v>1772.61995</v>
      </c>
      <c r="CN92" s="542">
        <v>398.83949000000001</v>
      </c>
      <c r="CO92" s="542">
        <v>44.315498900000001</v>
      </c>
      <c r="CP92" s="542">
        <v>5935</v>
      </c>
      <c r="CQ92" s="542">
        <v>1335.3380999999999</v>
      </c>
      <c r="CR92" s="542">
        <v>148.37090000000001</v>
      </c>
      <c r="CS92" s="542">
        <v>18</v>
      </c>
      <c r="CT92" s="542">
        <v>4</v>
      </c>
      <c r="CU92" s="542">
        <v>0</v>
      </c>
      <c r="CV92" s="542">
        <v>125201.28200000001</v>
      </c>
      <c r="CW92" s="542">
        <v>28170.288499999999</v>
      </c>
      <c r="CX92" s="542">
        <v>3130.0320499999998</v>
      </c>
      <c r="CY92" s="542">
        <v>116546</v>
      </c>
      <c r="CZ92" s="542">
        <v>25862</v>
      </c>
      <c r="DA92" s="542">
        <v>2874</v>
      </c>
      <c r="DB92" s="542">
        <v>8655</v>
      </c>
      <c r="DC92" s="542">
        <v>2308</v>
      </c>
      <c r="DD92" s="542">
        <v>256</v>
      </c>
      <c r="DE92" s="153" t="s">
        <v>49</v>
      </c>
      <c r="DF92" s="103" t="s">
        <v>767</v>
      </c>
      <c r="DG92" s="104" t="s">
        <v>768</v>
      </c>
      <c r="DH92" s="547"/>
      <c r="DI92" s="547"/>
    </row>
    <row r="93" spans="1:113" x14ac:dyDescent="0.2">
      <c r="A93" s="93">
        <v>87</v>
      </c>
      <c r="B93" s="145" t="s">
        <v>52</v>
      </c>
      <c r="C93" s="141" t="s">
        <v>866</v>
      </c>
      <c r="D93" s="142" t="s">
        <v>870</v>
      </c>
      <c r="E93" s="149" t="s">
        <v>51</v>
      </c>
      <c r="F93" s="542">
        <v>-382515</v>
      </c>
      <c r="G93" s="542">
        <v>0</v>
      </c>
      <c r="H93" s="542">
        <v>-382515</v>
      </c>
      <c r="I93" s="542">
        <v>73152</v>
      </c>
      <c r="J93" s="542">
        <v>0</v>
      </c>
      <c r="K93" s="542">
        <v>73152</v>
      </c>
      <c r="L93" s="542">
        <v>-455667</v>
      </c>
      <c r="M93" s="542">
        <v>0</v>
      </c>
      <c r="N93" s="542">
        <v>-455667</v>
      </c>
      <c r="O93" s="543">
        <v>0.5</v>
      </c>
      <c r="P93" s="543">
        <v>0.4</v>
      </c>
      <c r="Q93" s="543">
        <v>0.1</v>
      </c>
      <c r="R93" s="543">
        <v>0</v>
      </c>
      <c r="S93" s="542">
        <v>197093</v>
      </c>
      <c r="T93" s="542">
        <v>197093</v>
      </c>
      <c r="U93" s="542">
        <v>0</v>
      </c>
      <c r="V93" s="542">
        <v>0</v>
      </c>
      <c r="W93" s="542">
        <v>0</v>
      </c>
      <c r="X93" s="542">
        <v>0</v>
      </c>
      <c r="Y93" s="542">
        <v>0</v>
      </c>
      <c r="Z93" s="542">
        <v>0</v>
      </c>
      <c r="AA93" s="542">
        <v>0</v>
      </c>
      <c r="AB93" s="542">
        <v>0</v>
      </c>
      <c r="AC93" s="542">
        <v>0</v>
      </c>
      <c r="AD93" s="542">
        <v>0</v>
      </c>
      <c r="AE93" s="542">
        <v>0</v>
      </c>
      <c r="AF93" s="542">
        <v>0</v>
      </c>
      <c r="AG93" s="542">
        <v>0</v>
      </c>
      <c r="AH93" s="542">
        <v>0</v>
      </c>
      <c r="AI93" s="542">
        <v>0</v>
      </c>
      <c r="AJ93" s="542">
        <v>0</v>
      </c>
      <c r="AK93" s="542">
        <v>0</v>
      </c>
      <c r="AL93" s="542">
        <v>0</v>
      </c>
      <c r="AM93" s="542">
        <v>0</v>
      </c>
      <c r="AN93" s="542">
        <v>0</v>
      </c>
      <c r="AO93" s="542">
        <v>0</v>
      </c>
      <c r="AP93" s="542">
        <v>0</v>
      </c>
      <c r="AQ93" s="542">
        <v>516665.96299999999</v>
      </c>
      <c r="AR93" s="542">
        <v>129166.49</v>
      </c>
      <c r="AS93" s="542">
        <v>0</v>
      </c>
      <c r="AT93" s="542">
        <v>491152</v>
      </c>
      <c r="AU93" s="542">
        <v>122788</v>
      </c>
      <c r="AV93" s="542">
        <v>0</v>
      </c>
      <c r="AW93" s="542">
        <v>25514</v>
      </c>
      <c r="AX93" s="542">
        <v>6378</v>
      </c>
      <c r="AY93" s="542">
        <v>0</v>
      </c>
      <c r="AZ93" s="542">
        <v>0</v>
      </c>
      <c r="BA93" s="542">
        <v>0</v>
      </c>
      <c r="BB93" s="542">
        <v>0</v>
      </c>
      <c r="BC93" s="542">
        <v>0</v>
      </c>
      <c r="BD93" s="542">
        <v>0</v>
      </c>
      <c r="BE93" s="542">
        <v>0</v>
      </c>
      <c r="BF93" s="542">
        <v>0</v>
      </c>
      <c r="BG93" s="542">
        <v>0</v>
      </c>
      <c r="BH93" s="542">
        <v>0</v>
      </c>
      <c r="BI93" s="542">
        <v>896.61825899999997</v>
      </c>
      <c r="BJ93" s="542">
        <v>224.15456399999999</v>
      </c>
      <c r="BK93" s="542">
        <v>0</v>
      </c>
      <c r="BL93" s="542">
        <v>154348</v>
      </c>
      <c r="BM93" s="542">
        <v>38587</v>
      </c>
      <c r="BN93" s="542">
        <v>0</v>
      </c>
      <c r="BO93" s="542">
        <v>-153451</v>
      </c>
      <c r="BP93" s="542">
        <v>-38363</v>
      </c>
      <c r="BQ93" s="542">
        <v>0</v>
      </c>
      <c r="BR93" s="542">
        <v>6263.3919299999998</v>
      </c>
      <c r="BS93" s="542">
        <v>1565.84798</v>
      </c>
      <c r="BT93" s="542">
        <v>0</v>
      </c>
      <c r="BU93" s="542">
        <v>191232.34299999999</v>
      </c>
      <c r="BV93" s="542">
        <v>47808.085700000003</v>
      </c>
      <c r="BW93" s="542">
        <v>0</v>
      </c>
      <c r="BX93" s="542">
        <v>-184969</v>
      </c>
      <c r="BY93" s="542">
        <v>-46242</v>
      </c>
      <c r="BZ93" s="542">
        <v>0</v>
      </c>
      <c r="CA93" s="542">
        <v>171224.981</v>
      </c>
      <c r="CB93" s="542">
        <v>42806.2454</v>
      </c>
      <c r="CC93" s="542">
        <v>0</v>
      </c>
      <c r="CD93" s="542">
        <v>331568.86599999998</v>
      </c>
      <c r="CE93" s="542">
        <v>82892.216499999995</v>
      </c>
      <c r="CF93" s="542">
        <v>0</v>
      </c>
      <c r="CG93" s="542">
        <v>-160344</v>
      </c>
      <c r="CH93" s="542">
        <v>-40086</v>
      </c>
      <c r="CI93" s="542">
        <v>0</v>
      </c>
      <c r="CJ93" s="542">
        <v>0</v>
      </c>
      <c r="CK93" s="542">
        <v>0</v>
      </c>
      <c r="CL93" s="542">
        <v>0</v>
      </c>
      <c r="CM93" s="542">
        <v>14072.6216</v>
      </c>
      <c r="CN93" s="542">
        <v>3518.1554099999998</v>
      </c>
      <c r="CO93" s="542">
        <v>0</v>
      </c>
      <c r="CP93" s="542">
        <v>5289</v>
      </c>
      <c r="CQ93" s="542">
        <v>1322.3019999999999</v>
      </c>
      <c r="CR93" s="542">
        <v>0</v>
      </c>
      <c r="CS93" s="542">
        <v>8784</v>
      </c>
      <c r="CT93" s="542">
        <v>2196</v>
      </c>
      <c r="CU93" s="542">
        <v>0</v>
      </c>
      <c r="CV93" s="542">
        <v>164011.834</v>
      </c>
      <c r="CW93" s="542">
        <v>41002.958599999998</v>
      </c>
      <c r="CX93" s="542">
        <v>0</v>
      </c>
      <c r="CY93" s="542">
        <v>184816</v>
      </c>
      <c r="CZ93" s="542">
        <v>45681</v>
      </c>
      <c r="DA93" s="542">
        <v>0</v>
      </c>
      <c r="DB93" s="542">
        <v>-20804</v>
      </c>
      <c r="DC93" s="542">
        <v>-4678</v>
      </c>
      <c r="DD93" s="542">
        <v>0</v>
      </c>
      <c r="DE93" s="153" t="s">
        <v>51</v>
      </c>
      <c r="DF93" s="103" t="s">
        <v>788</v>
      </c>
      <c r="DG93" s="104" t="s">
        <v>751</v>
      </c>
      <c r="DH93" s="547"/>
      <c r="DI93" s="547"/>
    </row>
    <row r="94" spans="1:113" x14ac:dyDescent="0.2">
      <c r="A94" s="93">
        <v>88</v>
      </c>
      <c r="B94" s="145" t="s">
        <v>54</v>
      </c>
      <c r="C94" s="141" t="s">
        <v>866</v>
      </c>
      <c r="D94" s="142" t="s">
        <v>869</v>
      </c>
      <c r="E94" s="149" t="s">
        <v>53</v>
      </c>
      <c r="F94" s="542">
        <v>-18944</v>
      </c>
      <c r="G94" s="542">
        <v>0</v>
      </c>
      <c r="H94" s="542">
        <v>-18944</v>
      </c>
      <c r="I94" s="542">
        <v>74442</v>
      </c>
      <c r="J94" s="542">
        <v>0</v>
      </c>
      <c r="K94" s="542">
        <v>74442</v>
      </c>
      <c r="L94" s="542">
        <v>-93386</v>
      </c>
      <c r="M94" s="542">
        <v>0</v>
      </c>
      <c r="N94" s="542">
        <v>-93386</v>
      </c>
      <c r="O94" s="543">
        <v>0.5</v>
      </c>
      <c r="P94" s="543">
        <v>0.4</v>
      </c>
      <c r="Q94" s="543">
        <v>0.1</v>
      </c>
      <c r="R94" s="543">
        <v>0</v>
      </c>
      <c r="S94" s="542">
        <v>269433</v>
      </c>
      <c r="T94" s="542">
        <v>269433</v>
      </c>
      <c r="U94" s="542">
        <v>0</v>
      </c>
      <c r="V94" s="542">
        <v>0</v>
      </c>
      <c r="W94" s="542">
        <v>0</v>
      </c>
      <c r="X94" s="542">
        <v>0</v>
      </c>
      <c r="Y94" s="542">
        <v>70647</v>
      </c>
      <c r="Z94" s="542">
        <v>0</v>
      </c>
      <c r="AA94" s="542">
        <v>2355</v>
      </c>
      <c r="AB94" s="542">
        <v>0</v>
      </c>
      <c r="AC94" s="542">
        <v>68292</v>
      </c>
      <c r="AD94" s="542">
        <v>0</v>
      </c>
      <c r="AE94" s="542">
        <v>0</v>
      </c>
      <c r="AF94" s="542">
        <v>0</v>
      </c>
      <c r="AG94" s="542">
        <v>0</v>
      </c>
      <c r="AH94" s="542">
        <v>0</v>
      </c>
      <c r="AI94" s="542">
        <v>0</v>
      </c>
      <c r="AJ94" s="542">
        <v>0</v>
      </c>
      <c r="AK94" s="542">
        <v>0</v>
      </c>
      <c r="AL94" s="542">
        <v>0</v>
      </c>
      <c r="AM94" s="542">
        <v>0</v>
      </c>
      <c r="AN94" s="542">
        <v>0</v>
      </c>
      <c r="AO94" s="542">
        <v>0</v>
      </c>
      <c r="AP94" s="542">
        <v>0</v>
      </c>
      <c r="AQ94" s="542">
        <v>937201.554</v>
      </c>
      <c r="AR94" s="542">
        <v>234300.38800000001</v>
      </c>
      <c r="AS94" s="542">
        <v>0</v>
      </c>
      <c r="AT94" s="542">
        <v>863698</v>
      </c>
      <c r="AU94" s="542">
        <v>215925</v>
      </c>
      <c r="AV94" s="542">
        <v>0</v>
      </c>
      <c r="AW94" s="542">
        <v>73504</v>
      </c>
      <c r="AX94" s="542">
        <v>18375</v>
      </c>
      <c r="AY94" s="542">
        <v>0</v>
      </c>
      <c r="AZ94" s="542">
        <v>0</v>
      </c>
      <c r="BA94" s="542">
        <v>0</v>
      </c>
      <c r="BB94" s="542">
        <v>0</v>
      </c>
      <c r="BC94" s="542">
        <v>35253</v>
      </c>
      <c r="BD94" s="542">
        <v>8813</v>
      </c>
      <c r="BE94" s="542">
        <v>0</v>
      </c>
      <c r="BF94" s="542">
        <v>-35253</v>
      </c>
      <c r="BG94" s="542">
        <v>-8813</v>
      </c>
      <c r="BH94" s="542">
        <v>0</v>
      </c>
      <c r="BI94" s="542">
        <v>1971.5091299999999</v>
      </c>
      <c r="BJ94" s="542">
        <v>492.87728199999998</v>
      </c>
      <c r="BK94" s="542">
        <v>0</v>
      </c>
      <c r="BL94" s="542">
        <v>0</v>
      </c>
      <c r="BM94" s="542">
        <v>0</v>
      </c>
      <c r="BN94" s="542">
        <v>0</v>
      </c>
      <c r="BO94" s="542">
        <v>1972</v>
      </c>
      <c r="BP94" s="542">
        <v>493</v>
      </c>
      <c r="BQ94" s="542">
        <v>0</v>
      </c>
      <c r="BR94" s="542">
        <v>2961.50828</v>
      </c>
      <c r="BS94" s="542">
        <v>740.37707</v>
      </c>
      <c r="BT94" s="542">
        <v>0</v>
      </c>
      <c r="BU94" s="542">
        <v>3404</v>
      </c>
      <c r="BV94" s="542">
        <v>851</v>
      </c>
      <c r="BW94" s="542">
        <v>0</v>
      </c>
      <c r="BX94" s="542">
        <v>-442</v>
      </c>
      <c r="BY94" s="542">
        <v>-111</v>
      </c>
      <c r="BZ94" s="542">
        <v>0</v>
      </c>
      <c r="CA94" s="542">
        <v>280641.51500000001</v>
      </c>
      <c r="CB94" s="542">
        <v>70160.378700000001</v>
      </c>
      <c r="CC94" s="542">
        <v>0</v>
      </c>
      <c r="CD94" s="542">
        <v>380538</v>
      </c>
      <c r="CE94" s="542">
        <v>95134</v>
      </c>
      <c r="CF94" s="542">
        <v>0</v>
      </c>
      <c r="CG94" s="542">
        <v>-99896</v>
      </c>
      <c r="CH94" s="542">
        <v>-24974</v>
      </c>
      <c r="CI94" s="542">
        <v>0</v>
      </c>
      <c r="CJ94" s="542">
        <v>0</v>
      </c>
      <c r="CK94" s="542">
        <v>0</v>
      </c>
      <c r="CL94" s="542">
        <v>0</v>
      </c>
      <c r="CM94" s="542">
        <v>10045.115900000001</v>
      </c>
      <c r="CN94" s="542">
        <v>2511.27898</v>
      </c>
      <c r="CO94" s="542">
        <v>0</v>
      </c>
      <c r="CP94" s="542">
        <v>0</v>
      </c>
      <c r="CQ94" s="542">
        <v>0</v>
      </c>
      <c r="CR94" s="542">
        <v>0</v>
      </c>
      <c r="CS94" s="542">
        <v>10045</v>
      </c>
      <c r="CT94" s="542">
        <v>2511</v>
      </c>
      <c r="CU94" s="542">
        <v>0</v>
      </c>
      <c r="CV94" s="542">
        <v>131870.74100000001</v>
      </c>
      <c r="CW94" s="542">
        <v>32780.193200000002</v>
      </c>
      <c r="CX94" s="542">
        <v>0</v>
      </c>
      <c r="CY94" s="542">
        <v>139005</v>
      </c>
      <c r="CZ94" s="542">
        <v>34030</v>
      </c>
      <c r="DA94" s="542">
        <v>0</v>
      </c>
      <c r="DB94" s="542">
        <v>-7134</v>
      </c>
      <c r="DC94" s="542">
        <v>-1250</v>
      </c>
      <c r="DD94" s="542">
        <v>0</v>
      </c>
      <c r="DE94" s="153" t="s">
        <v>53</v>
      </c>
      <c r="DF94" s="103" t="s">
        <v>778</v>
      </c>
      <c r="DG94" s="104" t="s">
        <v>751</v>
      </c>
      <c r="DH94" s="547"/>
      <c r="DI94" s="547"/>
    </row>
    <row r="95" spans="1:113" x14ac:dyDescent="0.2">
      <c r="A95" s="93">
        <v>89</v>
      </c>
      <c r="B95" s="145" t="s">
        <v>56</v>
      </c>
      <c r="C95" s="141" t="s">
        <v>866</v>
      </c>
      <c r="D95" s="142" t="s">
        <v>869</v>
      </c>
      <c r="E95" s="149" t="s">
        <v>55</v>
      </c>
      <c r="F95" s="542">
        <v>-234958</v>
      </c>
      <c r="G95" s="542">
        <v>0</v>
      </c>
      <c r="H95" s="542">
        <v>-234958</v>
      </c>
      <c r="I95" s="542">
        <v>4833</v>
      </c>
      <c r="J95" s="542">
        <v>0</v>
      </c>
      <c r="K95" s="542">
        <v>4833</v>
      </c>
      <c r="L95" s="542">
        <v>-239791</v>
      </c>
      <c r="M95" s="542">
        <v>0</v>
      </c>
      <c r="N95" s="542">
        <v>-239791</v>
      </c>
      <c r="O95" s="543">
        <v>0.5</v>
      </c>
      <c r="P95" s="543">
        <v>0.4</v>
      </c>
      <c r="Q95" s="543">
        <v>0.1</v>
      </c>
      <c r="R95" s="543">
        <v>0</v>
      </c>
      <c r="S95" s="542">
        <v>99677</v>
      </c>
      <c r="T95" s="542">
        <v>99677</v>
      </c>
      <c r="U95" s="542">
        <v>0</v>
      </c>
      <c r="V95" s="542">
        <v>0</v>
      </c>
      <c r="W95" s="542">
        <v>0</v>
      </c>
      <c r="X95" s="542">
        <v>0</v>
      </c>
      <c r="Y95" s="542">
        <v>547385</v>
      </c>
      <c r="Z95" s="542">
        <v>0</v>
      </c>
      <c r="AA95" s="542">
        <v>25000</v>
      </c>
      <c r="AB95" s="542">
        <v>0</v>
      </c>
      <c r="AC95" s="542">
        <v>522385</v>
      </c>
      <c r="AD95" s="542">
        <v>0</v>
      </c>
      <c r="AE95" s="542">
        <v>0</v>
      </c>
      <c r="AF95" s="542">
        <v>0</v>
      </c>
      <c r="AG95" s="542">
        <v>0</v>
      </c>
      <c r="AH95" s="542">
        <v>0</v>
      </c>
      <c r="AI95" s="542">
        <v>0</v>
      </c>
      <c r="AJ95" s="542">
        <v>0</v>
      </c>
      <c r="AK95" s="542">
        <v>0</v>
      </c>
      <c r="AL95" s="542">
        <v>0</v>
      </c>
      <c r="AM95" s="542">
        <v>0</v>
      </c>
      <c r="AN95" s="542">
        <v>0</v>
      </c>
      <c r="AO95" s="542">
        <v>0</v>
      </c>
      <c r="AP95" s="542">
        <v>0</v>
      </c>
      <c r="AQ95" s="542">
        <v>373343.47499999998</v>
      </c>
      <c r="AR95" s="542">
        <v>93335.868700000006</v>
      </c>
      <c r="AS95" s="542">
        <v>0</v>
      </c>
      <c r="AT95" s="542">
        <v>356195</v>
      </c>
      <c r="AU95" s="542">
        <v>89049</v>
      </c>
      <c r="AV95" s="542">
        <v>0</v>
      </c>
      <c r="AW95" s="542">
        <v>17148</v>
      </c>
      <c r="AX95" s="542">
        <v>4287</v>
      </c>
      <c r="AY95" s="542">
        <v>0</v>
      </c>
      <c r="AZ95" s="542">
        <v>1203.03694</v>
      </c>
      <c r="BA95" s="542">
        <v>300.75923499999999</v>
      </c>
      <c r="BB95" s="542">
        <v>0</v>
      </c>
      <c r="BC95" s="542">
        <v>4042</v>
      </c>
      <c r="BD95" s="542">
        <v>1011</v>
      </c>
      <c r="BE95" s="542">
        <v>0</v>
      </c>
      <c r="BF95" s="542">
        <v>-2839</v>
      </c>
      <c r="BG95" s="542">
        <v>-710</v>
      </c>
      <c r="BH95" s="542">
        <v>0</v>
      </c>
      <c r="BI95" s="542">
        <v>446.69214399999998</v>
      </c>
      <c r="BJ95" s="542">
        <v>111.673036</v>
      </c>
      <c r="BK95" s="542">
        <v>0</v>
      </c>
      <c r="BL95" s="542">
        <v>10106</v>
      </c>
      <c r="BM95" s="542">
        <v>2527</v>
      </c>
      <c r="BN95" s="542">
        <v>0</v>
      </c>
      <c r="BO95" s="542">
        <v>-9659</v>
      </c>
      <c r="BP95" s="542">
        <v>-2415</v>
      </c>
      <c r="BQ95" s="542">
        <v>0</v>
      </c>
      <c r="BR95" s="542">
        <v>0</v>
      </c>
      <c r="BS95" s="542">
        <v>0</v>
      </c>
      <c r="BT95" s="542">
        <v>0</v>
      </c>
      <c r="BU95" s="542">
        <v>1213</v>
      </c>
      <c r="BV95" s="542">
        <v>303</v>
      </c>
      <c r="BW95" s="542">
        <v>0</v>
      </c>
      <c r="BX95" s="542">
        <v>-1213</v>
      </c>
      <c r="BY95" s="542">
        <v>-303</v>
      </c>
      <c r="BZ95" s="542">
        <v>0</v>
      </c>
      <c r="CA95" s="542">
        <v>98606.179099999994</v>
      </c>
      <c r="CB95" s="542">
        <v>24651.5448</v>
      </c>
      <c r="CC95" s="542">
        <v>0</v>
      </c>
      <c r="CD95" s="542">
        <v>103083</v>
      </c>
      <c r="CE95" s="542">
        <v>25771</v>
      </c>
      <c r="CF95" s="542">
        <v>0</v>
      </c>
      <c r="CG95" s="542">
        <v>-4477</v>
      </c>
      <c r="CH95" s="542">
        <v>-1119</v>
      </c>
      <c r="CI95" s="542">
        <v>0</v>
      </c>
      <c r="CJ95" s="542">
        <v>0</v>
      </c>
      <c r="CK95" s="542">
        <v>0</v>
      </c>
      <c r="CL95" s="542">
        <v>0</v>
      </c>
      <c r="CM95" s="542">
        <v>0</v>
      </c>
      <c r="CN95" s="542">
        <v>0</v>
      </c>
      <c r="CO95" s="542">
        <v>0</v>
      </c>
      <c r="CP95" s="542">
        <v>0</v>
      </c>
      <c r="CQ95" s="542">
        <v>0</v>
      </c>
      <c r="CR95" s="542">
        <v>0</v>
      </c>
      <c r="CS95" s="542">
        <v>0</v>
      </c>
      <c r="CT95" s="542">
        <v>0</v>
      </c>
      <c r="CU95" s="542">
        <v>0</v>
      </c>
      <c r="CV95" s="542">
        <v>89933.675099999993</v>
      </c>
      <c r="CW95" s="542">
        <v>21030.698499999999</v>
      </c>
      <c r="CX95" s="542">
        <v>0</v>
      </c>
      <c r="CY95" s="542">
        <v>92766</v>
      </c>
      <c r="CZ95" s="542">
        <v>22861</v>
      </c>
      <c r="DA95" s="542">
        <v>0</v>
      </c>
      <c r="DB95" s="542">
        <v>-2832</v>
      </c>
      <c r="DC95" s="542">
        <v>-1830</v>
      </c>
      <c r="DD95" s="542">
        <v>0</v>
      </c>
      <c r="DE95" s="153" t="s">
        <v>55</v>
      </c>
      <c r="DF95" s="103" t="s">
        <v>799</v>
      </c>
      <c r="DG95" s="104" t="s">
        <v>751</v>
      </c>
      <c r="DH95" s="547"/>
      <c r="DI95" s="547"/>
    </row>
    <row r="96" spans="1:113" x14ac:dyDescent="0.2">
      <c r="A96" s="93">
        <v>90</v>
      </c>
      <c r="B96" s="145" t="s">
        <v>58</v>
      </c>
      <c r="C96" s="141" t="s">
        <v>770</v>
      </c>
      <c r="D96" s="142" t="s">
        <v>874</v>
      </c>
      <c r="E96" s="149" t="s">
        <v>696</v>
      </c>
      <c r="F96" s="542">
        <v>12483796</v>
      </c>
      <c r="G96" s="542">
        <v>-1039</v>
      </c>
      <c r="H96" s="542">
        <v>12482757</v>
      </c>
      <c r="I96" s="542">
        <v>239328</v>
      </c>
      <c r="J96" s="542">
        <v>0</v>
      </c>
      <c r="K96" s="542">
        <v>239328</v>
      </c>
      <c r="L96" s="542">
        <v>12244468</v>
      </c>
      <c r="M96" s="542">
        <v>-1039</v>
      </c>
      <c r="N96" s="542">
        <v>12243429</v>
      </c>
      <c r="O96" s="543">
        <v>0.5</v>
      </c>
      <c r="P96" s="543">
        <v>0.49</v>
      </c>
      <c r="Q96" s="543">
        <v>0</v>
      </c>
      <c r="R96" s="543">
        <v>0.01</v>
      </c>
      <c r="S96" s="542">
        <v>435614</v>
      </c>
      <c r="T96" s="542">
        <v>435614</v>
      </c>
      <c r="U96" s="542">
        <v>0</v>
      </c>
      <c r="V96" s="542">
        <v>0</v>
      </c>
      <c r="W96" s="542">
        <v>530</v>
      </c>
      <c r="X96" s="542">
        <v>-530</v>
      </c>
      <c r="Y96" s="542">
        <v>1473938</v>
      </c>
      <c r="Z96" s="542">
        <v>0</v>
      </c>
      <c r="AA96" s="542">
        <v>1332261</v>
      </c>
      <c r="AB96" s="542">
        <v>0</v>
      </c>
      <c r="AC96" s="542">
        <v>141677</v>
      </c>
      <c r="AD96" s="542">
        <v>0</v>
      </c>
      <c r="AE96" s="542">
        <v>203456.65</v>
      </c>
      <c r="AF96" s="542">
        <v>200671.2</v>
      </c>
      <c r="AG96" s="542">
        <v>0</v>
      </c>
      <c r="AH96" s="542">
        <v>2785.45</v>
      </c>
      <c r="AI96" s="542">
        <v>123745.5</v>
      </c>
      <c r="AJ96" s="542">
        <v>122527.5</v>
      </c>
      <c r="AK96" s="542">
        <v>0</v>
      </c>
      <c r="AL96" s="542">
        <v>1218</v>
      </c>
      <c r="AM96" s="542">
        <v>79711</v>
      </c>
      <c r="AN96" s="542">
        <v>78144</v>
      </c>
      <c r="AO96" s="542">
        <v>0</v>
      </c>
      <c r="AP96" s="542">
        <v>1567</v>
      </c>
      <c r="AQ96" s="542">
        <v>1902292.32</v>
      </c>
      <c r="AR96" s="542">
        <v>0</v>
      </c>
      <c r="AS96" s="542">
        <v>38822.29</v>
      </c>
      <c r="AT96" s="542">
        <v>1784165</v>
      </c>
      <c r="AU96" s="542">
        <v>0</v>
      </c>
      <c r="AV96" s="542">
        <v>36412</v>
      </c>
      <c r="AW96" s="542">
        <v>118127</v>
      </c>
      <c r="AX96" s="542">
        <v>0</v>
      </c>
      <c r="AY96" s="542">
        <v>2410</v>
      </c>
      <c r="AZ96" s="542">
        <v>2203.65</v>
      </c>
      <c r="BA96" s="542">
        <v>0</v>
      </c>
      <c r="BB96" s="542">
        <v>44.97</v>
      </c>
      <c r="BC96" s="542">
        <v>2169</v>
      </c>
      <c r="BD96" s="542">
        <v>0</v>
      </c>
      <c r="BE96" s="542">
        <v>44</v>
      </c>
      <c r="BF96" s="542">
        <v>35</v>
      </c>
      <c r="BG96" s="542">
        <v>0</v>
      </c>
      <c r="BH96" s="542">
        <v>1</v>
      </c>
      <c r="BI96" s="542">
        <v>0</v>
      </c>
      <c r="BJ96" s="542">
        <v>0</v>
      </c>
      <c r="BK96" s="542">
        <v>0</v>
      </c>
      <c r="BL96" s="542">
        <v>0</v>
      </c>
      <c r="BM96" s="542">
        <v>0</v>
      </c>
      <c r="BN96" s="542">
        <v>0</v>
      </c>
      <c r="BO96" s="542">
        <v>0</v>
      </c>
      <c r="BP96" s="542">
        <v>0</v>
      </c>
      <c r="BQ96" s="542">
        <v>0</v>
      </c>
      <c r="BR96" s="542">
        <v>5773.56</v>
      </c>
      <c r="BS96" s="542">
        <v>0</v>
      </c>
      <c r="BT96" s="542">
        <v>117.83</v>
      </c>
      <c r="BU96" s="542">
        <v>43791.18</v>
      </c>
      <c r="BV96" s="542">
        <v>0</v>
      </c>
      <c r="BW96" s="542">
        <v>893.7</v>
      </c>
      <c r="BX96" s="542">
        <v>-38018</v>
      </c>
      <c r="BY96" s="542">
        <v>0</v>
      </c>
      <c r="BZ96" s="542">
        <v>-776</v>
      </c>
      <c r="CA96" s="542">
        <v>688963.23</v>
      </c>
      <c r="CB96" s="542">
        <v>0</v>
      </c>
      <c r="CC96" s="542">
        <v>14060.47</v>
      </c>
      <c r="CD96" s="542">
        <v>846635.94</v>
      </c>
      <c r="CE96" s="542">
        <v>0</v>
      </c>
      <c r="CF96" s="542">
        <v>17278.28</v>
      </c>
      <c r="CG96" s="542">
        <v>-157673</v>
      </c>
      <c r="CH96" s="542">
        <v>0</v>
      </c>
      <c r="CI96" s="542">
        <v>-3218</v>
      </c>
      <c r="CJ96" s="542">
        <v>27361.08</v>
      </c>
      <c r="CK96" s="542">
        <v>0</v>
      </c>
      <c r="CL96" s="542">
        <v>558.39</v>
      </c>
      <c r="CM96" s="542">
        <v>-371.4</v>
      </c>
      <c r="CN96" s="542">
        <v>0</v>
      </c>
      <c r="CO96" s="542">
        <v>-7.58</v>
      </c>
      <c r="CP96" s="542">
        <v>29776</v>
      </c>
      <c r="CQ96" s="542">
        <v>0</v>
      </c>
      <c r="CR96" s="542">
        <v>607.67999999999995</v>
      </c>
      <c r="CS96" s="542">
        <v>-2786</v>
      </c>
      <c r="CT96" s="542">
        <v>0</v>
      </c>
      <c r="CU96" s="542">
        <v>-57</v>
      </c>
      <c r="CV96" s="542">
        <v>576543.52</v>
      </c>
      <c r="CW96" s="542">
        <v>0</v>
      </c>
      <c r="CX96" s="542">
        <v>11446.87</v>
      </c>
      <c r="CY96" s="542">
        <v>512212</v>
      </c>
      <c r="CZ96" s="542">
        <v>0</v>
      </c>
      <c r="DA96" s="542">
        <v>10057</v>
      </c>
      <c r="DB96" s="542">
        <v>64332</v>
      </c>
      <c r="DC96" s="542">
        <v>0</v>
      </c>
      <c r="DD96" s="542">
        <v>1390</v>
      </c>
      <c r="DE96" s="153" t="s">
        <v>696</v>
      </c>
      <c r="DF96" s="103" t="s">
        <v>770</v>
      </c>
      <c r="DG96" s="104" t="s">
        <v>805</v>
      </c>
      <c r="DH96" s="549" t="s">
        <v>1185</v>
      </c>
      <c r="DI96" s="549" t="s">
        <v>1186</v>
      </c>
    </row>
    <row r="97" spans="1:113" x14ac:dyDescent="0.2">
      <c r="A97" s="93">
        <v>91</v>
      </c>
      <c r="B97" s="145" t="s">
        <v>60</v>
      </c>
      <c r="C97" s="141" t="s">
        <v>866</v>
      </c>
      <c r="D97" s="142" t="s">
        <v>876</v>
      </c>
      <c r="E97" s="149" t="s">
        <v>59</v>
      </c>
      <c r="F97" s="542">
        <v>-57205</v>
      </c>
      <c r="G97" s="542">
        <v>0</v>
      </c>
      <c r="H97" s="542">
        <v>-57205</v>
      </c>
      <c r="I97" s="542">
        <v>40651</v>
      </c>
      <c r="J97" s="542">
        <v>0</v>
      </c>
      <c r="K97" s="542">
        <v>40651</v>
      </c>
      <c r="L97" s="542">
        <v>-97856</v>
      </c>
      <c r="M97" s="542">
        <v>0</v>
      </c>
      <c r="N97" s="542">
        <v>-97856</v>
      </c>
      <c r="O97" s="543">
        <v>0.5</v>
      </c>
      <c r="P97" s="543">
        <v>0.4</v>
      </c>
      <c r="Q97" s="543">
        <v>0.09</v>
      </c>
      <c r="R97" s="543">
        <v>0.01</v>
      </c>
      <c r="S97" s="542">
        <v>180196</v>
      </c>
      <c r="T97" s="542">
        <v>180196</v>
      </c>
      <c r="U97" s="542">
        <v>0</v>
      </c>
      <c r="V97" s="542">
        <v>0</v>
      </c>
      <c r="W97" s="542">
        <v>0</v>
      </c>
      <c r="X97" s="542">
        <v>0</v>
      </c>
      <c r="Y97" s="542">
        <v>0</v>
      </c>
      <c r="Z97" s="542">
        <v>0</v>
      </c>
      <c r="AA97" s="542">
        <v>0</v>
      </c>
      <c r="AB97" s="542">
        <v>0</v>
      </c>
      <c r="AC97" s="542">
        <v>0</v>
      </c>
      <c r="AD97" s="542">
        <v>0</v>
      </c>
      <c r="AE97" s="542">
        <v>0</v>
      </c>
      <c r="AF97" s="542">
        <v>0</v>
      </c>
      <c r="AG97" s="542">
        <v>0</v>
      </c>
      <c r="AH97" s="542">
        <v>0</v>
      </c>
      <c r="AI97" s="542">
        <v>0</v>
      </c>
      <c r="AJ97" s="542">
        <v>0</v>
      </c>
      <c r="AK97" s="542">
        <v>0</v>
      </c>
      <c r="AL97" s="542">
        <v>0</v>
      </c>
      <c r="AM97" s="542">
        <v>0</v>
      </c>
      <c r="AN97" s="542">
        <v>0</v>
      </c>
      <c r="AO97" s="542">
        <v>0</v>
      </c>
      <c r="AP97" s="542">
        <v>0</v>
      </c>
      <c r="AQ97" s="542">
        <v>523023.94900000002</v>
      </c>
      <c r="AR97" s="542">
        <v>117680.38800000001</v>
      </c>
      <c r="AS97" s="542">
        <v>13075.5987</v>
      </c>
      <c r="AT97" s="542">
        <v>233459</v>
      </c>
      <c r="AU97" s="542">
        <v>52528</v>
      </c>
      <c r="AV97" s="542">
        <v>5836</v>
      </c>
      <c r="AW97" s="542">
        <v>289565</v>
      </c>
      <c r="AX97" s="542">
        <v>65152</v>
      </c>
      <c r="AY97" s="542">
        <v>7240</v>
      </c>
      <c r="AZ97" s="542">
        <v>2018.80594</v>
      </c>
      <c r="BA97" s="542">
        <v>454.231337</v>
      </c>
      <c r="BB97" s="542">
        <v>50.470148600000002</v>
      </c>
      <c r="BC97" s="542">
        <v>0</v>
      </c>
      <c r="BD97" s="542">
        <v>0</v>
      </c>
      <c r="BE97" s="542">
        <v>0</v>
      </c>
      <c r="BF97" s="542">
        <v>2019</v>
      </c>
      <c r="BG97" s="542">
        <v>454</v>
      </c>
      <c r="BH97" s="542">
        <v>50</v>
      </c>
      <c r="BI97" s="542">
        <v>1196.569</v>
      </c>
      <c r="BJ97" s="542">
        <v>269.228025</v>
      </c>
      <c r="BK97" s="542">
        <v>29.914224999999998</v>
      </c>
      <c r="BL97" s="542">
        <v>10007</v>
      </c>
      <c r="BM97" s="542">
        <v>2252</v>
      </c>
      <c r="BN97" s="542">
        <v>250</v>
      </c>
      <c r="BO97" s="542">
        <v>-8810</v>
      </c>
      <c r="BP97" s="542">
        <v>-1983</v>
      </c>
      <c r="BQ97" s="542">
        <v>-220</v>
      </c>
      <c r="BR97" s="542">
        <v>0</v>
      </c>
      <c r="BS97" s="542">
        <v>0</v>
      </c>
      <c r="BT97" s="542">
        <v>0</v>
      </c>
      <c r="BU97" s="542">
        <v>65855</v>
      </c>
      <c r="BV97" s="542">
        <v>14817</v>
      </c>
      <c r="BW97" s="542">
        <v>1646</v>
      </c>
      <c r="BX97" s="542">
        <v>-65855</v>
      </c>
      <c r="BY97" s="542">
        <v>-14817</v>
      </c>
      <c r="BZ97" s="542">
        <v>-1646</v>
      </c>
      <c r="CA97" s="542">
        <v>105569.72500000001</v>
      </c>
      <c r="CB97" s="542">
        <v>23753.188200000001</v>
      </c>
      <c r="CC97" s="542">
        <v>2639.24314</v>
      </c>
      <c r="CD97" s="542">
        <v>270845</v>
      </c>
      <c r="CE97" s="542">
        <v>60940</v>
      </c>
      <c r="CF97" s="542">
        <v>6771</v>
      </c>
      <c r="CG97" s="542">
        <v>-165275</v>
      </c>
      <c r="CH97" s="542">
        <v>-37187</v>
      </c>
      <c r="CI97" s="542">
        <v>-4132</v>
      </c>
      <c r="CJ97" s="542">
        <v>0</v>
      </c>
      <c r="CK97" s="542">
        <v>0</v>
      </c>
      <c r="CL97" s="542">
        <v>0</v>
      </c>
      <c r="CM97" s="542">
        <v>0</v>
      </c>
      <c r="CN97" s="542">
        <v>0</v>
      </c>
      <c r="CO97" s="542">
        <v>0</v>
      </c>
      <c r="CP97" s="542">
        <v>0</v>
      </c>
      <c r="CQ97" s="542">
        <v>0</v>
      </c>
      <c r="CR97" s="542">
        <v>0</v>
      </c>
      <c r="CS97" s="542">
        <v>0</v>
      </c>
      <c r="CT97" s="542">
        <v>0</v>
      </c>
      <c r="CU97" s="542">
        <v>0</v>
      </c>
      <c r="CV97" s="542">
        <v>219622.764</v>
      </c>
      <c r="CW97" s="542">
        <v>49415.121899999998</v>
      </c>
      <c r="CX97" s="542">
        <v>5490.5690999999997</v>
      </c>
      <c r="CY97" s="542">
        <v>228393</v>
      </c>
      <c r="CZ97" s="542">
        <v>50958</v>
      </c>
      <c r="DA97" s="542">
        <v>5662</v>
      </c>
      <c r="DB97" s="542">
        <v>-8770</v>
      </c>
      <c r="DC97" s="542">
        <v>-1543</v>
      </c>
      <c r="DD97" s="542">
        <v>-171</v>
      </c>
      <c r="DE97" s="153" t="s">
        <v>59</v>
      </c>
      <c r="DF97" s="103" t="s">
        <v>792</v>
      </c>
      <c r="DG97" s="104" t="s">
        <v>793</v>
      </c>
      <c r="DH97" s="547"/>
      <c r="DI97" s="547"/>
    </row>
    <row r="98" spans="1:113" x14ac:dyDescent="0.2">
      <c r="A98" s="93">
        <v>92</v>
      </c>
      <c r="B98" s="145" t="s">
        <v>62</v>
      </c>
      <c r="C98" s="141" t="s">
        <v>866</v>
      </c>
      <c r="D98" s="142" t="s">
        <v>867</v>
      </c>
      <c r="E98" s="149" t="s">
        <v>61</v>
      </c>
      <c r="F98" s="542">
        <v>-216058</v>
      </c>
      <c r="G98" s="542">
        <v>0</v>
      </c>
      <c r="H98" s="542">
        <v>-216058</v>
      </c>
      <c r="I98" s="542">
        <v>37995</v>
      </c>
      <c r="J98" s="542">
        <v>0</v>
      </c>
      <c r="K98" s="542">
        <v>37995</v>
      </c>
      <c r="L98" s="542">
        <v>-254053</v>
      </c>
      <c r="M98" s="542">
        <v>0</v>
      </c>
      <c r="N98" s="542">
        <v>-254053</v>
      </c>
      <c r="O98" s="543">
        <v>0.5</v>
      </c>
      <c r="P98" s="543">
        <v>0.4</v>
      </c>
      <c r="Q98" s="543">
        <v>0.09</v>
      </c>
      <c r="R98" s="543">
        <v>0.01</v>
      </c>
      <c r="S98" s="542">
        <v>127045</v>
      </c>
      <c r="T98" s="542">
        <v>127045</v>
      </c>
      <c r="U98" s="542">
        <v>0</v>
      </c>
      <c r="V98" s="542">
        <v>0</v>
      </c>
      <c r="W98" s="542">
        <v>0</v>
      </c>
      <c r="X98" s="542">
        <v>0</v>
      </c>
      <c r="Y98" s="542">
        <v>0</v>
      </c>
      <c r="Z98" s="542">
        <v>0</v>
      </c>
      <c r="AA98" s="542">
        <v>0</v>
      </c>
      <c r="AB98" s="542">
        <v>0</v>
      </c>
      <c r="AC98" s="542">
        <v>0</v>
      </c>
      <c r="AD98" s="542">
        <v>0</v>
      </c>
      <c r="AE98" s="542">
        <v>0</v>
      </c>
      <c r="AF98" s="542">
        <v>0</v>
      </c>
      <c r="AG98" s="542">
        <v>0</v>
      </c>
      <c r="AH98" s="542">
        <v>0</v>
      </c>
      <c r="AI98" s="542">
        <v>0</v>
      </c>
      <c r="AJ98" s="542">
        <v>0</v>
      </c>
      <c r="AK98" s="542">
        <v>0</v>
      </c>
      <c r="AL98" s="542">
        <v>0</v>
      </c>
      <c r="AM98" s="542">
        <v>0</v>
      </c>
      <c r="AN98" s="542">
        <v>0</v>
      </c>
      <c r="AO98" s="542">
        <v>0</v>
      </c>
      <c r="AP98" s="542">
        <v>0</v>
      </c>
      <c r="AQ98" s="542">
        <v>401787.25400000002</v>
      </c>
      <c r="AR98" s="542">
        <v>90402.132199999993</v>
      </c>
      <c r="AS98" s="542">
        <v>10044.6813</v>
      </c>
      <c r="AT98" s="542">
        <v>383907</v>
      </c>
      <c r="AU98" s="542">
        <v>86379</v>
      </c>
      <c r="AV98" s="542">
        <v>9598</v>
      </c>
      <c r="AW98" s="542">
        <v>17880</v>
      </c>
      <c r="AX98" s="542">
        <v>4023</v>
      </c>
      <c r="AY98" s="542">
        <v>447</v>
      </c>
      <c r="AZ98" s="542">
        <v>0</v>
      </c>
      <c r="BA98" s="542">
        <v>0</v>
      </c>
      <c r="BB98" s="542">
        <v>0</v>
      </c>
      <c r="BC98" s="542">
        <v>14213</v>
      </c>
      <c r="BD98" s="542">
        <v>3198</v>
      </c>
      <c r="BE98" s="542">
        <v>355</v>
      </c>
      <c r="BF98" s="542">
        <v>-14213</v>
      </c>
      <c r="BG98" s="542">
        <v>-3198</v>
      </c>
      <c r="BH98" s="542">
        <v>-355</v>
      </c>
      <c r="BI98" s="542">
        <v>0</v>
      </c>
      <c r="BJ98" s="542">
        <v>0</v>
      </c>
      <c r="BK98" s="542">
        <v>0</v>
      </c>
      <c r="BL98" s="542">
        <v>0</v>
      </c>
      <c r="BM98" s="542">
        <v>0</v>
      </c>
      <c r="BN98" s="542">
        <v>0</v>
      </c>
      <c r="BO98" s="542">
        <v>0</v>
      </c>
      <c r="BP98" s="542">
        <v>0</v>
      </c>
      <c r="BQ98" s="542">
        <v>0</v>
      </c>
      <c r="BR98" s="542">
        <v>7447.0250500000002</v>
      </c>
      <c r="BS98" s="542">
        <v>1675.5806299999999</v>
      </c>
      <c r="BT98" s="542">
        <v>186.17562599999999</v>
      </c>
      <c r="BU98" s="542">
        <v>33547.186399999999</v>
      </c>
      <c r="BV98" s="542">
        <v>7548.1169399999999</v>
      </c>
      <c r="BW98" s="542">
        <v>838.67966000000001</v>
      </c>
      <c r="BX98" s="542">
        <v>-26100</v>
      </c>
      <c r="BY98" s="542">
        <v>-5873</v>
      </c>
      <c r="BZ98" s="542">
        <v>-653</v>
      </c>
      <c r="CA98" s="542">
        <v>149554.55100000001</v>
      </c>
      <c r="CB98" s="542">
        <v>33649.773999999998</v>
      </c>
      <c r="CC98" s="542">
        <v>3738.8637699999999</v>
      </c>
      <c r="CD98" s="542">
        <v>291702.09700000001</v>
      </c>
      <c r="CE98" s="542">
        <v>65632.971900000004</v>
      </c>
      <c r="CF98" s="542">
        <v>7292.5524400000004</v>
      </c>
      <c r="CG98" s="542">
        <v>-142148</v>
      </c>
      <c r="CH98" s="542">
        <v>-31983</v>
      </c>
      <c r="CI98" s="542">
        <v>-3554</v>
      </c>
      <c r="CJ98" s="542">
        <v>0</v>
      </c>
      <c r="CK98" s="542">
        <v>0</v>
      </c>
      <c r="CL98" s="542">
        <v>0</v>
      </c>
      <c r="CM98" s="542">
        <v>0</v>
      </c>
      <c r="CN98" s="542">
        <v>0</v>
      </c>
      <c r="CO98" s="542">
        <v>0</v>
      </c>
      <c r="CP98" s="542">
        <v>0</v>
      </c>
      <c r="CQ98" s="542">
        <v>0</v>
      </c>
      <c r="CR98" s="542">
        <v>0</v>
      </c>
      <c r="CS98" s="542">
        <v>0</v>
      </c>
      <c r="CT98" s="542">
        <v>0</v>
      </c>
      <c r="CU98" s="542">
        <v>0</v>
      </c>
      <c r="CV98" s="542">
        <v>138276.046</v>
      </c>
      <c r="CW98" s="542">
        <v>31112.110499999999</v>
      </c>
      <c r="CX98" s="542">
        <v>3456.9011599999999</v>
      </c>
      <c r="CY98" s="542">
        <v>142135</v>
      </c>
      <c r="CZ98" s="542">
        <v>31677</v>
      </c>
      <c r="DA98" s="542">
        <v>3520</v>
      </c>
      <c r="DB98" s="542">
        <v>-3859</v>
      </c>
      <c r="DC98" s="542">
        <v>-565</v>
      </c>
      <c r="DD98" s="542">
        <v>-63</v>
      </c>
      <c r="DE98" s="153" t="s">
        <v>61</v>
      </c>
      <c r="DF98" s="103" t="s">
        <v>806</v>
      </c>
      <c r="DG98" s="104" t="s">
        <v>784</v>
      </c>
      <c r="DH98" s="547"/>
      <c r="DI98" s="547"/>
    </row>
    <row r="99" spans="1:113" x14ac:dyDescent="0.2">
      <c r="A99" s="93">
        <v>93</v>
      </c>
      <c r="B99" s="145" t="s">
        <v>64</v>
      </c>
      <c r="C99" s="141" t="s">
        <v>866</v>
      </c>
      <c r="D99" s="142" t="s">
        <v>867</v>
      </c>
      <c r="E99" s="149" t="s">
        <v>63</v>
      </c>
      <c r="F99" s="542">
        <v>-45861</v>
      </c>
      <c r="G99" s="542">
        <v>0</v>
      </c>
      <c r="H99" s="542">
        <v>-45861</v>
      </c>
      <c r="I99" s="542">
        <v>-77000</v>
      </c>
      <c r="J99" s="542">
        <v>0</v>
      </c>
      <c r="K99" s="542">
        <v>-77000</v>
      </c>
      <c r="L99" s="542">
        <v>31139</v>
      </c>
      <c r="M99" s="542">
        <v>0</v>
      </c>
      <c r="N99" s="542">
        <v>31139</v>
      </c>
      <c r="O99" s="543">
        <v>0.5</v>
      </c>
      <c r="P99" s="543">
        <v>0.4</v>
      </c>
      <c r="Q99" s="543">
        <v>0.09</v>
      </c>
      <c r="R99" s="543">
        <v>0.01</v>
      </c>
      <c r="S99" s="542">
        <v>151459</v>
      </c>
      <c r="T99" s="542">
        <v>151459</v>
      </c>
      <c r="U99" s="542">
        <v>0</v>
      </c>
      <c r="V99" s="542">
        <v>0</v>
      </c>
      <c r="W99" s="542">
        <v>0</v>
      </c>
      <c r="X99" s="542">
        <v>0</v>
      </c>
      <c r="Y99" s="542">
        <v>0</v>
      </c>
      <c r="Z99" s="542">
        <v>0</v>
      </c>
      <c r="AA99" s="542">
        <v>0</v>
      </c>
      <c r="AB99" s="542">
        <v>0</v>
      </c>
      <c r="AC99" s="542">
        <v>0</v>
      </c>
      <c r="AD99" s="542">
        <v>0</v>
      </c>
      <c r="AE99" s="542">
        <v>0</v>
      </c>
      <c r="AF99" s="542">
        <v>0</v>
      </c>
      <c r="AG99" s="542">
        <v>0</v>
      </c>
      <c r="AH99" s="542">
        <v>0</v>
      </c>
      <c r="AI99" s="542">
        <v>0</v>
      </c>
      <c r="AJ99" s="542">
        <v>0</v>
      </c>
      <c r="AK99" s="542">
        <v>0</v>
      </c>
      <c r="AL99" s="542">
        <v>0</v>
      </c>
      <c r="AM99" s="542">
        <v>0</v>
      </c>
      <c r="AN99" s="542">
        <v>0</v>
      </c>
      <c r="AO99" s="542">
        <v>0</v>
      </c>
      <c r="AP99" s="542">
        <v>0</v>
      </c>
      <c r="AQ99" s="542">
        <v>324568.93699999998</v>
      </c>
      <c r="AR99" s="542">
        <v>73028.010899999994</v>
      </c>
      <c r="AS99" s="542">
        <v>8114.22343</v>
      </c>
      <c r="AT99" s="542">
        <v>310513</v>
      </c>
      <c r="AU99" s="542">
        <v>69865</v>
      </c>
      <c r="AV99" s="542">
        <v>7763</v>
      </c>
      <c r="AW99" s="542">
        <v>14056</v>
      </c>
      <c r="AX99" s="542">
        <v>3163</v>
      </c>
      <c r="AY99" s="542">
        <v>351</v>
      </c>
      <c r="AZ99" s="542">
        <v>0</v>
      </c>
      <c r="BA99" s="542">
        <v>0</v>
      </c>
      <c r="BB99" s="542">
        <v>0</v>
      </c>
      <c r="BC99" s="542">
        <v>0</v>
      </c>
      <c r="BD99" s="542">
        <v>0</v>
      </c>
      <c r="BE99" s="542">
        <v>0</v>
      </c>
      <c r="BF99" s="542">
        <v>0</v>
      </c>
      <c r="BG99" s="542">
        <v>0</v>
      </c>
      <c r="BH99" s="542">
        <v>0</v>
      </c>
      <c r="BI99" s="542">
        <v>1690.15371</v>
      </c>
      <c r="BJ99" s="542">
        <v>380.28458599999999</v>
      </c>
      <c r="BK99" s="542">
        <v>42.253842800000001</v>
      </c>
      <c r="BL99" s="542">
        <v>0</v>
      </c>
      <c r="BM99" s="542">
        <v>0</v>
      </c>
      <c r="BN99" s="542">
        <v>0</v>
      </c>
      <c r="BO99" s="542">
        <v>1690</v>
      </c>
      <c r="BP99" s="542">
        <v>380</v>
      </c>
      <c r="BQ99" s="542">
        <v>42</v>
      </c>
      <c r="BR99" s="542">
        <v>0</v>
      </c>
      <c r="BS99" s="542">
        <v>0</v>
      </c>
      <c r="BT99" s="542">
        <v>0</v>
      </c>
      <c r="BU99" s="542">
        <v>40424</v>
      </c>
      <c r="BV99" s="542">
        <v>9096</v>
      </c>
      <c r="BW99" s="542">
        <v>1011</v>
      </c>
      <c r="BX99" s="542">
        <v>-40424</v>
      </c>
      <c r="BY99" s="542">
        <v>-9096</v>
      </c>
      <c r="BZ99" s="542">
        <v>-1011</v>
      </c>
      <c r="CA99" s="542">
        <v>152114.23800000001</v>
      </c>
      <c r="CB99" s="542">
        <v>34225.703600000001</v>
      </c>
      <c r="CC99" s="542">
        <v>3802.8559599999999</v>
      </c>
      <c r="CD99" s="542">
        <v>242548</v>
      </c>
      <c r="CE99" s="542">
        <v>54573</v>
      </c>
      <c r="CF99" s="542">
        <v>6064</v>
      </c>
      <c r="CG99" s="542">
        <v>-90434</v>
      </c>
      <c r="CH99" s="542">
        <v>-20347</v>
      </c>
      <c r="CI99" s="542">
        <v>-2261</v>
      </c>
      <c r="CJ99" s="542">
        <v>0</v>
      </c>
      <c r="CK99" s="542">
        <v>0</v>
      </c>
      <c r="CL99" s="542">
        <v>0</v>
      </c>
      <c r="CM99" s="542">
        <v>0</v>
      </c>
      <c r="CN99" s="542">
        <v>0</v>
      </c>
      <c r="CO99" s="542">
        <v>0</v>
      </c>
      <c r="CP99" s="542">
        <v>0</v>
      </c>
      <c r="CQ99" s="542">
        <v>0</v>
      </c>
      <c r="CR99" s="542">
        <v>0</v>
      </c>
      <c r="CS99" s="542">
        <v>0</v>
      </c>
      <c r="CT99" s="542">
        <v>0</v>
      </c>
      <c r="CU99" s="542">
        <v>0</v>
      </c>
      <c r="CV99" s="542">
        <v>227499.35399999999</v>
      </c>
      <c r="CW99" s="542">
        <v>51187.354700000004</v>
      </c>
      <c r="CX99" s="542">
        <v>5687.4838600000003</v>
      </c>
      <c r="CY99" s="542">
        <v>232752</v>
      </c>
      <c r="CZ99" s="542">
        <v>52007</v>
      </c>
      <c r="DA99" s="542">
        <v>5779</v>
      </c>
      <c r="DB99" s="542">
        <v>-5253</v>
      </c>
      <c r="DC99" s="542">
        <v>-820</v>
      </c>
      <c r="DD99" s="542">
        <v>-92</v>
      </c>
      <c r="DE99" s="153" t="s">
        <v>63</v>
      </c>
      <c r="DF99" s="103" t="s">
        <v>767</v>
      </c>
      <c r="DG99" s="104" t="s">
        <v>768</v>
      </c>
      <c r="DH99" s="547"/>
      <c r="DI99" s="547"/>
    </row>
    <row r="100" spans="1:113" x14ac:dyDescent="0.2">
      <c r="A100" s="93">
        <v>94</v>
      </c>
      <c r="B100" s="145" t="s">
        <v>66</v>
      </c>
      <c r="C100" s="141" t="s">
        <v>866</v>
      </c>
      <c r="D100" s="142" t="s">
        <v>868</v>
      </c>
      <c r="E100" s="149" t="s">
        <v>65</v>
      </c>
      <c r="F100" s="542">
        <v>35711</v>
      </c>
      <c r="G100" s="542">
        <v>0</v>
      </c>
      <c r="H100" s="542">
        <v>35711</v>
      </c>
      <c r="I100" s="542">
        <v>94176</v>
      </c>
      <c r="J100" s="542">
        <v>0</v>
      </c>
      <c r="K100" s="542">
        <v>94176</v>
      </c>
      <c r="L100" s="542">
        <v>-58465</v>
      </c>
      <c r="M100" s="542">
        <v>0</v>
      </c>
      <c r="N100" s="542">
        <v>-58465</v>
      </c>
      <c r="O100" s="543">
        <v>0.5</v>
      </c>
      <c r="P100" s="543">
        <v>0.4</v>
      </c>
      <c r="Q100" s="543">
        <v>0.1</v>
      </c>
      <c r="R100" s="543">
        <v>0</v>
      </c>
      <c r="S100" s="542">
        <v>128447</v>
      </c>
      <c r="T100" s="542">
        <v>128447</v>
      </c>
      <c r="U100" s="542">
        <v>0</v>
      </c>
      <c r="V100" s="542">
        <v>0</v>
      </c>
      <c r="W100" s="542">
        <v>0</v>
      </c>
      <c r="X100" s="542">
        <v>0</v>
      </c>
      <c r="Y100" s="542">
        <v>0</v>
      </c>
      <c r="Z100" s="542">
        <v>0</v>
      </c>
      <c r="AA100" s="542">
        <v>0</v>
      </c>
      <c r="AB100" s="542">
        <v>0</v>
      </c>
      <c r="AC100" s="542">
        <v>0</v>
      </c>
      <c r="AD100" s="542">
        <v>0</v>
      </c>
      <c r="AE100" s="542">
        <v>0</v>
      </c>
      <c r="AF100" s="542">
        <v>0</v>
      </c>
      <c r="AG100" s="542">
        <v>0</v>
      </c>
      <c r="AH100" s="542">
        <v>0</v>
      </c>
      <c r="AI100" s="542">
        <v>0</v>
      </c>
      <c r="AJ100" s="542">
        <v>0</v>
      </c>
      <c r="AK100" s="542">
        <v>0</v>
      </c>
      <c r="AL100" s="542">
        <v>0</v>
      </c>
      <c r="AM100" s="542">
        <v>0</v>
      </c>
      <c r="AN100" s="542">
        <v>0</v>
      </c>
      <c r="AO100" s="542">
        <v>0</v>
      </c>
      <c r="AP100" s="542">
        <v>0</v>
      </c>
      <c r="AQ100" s="542">
        <v>428665.38699999999</v>
      </c>
      <c r="AR100" s="542">
        <v>107166.34600000001</v>
      </c>
      <c r="AS100" s="542">
        <v>0</v>
      </c>
      <c r="AT100" s="542">
        <v>406274</v>
      </c>
      <c r="AU100" s="542">
        <v>101568</v>
      </c>
      <c r="AV100" s="542">
        <v>0</v>
      </c>
      <c r="AW100" s="542">
        <v>22391</v>
      </c>
      <c r="AX100" s="542">
        <v>5598</v>
      </c>
      <c r="AY100" s="542">
        <v>0</v>
      </c>
      <c r="AZ100" s="542">
        <v>0</v>
      </c>
      <c r="BA100" s="542">
        <v>0</v>
      </c>
      <c r="BB100" s="542">
        <v>0</v>
      </c>
      <c r="BC100" s="542">
        <v>3774</v>
      </c>
      <c r="BD100" s="542">
        <v>943</v>
      </c>
      <c r="BE100" s="542">
        <v>0</v>
      </c>
      <c r="BF100" s="542">
        <v>-3774</v>
      </c>
      <c r="BG100" s="542">
        <v>-943</v>
      </c>
      <c r="BH100" s="542">
        <v>0</v>
      </c>
      <c r="BI100" s="542">
        <v>0</v>
      </c>
      <c r="BJ100" s="542">
        <v>0</v>
      </c>
      <c r="BK100" s="542">
        <v>0</v>
      </c>
      <c r="BL100" s="542">
        <v>0</v>
      </c>
      <c r="BM100" s="542">
        <v>0</v>
      </c>
      <c r="BN100" s="542">
        <v>0</v>
      </c>
      <c r="BO100" s="542">
        <v>0</v>
      </c>
      <c r="BP100" s="542">
        <v>0</v>
      </c>
      <c r="BQ100" s="542">
        <v>0</v>
      </c>
      <c r="BR100" s="542">
        <v>0</v>
      </c>
      <c r="BS100" s="542">
        <v>0</v>
      </c>
      <c r="BT100" s="542">
        <v>0</v>
      </c>
      <c r="BU100" s="542">
        <v>28581</v>
      </c>
      <c r="BV100" s="542">
        <v>7145</v>
      </c>
      <c r="BW100" s="542">
        <v>0</v>
      </c>
      <c r="BX100" s="542">
        <v>-28581</v>
      </c>
      <c r="BY100" s="542">
        <v>-7145</v>
      </c>
      <c r="BZ100" s="542">
        <v>0</v>
      </c>
      <c r="CA100" s="542">
        <v>95353.613500000007</v>
      </c>
      <c r="CB100" s="542">
        <v>23838.403399999999</v>
      </c>
      <c r="CC100" s="542">
        <v>0</v>
      </c>
      <c r="CD100" s="542">
        <v>139214</v>
      </c>
      <c r="CE100" s="542">
        <v>34804</v>
      </c>
      <c r="CF100" s="542">
        <v>0</v>
      </c>
      <c r="CG100" s="542">
        <v>-43860</v>
      </c>
      <c r="CH100" s="542">
        <v>-10966</v>
      </c>
      <c r="CI100" s="542">
        <v>0</v>
      </c>
      <c r="CJ100" s="542">
        <v>0</v>
      </c>
      <c r="CK100" s="542">
        <v>0</v>
      </c>
      <c r="CL100" s="542">
        <v>0</v>
      </c>
      <c r="CM100" s="542">
        <v>0</v>
      </c>
      <c r="CN100" s="542">
        <v>0</v>
      </c>
      <c r="CO100" s="542">
        <v>0</v>
      </c>
      <c r="CP100" s="542">
        <v>0</v>
      </c>
      <c r="CQ100" s="542">
        <v>0</v>
      </c>
      <c r="CR100" s="542">
        <v>0</v>
      </c>
      <c r="CS100" s="542">
        <v>0</v>
      </c>
      <c r="CT100" s="542">
        <v>0</v>
      </c>
      <c r="CU100" s="542">
        <v>0</v>
      </c>
      <c r="CV100" s="542">
        <v>84336.416100000002</v>
      </c>
      <c r="CW100" s="542">
        <v>21084.103999999999</v>
      </c>
      <c r="CX100" s="542">
        <v>0</v>
      </c>
      <c r="CY100" s="542">
        <v>89065</v>
      </c>
      <c r="CZ100" s="542">
        <v>21925</v>
      </c>
      <c r="DA100" s="542">
        <v>0</v>
      </c>
      <c r="DB100" s="542">
        <v>-4729</v>
      </c>
      <c r="DC100" s="542">
        <v>-841</v>
      </c>
      <c r="DD100" s="542">
        <v>0</v>
      </c>
      <c r="DE100" s="153" t="s">
        <v>65</v>
      </c>
      <c r="DF100" s="103" t="s">
        <v>752</v>
      </c>
      <c r="DG100" s="104" t="s">
        <v>751</v>
      </c>
      <c r="DH100" s="547"/>
      <c r="DI100" s="547"/>
    </row>
    <row r="101" spans="1:113" ht="12.75" x14ac:dyDescent="0.2">
      <c r="A101" s="93">
        <v>95</v>
      </c>
      <c r="B101" s="145" t="s">
        <v>68</v>
      </c>
      <c r="C101" s="141" t="s">
        <v>866</v>
      </c>
      <c r="D101" s="142" t="s">
        <v>867</v>
      </c>
      <c r="E101" s="149" t="s">
        <v>67</v>
      </c>
      <c r="F101" s="542">
        <v>-201343</v>
      </c>
      <c r="G101" s="542">
        <v>0</v>
      </c>
      <c r="H101" s="542">
        <v>-201343</v>
      </c>
      <c r="I101" s="542">
        <v>15795</v>
      </c>
      <c r="J101" s="542">
        <v>0</v>
      </c>
      <c r="K101" s="542">
        <v>15795</v>
      </c>
      <c r="L101" s="542">
        <v>-217138</v>
      </c>
      <c r="M101" s="542">
        <v>0</v>
      </c>
      <c r="N101" s="542">
        <v>-217138</v>
      </c>
      <c r="O101" s="543">
        <v>0.5</v>
      </c>
      <c r="P101" s="543">
        <v>0.4</v>
      </c>
      <c r="Q101" s="543">
        <v>0.1</v>
      </c>
      <c r="R101" s="543">
        <v>0</v>
      </c>
      <c r="S101" s="542">
        <v>183832</v>
      </c>
      <c r="T101" s="542">
        <v>183832</v>
      </c>
      <c r="U101" s="542">
        <v>0</v>
      </c>
      <c r="V101" s="542">
        <v>0</v>
      </c>
      <c r="W101" s="542">
        <v>0</v>
      </c>
      <c r="X101" s="542">
        <v>0</v>
      </c>
      <c r="Y101" s="542">
        <v>0</v>
      </c>
      <c r="Z101" s="542">
        <v>0</v>
      </c>
      <c r="AA101" s="542">
        <v>0</v>
      </c>
      <c r="AB101" s="542">
        <v>0</v>
      </c>
      <c r="AC101" s="542">
        <v>0</v>
      </c>
      <c r="AD101" s="542">
        <v>0</v>
      </c>
      <c r="AE101" s="542">
        <v>0</v>
      </c>
      <c r="AF101" s="542">
        <v>0</v>
      </c>
      <c r="AG101" s="542">
        <v>0</v>
      </c>
      <c r="AH101" s="542">
        <v>0</v>
      </c>
      <c r="AI101" s="542">
        <v>0</v>
      </c>
      <c r="AJ101" s="542">
        <v>0</v>
      </c>
      <c r="AK101" s="542">
        <v>0</v>
      </c>
      <c r="AL101" s="542">
        <v>0</v>
      </c>
      <c r="AM101" s="542">
        <v>0</v>
      </c>
      <c r="AN101" s="542">
        <v>0</v>
      </c>
      <c r="AO101" s="542">
        <v>0</v>
      </c>
      <c r="AP101" s="542">
        <v>0</v>
      </c>
      <c r="AQ101" s="542">
        <v>380164.929</v>
      </c>
      <c r="AR101" s="542">
        <v>95041.232199999999</v>
      </c>
      <c r="AS101" s="542">
        <v>0</v>
      </c>
      <c r="AT101" s="542">
        <v>359865</v>
      </c>
      <c r="AU101" s="542">
        <v>89966</v>
      </c>
      <c r="AV101" s="542">
        <v>0</v>
      </c>
      <c r="AW101" s="542">
        <v>20300</v>
      </c>
      <c r="AX101" s="542">
        <v>5075</v>
      </c>
      <c r="AY101" s="542">
        <v>0</v>
      </c>
      <c r="AZ101" s="542">
        <v>0</v>
      </c>
      <c r="BA101" s="542">
        <v>0</v>
      </c>
      <c r="BB101" s="542">
        <v>0</v>
      </c>
      <c r="BC101" s="542">
        <v>0</v>
      </c>
      <c r="BD101" s="542">
        <v>0</v>
      </c>
      <c r="BE101" s="542">
        <v>0</v>
      </c>
      <c r="BF101" s="542">
        <v>0</v>
      </c>
      <c r="BG101" s="542">
        <v>0</v>
      </c>
      <c r="BH101" s="542">
        <v>0</v>
      </c>
      <c r="BI101" s="542">
        <v>41241.205900000001</v>
      </c>
      <c r="BJ101" s="542">
        <v>10310.3014</v>
      </c>
      <c r="BK101" s="542">
        <v>0</v>
      </c>
      <c r="BL101" s="542">
        <v>0</v>
      </c>
      <c r="BM101" s="542">
        <v>0</v>
      </c>
      <c r="BN101" s="542">
        <v>0</v>
      </c>
      <c r="BO101" s="542">
        <v>41241</v>
      </c>
      <c r="BP101" s="542">
        <v>10310</v>
      </c>
      <c r="BQ101" s="542">
        <v>0</v>
      </c>
      <c r="BR101" s="542">
        <v>1041.33842</v>
      </c>
      <c r="BS101" s="542">
        <v>260.33460700000001</v>
      </c>
      <c r="BT101" s="542">
        <v>0</v>
      </c>
      <c r="BU101" s="542">
        <v>12342</v>
      </c>
      <c r="BV101" s="542">
        <v>3085</v>
      </c>
      <c r="BW101" s="542">
        <v>0</v>
      </c>
      <c r="BX101" s="542">
        <v>-11301</v>
      </c>
      <c r="BY101" s="542">
        <v>-2825</v>
      </c>
      <c r="BZ101" s="542">
        <v>0</v>
      </c>
      <c r="CA101" s="542">
        <v>273311.31699999998</v>
      </c>
      <c r="CB101" s="542">
        <v>68327.829299999998</v>
      </c>
      <c r="CC101" s="542">
        <v>0</v>
      </c>
      <c r="CD101" s="542">
        <v>369737</v>
      </c>
      <c r="CE101" s="542">
        <v>92434</v>
      </c>
      <c r="CF101" s="542">
        <v>0</v>
      </c>
      <c r="CG101" s="542">
        <v>-96426</v>
      </c>
      <c r="CH101" s="542">
        <v>-24106</v>
      </c>
      <c r="CI101" s="542">
        <v>0</v>
      </c>
      <c r="CJ101" s="542">
        <v>0</v>
      </c>
      <c r="CK101" s="542">
        <v>0</v>
      </c>
      <c r="CL101" s="542">
        <v>0</v>
      </c>
      <c r="CM101" s="542">
        <v>9492.107</v>
      </c>
      <c r="CN101" s="542">
        <v>2373.02675</v>
      </c>
      <c r="CO101" s="542">
        <v>0</v>
      </c>
      <c r="CP101" s="542">
        <v>9422</v>
      </c>
      <c r="CQ101" s="542">
        <v>2355.6</v>
      </c>
      <c r="CR101" s="542">
        <v>0</v>
      </c>
      <c r="CS101" s="542">
        <v>70</v>
      </c>
      <c r="CT101" s="542">
        <v>17</v>
      </c>
      <c r="CU101" s="542">
        <v>0</v>
      </c>
      <c r="CV101" s="542">
        <v>197089.448</v>
      </c>
      <c r="CW101" s="542">
        <v>49272.362000000001</v>
      </c>
      <c r="CX101" s="542">
        <v>0</v>
      </c>
      <c r="CY101" s="542">
        <v>227386</v>
      </c>
      <c r="CZ101" s="542">
        <v>56359</v>
      </c>
      <c r="DA101" s="542">
        <v>0</v>
      </c>
      <c r="DB101" s="542">
        <v>-30297</v>
      </c>
      <c r="DC101" s="542">
        <v>-7087</v>
      </c>
      <c r="DD101" s="542">
        <v>0</v>
      </c>
      <c r="DE101" s="153" t="s">
        <v>67</v>
      </c>
      <c r="DF101" s="103" t="s">
        <v>807</v>
      </c>
      <c r="DG101" s="104" t="s">
        <v>751</v>
      </c>
      <c r="DH101" s="548"/>
      <c r="DI101" s="548"/>
    </row>
    <row r="102" spans="1:113" x14ac:dyDescent="0.2">
      <c r="A102" s="93">
        <v>96</v>
      </c>
      <c r="B102" s="145" t="s">
        <v>70</v>
      </c>
      <c r="C102" s="141" t="s">
        <v>871</v>
      </c>
      <c r="D102" s="142" t="s">
        <v>872</v>
      </c>
      <c r="E102" s="149" t="s">
        <v>69</v>
      </c>
      <c r="F102" s="542">
        <v>-769726</v>
      </c>
      <c r="G102" s="542">
        <v>0</v>
      </c>
      <c r="H102" s="542">
        <v>-769726</v>
      </c>
      <c r="I102" s="542">
        <v>433655</v>
      </c>
      <c r="J102" s="542">
        <v>0</v>
      </c>
      <c r="K102" s="542">
        <v>433655</v>
      </c>
      <c r="L102" s="542">
        <v>-1203381</v>
      </c>
      <c r="M102" s="542">
        <v>0</v>
      </c>
      <c r="N102" s="542">
        <v>-1203381</v>
      </c>
      <c r="O102" s="543">
        <v>0.5</v>
      </c>
      <c r="P102" s="543">
        <v>0.3</v>
      </c>
      <c r="Q102" s="543">
        <v>0.2</v>
      </c>
      <c r="R102" s="543">
        <v>0</v>
      </c>
      <c r="S102" s="542">
        <v>350845</v>
      </c>
      <c r="T102" s="542">
        <v>350845</v>
      </c>
      <c r="U102" s="542">
        <v>0</v>
      </c>
      <c r="V102" s="542">
        <v>0</v>
      </c>
      <c r="W102" s="542">
        <v>0</v>
      </c>
      <c r="X102" s="542">
        <v>0</v>
      </c>
      <c r="Y102" s="542">
        <v>0</v>
      </c>
      <c r="Z102" s="542">
        <v>0</v>
      </c>
      <c r="AA102" s="542">
        <v>0</v>
      </c>
      <c r="AB102" s="542">
        <v>0</v>
      </c>
      <c r="AC102" s="542">
        <v>0</v>
      </c>
      <c r="AD102" s="542">
        <v>0</v>
      </c>
      <c r="AE102" s="542">
        <v>0</v>
      </c>
      <c r="AF102" s="542">
        <v>0</v>
      </c>
      <c r="AG102" s="542">
        <v>0</v>
      </c>
      <c r="AH102" s="542">
        <v>0</v>
      </c>
      <c r="AI102" s="542">
        <v>0</v>
      </c>
      <c r="AJ102" s="542">
        <v>0</v>
      </c>
      <c r="AK102" s="542">
        <v>0</v>
      </c>
      <c r="AL102" s="542">
        <v>0</v>
      </c>
      <c r="AM102" s="542">
        <v>0</v>
      </c>
      <c r="AN102" s="542">
        <v>0</v>
      </c>
      <c r="AO102" s="542">
        <v>0</v>
      </c>
      <c r="AP102" s="542">
        <v>0</v>
      </c>
      <c r="AQ102" s="542">
        <v>583319.35400000005</v>
      </c>
      <c r="AR102" s="542">
        <v>388879.56900000002</v>
      </c>
      <c r="AS102" s="542">
        <v>0</v>
      </c>
      <c r="AT102" s="542">
        <v>564604</v>
      </c>
      <c r="AU102" s="542">
        <v>376402</v>
      </c>
      <c r="AV102" s="542">
        <v>0</v>
      </c>
      <c r="AW102" s="542">
        <v>18715</v>
      </c>
      <c r="AX102" s="542">
        <v>12478</v>
      </c>
      <c r="AY102" s="542">
        <v>0</v>
      </c>
      <c r="AZ102" s="542">
        <v>1202.7337500000001</v>
      </c>
      <c r="BA102" s="542">
        <v>801.82250499999998</v>
      </c>
      <c r="BB102" s="542">
        <v>0</v>
      </c>
      <c r="BC102" s="542">
        <v>0</v>
      </c>
      <c r="BD102" s="542">
        <v>0</v>
      </c>
      <c r="BE102" s="542">
        <v>0</v>
      </c>
      <c r="BF102" s="542">
        <v>1203</v>
      </c>
      <c r="BG102" s="542">
        <v>802</v>
      </c>
      <c r="BH102" s="542">
        <v>0</v>
      </c>
      <c r="BI102" s="542">
        <v>0</v>
      </c>
      <c r="BJ102" s="542">
        <v>0</v>
      </c>
      <c r="BK102" s="542">
        <v>0</v>
      </c>
      <c r="BL102" s="542">
        <v>0</v>
      </c>
      <c r="BM102" s="542">
        <v>0</v>
      </c>
      <c r="BN102" s="542">
        <v>0</v>
      </c>
      <c r="BO102" s="542">
        <v>0</v>
      </c>
      <c r="BP102" s="542">
        <v>0</v>
      </c>
      <c r="BQ102" s="542">
        <v>0</v>
      </c>
      <c r="BR102" s="542">
        <v>4091.17452</v>
      </c>
      <c r="BS102" s="542">
        <v>2727.4496800000002</v>
      </c>
      <c r="BT102" s="542">
        <v>0</v>
      </c>
      <c r="BU102" s="542">
        <v>39610</v>
      </c>
      <c r="BV102" s="542">
        <v>26406</v>
      </c>
      <c r="BW102" s="542">
        <v>0</v>
      </c>
      <c r="BX102" s="542">
        <v>-35519</v>
      </c>
      <c r="BY102" s="542">
        <v>-23679</v>
      </c>
      <c r="BZ102" s="542">
        <v>0</v>
      </c>
      <c r="CA102" s="542">
        <v>349698.09899999999</v>
      </c>
      <c r="CB102" s="542">
        <v>233132.06599999999</v>
      </c>
      <c r="CC102" s="542">
        <v>0</v>
      </c>
      <c r="CD102" s="542">
        <v>625773</v>
      </c>
      <c r="CE102" s="542">
        <v>417182</v>
      </c>
      <c r="CF102" s="542">
        <v>0</v>
      </c>
      <c r="CG102" s="542">
        <v>-276075</v>
      </c>
      <c r="CH102" s="542">
        <v>-184050</v>
      </c>
      <c r="CI102" s="542">
        <v>0</v>
      </c>
      <c r="CJ102" s="542">
        <v>0</v>
      </c>
      <c r="CK102" s="542">
        <v>0</v>
      </c>
      <c r="CL102" s="542">
        <v>0</v>
      </c>
      <c r="CM102" s="542">
        <v>0</v>
      </c>
      <c r="CN102" s="542">
        <v>0</v>
      </c>
      <c r="CO102" s="542">
        <v>0</v>
      </c>
      <c r="CP102" s="542">
        <v>0</v>
      </c>
      <c r="CQ102" s="542">
        <v>0</v>
      </c>
      <c r="CR102" s="542">
        <v>0</v>
      </c>
      <c r="CS102" s="542">
        <v>0</v>
      </c>
      <c r="CT102" s="542">
        <v>0</v>
      </c>
      <c r="CU102" s="542">
        <v>0</v>
      </c>
      <c r="CV102" s="542">
        <v>311390.245</v>
      </c>
      <c r="CW102" s="542">
        <v>207593.49600000001</v>
      </c>
      <c r="CX102" s="542">
        <v>0</v>
      </c>
      <c r="CY102" s="542">
        <v>339620</v>
      </c>
      <c r="CZ102" s="542">
        <v>223931</v>
      </c>
      <c r="DA102" s="542">
        <v>0</v>
      </c>
      <c r="DB102" s="542">
        <v>-28230</v>
      </c>
      <c r="DC102" s="542">
        <v>-16338</v>
      </c>
      <c r="DD102" s="542">
        <v>0</v>
      </c>
      <c r="DE102" s="153" t="s">
        <v>69</v>
      </c>
      <c r="DF102" s="103" t="s">
        <v>762</v>
      </c>
      <c r="DG102" s="103" t="s">
        <v>750</v>
      </c>
      <c r="DH102" s="547"/>
      <c r="DI102" s="547"/>
    </row>
    <row r="103" spans="1:113" x14ac:dyDescent="0.2">
      <c r="A103" s="93">
        <v>97</v>
      </c>
      <c r="B103" s="145" t="s">
        <v>72</v>
      </c>
      <c r="C103" s="141" t="s">
        <v>866</v>
      </c>
      <c r="D103" s="142" t="s">
        <v>870</v>
      </c>
      <c r="E103" s="149" t="s">
        <v>71</v>
      </c>
      <c r="F103" s="542">
        <v>-7789</v>
      </c>
      <c r="G103" s="542">
        <v>0</v>
      </c>
      <c r="H103" s="542">
        <v>-7789</v>
      </c>
      <c r="I103" s="542">
        <v>145465</v>
      </c>
      <c r="J103" s="542">
        <v>0</v>
      </c>
      <c r="K103" s="542">
        <v>145465</v>
      </c>
      <c r="L103" s="542">
        <v>-153254</v>
      </c>
      <c r="M103" s="542">
        <v>0</v>
      </c>
      <c r="N103" s="542">
        <v>-153254</v>
      </c>
      <c r="O103" s="543">
        <v>0.5</v>
      </c>
      <c r="P103" s="543">
        <v>0.4</v>
      </c>
      <c r="Q103" s="543">
        <v>0.09</v>
      </c>
      <c r="R103" s="543">
        <v>0.01</v>
      </c>
      <c r="S103" s="542">
        <v>172663</v>
      </c>
      <c r="T103" s="542">
        <v>172663</v>
      </c>
      <c r="U103" s="542">
        <v>0</v>
      </c>
      <c r="V103" s="542">
        <v>0</v>
      </c>
      <c r="W103" s="542">
        <v>0</v>
      </c>
      <c r="X103" s="542">
        <v>0</v>
      </c>
      <c r="Y103" s="542">
        <v>0</v>
      </c>
      <c r="Z103" s="542">
        <v>0</v>
      </c>
      <c r="AA103" s="542">
        <v>0</v>
      </c>
      <c r="AB103" s="542">
        <v>0</v>
      </c>
      <c r="AC103" s="542">
        <v>0</v>
      </c>
      <c r="AD103" s="542">
        <v>0</v>
      </c>
      <c r="AE103" s="542">
        <v>0</v>
      </c>
      <c r="AF103" s="542">
        <v>0</v>
      </c>
      <c r="AG103" s="542">
        <v>0</v>
      </c>
      <c r="AH103" s="542">
        <v>0</v>
      </c>
      <c r="AI103" s="542">
        <v>0</v>
      </c>
      <c r="AJ103" s="542">
        <v>0</v>
      </c>
      <c r="AK103" s="542">
        <v>0</v>
      </c>
      <c r="AL103" s="542">
        <v>0</v>
      </c>
      <c r="AM103" s="542">
        <v>0</v>
      </c>
      <c r="AN103" s="542">
        <v>0</v>
      </c>
      <c r="AO103" s="542">
        <v>0</v>
      </c>
      <c r="AP103" s="542">
        <v>0</v>
      </c>
      <c r="AQ103" s="542">
        <v>505003.25599999999</v>
      </c>
      <c r="AR103" s="542">
        <v>113625.732</v>
      </c>
      <c r="AS103" s="542">
        <v>12625.081399999999</v>
      </c>
      <c r="AT103" s="542">
        <v>437074</v>
      </c>
      <c r="AU103" s="542">
        <v>98342</v>
      </c>
      <c r="AV103" s="542">
        <v>10927</v>
      </c>
      <c r="AW103" s="542">
        <v>67929</v>
      </c>
      <c r="AX103" s="542">
        <v>15284</v>
      </c>
      <c r="AY103" s="542">
        <v>1698</v>
      </c>
      <c r="AZ103" s="542">
        <v>1089.0394899999999</v>
      </c>
      <c r="BA103" s="542">
        <v>245.033885</v>
      </c>
      <c r="BB103" s="542">
        <v>27.225987199999999</v>
      </c>
      <c r="BC103" s="542">
        <v>40424</v>
      </c>
      <c r="BD103" s="542">
        <v>9096</v>
      </c>
      <c r="BE103" s="542">
        <v>1011</v>
      </c>
      <c r="BF103" s="542">
        <v>-39335</v>
      </c>
      <c r="BG103" s="542">
        <v>-8851</v>
      </c>
      <c r="BH103" s="542">
        <v>-984</v>
      </c>
      <c r="BI103" s="542">
        <v>16240.9987</v>
      </c>
      <c r="BJ103" s="542">
        <v>3654.22471</v>
      </c>
      <c r="BK103" s="542">
        <v>406.024968</v>
      </c>
      <c r="BL103" s="542">
        <v>40424</v>
      </c>
      <c r="BM103" s="542">
        <v>9096</v>
      </c>
      <c r="BN103" s="542">
        <v>1011</v>
      </c>
      <c r="BO103" s="542">
        <v>-24183</v>
      </c>
      <c r="BP103" s="542">
        <v>-5442</v>
      </c>
      <c r="BQ103" s="542">
        <v>-605</v>
      </c>
      <c r="BR103" s="542">
        <v>5829.2314200000001</v>
      </c>
      <c r="BS103" s="542">
        <v>1311.57707</v>
      </c>
      <c r="BT103" s="542">
        <v>145.730785</v>
      </c>
      <c r="BU103" s="542">
        <v>14006</v>
      </c>
      <c r="BV103" s="542">
        <v>3151</v>
      </c>
      <c r="BW103" s="542">
        <v>350</v>
      </c>
      <c r="BX103" s="542">
        <v>-8177</v>
      </c>
      <c r="BY103" s="542">
        <v>-1839</v>
      </c>
      <c r="BZ103" s="542">
        <v>-204</v>
      </c>
      <c r="CA103" s="542">
        <v>192673.076</v>
      </c>
      <c r="CB103" s="542">
        <v>43351.442199999998</v>
      </c>
      <c r="CC103" s="542">
        <v>4816.8269200000004</v>
      </c>
      <c r="CD103" s="542">
        <v>303007</v>
      </c>
      <c r="CE103" s="542">
        <v>68176</v>
      </c>
      <c r="CF103" s="542">
        <v>7575</v>
      </c>
      <c r="CG103" s="542">
        <v>-110334</v>
      </c>
      <c r="CH103" s="542">
        <v>-24825</v>
      </c>
      <c r="CI103" s="542">
        <v>-2758</v>
      </c>
      <c r="CJ103" s="542">
        <v>0</v>
      </c>
      <c r="CK103" s="542">
        <v>0</v>
      </c>
      <c r="CL103" s="542">
        <v>0</v>
      </c>
      <c r="CM103" s="542">
        <v>4890.9757900000004</v>
      </c>
      <c r="CN103" s="542">
        <v>1100.46955</v>
      </c>
      <c r="CO103" s="542">
        <v>122.274394</v>
      </c>
      <c r="CP103" s="542">
        <v>0</v>
      </c>
      <c r="CQ103" s="542">
        <v>0</v>
      </c>
      <c r="CR103" s="542">
        <v>0</v>
      </c>
      <c r="CS103" s="542">
        <v>4891</v>
      </c>
      <c r="CT103" s="542">
        <v>1100</v>
      </c>
      <c r="CU103" s="542">
        <v>122</v>
      </c>
      <c r="CV103" s="542">
        <v>137548.09299999999</v>
      </c>
      <c r="CW103" s="542">
        <v>30948.321</v>
      </c>
      <c r="CX103" s="542">
        <v>3438.7023300000001</v>
      </c>
      <c r="CY103" s="542">
        <v>145216</v>
      </c>
      <c r="CZ103" s="542">
        <v>32261</v>
      </c>
      <c r="DA103" s="542">
        <v>3585</v>
      </c>
      <c r="DB103" s="542">
        <v>-7668</v>
      </c>
      <c r="DC103" s="542">
        <v>-1313</v>
      </c>
      <c r="DD103" s="542">
        <v>-146</v>
      </c>
      <c r="DE103" s="153" t="s">
        <v>71</v>
      </c>
      <c r="DF103" s="103" t="s">
        <v>765</v>
      </c>
      <c r="DG103" s="104" t="s">
        <v>766</v>
      </c>
      <c r="DH103" s="547"/>
      <c r="DI103" s="547"/>
    </row>
    <row r="104" spans="1:113" x14ac:dyDescent="0.2">
      <c r="A104" s="93">
        <v>98</v>
      </c>
      <c r="B104" s="145" t="s">
        <v>74</v>
      </c>
      <c r="C104" s="141" t="s">
        <v>866</v>
      </c>
      <c r="D104" s="142" t="s">
        <v>867</v>
      </c>
      <c r="E104" s="149" t="s">
        <v>880</v>
      </c>
      <c r="F104" s="542">
        <v>-115744</v>
      </c>
      <c r="G104" s="542">
        <v>0</v>
      </c>
      <c r="H104" s="542">
        <v>-115744</v>
      </c>
      <c r="I104" s="542">
        <v>-368886</v>
      </c>
      <c r="J104" s="542">
        <v>0</v>
      </c>
      <c r="K104" s="542">
        <v>-368886</v>
      </c>
      <c r="L104" s="542">
        <v>253142</v>
      </c>
      <c r="M104" s="542">
        <v>0</v>
      </c>
      <c r="N104" s="542">
        <v>253142</v>
      </c>
      <c r="O104" s="543">
        <v>0.5</v>
      </c>
      <c r="P104" s="543">
        <v>0.4</v>
      </c>
      <c r="Q104" s="543">
        <v>0.1</v>
      </c>
      <c r="R104" s="543">
        <v>0</v>
      </c>
      <c r="S104" s="542">
        <v>87279</v>
      </c>
      <c r="T104" s="542">
        <v>87279</v>
      </c>
      <c r="U104" s="542">
        <v>0</v>
      </c>
      <c r="V104" s="542">
        <v>0</v>
      </c>
      <c r="W104" s="542">
        <v>0</v>
      </c>
      <c r="X104" s="542">
        <v>0</v>
      </c>
      <c r="Y104" s="542">
        <v>0</v>
      </c>
      <c r="Z104" s="542">
        <v>0</v>
      </c>
      <c r="AA104" s="542">
        <v>0</v>
      </c>
      <c r="AB104" s="542">
        <v>0</v>
      </c>
      <c r="AC104" s="542">
        <v>0</v>
      </c>
      <c r="AD104" s="542">
        <v>0</v>
      </c>
      <c r="AE104" s="542">
        <v>0</v>
      </c>
      <c r="AF104" s="542">
        <v>0</v>
      </c>
      <c r="AG104" s="542">
        <v>0</v>
      </c>
      <c r="AH104" s="542">
        <v>0</v>
      </c>
      <c r="AI104" s="542">
        <v>0</v>
      </c>
      <c r="AJ104" s="542">
        <v>0</v>
      </c>
      <c r="AK104" s="542">
        <v>0</v>
      </c>
      <c r="AL104" s="542">
        <v>0</v>
      </c>
      <c r="AM104" s="542">
        <v>0</v>
      </c>
      <c r="AN104" s="542">
        <v>0</v>
      </c>
      <c r="AO104" s="542">
        <v>0</v>
      </c>
      <c r="AP104" s="542">
        <v>0</v>
      </c>
      <c r="AQ104" s="542">
        <v>224180.43599999999</v>
      </c>
      <c r="AR104" s="542">
        <v>56045.109100000001</v>
      </c>
      <c r="AS104" s="542">
        <v>0</v>
      </c>
      <c r="AT104" s="542">
        <v>193130</v>
      </c>
      <c r="AU104" s="542">
        <v>48282</v>
      </c>
      <c r="AV104" s="542">
        <v>0</v>
      </c>
      <c r="AW104" s="542">
        <v>31050</v>
      </c>
      <c r="AX104" s="542">
        <v>7763</v>
      </c>
      <c r="AY104" s="542">
        <v>0</v>
      </c>
      <c r="AZ104" s="542">
        <v>0</v>
      </c>
      <c r="BA104" s="542">
        <v>0</v>
      </c>
      <c r="BB104" s="542">
        <v>0</v>
      </c>
      <c r="BC104" s="542">
        <v>0</v>
      </c>
      <c r="BD104" s="542">
        <v>0</v>
      </c>
      <c r="BE104" s="542">
        <v>0</v>
      </c>
      <c r="BF104" s="542">
        <v>0</v>
      </c>
      <c r="BG104" s="542">
        <v>0</v>
      </c>
      <c r="BH104" s="542">
        <v>0</v>
      </c>
      <c r="BI104" s="542">
        <v>13942.454299999999</v>
      </c>
      <c r="BJ104" s="542">
        <v>3485.6135800000002</v>
      </c>
      <c r="BK104" s="542">
        <v>0</v>
      </c>
      <c r="BL104" s="542">
        <v>0</v>
      </c>
      <c r="BM104" s="542">
        <v>0</v>
      </c>
      <c r="BN104" s="542">
        <v>0</v>
      </c>
      <c r="BO104" s="542">
        <v>13942</v>
      </c>
      <c r="BP104" s="542">
        <v>3486</v>
      </c>
      <c r="BQ104" s="542">
        <v>0</v>
      </c>
      <c r="BR104" s="542">
        <v>5566.8755799999999</v>
      </c>
      <c r="BS104" s="542">
        <v>1391.7188900000001</v>
      </c>
      <c r="BT104" s="542">
        <v>0</v>
      </c>
      <c r="BU104" s="542">
        <v>6468</v>
      </c>
      <c r="BV104" s="542">
        <v>1617</v>
      </c>
      <c r="BW104" s="542">
        <v>0</v>
      </c>
      <c r="BX104" s="542">
        <v>-901</v>
      </c>
      <c r="BY104" s="542">
        <v>-225</v>
      </c>
      <c r="BZ104" s="542">
        <v>0</v>
      </c>
      <c r="CA104" s="542">
        <v>132786.41500000001</v>
      </c>
      <c r="CB104" s="542">
        <v>33196.603799999997</v>
      </c>
      <c r="CC104" s="542">
        <v>0</v>
      </c>
      <c r="CD104" s="542">
        <v>177868</v>
      </c>
      <c r="CE104" s="542">
        <v>44467</v>
      </c>
      <c r="CF104" s="542">
        <v>0</v>
      </c>
      <c r="CG104" s="542">
        <v>-45082</v>
      </c>
      <c r="CH104" s="542">
        <v>-11270</v>
      </c>
      <c r="CI104" s="542">
        <v>0</v>
      </c>
      <c r="CJ104" s="542">
        <v>0</v>
      </c>
      <c r="CK104" s="542">
        <v>0</v>
      </c>
      <c r="CL104" s="542">
        <v>0</v>
      </c>
      <c r="CM104" s="542">
        <v>0</v>
      </c>
      <c r="CN104" s="542">
        <v>0</v>
      </c>
      <c r="CO104" s="542">
        <v>0</v>
      </c>
      <c r="CP104" s="542">
        <v>0</v>
      </c>
      <c r="CQ104" s="542">
        <v>0</v>
      </c>
      <c r="CR104" s="542">
        <v>0</v>
      </c>
      <c r="CS104" s="542">
        <v>0</v>
      </c>
      <c r="CT104" s="542">
        <v>0</v>
      </c>
      <c r="CU104" s="542">
        <v>0</v>
      </c>
      <c r="CV104" s="542">
        <v>96145.2356</v>
      </c>
      <c r="CW104" s="542">
        <v>24036.3089</v>
      </c>
      <c r="CX104" s="542">
        <v>0</v>
      </c>
      <c r="CY104" s="542">
        <v>96050</v>
      </c>
      <c r="CZ104" s="542">
        <v>23781</v>
      </c>
      <c r="DA104" s="542">
        <v>0</v>
      </c>
      <c r="DB104" s="542">
        <v>95</v>
      </c>
      <c r="DC104" s="542">
        <v>255</v>
      </c>
      <c r="DD104" s="542">
        <v>0</v>
      </c>
      <c r="DE104" s="153" t="s">
        <v>880</v>
      </c>
      <c r="DF104" s="103" t="s">
        <v>807</v>
      </c>
      <c r="DG104" s="104" t="s">
        <v>751</v>
      </c>
      <c r="DH104" s="547"/>
      <c r="DI104" s="547"/>
    </row>
    <row r="105" spans="1:113" x14ac:dyDescent="0.2">
      <c r="A105" s="93">
        <v>99</v>
      </c>
      <c r="B105" s="145" t="s">
        <v>76</v>
      </c>
      <c r="C105" s="141" t="s">
        <v>866</v>
      </c>
      <c r="D105" s="142" t="s">
        <v>869</v>
      </c>
      <c r="E105" s="149" t="s">
        <v>75</v>
      </c>
      <c r="F105" s="542">
        <v>-60220</v>
      </c>
      <c r="G105" s="542">
        <v>0</v>
      </c>
      <c r="H105" s="542">
        <v>-60220</v>
      </c>
      <c r="I105" s="542">
        <v>-4348</v>
      </c>
      <c r="J105" s="542">
        <v>0</v>
      </c>
      <c r="K105" s="542">
        <v>-4348</v>
      </c>
      <c r="L105" s="542">
        <v>-55872</v>
      </c>
      <c r="M105" s="542">
        <v>0</v>
      </c>
      <c r="N105" s="542">
        <v>-55872</v>
      </c>
      <c r="O105" s="543">
        <v>0.5</v>
      </c>
      <c r="P105" s="543">
        <v>0.4</v>
      </c>
      <c r="Q105" s="543">
        <v>0.09</v>
      </c>
      <c r="R105" s="543">
        <v>0.01</v>
      </c>
      <c r="S105" s="542">
        <v>136145</v>
      </c>
      <c r="T105" s="542">
        <v>136145</v>
      </c>
      <c r="U105" s="542">
        <v>0</v>
      </c>
      <c r="V105" s="542">
        <v>0</v>
      </c>
      <c r="W105" s="542">
        <v>0</v>
      </c>
      <c r="X105" s="542">
        <v>0</v>
      </c>
      <c r="Y105" s="542">
        <v>0</v>
      </c>
      <c r="Z105" s="542">
        <v>0</v>
      </c>
      <c r="AA105" s="542">
        <v>0</v>
      </c>
      <c r="AB105" s="542">
        <v>0</v>
      </c>
      <c r="AC105" s="542">
        <v>0</v>
      </c>
      <c r="AD105" s="542">
        <v>0</v>
      </c>
      <c r="AE105" s="542">
        <v>0</v>
      </c>
      <c r="AF105" s="542">
        <v>0</v>
      </c>
      <c r="AG105" s="542">
        <v>0</v>
      </c>
      <c r="AH105" s="542">
        <v>0</v>
      </c>
      <c r="AI105" s="542">
        <v>0</v>
      </c>
      <c r="AJ105" s="542">
        <v>0</v>
      </c>
      <c r="AK105" s="542">
        <v>0</v>
      </c>
      <c r="AL105" s="542">
        <v>0</v>
      </c>
      <c r="AM105" s="542">
        <v>0</v>
      </c>
      <c r="AN105" s="542">
        <v>0</v>
      </c>
      <c r="AO105" s="542">
        <v>0</v>
      </c>
      <c r="AP105" s="542">
        <v>0</v>
      </c>
      <c r="AQ105" s="542">
        <v>497297.91700000002</v>
      </c>
      <c r="AR105" s="542">
        <v>111892.031</v>
      </c>
      <c r="AS105" s="542">
        <v>12432.447899999999</v>
      </c>
      <c r="AT105" s="542">
        <v>475504</v>
      </c>
      <c r="AU105" s="542">
        <v>106989</v>
      </c>
      <c r="AV105" s="542">
        <v>11888</v>
      </c>
      <c r="AW105" s="542">
        <v>21794</v>
      </c>
      <c r="AX105" s="542">
        <v>4903</v>
      </c>
      <c r="AY105" s="542">
        <v>544</v>
      </c>
      <c r="AZ105" s="542">
        <v>771.30191000000002</v>
      </c>
      <c r="BA105" s="542">
        <v>173.54292899999999</v>
      </c>
      <c r="BB105" s="542">
        <v>19.282547699999999</v>
      </c>
      <c r="BC105" s="542">
        <v>4042</v>
      </c>
      <c r="BD105" s="542">
        <v>910</v>
      </c>
      <c r="BE105" s="542">
        <v>101</v>
      </c>
      <c r="BF105" s="542">
        <v>-3271</v>
      </c>
      <c r="BG105" s="542">
        <v>-736</v>
      </c>
      <c r="BH105" s="542">
        <v>-82</v>
      </c>
      <c r="BI105" s="542">
        <v>0</v>
      </c>
      <c r="BJ105" s="542">
        <v>0</v>
      </c>
      <c r="BK105" s="542">
        <v>0</v>
      </c>
      <c r="BL105" s="542">
        <v>4042</v>
      </c>
      <c r="BM105" s="542">
        <v>910</v>
      </c>
      <c r="BN105" s="542">
        <v>101</v>
      </c>
      <c r="BO105" s="542">
        <v>-4042</v>
      </c>
      <c r="BP105" s="542">
        <v>-910</v>
      </c>
      <c r="BQ105" s="542">
        <v>-101</v>
      </c>
      <c r="BR105" s="542">
        <v>1043.3596600000001</v>
      </c>
      <c r="BS105" s="542">
        <v>234.755923</v>
      </c>
      <c r="BT105" s="542">
        <v>26.0839915</v>
      </c>
      <c r="BU105" s="542">
        <v>20212.314200000001</v>
      </c>
      <c r="BV105" s="542">
        <v>4547.7707</v>
      </c>
      <c r="BW105" s="542">
        <v>505.30785500000002</v>
      </c>
      <c r="BX105" s="542">
        <v>-19169</v>
      </c>
      <c r="BY105" s="542">
        <v>-4313</v>
      </c>
      <c r="BZ105" s="542">
        <v>-479</v>
      </c>
      <c r="CA105" s="542">
        <v>84923.250899999999</v>
      </c>
      <c r="CB105" s="542">
        <v>19107.731400000001</v>
      </c>
      <c r="CC105" s="542">
        <v>2123.0812700000001</v>
      </c>
      <c r="CD105" s="542">
        <v>323397.027</v>
      </c>
      <c r="CE105" s="542">
        <v>72764.331200000001</v>
      </c>
      <c r="CF105" s="542">
        <v>8084.92569</v>
      </c>
      <c r="CG105" s="542">
        <v>-238474</v>
      </c>
      <c r="CH105" s="542">
        <v>-53657</v>
      </c>
      <c r="CI105" s="542">
        <v>-5962</v>
      </c>
      <c r="CJ105" s="542">
        <v>0</v>
      </c>
      <c r="CK105" s="542">
        <v>0</v>
      </c>
      <c r="CL105" s="542">
        <v>0</v>
      </c>
      <c r="CM105" s="542">
        <v>0</v>
      </c>
      <c r="CN105" s="542">
        <v>0</v>
      </c>
      <c r="CO105" s="542">
        <v>0</v>
      </c>
      <c r="CP105" s="542">
        <v>0</v>
      </c>
      <c r="CQ105" s="542">
        <v>0</v>
      </c>
      <c r="CR105" s="542">
        <v>0</v>
      </c>
      <c r="CS105" s="542">
        <v>0</v>
      </c>
      <c r="CT105" s="542">
        <v>0</v>
      </c>
      <c r="CU105" s="542">
        <v>0</v>
      </c>
      <c r="CV105" s="542">
        <v>101143.15</v>
      </c>
      <c r="CW105" s="542">
        <v>22757.208900000001</v>
      </c>
      <c r="CX105" s="542">
        <v>2528.5787599999999</v>
      </c>
      <c r="CY105" s="542">
        <v>102001</v>
      </c>
      <c r="CZ105" s="542">
        <v>22625</v>
      </c>
      <c r="DA105" s="542">
        <v>2514</v>
      </c>
      <c r="DB105" s="542">
        <v>-858</v>
      </c>
      <c r="DC105" s="542">
        <v>132</v>
      </c>
      <c r="DD105" s="542">
        <v>15</v>
      </c>
      <c r="DE105" s="153" t="s">
        <v>75</v>
      </c>
      <c r="DF105" s="103" t="s">
        <v>753</v>
      </c>
      <c r="DG105" s="104" t="s">
        <v>754</v>
      </c>
      <c r="DH105" s="547"/>
      <c r="DI105" s="547"/>
    </row>
    <row r="106" spans="1:113" x14ac:dyDescent="0.2">
      <c r="A106" s="93">
        <v>100</v>
      </c>
      <c r="B106" s="145" t="s">
        <v>78</v>
      </c>
      <c r="C106" s="141" t="s">
        <v>866</v>
      </c>
      <c r="D106" s="142" t="s">
        <v>875</v>
      </c>
      <c r="E106" s="149" t="s">
        <v>77</v>
      </c>
      <c r="F106" s="542">
        <v>-959956</v>
      </c>
      <c r="G106" s="542">
        <v>0</v>
      </c>
      <c r="H106" s="542">
        <v>-959956</v>
      </c>
      <c r="I106" s="542">
        <v>92080</v>
      </c>
      <c r="J106" s="542">
        <v>0</v>
      </c>
      <c r="K106" s="542">
        <v>92080</v>
      </c>
      <c r="L106" s="542">
        <v>-1052036</v>
      </c>
      <c r="M106" s="542">
        <v>0</v>
      </c>
      <c r="N106" s="542">
        <v>-1052036</v>
      </c>
      <c r="O106" s="543">
        <v>0.5</v>
      </c>
      <c r="P106" s="543">
        <v>0.4</v>
      </c>
      <c r="Q106" s="543">
        <v>0.09</v>
      </c>
      <c r="R106" s="543">
        <v>0.01</v>
      </c>
      <c r="S106" s="542">
        <v>224010</v>
      </c>
      <c r="T106" s="542">
        <v>224010</v>
      </c>
      <c r="U106" s="542">
        <v>0</v>
      </c>
      <c r="V106" s="542">
        <v>0</v>
      </c>
      <c r="W106" s="542">
        <v>0</v>
      </c>
      <c r="X106" s="542">
        <v>0</v>
      </c>
      <c r="Y106" s="542">
        <v>0</v>
      </c>
      <c r="Z106" s="542">
        <v>0</v>
      </c>
      <c r="AA106" s="542">
        <v>0</v>
      </c>
      <c r="AB106" s="542">
        <v>0</v>
      </c>
      <c r="AC106" s="542">
        <v>0</v>
      </c>
      <c r="AD106" s="542">
        <v>0</v>
      </c>
      <c r="AE106" s="542">
        <v>0</v>
      </c>
      <c r="AF106" s="542">
        <v>0</v>
      </c>
      <c r="AG106" s="542">
        <v>0</v>
      </c>
      <c r="AH106" s="542">
        <v>0</v>
      </c>
      <c r="AI106" s="542">
        <v>0</v>
      </c>
      <c r="AJ106" s="542">
        <v>0</v>
      </c>
      <c r="AK106" s="542">
        <v>0</v>
      </c>
      <c r="AL106" s="542">
        <v>0</v>
      </c>
      <c r="AM106" s="542">
        <v>0</v>
      </c>
      <c r="AN106" s="542">
        <v>0</v>
      </c>
      <c r="AO106" s="542">
        <v>0</v>
      </c>
      <c r="AP106" s="542">
        <v>0</v>
      </c>
      <c r="AQ106" s="542">
        <v>423183.60499999998</v>
      </c>
      <c r="AR106" s="542">
        <v>95216.311300000001</v>
      </c>
      <c r="AS106" s="542">
        <v>10579.590099999999</v>
      </c>
      <c r="AT106" s="542">
        <v>403308</v>
      </c>
      <c r="AU106" s="542">
        <v>90744</v>
      </c>
      <c r="AV106" s="542">
        <v>10083</v>
      </c>
      <c r="AW106" s="542">
        <v>19876</v>
      </c>
      <c r="AX106" s="542">
        <v>4472</v>
      </c>
      <c r="AY106" s="542">
        <v>497</v>
      </c>
      <c r="AZ106" s="542">
        <v>1804.1511599999999</v>
      </c>
      <c r="BA106" s="542">
        <v>405.934012</v>
      </c>
      <c r="BB106" s="542">
        <v>45.103779099999997</v>
      </c>
      <c r="BC106" s="542">
        <v>0</v>
      </c>
      <c r="BD106" s="542">
        <v>0</v>
      </c>
      <c r="BE106" s="542">
        <v>0</v>
      </c>
      <c r="BF106" s="542">
        <v>1804</v>
      </c>
      <c r="BG106" s="542">
        <v>406</v>
      </c>
      <c r="BH106" s="542">
        <v>45</v>
      </c>
      <c r="BI106" s="542">
        <v>1638.00594</v>
      </c>
      <c r="BJ106" s="542">
        <v>368.55133699999999</v>
      </c>
      <c r="BK106" s="542">
        <v>40.950148599999999</v>
      </c>
      <c r="BL106" s="542">
        <v>30318</v>
      </c>
      <c r="BM106" s="542">
        <v>6822</v>
      </c>
      <c r="BN106" s="542">
        <v>758</v>
      </c>
      <c r="BO106" s="542">
        <v>-28680</v>
      </c>
      <c r="BP106" s="542">
        <v>-6453</v>
      </c>
      <c r="BQ106" s="542">
        <v>-717</v>
      </c>
      <c r="BR106" s="542">
        <v>2898.4458599999998</v>
      </c>
      <c r="BS106" s="542">
        <v>652.15031799999997</v>
      </c>
      <c r="BT106" s="542">
        <v>72.461146499999998</v>
      </c>
      <c r="BU106" s="542">
        <v>68722</v>
      </c>
      <c r="BV106" s="542">
        <v>15462</v>
      </c>
      <c r="BW106" s="542">
        <v>1718</v>
      </c>
      <c r="BX106" s="542">
        <v>-65824</v>
      </c>
      <c r="BY106" s="542">
        <v>-14810</v>
      </c>
      <c r="BZ106" s="542">
        <v>-1646</v>
      </c>
      <c r="CA106" s="542">
        <v>291347.97700000001</v>
      </c>
      <c r="CB106" s="542">
        <v>65553.294999999998</v>
      </c>
      <c r="CC106" s="542">
        <v>7283.6994400000003</v>
      </c>
      <c r="CD106" s="542">
        <v>498840</v>
      </c>
      <c r="CE106" s="542">
        <v>112239</v>
      </c>
      <c r="CF106" s="542">
        <v>12471</v>
      </c>
      <c r="CG106" s="542">
        <v>-207492</v>
      </c>
      <c r="CH106" s="542">
        <v>-46686</v>
      </c>
      <c r="CI106" s="542">
        <v>-5187</v>
      </c>
      <c r="CJ106" s="542">
        <v>0</v>
      </c>
      <c r="CK106" s="542">
        <v>0</v>
      </c>
      <c r="CL106" s="542">
        <v>0</v>
      </c>
      <c r="CM106" s="542">
        <v>45931.2713</v>
      </c>
      <c r="CN106" s="542">
        <v>10334.536</v>
      </c>
      <c r="CO106" s="542">
        <v>1148.28178</v>
      </c>
      <c r="CP106" s="542">
        <v>622</v>
      </c>
      <c r="CQ106" s="542">
        <v>140.03190000000001</v>
      </c>
      <c r="CR106" s="542">
        <v>15.559100000000001</v>
      </c>
      <c r="CS106" s="542">
        <v>45309</v>
      </c>
      <c r="CT106" s="542">
        <v>10195</v>
      </c>
      <c r="CU106" s="542">
        <v>1133</v>
      </c>
      <c r="CV106" s="542">
        <v>324413.15500000003</v>
      </c>
      <c r="CW106" s="542">
        <v>72992.959799999997</v>
      </c>
      <c r="CX106" s="542">
        <v>8110.3288700000003</v>
      </c>
      <c r="CY106" s="542">
        <v>326841</v>
      </c>
      <c r="CZ106" s="542">
        <v>73004</v>
      </c>
      <c r="DA106" s="542">
        <v>8112</v>
      </c>
      <c r="DB106" s="542">
        <v>-2428</v>
      </c>
      <c r="DC106" s="542">
        <v>-11</v>
      </c>
      <c r="DD106" s="542">
        <v>-2</v>
      </c>
      <c r="DE106" s="153" t="s">
        <v>77</v>
      </c>
      <c r="DF106" s="103" t="s">
        <v>803</v>
      </c>
      <c r="DG106" s="104" t="s">
        <v>804</v>
      </c>
      <c r="DH106" s="547"/>
      <c r="DI106" s="547"/>
    </row>
    <row r="107" spans="1:113" x14ac:dyDescent="0.2">
      <c r="A107" s="93">
        <v>101</v>
      </c>
      <c r="B107" s="145" t="s">
        <v>80</v>
      </c>
      <c r="C107" s="141" t="s">
        <v>866</v>
      </c>
      <c r="D107" s="142" t="s">
        <v>867</v>
      </c>
      <c r="E107" s="149" t="s">
        <v>79</v>
      </c>
      <c r="F107" s="542">
        <v>-174250</v>
      </c>
      <c r="G107" s="542">
        <v>9710</v>
      </c>
      <c r="H107" s="542">
        <v>-164540</v>
      </c>
      <c r="I107" s="542">
        <v>-170949</v>
      </c>
      <c r="J107" s="542">
        <v>2710</v>
      </c>
      <c r="K107" s="542">
        <v>-168239</v>
      </c>
      <c r="L107" s="542">
        <v>-3301</v>
      </c>
      <c r="M107" s="542">
        <v>7000</v>
      </c>
      <c r="N107" s="542">
        <v>3699</v>
      </c>
      <c r="O107" s="543">
        <v>0.5</v>
      </c>
      <c r="P107" s="543">
        <v>0.4</v>
      </c>
      <c r="Q107" s="543">
        <v>0.09</v>
      </c>
      <c r="R107" s="543">
        <v>0.01</v>
      </c>
      <c r="S107" s="542">
        <v>142074</v>
      </c>
      <c r="T107" s="542">
        <v>142074</v>
      </c>
      <c r="U107" s="542">
        <v>0</v>
      </c>
      <c r="V107" s="542">
        <v>0</v>
      </c>
      <c r="W107" s="542">
        <v>0</v>
      </c>
      <c r="X107" s="542">
        <v>0</v>
      </c>
      <c r="Y107" s="542">
        <v>79471</v>
      </c>
      <c r="Z107" s="542">
        <v>0</v>
      </c>
      <c r="AA107" s="542">
        <v>63585</v>
      </c>
      <c r="AB107" s="542">
        <v>0</v>
      </c>
      <c r="AC107" s="542">
        <v>15886</v>
      </c>
      <c r="AD107" s="542">
        <v>0</v>
      </c>
      <c r="AE107" s="542">
        <v>160744.492</v>
      </c>
      <c r="AF107" s="542">
        <v>160744.492</v>
      </c>
      <c r="AG107" s="542">
        <v>0</v>
      </c>
      <c r="AH107" s="542">
        <v>0</v>
      </c>
      <c r="AI107" s="542">
        <v>171250</v>
      </c>
      <c r="AJ107" s="542">
        <v>171250</v>
      </c>
      <c r="AK107" s="542">
        <v>0</v>
      </c>
      <c r="AL107" s="542">
        <v>0</v>
      </c>
      <c r="AM107" s="542">
        <v>-10506</v>
      </c>
      <c r="AN107" s="542">
        <v>-10506</v>
      </c>
      <c r="AO107" s="542">
        <v>0</v>
      </c>
      <c r="AP107" s="542">
        <v>0</v>
      </c>
      <c r="AQ107" s="542">
        <v>335121.88699999999</v>
      </c>
      <c r="AR107" s="542">
        <v>75305.898300000001</v>
      </c>
      <c r="AS107" s="542">
        <v>8367.3220299999994</v>
      </c>
      <c r="AT107" s="542">
        <v>307362</v>
      </c>
      <c r="AU107" s="542">
        <v>69156</v>
      </c>
      <c r="AV107" s="542">
        <v>7684</v>
      </c>
      <c r="AW107" s="542">
        <v>27760</v>
      </c>
      <c r="AX107" s="542">
        <v>6150</v>
      </c>
      <c r="AY107" s="542">
        <v>683</v>
      </c>
      <c r="AZ107" s="542">
        <v>2527.7520100000002</v>
      </c>
      <c r="BA107" s="542">
        <v>568.74420299999997</v>
      </c>
      <c r="BB107" s="542">
        <v>63.193800400000001</v>
      </c>
      <c r="BC107" s="542">
        <v>8085</v>
      </c>
      <c r="BD107" s="542">
        <v>1819</v>
      </c>
      <c r="BE107" s="542">
        <v>202</v>
      </c>
      <c r="BF107" s="542">
        <v>-5557</v>
      </c>
      <c r="BG107" s="542">
        <v>-1250</v>
      </c>
      <c r="BH107" s="542">
        <v>-139</v>
      </c>
      <c r="BI107" s="542">
        <v>740.57919300000003</v>
      </c>
      <c r="BJ107" s="542">
        <v>166.63031799999999</v>
      </c>
      <c r="BK107" s="542">
        <v>18.5144798</v>
      </c>
      <c r="BL107" s="542">
        <v>10567</v>
      </c>
      <c r="BM107" s="542">
        <v>2378</v>
      </c>
      <c r="BN107" s="542">
        <v>264</v>
      </c>
      <c r="BO107" s="542">
        <v>-9826</v>
      </c>
      <c r="BP107" s="542">
        <v>-2211</v>
      </c>
      <c r="BQ107" s="542">
        <v>-245</v>
      </c>
      <c r="BR107" s="542">
        <v>10252.898499999999</v>
      </c>
      <c r="BS107" s="542">
        <v>2306.9021600000001</v>
      </c>
      <c r="BT107" s="542">
        <v>256.32246199999997</v>
      </c>
      <c r="BU107" s="542">
        <v>12099.8997</v>
      </c>
      <c r="BV107" s="542">
        <v>2722.4774499999999</v>
      </c>
      <c r="BW107" s="542">
        <v>302.49749400000002</v>
      </c>
      <c r="BX107" s="542">
        <v>-1847</v>
      </c>
      <c r="BY107" s="542">
        <v>-416</v>
      </c>
      <c r="BZ107" s="542">
        <v>-46</v>
      </c>
      <c r="CA107" s="542">
        <v>137494.26699999999</v>
      </c>
      <c r="CB107" s="542">
        <v>30936.2101</v>
      </c>
      <c r="CC107" s="542">
        <v>3437.3566799999999</v>
      </c>
      <c r="CD107" s="542">
        <v>216676.008</v>
      </c>
      <c r="CE107" s="542">
        <v>48752.101900000001</v>
      </c>
      <c r="CF107" s="542">
        <v>5416.9002099999998</v>
      </c>
      <c r="CG107" s="542">
        <v>-79182</v>
      </c>
      <c r="CH107" s="542">
        <v>-17816</v>
      </c>
      <c r="CI107" s="542">
        <v>-1980</v>
      </c>
      <c r="CJ107" s="542">
        <v>0</v>
      </c>
      <c r="CK107" s="542">
        <v>0</v>
      </c>
      <c r="CL107" s="542">
        <v>0</v>
      </c>
      <c r="CM107" s="542">
        <v>17935.194899999999</v>
      </c>
      <c r="CN107" s="542">
        <v>4035.41885</v>
      </c>
      <c r="CO107" s="542">
        <v>448.37987199999998</v>
      </c>
      <c r="CP107" s="542">
        <v>0</v>
      </c>
      <c r="CQ107" s="542">
        <v>0</v>
      </c>
      <c r="CR107" s="542">
        <v>0</v>
      </c>
      <c r="CS107" s="542">
        <v>17935</v>
      </c>
      <c r="CT107" s="542">
        <v>4035</v>
      </c>
      <c r="CU107" s="542">
        <v>448</v>
      </c>
      <c r="CV107" s="542">
        <v>161765.63200000001</v>
      </c>
      <c r="CW107" s="542">
        <v>36207.447999999997</v>
      </c>
      <c r="CX107" s="542">
        <v>4023.0497799999998</v>
      </c>
      <c r="CY107" s="542">
        <v>179344</v>
      </c>
      <c r="CZ107" s="542">
        <v>39452</v>
      </c>
      <c r="DA107" s="542">
        <v>4384</v>
      </c>
      <c r="DB107" s="542">
        <v>-17578</v>
      </c>
      <c r="DC107" s="542">
        <v>-3245</v>
      </c>
      <c r="DD107" s="542">
        <v>-361</v>
      </c>
      <c r="DE107" s="153" t="s">
        <v>79</v>
      </c>
      <c r="DF107" s="103" t="s">
        <v>767</v>
      </c>
      <c r="DG107" s="104" t="s">
        <v>768</v>
      </c>
      <c r="DH107" s="549" t="s">
        <v>1187</v>
      </c>
      <c r="DI107" s="549"/>
    </row>
    <row r="108" spans="1:113" x14ac:dyDescent="0.2">
      <c r="A108" s="93">
        <v>102</v>
      </c>
      <c r="B108" s="145" t="s">
        <v>82</v>
      </c>
      <c r="C108" s="141" t="s">
        <v>866</v>
      </c>
      <c r="D108" s="142" t="s">
        <v>870</v>
      </c>
      <c r="E108" s="149" t="s">
        <v>81</v>
      </c>
      <c r="F108" s="542">
        <v>-137914</v>
      </c>
      <c r="G108" s="542">
        <v>0</v>
      </c>
      <c r="H108" s="542">
        <v>-137914</v>
      </c>
      <c r="I108" s="542">
        <v>243270</v>
      </c>
      <c r="J108" s="542">
        <v>0</v>
      </c>
      <c r="K108" s="542">
        <v>243270</v>
      </c>
      <c r="L108" s="542">
        <v>-381184</v>
      </c>
      <c r="M108" s="542">
        <v>0</v>
      </c>
      <c r="N108" s="542">
        <v>-381184</v>
      </c>
      <c r="O108" s="543">
        <v>0.5</v>
      </c>
      <c r="P108" s="543">
        <v>0.4</v>
      </c>
      <c r="Q108" s="543">
        <v>0.09</v>
      </c>
      <c r="R108" s="543">
        <v>0.01</v>
      </c>
      <c r="S108" s="542">
        <v>127291</v>
      </c>
      <c r="T108" s="542">
        <v>127291</v>
      </c>
      <c r="U108" s="542">
        <v>0</v>
      </c>
      <c r="V108" s="542">
        <v>0</v>
      </c>
      <c r="W108" s="542">
        <v>0</v>
      </c>
      <c r="X108" s="542">
        <v>0</v>
      </c>
      <c r="Y108" s="542">
        <v>0</v>
      </c>
      <c r="Z108" s="542">
        <v>0</v>
      </c>
      <c r="AA108" s="542">
        <v>0</v>
      </c>
      <c r="AB108" s="542">
        <v>0</v>
      </c>
      <c r="AC108" s="542">
        <v>0</v>
      </c>
      <c r="AD108" s="542">
        <v>0</v>
      </c>
      <c r="AE108" s="542">
        <v>0</v>
      </c>
      <c r="AF108" s="542">
        <v>0</v>
      </c>
      <c r="AG108" s="542">
        <v>0</v>
      </c>
      <c r="AH108" s="542">
        <v>0</v>
      </c>
      <c r="AI108" s="542">
        <v>0</v>
      </c>
      <c r="AJ108" s="542">
        <v>0</v>
      </c>
      <c r="AK108" s="542">
        <v>0</v>
      </c>
      <c r="AL108" s="542">
        <v>0</v>
      </c>
      <c r="AM108" s="542">
        <v>0</v>
      </c>
      <c r="AN108" s="542">
        <v>0</v>
      </c>
      <c r="AO108" s="542">
        <v>0</v>
      </c>
      <c r="AP108" s="542">
        <v>0</v>
      </c>
      <c r="AQ108" s="542">
        <v>470209.37400000001</v>
      </c>
      <c r="AR108" s="542">
        <v>105797.109</v>
      </c>
      <c r="AS108" s="542">
        <v>11755.2343</v>
      </c>
      <c r="AT108" s="542">
        <v>427850</v>
      </c>
      <c r="AU108" s="542">
        <v>96266</v>
      </c>
      <c r="AV108" s="542">
        <v>10696</v>
      </c>
      <c r="AW108" s="542">
        <v>42359</v>
      </c>
      <c r="AX108" s="542">
        <v>9531</v>
      </c>
      <c r="AY108" s="542">
        <v>1059</v>
      </c>
      <c r="AZ108" s="542">
        <v>0</v>
      </c>
      <c r="BA108" s="542">
        <v>0</v>
      </c>
      <c r="BB108" s="542">
        <v>0</v>
      </c>
      <c r="BC108" s="542">
        <v>0</v>
      </c>
      <c r="BD108" s="542">
        <v>0</v>
      </c>
      <c r="BE108" s="542">
        <v>0</v>
      </c>
      <c r="BF108" s="542">
        <v>0</v>
      </c>
      <c r="BG108" s="542">
        <v>0</v>
      </c>
      <c r="BH108" s="542">
        <v>0</v>
      </c>
      <c r="BI108" s="542">
        <v>104.699787</v>
      </c>
      <c r="BJ108" s="542">
        <v>23.5574522</v>
      </c>
      <c r="BK108" s="542">
        <v>2.61749469</v>
      </c>
      <c r="BL108" s="542">
        <v>12127</v>
      </c>
      <c r="BM108" s="542">
        <v>2729</v>
      </c>
      <c r="BN108" s="542">
        <v>303</v>
      </c>
      <c r="BO108" s="542">
        <v>-12022</v>
      </c>
      <c r="BP108" s="542">
        <v>-2705</v>
      </c>
      <c r="BQ108" s="542">
        <v>-300</v>
      </c>
      <c r="BR108" s="542">
        <v>0</v>
      </c>
      <c r="BS108" s="542">
        <v>0</v>
      </c>
      <c r="BT108" s="542">
        <v>0</v>
      </c>
      <c r="BU108" s="542">
        <v>3477</v>
      </c>
      <c r="BV108" s="542">
        <v>782</v>
      </c>
      <c r="BW108" s="542">
        <v>87</v>
      </c>
      <c r="BX108" s="542">
        <v>-3477</v>
      </c>
      <c r="BY108" s="542">
        <v>-782</v>
      </c>
      <c r="BZ108" s="542">
        <v>-87</v>
      </c>
      <c r="CA108" s="542">
        <v>134690.81899999999</v>
      </c>
      <c r="CB108" s="542">
        <v>30305.434300000001</v>
      </c>
      <c r="CC108" s="542">
        <v>3367.2704800000001</v>
      </c>
      <c r="CD108" s="542">
        <v>190771</v>
      </c>
      <c r="CE108" s="542">
        <v>42924</v>
      </c>
      <c r="CF108" s="542">
        <v>4769</v>
      </c>
      <c r="CG108" s="542">
        <v>-56080</v>
      </c>
      <c r="CH108" s="542">
        <v>-12619</v>
      </c>
      <c r="CI108" s="542">
        <v>-1402</v>
      </c>
      <c r="CJ108" s="542">
        <v>0</v>
      </c>
      <c r="CK108" s="542">
        <v>0</v>
      </c>
      <c r="CL108" s="542">
        <v>0</v>
      </c>
      <c r="CM108" s="542">
        <v>0</v>
      </c>
      <c r="CN108" s="542">
        <v>0</v>
      </c>
      <c r="CO108" s="542">
        <v>0</v>
      </c>
      <c r="CP108" s="542">
        <v>0</v>
      </c>
      <c r="CQ108" s="542">
        <v>0</v>
      </c>
      <c r="CR108" s="542">
        <v>0</v>
      </c>
      <c r="CS108" s="542">
        <v>0</v>
      </c>
      <c r="CT108" s="542">
        <v>0</v>
      </c>
      <c r="CU108" s="542">
        <v>0</v>
      </c>
      <c r="CV108" s="542">
        <v>102186.573</v>
      </c>
      <c r="CW108" s="542">
        <v>22991.978899999998</v>
      </c>
      <c r="CX108" s="542">
        <v>2554.6643300000001</v>
      </c>
      <c r="CY108" s="542">
        <v>100046</v>
      </c>
      <c r="CZ108" s="542">
        <v>22206</v>
      </c>
      <c r="DA108" s="542">
        <v>2467</v>
      </c>
      <c r="DB108" s="542">
        <v>2141</v>
      </c>
      <c r="DC108" s="542">
        <v>786</v>
      </c>
      <c r="DD108" s="542">
        <v>88</v>
      </c>
      <c r="DE108" s="153" t="s">
        <v>81</v>
      </c>
      <c r="DF108" s="103" t="s">
        <v>790</v>
      </c>
      <c r="DG108" s="104" t="s">
        <v>791</v>
      </c>
      <c r="DH108" s="547"/>
      <c r="DI108" s="547"/>
    </row>
    <row r="109" spans="1:113" x14ac:dyDescent="0.2">
      <c r="A109" s="93">
        <v>103</v>
      </c>
      <c r="B109" s="145" t="s">
        <v>84</v>
      </c>
      <c r="C109" s="141" t="s">
        <v>866</v>
      </c>
      <c r="D109" s="142" t="s">
        <v>870</v>
      </c>
      <c r="E109" s="149" t="s">
        <v>83</v>
      </c>
      <c r="F109" s="542">
        <v>-15115</v>
      </c>
      <c r="G109" s="542">
        <v>0</v>
      </c>
      <c r="H109" s="542">
        <v>-15115</v>
      </c>
      <c r="I109" s="542">
        <v>11450</v>
      </c>
      <c r="J109" s="542">
        <v>0</v>
      </c>
      <c r="K109" s="542">
        <v>11450</v>
      </c>
      <c r="L109" s="542">
        <v>-26565</v>
      </c>
      <c r="M109" s="542">
        <v>0</v>
      </c>
      <c r="N109" s="542">
        <v>-26565</v>
      </c>
      <c r="O109" s="543">
        <v>0.5</v>
      </c>
      <c r="P109" s="543">
        <v>0.4</v>
      </c>
      <c r="Q109" s="543">
        <v>0.1</v>
      </c>
      <c r="R109" s="543">
        <v>0</v>
      </c>
      <c r="S109" s="542">
        <v>90011</v>
      </c>
      <c r="T109" s="542">
        <v>90011</v>
      </c>
      <c r="U109" s="542">
        <v>0</v>
      </c>
      <c r="V109" s="542">
        <v>0</v>
      </c>
      <c r="W109" s="542">
        <v>0</v>
      </c>
      <c r="X109" s="542">
        <v>0</v>
      </c>
      <c r="Y109" s="542">
        <v>55091</v>
      </c>
      <c r="Z109" s="542">
        <v>0</v>
      </c>
      <c r="AA109" s="542">
        <v>40000</v>
      </c>
      <c r="AB109" s="542">
        <v>0</v>
      </c>
      <c r="AC109" s="542">
        <v>15091</v>
      </c>
      <c r="AD109" s="542">
        <v>0</v>
      </c>
      <c r="AE109" s="542">
        <v>0</v>
      </c>
      <c r="AF109" s="542">
        <v>0</v>
      </c>
      <c r="AG109" s="542">
        <v>0</v>
      </c>
      <c r="AH109" s="542">
        <v>0</v>
      </c>
      <c r="AI109" s="542">
        <v>0</v>
      </c>
      <c r="AJ109" s="542">
        <v>0</v>
      </c>
      <c r="AK109" s="542">
        <v>0</v>
      </c>
      <c r="AL109" s="542">
        <v>0</v>
      </c>
      <c r="AM109" s="542">
        <v>0</v>
      </c>
      <c r="AN109" s="542">
        <v>0</v>
      </c>
      <c r="AO109" s="542">
        <v>0</v>
      </c>
      <c r="AP109" s="542">
        <v>0</v>
      </c>
      <c r="AQ109" s="542">
        <v>270250.56599999999</v>
      </c>
      <c r="AR109" s="542">
        <v>67562.641600000003</v>
      </c>
      <c r="AS109" s="542">
        <v>0</v>
      </c>
      <c r="AT109" s="542">
        <v>251448</v>
      </c>
      <c r="AU109" s="542">
        <v>62862</v>
      </c>
      <c r="AV109" s="542">
        <v>0</v>
      </c>
      <c r="AW109" s="542">
        <v>18803</v>
      </c>
      <c r="AX109" s="542">
        <v>4701</v>
      </c>
      <c r="AY109" s="542">
        <v>0</v>
      </c>
      <c r="AZ109" s="542">
        <v>0</v>
      </c>
      <c r="BA109" s="542">
        <v>0</v>
      </c>
      <c r="BB109" s="542">
        <v>0</v>
      </c>
      <c r="BC109" s="542">
        <v>0</v>
      </c>
      <c r="BD109" s="542">
        <v>0</v>
      </c>
      <c r="BE109" s="542">
        <v>0</v>
      </c>
      <c r="BF109" s="542">
        <v>0</v>
      </c>
      <c r="BG109" s="542">
        <v>0</v>
      </c>
      <c r="BH109" s="542">
        <v>0</v>
      </c>
      <c r="BI109" s="542">
        <v>0</v>
      </c>
      <c r="BJ109" s="542">
        <v>0</v>
      </c>
      <c r="BK109" s="542">
        <v>0</v>
      </c>
      <c r="BL109" s="542">
        <v>0</v>
      </c>
      <c r="BM109" s="542">
        <v>0</v>
      </c>
      <c r="BN109" s="542">
        <v>0</v>
      </c>
      <c r="BO109" s="542">
        <v>0</v>
      </c>
      <c r="BP109" s="542">
        <v>0</v>
      </c>
      <c r="BQ109" s="542">
        <v>0</v>
      </c>
      <c r="BR109" s="542">
        <v>1389.3944799999999</v>
      </c>
      <c r="BS109" s="542">
        <v>347.34861999999998</v>
      </c>
      <c r="BT109" s="542">
        <v>0</v>
      </c>
      <c r="BU109" s="542">
        <v>11686</v>
      </c>
      <c r="BV109" s="542">
        <v>2921</v>
      </c>
      <c r="BW109" s="542">
        <v>0</v>
      </c>
      <c r="BX109" s="542">
        <v>-10297</v>
      </c>
      <c r="BY109" s="542">
        <v>-2574</v>
      </c>
      <c r="BZ109" s="542">
        <v>0</v>
      </c>
      <c r="CA109" s="542">
        <v>98976.468699999998</v>
      </c>
      <c r="CB109" s="542">
        <v>24744.117200000001</v>
      </c>
      <c r="CC109" s="542">
        <v>0</v>
      </c>
      <c r="CD109" s="542">
        <v>120805</v>
      </c>
      <c r="CE109" s="542">
        <v>30201</v>
      </c>
      <c r="CF109" s="542">
        <v>0</v>
      </c>
      <c r="CG109" s="542">
        <v>-21829</v>
      </c>
      <c r="CH109" s="542">
        <v>-5457</v>
      </c>
      <c r="CI109" s="542">
        <v>0</v>
      </c>
      <c r="CJ109" s="542">
        <v>0</v>
      </c>
      <c r="CK109" s="542">
        <v>0</v>
      </c>
      <c r="CL109" s="542">
        <v>0</v>
      </c>
      <c r="CM109" s="542">
        <v>0</v>
      </c>
      <c r="CN109" s="542">
        <v>0</v>
      </c>
      <c r="CO109" s="542">
        <v>0</v>
      </c>
      <c r="CP109" s="542">
        <v>0</v>
      </c>
      <c r="CQ109" s="542">
        <v>0</v>
      </c>
      <c r="CR109" s="542">
        <v>0</v>
      </c>
      <c r="CS109" s="542">
        <v>0</v>
      </c>
      <c r="CT109" s="542">
        <v>0</v>
      </c>
      <c r="CU109" s="542">
        <v>0</v>
      </c>
      <c r="CV109" s="542">
        <v>92584.991500000004</v>
      </c>
      <c r="CW109" s="542">
        <v>23000.040300000001</v>
      </c>
      <c r="CX109" s="542">
        <v>0</v>
      </c>
      <c r="CY109" s="542">
        <v>92286</v>
      </c>
      <c r="CZ109" s="542">
        <v>22726</v>
      </c>
      <c r="DA109" s="542">
        <v>0</v>
      </c>
      <c r="DB109" s="542">
        <v>299</v>
      </c>
      <c r="DC109" s="542">
        <v>274</v>
      </c>
      <c r="DD109" s="542">
        <v>0</v>
      </c>
      <c r="DE109" s="153" t="s">
        <v>83</v>
      </c>
      <c r="DF109" s="103" t="s">
        <v>761</v>
      </c>
      <c r="DG109" s="104" t="s">
        <v>751</v>
      </c>
      <c r="DH109" s="547"/>
      <c r="DI109" s="547"/>
    </row>
    <row r="110" spans="1:113" x14ac:dyDescent="0.2">
      <c r="A110" s="93">
        <v>104</v>
      </c>
      <c r="B110" s="145" t="s">
        <v>86</v>
      </c>
      <c r="C110" s="141" t="s">
        <v>866</v>
      </c>
      <c r="D110" s="142" t="s">
        <v>875</v>
      </c>
      <c r="E110" s="149" t="s">
        <v>85</v>
      </c>
      <c r="F110" s="542">
        <v>79445</v>
      </c>
      <c r="G110" s="542">
        <v>0</v>
      </c>
      <c r="H110" s="542">
        <v>79445</v>
      </c>
      <c r="I110" s="542">
        <v>21093</v>
      </c>
      <c r="J110" s="542">
        <v>0</v>
      </c>
      <c r="K110" s="542">
        <v>21093</v>
      </c>
      <c r="L110" s="542">
        <v>58352</v>
      </c>
      <c r="M110" s="542">
        <v>0</v>
      </c>
      <c r="N110" s="542">
        <v>58352</v>
      </c>
      <c r="O110" s="543">
        <v>0.5</v>
      </c>
      <c r="P110" s="543">
        <v>0.4</v>
      </c>
      <c r="Q110" s="543">
        <v>0.1</v>
      </c>
      <c r="R110" s="543">
        <v>0</v>
      </c>
      <c r="S110" s="542">
        <v>119688</v>
      </c>
      <c r="T110" s="542">
        <v>119688</v>
      </c>
      <c r="U110" s="542">
        <v>0</v>
      </c>
      <c r="V110" s="542">
        <v>0</v>
      </c>
      <c r="W110" s="542">
        <v>0</v>
      </c>
      <c r="X110" s="542">
        <v>0</v>
      </c>
      <c r="Y110" s="542">
        <v>13292</v>
      </c>
      <c r="Z110" s="542">
        <v>0</v>
      </c>
      <c r="AA110" s="542">
        <v>0</v>
      </c>
      <c r="AB110" s="542">
        <v>0</v>
      </c>
      <c r="AC110" s="542">
        <v>13292</v>
      </c>
      <c r="AD110" s="542">
        <v>0</v>
      </c>
      <c r="AE110" s="542">
        <v>0</v>
      </c>
      <c r="AF110" s="542">
        <v>0</v>
      </c>
      <c r="AG110" s="542">
        <v>0</v>
      </c>
      <c r="AH110" s="542">
        <v>0</v>
      </c>
      <c r="AI110" s="542">
        <v>0</v>
      </c>
      <c r="AJ110" s="542">
        <v>0</v>
      </c>
      <c r="AK110" s="542">
        <v>0</v>
      </c>
      <c r="AL110" s="542">
        <v>0</v>
      </c>
      <c r="AM110" s="542">
        <v>0</v>
      </c>
      <c r="AN110" s="542">
        <v>0</v>
      </c>
      <c r="AO110" s="542">
        <v>0</v>
      </c>
      <c r="AP110" s="542">
        <v>0</v>
      </c>
      <c r="AQ110" s="542">
        <v>458995.38</v>
      </c>
      <c r="AR110" s="542">
        <v>114748.845</v>
      </c>
      <c r="AS110" s="542">
        <v>0</v>
      </c>
      <c r="AT110" s="542">
        <v>420925</v>
      </c>
      <c r="AU110" s="542">
        <v>105231</v>
      </c>
      <c r="AV110" s="542">
        <v>0</v>
      </c>
      <c r="AW110" s="542">
        <v>38070</v>
      </c>
      <c r="AX110" s="542">
        <v>9518</v>
      </c>
      <c r="AY110" s="542">
        <v>0</v>
      </c>
      <c r="AZ110" s="542">
        <v>3029.8258999999998</v>
      </c>
      <c r="BA110" s="542">
        <v>757.45647499999995</v>
      </c>
      <c r="BB110" s="542">
        <v>0</v>
      </c>
      <c r="BC110" s="542">
        <v>9897</v>
      </c>
      <c r="BD110" s="542">
        <v>2474</v>
      </c>
      <c r="BE110" s="542">
        <v>0</v>
      </c>
      <c r="BF110" s="542">
        <v>-6867</v>
      </c>
      <c r="BG110" s="542">
        <v>-1717</v>
      </c>
      <c r="BH110" s="542">
        <v>0</v>
      </c>
      <c r="BI110" s="542">
        <v>0</v>
      </c>
      <c r="BJ110" s="542">
        <v>0</v>
      </c>
      <c r="BK110" s="542">
        <v>0</v>
      </c>
      <c r="BL110" s="542">
        <v>0</v>
      </c>
      <c r="BM110" s="542">
        <v>0</v>
      </c>
      <c r="BN110" s="542">
        <v>0</v>
      </c>
      <c r="BO110" s="542">
        <v>0</v>
      </c>
      <c r="BP110" s="542">
        <v>0</v>
      </c>
      <c r="BQ110" s="542">
        <v>0</v>
      </c>
      <c r="BR110" s="542">
        <v>1459.73333</v>
      </c>
      <c r="BS110" s="542">
        <v>364.933333</v>
      </c>
      <c r="BT110" s="542">
        <v>0</v>
      </c>
      <c r="BU110" s="542">
        <v>10771</v>
      </c>
      <c r="BV110" s="542">
        <v>2693</v>
      </c>
      <c r="BW110" s="542">
        <v>0</v>
      </c>
      <c r="BX110" s="542">
        <v>-9311</v>
      </c>
      <c r="BY110" s="542">
        <v>-2328</v>
      </c>
      <c r="BZ110" s="542">
        <v>0</v>
      </c>
      <c r="CA110" s="542">
        <v>71888.733699999997</v>
      </c>
      <c r="CB110" s="542">
        <v>17972.183400000002</v>
      </c>
      <c r="CC110" s="542">
        <v>0</v>
      </c>
      <c r="CD110" s="542">
        <v>110763</v>
      </c>
      <c r="CE110" s="542">
        <v>27691</v>
      </c>
      <c r="CF110" s="542">
        <v>0</v>
      </c>
      <c r="CG110" s="542">
        <v>-38874</v>
      </c>
      <c r="CH110" s="542">
        <v>-9719</v>
      </c>
      <c r="CI110" s="542">
        <v>0</v>
      </c>
      <c r="CJ110" s="542">
        <v>0</v>
      </c>
      <c r="CK110" s="542">
        <v>0</v>
      </c>
      <c r="CL110" s="542">
        <v>0</v>
      </c>
      <c r="CM110" s="542">
        <v>114.805944</v>
      </c>
      <c r="CN110" s="542">
        <v>28.701486200000002</v>
      </c>
      <c r="CO110" s="542">
        <v>0</v>
      </c>
      <c r="CP110" s="542">
        <v>0</v>
      </c>
      <c r="CQ110" s="542">
        <v>0</v>
      </c>
      <c r="CR110" s="542">
        <v>0</v>
      </c>
      <c r="CS110" s="542">
        <v>115</v>
      </c>
      <c r="CT110" s="542">
        <v>29</v>
      </c>
      <c r="CU110" s="542">
        <v>0</v>
      </c>
      <c r="CV110" s="542">
        <v>49588.335400000004</v>
      </c>
      <c r="CW110" s="542">
        <v>12361.8078</v>
      </c>
      <c r="CX110" s="542">
        <v>0</v>
      </c>
      <c r="CY110" s="542">
        <v>49279</v>
      </c>
      <c r="CZ110" s="542">
        <v>12002</v>
      </c>
      <c r="DA110" s="542">
        <v>0</v>
      </c>
      <c r="DB110" s="542">
        <v>309</v>
      </c>
      <c r="DC110" s="542">
        <v>360</v>
      </c>
      <c r="DD110" s="542">
        <v>0</v>
      </c>
      <c r="DE110" s="153" t="s">
        <v>85</v>
      </c>
      <c r="DF110" s="103" t="s">
        <v>794</v>
      </c>
      <c r="DG110" s="104" t="s">
        <v>751</v>
      </c>
      <c r="DH110" s="547"/>
      <c r="DI110" s="547"/>
    </row>
    <row r="111" spans="1:113" x14ac:dyDescent="0.2">
      <c r="A111" s="93">
        <v>105</v>
      </c>
      <c r="B111" s="145" t="s">
        <v>88</v>
      </c>
      <c r="C111" s="141" t="s">
        <v>866</v>
      </c>
      <c r="D111" s="142" t="s">
        <v>868</v>
      </c>
      <c r="E111" s="149" t="s">
        <v>87</v>
      </c>
      <c r="F111" s="542">
        <v>60594</v>
      </c>
      <c r="G111" s="542">
        <v>0</v>
      </c>
      <c r="H111" s="542">
        <v>60594</v>
      </c>
      <c r="I111" s="542">
        <v>75333</v>
      </c>
      <c r="J111" s="542">
        <v>0</v>
      </c>
      <c r="K111" s="542">
        <v>75333</v>
      </c>
      <c r="L111" s="542">
        <v>-14739</v>
      </c>
      <c r="M111" s="542">
        <v>0</v>
      </c>
      <c r="N111" s="542">
        <v>-14739</v>
      </c>
      <c r="O111" s="543">
        <v>0.5</v>
      </c>
      <c r="P111" s="543">
        <v>0.4</v>
      </c>
      <c r="Q111" s="543">
        <v>0.09</v>
      </c>
      <c r="R111" s="543">
        <v>0.01</v>
      </c>
      <c r="S111" s="542">
        <v>111357</v>
      </c>
      <c r="T111" s="542">
        <v>111357</v>
      </c>
      <c r="U111" s="542">
        <v>0</v>
      </c>
      <c r="V111" s="542">
        <v>0</v>
      </c>
      <c r="W111" s="542">
        <v>0</v>
      </c>
      <c r="X111" s="542">
        <v>0</v>
      </c>
      <c r="Y111" s="542">
        <v>0</v>
      </c>
      <c r="Z111" s="542">
        <v>0</v>
      </c>
      <c r="AA111" s="542">
        <v>0</v>
      </c>
      <c r="AB111" s="542">
        <v>0</v>
      </c>
      <c r="AC111" s="542">
        <v>0</v>
      </c>
      <c r="AD111" s="542">
        <v>0</v>
      </c>
      <c r="AE111" s="542">
        <v>0</v>
      </c>
      <c r="AF111" s="542">
        <v>0</v>
      </c>
      <c r="AG111" s="542">
        <v>0</v>
      </c>
      <c r="AH111" s="542">
        <v>0</v>
      </c>
      <c r="AI111" s="542">
        <v>0</v>
      </c>
      <c r="AJ111" s="542">
        <v>0</v>
      </c>
      <c r="AK111" s="542">
        <v>0</v>
      </c>
      <c r="AL111" s="542">
        <v>0</v>
      </c>
      <c r="AM111" s="542">
        <v>0</v>
      </c>
      <c r="AN111" s="542">
        <v>0</v>
      </c>
      <c r="AO111" s="542">
        <v>0</v>
      </c>
      <c r="AP111" s="542">
        <v>0</v>
      </c>
      <c r="AQ111" s="542">
        <v>416642.69799999997</v>
      </c>
      <c r="AR111" s="542">
        <v>93744.607199999999</v>
      </c>
      <c r="AS111" s="542">
        <v>10416.0674</v>
      </c>
      <c r="AT111" s="542">
        <v>386351</v>
      </c>
      <c r="AU111" s="542">
        <v>86929</v>
      </c>
      <c r="AV111" s="542">
        <v>9659</v>
      </c>
      <c r="AW111" s="542">
        <v>30292</v>
      </c>
      <c r="AX111" s="542">
        <v>6816</v>
      </c>
      <c r="AY111" s="542">
        <v>757</v>
      </c>
      <c r="AZ111" s="542">
        <v>0</v>
      </c>
      <c r="BA111" s="542">
        <v>0</v>
      </c>
      <c r="BB111" s="542">
        <v>0</v>
      </c>
      <c r="BC111" s="542">
        <v>38635</v>
      </c>
      <c r="BD111" s="542">
        <v>8693</v>
      </c>
      <c r="BE111" s="542">
        <v>966</v>
      </c>
      <c r="BF111" s="542">
        <v>-38635</v>
      </c>
      <c r="BG111" s="542">
        <v>-8693</v>
      </c>
      <c r="BH111" s="542">
        <v>-966</v>
      </c>
      <c r="BI111" s="542">
        <v>4572.0254699999996</v>
      </c>
      <c r="BJ111" s="542">
        <v>1028.7057299999999</v>
      </c>
      <c r="BK111" s="542">
        <v>114.300636</v>
      </c>
      <c r="BL111" s="542">
        <v>20212</v>
      </c>
      <c r="BM111" s="542">
        <v>4548</v>
      </c>
      <c r="BN111" s="542">
        <v>505</v>
      </c>
      <c r="BO111" s="542">
        <v>-15640</v>
      </c>
      <c r="BP111" s="542">
        <v>-3519</v>
      </c>
      <c r="BQ111" s="542">
        <v>-391</v>
      </c>
      <c r="BR111" s="542">
        <v>5196.18174</v>
      </c>
      <c r="BS111" s="542">
        <v>1169.1408899999999</v>
      </c>
      <c r="BT111" s="542">
        <v>129.90454299999999</v>
      </c>
      <c r="BU111" s="542">
        <v>10433.596600000001</v>
      </c>
      <c r="BV111" s="542">
        <v>2347.5592299999998</v>
      </c>
      <c r="BW111" s="542">
        <v>260.83991500000002</v>
      </c>
      <c r="BX111" s="542">
        <v>-5237</v>
      </c>
      <c r="BY111" s="542">
        <v>-1178</v>
      </c>
      <c r="BZ111" s="542">
        <v>-131</v>
      </c>
      <c r="CA111" s="542">
        <v>137073.04199999999</v>
      </c>
      <c r="CB111" s="542">
        <v>30841.434600000001</v>
      </c>
      <c r="CC111" s="542">
        <v>3426.8260700000001</v>
      </c>
      <c r="CD111" s="542">
        <v>199780.535</v>
      </c>
      <c r="CE111" s="542">
        <v>44950.620300000002</v>
      </c>
      <c r="CF111" s="542">
        <v>4994.5133699999997</v>
      </c>
      <c r="CG111" s="542">
        <v>-62707</v>
      </c>
      <c r="CH111" s="542">
        <v>-14109</v>
      </c>
      <c r="CI111" s="542">
        <v>-1568</v>
      </c>
      <c r="CJ111" s="542">
        <v>0</v>
      </c>
      <c r="CK111" s="542">
        <v>0</v>
      </c>
      <c r="CL111" s="542">
        <v>0</v>
      </c>
      <c r="CM111" s="542">
        <v>0</v>
      </c>
      <c r="CN111" s="542">
        <v>0</v>
      </c>
      <c r="CO111" s="542">
        <v>0</v>
      </c>
      <c r="CP111" s="542">
        <v>0</v>
      </c>
      <c r="CQ111" s="542">
        <v>0</v>
      </c>
      <c r="CR111" s="542">
        <v>0</v>
      </c>
      <c r="CS111" s="542">
        <v>0</v>
      </c>
      <c r="CT111" s="542">
        <v>0</v>
      </c>
      <c r="CU111" s="542">
        <v>0</v>
      </c>
      <c r="CV111" s="542">
        <v>92771.261100000003</v>
      </c>
      <c r="CW111" s="542">
        <v>20873.5337</v>
      </c>
      <c r="CX111" s="542">
        <v>2319.28152</v>
      </c>
      <c r="CY111" s="542">
        <v>98005</v>
      </c>
      <c r="CZ111" s="542">
        <v>21785</v>
      </c>
      <c r="DA111" s="542">
        <v>2421</v>
      </c>
      <c r="DB111" s="542">
        <v>-5234</v>
      </c>
      <c r="DC111" s="542">
        <v>-911</v>
      </c>
      <c r="DD111" s="542">
        <v>-102</v>
      </c>
      <c r="DE111" s="153" t="s">
        <v>87</v>
      </c>
      <c r="DF111" s="103" t="s">
        <v>789</v>
      </c>
      <c r="DG111" s="104" t="s">
        <v>776</v>
      </c>
      <c r="DH111" s="549" t="s">
        <v>1188</v>
      </c>
      <c r="DI111" s="549" t="s">
        <v>1188</v>
      </c>
    </row>
    <row r="112" spans="1:113" x14ac:dyDescent="0.2">
      <c r="A112" s="93">
        <v>106</v>
      </c>
      <c r="B112" s="145" t="s">
        <v>90</v>
      </c>
      <c r="C112" s="141" t="s">
        <v>873</v>
      </c>
      <c r="D112" s="142" t="s">
        <v>878</v>
      </c>
      <c r="E112" s="149" t="s">
        <v>89</v>
      </c>
      <c r="F112" s="542">
        <v>-1329138</v>
      </c>
      <c r="G112" s="542">
        <v>-6105</v>
      </c>
      <c r="H112" s="542">
        <v>-1335243</v>
      </c>
      <c r="I112" s="542">
        <v>87888</v>
      </c>
      <c r="J112" s="542">
        <v>-31954</v>
      </c>
      <c r="K112" s="542">
        <v>55934</v>
      </c>
      <c r="L112" s="542">
        <v>-1417026</v>
      </c>
      <c r="M112" s="542">
        <v>25849</v>
      </c>
      <c r="N112" s="542">
        <v>-1391177</v>
      </c>
      <c r="O112" s="543">
        <v>0.5</v>
      </c>
      <c r="P112" s="543">
        <v>0.49</v>
      </c>
      <c r="Q112" s="543">
        <v>0</v>
      </c>
      <c r="R112" s="543">
        <v>0.01</v>
      </c>
      <c r="S112" s="542">
        <v>293640</v>
      </c>
      <c r="T112" s="542">
        <v>293640</v>
      </c>
      <c r="U112" s="542">
        <v>0</v>
      </c>
      <c r="V112" s="542">
        <v>253927</v>
      </c>
      <c r="W112" s="542">
        <v>46699</v>
      </c>
      <c r="X112" s="542">
        <v>207228</v>
      </c>
      <c r="Y112" s="542">
        <v>0</v>
      </c>
      <c r="Z112" s="542">
        <v>0</v>
      </c>
      <c r="AA112" s="542">
        <v>0</v>
      </c>
      <c r="AB112" s="542">
        <v>0</v>
      </c>
      <c r="AC112" s="542">
        <v>0</v>
      </c>
      <c r="AD112" s="542">
        <v>0</v>
      </c>
      <c r="AE112" s="542">
        <v>0</v>
      </c>
      <c r="AF112" s="542">
        <v>0</v>
      </c>
      <c r="AG112" s="542">
        <v>0</v>
      </c>
      <c r="AH112" s="542">
        <v>0</v>
      </c>
      <c r="AI112" s="542">
        <v>0</v>
      </c>
      <c r="AJ112" s="542">
        <v>0</v>
      </c>
      <c r="AK112" s="542">
        <v>0</v>
      </c>
      <c r="AL112" s="542">
        <v>0</v>
      </c>
      <c r="AM112" s="542">
        <v>0</v>
      </c>
      <c r="AN112" s="542">
        <v>0</v>
      </c>
      <c r="AO112" s="542">
        <v>0</v>
      </c>
      <c r="AP112" s="542">
        <v>0</v>
      </c>
      <c r="AQ112" s="542">
        <v>966360.02</v>
      </c>
      <c r="AR112" s="542">
        <v>0</v>
      </c>
      <c r="AS112" s="542">
        <v>19241.189999999999</v>
      </c>
      <c r="AT112" s="542">
        <v>877195</v>
      </c>
      <c r="AU112" s="542">
        <v>0</v>
      </c>
      <c r="AV112" s="542">
        <v>17902</v>
      </c>
      <c r="AW112" s="542">
        <v>89165</v>
      </c>
      <c r="AX112" s="542">
        <v>0</v>
      </c>
      <c r="AY112" s="542">
        <v>1339</v>
      </c>
      <c r="AZ112" s="542">
        <v>656.14</v>
      </c>
      <c r="BA112" s="542">
        <v>0</v>
      </c>
      <c r="BB112" s="542">
        <v>13.39</v>
      </c>
      <c r="BC112" s="542">
        <v>44984</v>
      </c>
      <c r="BD112" s="542">
        <v>0</v>
      </c>
      <c r="BE112" s="542">
        <v>918</v>
      </c>
      <c r="BF112" s="542">
        <v>-44328</v>
      </c>
      <c r="BG112" s="542">
        <v>0</v>
      </c>
      <c r="BH112" s="542">
        <v>-905</v>
      </c>
      <c r="BI112" s="542">
        <v>0</v>
      </c>
      <c r="BJ112" s="542">
        <v>0</v>
      </c>
      <c r="BK112" s="542">
        <v>0</v>
      </c>
      <c r="BL112" s="542">
        <v>154503</v>
      </c>
      <c r="BM112" s="542">
        <v>0</v>
      </c>
      <c r="BN112" s="542">
        <v>3153</v>
      </c>
      <c r="BO112" s="542">
        <v>-154503</v>
      </c>
      <c r="BP112" s="542">
        <v>0</v>
      </c>
      <c r="BQ112" s="542">
        <v>-3153</v>
      </c>
      <c r="BR112" s="542">
        <v>48914.54</v>
      </c>
      <c r="BS112" s="542">
        <v>0</v>
      </c>
      <c r="BT112" s="542">
        <v>998.26</v>
      </c>
      <c r="BU112" s="542">
        <v>41276.050000000003</v>
      </c>
      <c r="BV112" s="542">
        <v>0</v>
      </c>
      <c r="BW112" s="542">
        <v>842.37</v>
      </c>
      <c r="BX112" s="542">
        <v>7638</v>
      </c>
      <c r="BY112" s="542">
        <v>0</v>
      </c>
      <c r="BZ112" s="542">
        <v>156</v>
      </c>
      <c r="CA112" s="542">
        <v>225651.21</v>
      </c>
      <c r="CB112" s="542">
        <v>0</v>
      </c>
      <c r="CC112" s="542">
        <v>4545.83</v>
      </c>
      <c r="CD112" s="542">
        <v>396161.36</v>
      </c>
      <c r="CE112" s="542">
        <v>0</v>
      </c>
      <c r="CF112" s="542">
        <v>8084.93</v>
      </c>
      <c r="CG112" s="542">
        <v>-170510</v>
      </c>
      <c r="CH112" s="542">
        <v>0</v>
      </c>
      <c r="CI112" s="542">
        <v>-3539</v>
      </c>
      <c r="CJ112" s="542">
        <v>0</v>
      </c>
      <c r="CK112" s="542">
        <v>0</v>
      </c>
      <c r="CL112" s="542">
        <v>0</v>
      </c>
      <c r="CM112" s="542">
        <v>6326.2</v>
      </c>
      <c r="CN112" s="542">
        <v>0</v>
      </c>
      <c r="CO112" s="542">
        <v>129.11000000000001</v>
      </c>
      <c r="CP112" s="542">
        <v>0</v>
      </c>
      <c r="CQ112" s="542">
        <v>0</v>
      </c>
      <c r="CR112" s="542">
        <v>0</v>
      </c>
      <c r="CS112" s="542">
        <v>6326</v>
      </c>
      <c r="CT112" s="542">
        <v>0</v>
      </c>
      <c r="CU112" s="542">
        <v>129</v>
      </c>
      <c r="CV112" s="542">
        <v>455274.71</v>
      </c>
      <c r="CW112" s="542">
        <v>0</v>
      </c>
      <c r="CX112" s="542">
        <v>9236.31</v>
      </c>
      <c r="CY112" s="542">
        <v>470719</v>
      </c>
      <c r="CZ112" s="542">
        <v>0</v>
      </c>
      <c r="DA112" s="542">
        <v>9533</v>
      </c>
      <c r="DB112" s="542">
        <v>-15444</v>
      </c>
      <c r="DC112" s="542">
        <v>0</v>
      </c>
      <c r="DD112" s="542">
        <v>-297</v>
      </c>
      <c r="DE112" s="153" t="s">
        <v>89</v>
      </c>
      <c r="DF112" s="103" t="s">
        <v>763</v>
      </c>
      <c r="DG112" s="104" t="s">
        <v>808</v>
      </c>
      <c r="DH112" s="549" t="s">
        <v>1189</v>
      </c>
      <c r="DI112" s="549"/>
    </row>
    <row r="113" spans="1:113" ht="12.75" x14ac:dyDescent="0.2">
      <c r="A113" s="93">
        <v>107</v>
      </c>
      <c r="B113" s="145" t="s">
        <v>92</v>
      </c>
      <c r="C113" s="141" t="s">
        <v>866</v>
      </c>
      <c r="D113" s="142" t="s">
        <v>869</v>
      </c>
      <c r="E113" s="149" t="s">
        <v>91</v>
      </c>
      <c r="F113" s="542">
        <v>-89358</v>
      </c>
      <c r="G113" s="542">
        <v>0</v>
      </c>
      <c r="H113" s="542">
        <v>-89358</v>
      </c>
      <c r="I113" s="542">
        <v>-10336</v>
      </c>
      <c r="J113" s="542">
        <v>0</v>
      </c>
      <c r="K113" s="542">
        <v>-10336</v>
      </c>
      <c r="L113" s="542">
        <v>-79022</v>
      </c>
      <c r="M113" s="542">
        <v>0</v>
      </c>
      <c r="N113" s="542">
        <v>-79022</v>
      </c>
      <c r="O113" s="543">
        <v>0.5</v>
      </c>
      <c r="P113" s="543">
        <v>0.4</v>
      </c>
      <c r="Q113" s="543">
        <v>0.09</v>
      </c>
      <c r="R113" s="543">
        <v>0.01</v>
      </c>
      <c r="S113" s="542">
        <v>101805</v>
      </c>
      <c r="T113" s="542">
        <v>101805</v>
      </c>
      <c r="U113" s="542">
        <v>0</v>
      </c>
      <c r="V113" s="542">
        <v>0</v>
      </c>
      <c r="W113" s="542">
        <v>0</v>
      </c>
      <c r="X113" s="542">
        <v>0</v>
      </c>
      <c r="Y113" s="542">
        <v>0</v>
      </c>
      <c r="Z113" s="542">
        <v>0</v>
      </c>
      <c r="AA113" s="542">
        <v>0</v>
      </c>
      <c r="AB113" s="542">
        <v>0</v>
      </c>
      <c r="AC113" s="542">
        <v>0</v>
      </c>
      <c r="AD113" s="542">
        <v>0</v>
      </c>
      <c r="AE113" s="542">
        <v>0</v>
      </c>
      <c r="AF113" s="542">
        <v>0</v>
      </c>
      <c r="AG113" s="542">
        <v>0</v>
      </c>
      <c r="AH113" s="542">
        <v>0</v>
      </c>
      <c r="AI113" s="542">
        <v>0</v>
      </c>
      <c r="AJ113" s="542">
        <v>0</v>
      </c>
      <c r="AK113" s="542">
        <v>0</v>
      </c>
      <c r="AL113" s="542">
        <v>0</v>
      </c>
      <c r="AM113" s="542">
        <v>0</v>
      </c>
      <c r="AN113" s="542">
        <v>0</v>
      </c>
      <c r="AO113" s="542">
        <v>0</v>
      </c>
      <c r="AP113" s="542">
        <v>0</v>
      </c>
      <c r="AQ113" s="542">
        <v>328326.20400000003</v>
      </c>
      <c r="AR113" s="542">
        <v>73873.395999999993</v>
      </c>
      <c r="AS113" s="542">
        <v>8208.1551099999997</v>
      </c>
      <c r="AT113" s="542">
        <v>316703</v>
      </c>
      <c r="AU113" s="542">
        <v>71258</v>
      </c>
      <c r="AV113" s="542">
        <v>7918</v>
      </c>
      <c r="AW113" s="542">
        <v>11623</v>
      </c>
      <c r="AX113" s="542">
        <v>2615</v>
      </c>
      <c r="AY113" s="542">
        <v>290</v>
      </c>
      <c r="AZ113" s="542">
        <v>0</v>
      </c>
      <c r="BA113" s="542">
        <v>0</v>
      </c>
      <c r="BB113" s="542">
        <v>0</v>
      </c>
      <c r="BC113" s="542">
        <v>0</v>
      </c>
      <c r="BD113" s="542">
        <v>0</v>
      </c>
      <c r="BE113" s="542">
        <v>0</v>
      </c>
      <c r="BF113" s="542">
        <v>0</v>
      </c>
      <c r="BG113" s="542">
        <v>0</v>
      </c>
      <c r="BH113" s="542">
        <v>0</v>
      </c>
      <c r="BI113" s="542">
        <v>0</v>
      </c>
      <c r="BJ113" s="542">
        <v>0</v>
      </c>
      <c r="BK113" s="542">
        <v>0</v>
      </c>
      <c r="BL113" s="542">
        <v>0</v>
      </c>
      <c r="BM113" s="542">
        <v>0</v>
      </c>
      <c r="BN113" s="542">
        <v>0</v>
      </c>
      <c r="BO113" s="542">
        <v>0</v>
      </c>
      <c r="BP113" s="542">
        <v>0</v>
      </c>
      <c r="BQ113" s="542">
        <v>0</v>
      </c>
      <c r="BR113" s="542">
        <v>5744.7439400000003</v>
      </c>
      <c r="BS113" s="542">
        <v>1292.56738</v>
      </c>
      <c r="BT113" s="542">
        <v>143.61859799999999</v>
      </c>
      <c r="BU113" s="542">
        <v>0</v>
      </c>
      <c r="BV113" s="542">
        <v>0</v>
      </c>
      <c r="BW113" s="542">
        <v>0</v>
      </c>
      <c r="BX113" s="542">
        <v>5745</v>
      </c>
      <c r="BY113" s="542">
        <v>1293</v>
      </c>
      <c r="BZ113" s="542">
        <v>144</v>
      </c>
      <c r="CA113" s="542">
        <v>111459.594</v>
      </c>
      <c r="CB113" s="542">
        <v>25078.408599999999</v>
      </c>
      <c r="CC113" s="542">
        <v>2786.4898499999999</v>
      </c>
      <c r="CD113" s="542">
        <v>150588</v>
      </c>
      <c r="CE113" s="542">
        <v>33882</v>
      </c>
      <c r="CF113" s="542">
        <v>3765</v>
      </c>
      <c r="CG113" s="542">
        <v>-39128</v>
      </c>
      <c r="CH113" s="542">
        <v>-8804</v>
      </c>
      <c r="CI113" s="542">
        <v>-979</v>
      </c>
      <c r="CJ113" s="542">
        <v>0</v>
      </c>
      <c r="CK113" s="542">
        <v>0</v>
      </c>
      <c r="CL113" s="542">
        <v>0</v>
      </c>
      <c r="CM113" s="542">
        <v>0</v>
      </c>
      <c r="CN113" s="542">
        <v>0</v>
      </c>
      <c r="CO113" s="542">
        <v>0</v>
      </c>
      <c r="CP113" s="542">
        <v>0</v>
      </c>
      <c r="CQ113" s="542">
        <v>0</v>
      </c>
      <c r="CR113" s="542">
        <v>0</v>
      </c>
      <c r="CS113" s="542">
        <v>0</v>
      </c>
      <c r="CT113" s="542">
        <v>0</v>
      </c>
      <c r="CU113" s="542">
        <v>0</v>
      </c>
      <c r="CV113" s="542">
        <v>82207.248399999997</v>
      </c>
      <c r="CW113" s="542">
        <v>18496.630799999999</v>
      </c>
      <c r="CX113" s="542">
        <v>2055.1812100000002</v>
      </c>
      <c r="CY113" s="542">
        <v>90508</v>
      </c>
      <c r="CZ113" s="542">
        <v>20121</v>
      </c>
      <c r="DA113" s="542">
        <v>2236</v>
      </c>
      <c r="DB113" s="542">
        <v>-8301</v>
      </c>
      <c r="DC113" s="542">
        <v>-1624</v>
      </c>
      <c r="DD113" s="542">
        <v>-181</v>
      </c>
      <c r="DE113" s="153" t="s">
        <v>91</v>
      </c>
      <c r="DF113" s="103" t="s">
        <v>755</v>
      </c>
      <c r="DG113" s="104" t="s">
        <v>756</v>
      </c>
      <c r="DH113" s="548"/>
      <c r="DI113" s="548"/>
    </row>
    <row r="114" spans="1:113" x14ac:dyDescent="0.2">
      <c r="A114" s="93">
        <v>108</v>
      </c>
      <c r="B114" s="145" t="s">
        <v>94</v>
      </c>
      <c r="C114" s="141" t="s">
        <v>866</v>
      </c>
      <c r="D114" s="142" t="s">
        <v>875</v>
      </c>
      <c r="E114" s="149" t="s">
        <v>93</v>
      </c>
      <c r="F114" s="542">
        <v>-263949</v>
      </c>
      <c r="G114" s="542">
        <v>0</v>
      </c>
      <c r="H114" s="542">
        <v>-263949</v>
      </c>
      <c r="I114" s="542">
        <v>28627</v>
      </c>
      <c r="J114" s="542">
        <v>0</v>
      </c>
      <c r="K114" s="542">
        <v>28627</v>
      </c>
      <c r="L114" s="542">
        <v>-292576</v>
      </c>
      <c r="M114" s="542">
        <v>0</v>
      </c>
      <c r="N114" s="542">
        <v>-292576</v>
      </c>
      <c r="O114" s="543">
        <v>0.5</v>
      </c>
      <c r="P114" s="543">
        <v>0.4</v>
      </c>
      <c r="Q114" s="543">
        <v>0.1</v>
      </c>
      <c r="R114" s="543">
        <v>0</v>
      </c>
      <c r="S114" s="542">
        <v>178775</v>
      </c>
      <c r="T114" s="542">
        <v>178775</v>
      </c>
      <c r="U114" s="542">
        <v>0</v>
      </c>
      <c r="V114" s="542">
        <v>0</v>
      </c>
      <c r="W114" s="542">
        <v>0</v>
      </c>
      <c r="X114" s="542">
        <v>0</v>
      </c>
      <c r="Y114" s="542">
        <v>0</v>
      </c>
      <c r="Z114" s="542">
        <v>0</v>
      </c>
      <c r="AA114" s="542">
        <v>0</v>
      </c>
      <c r="AB114" s="542">
        <v>0</v>
      </c>
      <c r="AC114" s="542">
        <v>0</v>
      </c>
      <c r="AD114" s="542">
        <v>0</v>
      </c>
      <c r="AE114" s="542">
        <v>0</v>
      </c>
      <c r="AF114" s="542">
        <v>0</v>
      </c>
      <c r="AG114" s="542">
        <v>0</v>
      </c>
      <c r="AH114" s="542">
        <v>0</v>
      </c>
      <c r="AI114" s="542">
        <v>0</v>
      </c>
      <c r="AJ114" s="542">
        <v>0</v>
      </c>
      <c r="AK114" s="542">
        <v>0</v>
      </c>
      <c r="AL114" s="542">
        <v>0</v>
      </c>
      <c r="AM114" s="542">
        <v>0</v>
      </c>
      <c r="AN114" s="542">
        <v>0</v>
      </c>
      <c r="AO114" s="542">
        <v>0</v>
      </c>
      <c r="AP114" s="542">
        <v>0</v>
      </c>
      <c r="AQ114" s="542">
        <v>382545.53499999997</v>
      </c>
      <c r="AR114" s="542">
        <v>95636.383799999996</v>
      </c>
      <c r="AS114" s="542">
        <v>0</v>
      </c>
      <c r="AT114" s="542">
        <v>353248</v>
      </c>
      <c r="AU114" s="542">
        <v>88312</v>
      </c>
      <c r="AV114" s="542">
        <v>0</v>
      </c>
      <c r="AW114" s="542">
        <v>29298</v>
      </c>
      <c r="AX114" s="542">
        <v>7324</v>
      </c>
      <c r="AY114" s="542">
        <v>0</v>
      </c>
      <c r="AZ114" s="542">
        <v>2807.8946900000001</v>
      </c>
      <c r="BA114" s="542">
        <v>701.97367299999996</v>
      </c>
      <c r="BB114" s="542">
        <v>0</v>
      </c>
      <c r="BC114" s="542">
        <v>0</v>
      </c>
      <c r="BD114" s="542">
        <v>0</v>
      </c>
      <c r="BE114" s="542">
        <v>0</v>
      </c>
      <c r="BF114" s="542">
        <v>2808</v>
      </c>
      <c r="BG114" s="542">
        <v>702</v>
      </c>
      <c r="BH114" s="542">
        <v>0</v>
      </c>
      <c r="BI114" s="542">
        <v>0</v>
      </c>
      <c r="BJ114" s="542">
        <v>0</v>
      </c>
      <c r="BK114" s="542">
        <v>0</v>
      </c>
      <c r="BL114" s="542">
        <v>0</v>
      </c>
      <c r="BM114" s="542">
        <v>0</v>
      </c>
      <c r="BN114" s="542">
        <v>0</v>
      </c>
      <c r="BO114" s="542">
        <v>0</v>
      </c>
      <c r="BP114" s="542">
        <v>0</v>
      </c>
      <c r="BQ114" s="542">
        <v>0</v>
      </c>
      <c r="BR114" s="542">
        <v>132.592781</v>
      </c>
      <c r="BS114" s="542">
        <v>33.148195299999998</v>
      </c>
      <c r="BT114" s="542">
        <v>0</v>
      </c>
      <c r="BU114" s="542">
        <v>63118</v>
      </c>
      <c r="BV114" s="542">
        <v>15779</v>
      </c>
      <c r="BW114" s="542">
        <v>0</v>
      </c>
      <c r="BX114" s="542">
        <v>-62985</v>
      </c>
      <c r="BY114" s="542">
        <v>-15746</v>
      </c>
      <c r="BZ114" s="542">
        <v>0</v>
      </c>
      <c r="CA114" s="542">
        <v>89424.9375</v>
      </c>
      <c r="CB114" s="542">
        <v>22356.2343</v>
      </c>
      <c r="CC114" s="542">
        <v>0</v>
      </c>
      <c r="CD114" s="542">
        <v>208548</v>
      </c>
      <c r="CE114" s="542">
        <v>52137</v>
      </c>
      <c r="CF114" s="542">
        <v>0</v>
      </c>
      <c r="CG114" s="542">
        <v>-119123</v>
      </c>
      <c r="CH114" s="542">
        <v>-29781</v>
      </c>
      <c r="CI114" s="542">
        <v>0</v>
      </c>
      <c r="CJ114" s="542">
        <v>0</v>
      </c>
      <c r="CK114" s="542">
        <v>0</v>
      </c>
      <c r="CL114" s="542">
        <v>0</v>
      </c>
      <c r="CM114" s="542">
        <v>0</v>
      </c>
      <c r="CN114" s="542">
        <v>0</v>
      </c>
      <c r="CO114" s="542">
        <v>0</v>
      </c>
      <c r="CP114" s="542">
        <v>0</v>
      </c>
      <c r="CQ114" s="542">
        <v>0</v>
      </c>
      <c r="CR114" s="542">
        <v>0</v>
      </c>
      <c r="CS114" s="542">
        <v>0</v>
      </c>
      <c r="CT114" s="542">
        <v>0</v>
      </c>
      <c r="CU114" s="542">
        <v>0</v>
      </c>
      <c r="CV114" s="542">
        <v>216018.611</v>
      </c>
      <c r="CW114" s="542">
        <v>54004.652800000003</v>
      </c>
      <c r="CX114" s="542">
        <v>0</v>
      </c>
      <c r="CY114" s="542">
        <v>221728</v>
      </c>
      <c r="CZ114" s="542">
        <v>54958</v>
      </c>
      <c r="DA114" s="542">
        <v>0</v>
      </c>
      <c r="DB114" s="542">
        <v>-5709</v>
      </c>
      <c r="DC114" s="542">
        <v>-953</v>
      </c>
      <c r="DD114" s="542">
        <v>0</v>
      </c>
      <c r="DE114" s="153" t="s">
        <v>93</v>
      </c>
      <c r="DF114" s="103" t="s">
        <v>794</v>
      </c>
      <c r="DG114" s="104" t="s">
        <v>751</v>
      </c>
      <c r="DH114" s="547"/>
      <c r="DI114" s="547"/>
    </row>
    <row r="115" spans="1:113" x14ac:dyDescent="0.2">
      <c r="A115" s="93">
        <v>109</v>
      </c>
      <c r="B115" s="145" t="s">
        <v>96</v>
      </c>
      <c r="C115" s="141" t="s">
        <v>866</v>
      </c>
      <c r="D115" s="142" t="s">
        <v>867</v>
      </c>
      <c r="E115" s="149" t="s">
        <v>95</v>
      </c>
      <c r="F115" s="542">
        <v>-3970</v>
      </c>
      <c r="G115" s="542">
        <v>-4323</v>
      </c>
      <c r="H115" s="542">
        <v>-8293</v>
      </c>
      <c r="I115" s="542">
        <v>24540</v>
      </c>
      <c r="J115" s="542">
        <v>2357</v>
      </c>
      <c r="K115" s="542">
        <v>26897</v>
      </c>
      <c r="L115" s="542">
        <v>-28510</v>
      </c>
      <c r="M115" s="542">
        <v>-6680</v>
      </c>
      <c r="N115" s="542">
        <v>-35190</v>
      </c>
      <c r="O115" s="543">
        <v>0.5</v>
      </c>
      <c r="P115" s="543">
        <v>0.4</v>
      </c>
      <c r="Q115" s="543">
        <v>0.09</v>
      </c>
      <c r="R115" s="543">
        <v>0.01</v>
      </c>
      <c r="S115" s="542">
        <v>81548</v>
      </c>
      <c r="T115" s="542">
        <v>81548</v>
      </c>
      <c r="U115" s="542">
        <v>0</v>
      </c>
      <c r="V115" s="542">
        <v>0</v>
      </c>
      <c r="W115" s="542">
        <v>0</v>
      </c>
      <c r="X115" s="542">
        <v>0</v>
      </c>
      <c r="Y115" s="542">
        <v>0</v>
      </c>
      <c r="Z115" s="542">
        <v>0</v>
      </c>
      <c r="AA115" s="542">
        <v>0</v>
      </c>
      <c r="AB115" s="542">
        <v>0</v>
      </c>
      <c r="AC115" s="542">
        <v>0</v>
      </c>
      <c r="AD115" s="542">
        <v>0</v>
      </c>
      <c r="AE115" s="542">
        <v>83440.4755</v>
      </c>
      <c r="AF115" s="542">
        <v>83440.4755</v>
      </c>
      <c r="AG115" s="542">
        <v>0</v>
      </c>
      <c r="AH115" s="542">
        <v>0</v>
      </c>
      <c r="AI115" s="542">
        <v>132643</v>
      </c>
      <c r="AJ115" s="542">
        <v>132643</v>
      </c>
      <c r="AK115" s="542">
        <v>0</v>
      </c>
      <c r="AL115" s="542">
        <v>0</v>
      </c>
      <c r="AM115" s="542">
        <v>-49203</v>
      </c>
      <c r="AN115" s="542">
        <v>-49203</v>
      </c>
      <c r="AO115" s="542">
        <v>0</v>
      </c>
      <c r="AP115" s="542">
        <v>0</v>
      </c>
      <c r="AQ115" s="542">
        <v>269958.49800000002</v>
      </c>
      <c r="AR115" s="542">
        <v>59219.432800000002</v>
      </c>
      <c r="AS115" s="542">
        <v>6579.9369800000004</v>
      </c>
      <c r="AT115" s="542">
        <v>255152</v>
      </c>
      <c r="AU115" s="542">
        <v>57409</v>
      </c>
      <c r="AV115" s="542">
        <v>6379</v>
      </c>
      <c r="AW115" s="542">
        <v>14806</v>
      </c>
      <c r="AX115" s="542">
        <v>1810</v>
      </c>
      <c r="AY115" s="542">
        <v>201</v>
      </c>
      <c r="AZ115" s="542">
        <v>0</v>
      </c>
      <c r="BA115" s="542">
        <v>0</v>
      </c>
      <c r="BB115" s="542">
        <v>0</v>
      </c>
      <c r="BC115" s="542">
        <v>14149</v>
      </c>
      <c r="BD115" s="542">
        <v>3183</v>
      </c>
      <c r="BE115" s="542">
        <v>354</v>
      </c>
      <c r="BF115" s="542">
        <v>-14149</v>
      </c>
      <c r="BG115" s="542">
        <v>-3183</v>
      </c>
      <c r="BH115" s="542">
        <v>-354</v>
      </c>
      <c r="BI115" s="542">
        <v>11616.8254</v>
      </c>
      <c r="BJ115" s="542">
        <v>2613.7857300000001</v>
      </c>
      <c r="BK115" s="542">
        <v>290.420636</v>
      </c>
      <c r="BL115" s="542">
        <v>19202</v>
      </c>
      <c r="BM115" s="542">
        <v>4320</v>
      </c>
      <c r="BN115" s="542">
        <v>480</v>
      </c>
      <c r="BO115" s="542">
        <v>-7585</v>
      </c>
      <c r="BP115" s="542">
        <v>-1706</v>
      </c>
      <c r="BQ115" s="542">
        <v>-190</v>
      </c>
      <c r="BR115" s="542">
        <v>767.25944800000002</v>
      </c>
      <c r="BS115" s="542">
        <v>172.633375</v>
      </c>
      <c r="BT115" s="542">
        <v>19.181486199999998</v>
      </c>
      <c r="BU115" s="542">
        <v>88934.182499999995</v>
      </c>
      <c r="BV115" s="542">
        <v>20010.190999999999</v>
      </c>
      <c r="BW115" s="542">
        <v>2223.3545600000002</v>
      </c>
      <c r="BX115" s="542">
        <v>-88167</v>
      </c>
      <c r="BY115" s="542">
        <v>-19838</v>
      </c>
      <c r="BZ115" s="542">
        <v>-2204</v>
      </c>
      <c r="CA115" s="542">
        <v>54441.464099999997</v>
      </c>
      <c r="CB115" s="542">
        <v>12249.329400000001</v>
      </c>
      <c r="CC115" s="542">
        <v>1361.0365999999999</v>
      </c>
      <c r="CD115" s="542">
        <v>145528.66200000001</v>
      </c>
      <c r="CE115" s="542">
        <v>32743.949000000001</v>
      </c>
      <c r="CF115" s="542">
        <v>3638.2165599999998</v>
      </c>
      <c r="CG115" s="542">
        <v>-91087</v>
      </c>
      <c r="CH115" s="542">
        <v>-20495</v>
      </c>
      <c r="CI115" s="542">
        <v>-2277</v>
      </c>
      <c r="CJ115" s="542">
        <v>0</v>
      </c>
      <c r="CK115" s="542">
        <v>0</v>
      </c>
      <c r="CL115" s="542">
        <v>0</v>
      </c>
      <c r="CM115" s="542">
        <v>528.34989299999995</v>
      </c>
      <c r="CN115" s="542">
        <v>118.878726</v>
      </c>
      <c r="CO115" s="542">
        <v>13.208747300000001</v>
      </c>
      <c r="CP115" s="542">
        <v>0</v>
      </c>
      <c r="CQ115" s="542">
        <v>0</v>
      </c>
      <c r="CR115" s="542">
        <v>0</v>
      </c>
      <c r="CS115" s="542">
        <v>528</v>
      </c>
      <c r="CT115" s="542">
        <v>119</v>
      </c>
      <c r="CU115" s="542">
        <v>13</v>
      </c>
      <c r="CV115" s="542">
        <v>65361.566800000001</v>
      </c>
      <c r="CW115" s="542">
        <v>14706.352500000001</v>
      </c>
      <c r="CX115" s="542">
        <v>1634.03917</v>
      </c>
      <c r="CY115" s="542">
        <v>55993</v>
      </c>
      <c r="CZ115" s="542">
        <v>12087</v>
      </c>
      <c r="DA115" s="542">
        <v>1343</v>
      </c>
      <c r="DB115" s="542">
        <v>9369</v>
      </c>
      <c r="DC115" s="542">
        <v>2619</v>
      </c>
      <c r="DD115" s="542">
        <v>291</v>
      </c>
      <c r="DE115" s="153" t="s">
        <v>95</v>
      </c>
      <c r="DF115" s="103" t="s">
        <v>767</v>
      </c>
      <c r="DG115" s="104" t="s">
        <v>768</v>
      </c>
      <c r="DH115" s="549" t="s">
        <v>1187</v>
      </c>
      <c r="DI115" s="549"/>
    </row>
    <row r="116" spans="1:113" x14ac:dyDescent="0.2">
      <c r="A116" s="93">
        <v>110</v>
      </c>
      <c r="B116" s="145" t="s">
        <v>98</v>
      </c>
      <c r="C116" s="141" t="s">
        <v>866</v>
      </c>
      <c r="D116" s="142" t="s">
        <v>867</v>
      </c>
      <c r="E116" s="149" t="s">
        <v>97</v>
      </c>
      <c r="F116" s="542">
        <v>-117208</v>
      </c>
      <c r="G116" s="542">
        <v>0</v>
      </c>
      <c r="H116" s="542">
        <v>-117208</v>
      </c>
      <c r="I116" s="542">
        <v>45379</v>
      </c>
      <c r="J116" s="542">
        <v>0</v>
      </c>
      <c r="K116" s="542">
        <v>45379</v>
      </c>
      <c r="L116" s="542">
        <v>-162587</v>
      </c>
      <c r="M116" s="542">
        <v>0</v>
      </c>
      <c r="N116" s="542">
        <v>-162587</v>
      </c>
      <c r="O116" s="543">
        <v>0.5</v>
      </c>
      <c r="P116" s="543">
        <v>0.4</v>
      </c>
      <c r="Q116" s="543">
        <v>0.09</v>
      </c>
      <c r="R116" s="543">
        <v>0.01</v>
      </c>
      <c r="S116" s="542">
        <v>97673</v>
      </c>
      <c r="T116" s="542">
        <v>97673</v>
      </c>
      <c r="U116" s="542">
        <v>0</v>
      </c>
      <c r="V116" s="542">
        <v>0</v>
      </c>
      <c r="W116" s="542">
        <v>0</v>
      </c>
      <c r="X116" s="542">
        <v>0</v>
      </c>
      <c r="Y116" s="542">
        <v>0</v>
      </c>
      <c r="Z116" s="542">
        <v>0</v>
      </c>
      <c r="AA116" s="542">
        <v>0</v>
      </c>
      <c r="AB116" s="542">
        <v>0</v>
      </c>
      <c r="AC116" s="542">
        <v>0</v>
      </c>
      <c r="AD116" s="542">
        <v>0</v>
      </c>
      <c r="AE116" s="542">
        <v>0</v>
      </c>
      <c r="AF116" s="542">
        <v>0</v>
      </c>
      <c r="AG116" s="542">
        <v>0</v>
      </c>
      <c r="AH116" s="542">
        <v>0</v>
      </c>
      <c r="AI116" s="542">
        <v>0</v>
      </c>
      <c r="AJ116" s="542">
        <v>0</v>
      </c>
      <c r="AK116" s="542">
        <v>0</v>
      </c>
      <c r="AL116" s="542">
        <v>0</v>
      </c>
      <c r="AM116" s="542">
        <v>0</v>
      </c>
      <c r="AN116" s="542">
        <v>0</v>
      </c>
      <c r="AO116" s="542">
        <v>0</v>
      </c>
      <c r="AP116" s="542">
        <v>0</v>
      </c>
      <c r="AQ116" s="542">
        <v>334840.22899999999</v>
      </c>
      <c r="AR116" s="542">
        <v>75339.051500000001</v>
      </c>
      <c r="AS116" s="542">
        <v>8371.0057300000008</v>
      </c>
      <c r="AT116" s="542">
        <v>288628</v>
      </c>
      <c r="AU116" s="542">
        <v>64941</v>
      </c>
      <c r="AV116" s="542">
        <v>7216</v>
      </c>
      <c r="AW116" s="542">
        <v>46212</v>
      </c>
      <c r="AX116" s="542">
        <v>10398</v>
      </c>
      <c r="AY116" s="542">
        <v>1155</v>
      </c>
      <c r="AZ116" s="542">
        <v>0</v>
      </c>
      <c r="BA116" s="542">
        <v>0</v>
      </c>
      <c r="BB116" s="542">
        <v>0</v>
      </c>
      <c r="BC116" s="542">
        <v>0</v>
      </c>
      <c r="BD116" s="542">
        <v>0</v>
      </c>
      <c r="BE116" s="542">
        <v>0</v>
      </c>
      <c r="BF116" s="542">
        <v>0</v>
      </c>
      <c r="BG116" s="542">
        <v>0</v>
      </c>
      <c r="BH116" s="542">
        <v>0</v>
      </c>
      <c r="BI116" s="542">
        <v>0</v>
      </c>
      <c r="BJ116" s="542">
        <v>0</v>
      </c>
      <c r="BK116" s="542">
        <v>0</v>
      </c>
      <c r="BL116" s="542">
        <v>0</v>
      </c>
      <c r="BM116" s="542">
        <v>0</v>
      </c>
      <c r="BN116" s="542">
        <v>0</v>
      </c>
      <c r="BO116" s="542">
        <v>0</v>
      </c>
      <c r="BP116" s="542">
        <v>0</v>
      </c>
      <c r="BQ116" s="542">
        <v>0</v>
      </c>
      <c r="BR116" s="542">
        <v>0</v>
      </c>
      <c r="BS116" s="542">
        <v>0</v>
      </c>
      <c r="BT116" s="542">
        <v>0</v>
      </c>
      <c r="BU116" s="542">
        <v>27084.501</v>
      </c>
      <c r="BV116" s="542">
        <v>6094.0127300000004</v>
      </c>
      <c r="BW116" s="542">
        <v>677.112526</v>
      </c>
      <c r="BX116" s="542">
        <v>-27085</v>
      </c>
      <c r="BY116" s="542">
        <v>-6094</v>
      </c>
      <c r="BZ116" s="542">
        <v>-677</v>
      </c>
      <c r="CA116" s="542">
        <v>152620.35500000001</v>
      </c>
      <c r="CB116" s="542">
        <v>34339.5798</v>
      </c>
      <c r="CC116" s="542">
        <v>3815.5088700000001</v>
      </c>
      <c r="CD116" s="542">
        <v>171247.61900000001</v>
      </c>
      <c r="CE116" s="542">
        <v>38530.7143</v>
      </c>
      <c r="CF116" s="542">
        <v>4281.1904800000002</v>
      </c>
      <c r="CG116" s="542">
        <v>-18627</v>
      </c>
      <c r="CH116" s="542">
        <v>-4191</v>
      </c>
      <c r="CI116" s="542">
        <v>-466</v>
      </c>
      <c r="CJ116" s="542">
        <v>0</v>
      </c>
      <c r="CK116" s="542">
        <v>0</v>
      </c>
      <c r="CL116" s="542">
        <v>0</v>
      </c>
      <c r="CM116" s="542">
        <v>0</v>
      </c>
      <c r="CN116" s="542">
        <v>0</v>
      </c>
      <c r="CO116" s="542">
        <v>0</v>
      </c>
      <c r="CP116" s="542">
        <v>0</v>
      </c>
      <c r="CQ116" s="542">
        <v>0</v>
      </c>
      <c r="CR116" s="542">
        <v>0</v>
      </c>
      <c r="CS116" s="542">
        <v>0</v>
      </c>
      <c r="CT116" s="542">
        <v>0</v>
      </c>
      <c r="CU116" s="542">
        <v>0</v>
      </c>
      <c r="CV116" s="542">
        <v>85665.723899999997</v>
      </c>
      <c r="CW116" s="542">
        <v>19274.787899999999</v>
      </c>
      <c r="CX116" s="542">
        <v>2141.6430999999998</v>
      </c>
      <c r="CY116" s="542">
        <v>93912</v>
      </c>
      <c r="CZ116" s="542">
        <v>20897</v>
      </c>
      <c r="DA116" s="542">
        <v>2322</v>
      </c>
      <c r="DB116" s="542">
        <v>-8246</v>
      </c>
      <c r="DC116" s="542">
        <v>-1622</v>
      </c>
      <c r="DD116" s="542">
        <v>-180</v>
      </c>
      <c r="DE116" s="153" t="s">
        <v>97</v>
      </c>
      <c r="DF116" s="103" t="s">
        <v>757</v>
      </c>
      <c r="DG116" s="104" t="s">
        <v>758</v>
      </c>
      <c r="DH116" s="547"/>
      <c r="DI116" s="547"/>
    </row>
    <row r="117" spans="1:113" x14ac:dyDescent="0.2">
      <c r="A117" s="93">
        <v>111</v>
      </c>
      <c r="B117" s="145" t="s">
        <v>100</v>
      </c>
      <c r="C117" s="141" t="s">
        <v>866</v>
      </c>
      <c r="D117" s="142" t="s">
        <v>870</v>
      </c>
      <c r="E117" s="149" t="s">
        <v>99</v>
      </c>
      <c r="F117" s="542">
        <v>2880038</v>
      </c>
      <c r="G117" s="542">
        <v>-38429</v>
      </c>
      <c r="H117" s="542">
        <v>2841609</v>
      </c>
      <c r="I117" s="542">
        <v>310422</v>
      </c>
      <c r="J117" s="542">
        <v>-38429</v>
      </c>
      <c r="K117" s="542">
        <v>271993</v>
      </c>
      <c r="L117" s="542">
        <v>2569616</v>
      </c>
      <c r="M117" s="542">
        <v>0</v>
      </c>
      <c r="N117" s="542">
        <v>2569616</v>
      </c>
      <c r="O117" s="543">
        <v>0.5</v>
      </c>
      <c r="P117" s="543">
        <v>0.4</v>
      </c>
      <c r="Q117" s="543">
        <v>0.1</v>
      </c>
      <c r="R117" s="543">
        <v>0</v>
      </c>
      <c r="S117" s="542">
        <v>185114</v>
      </c>
      <c r="T117" s="542">
        <v>185114</v>
      </c>
      <c r="U117" s="542">
        <v>0</v>
      </c>
      <c r="V117" s="542">
        <v>0</v>
      </c>
      <c r="W117" s="542">
        <v>0</v>
      </c>
      <c r="X117" s="542">
        <v>0</v>
      </c>
      <c r="Y117" s="542">
        <v>54707</v>
      </c>
      <c r="Z117" s="542">
        <v>0</v>
      </c>
      <c r="AA117" s="542">
        <v>0</v>
      </c>
      <c r="AB117" s="542">
        <v>0</v>
      </c>
      <c r="AC117" s="542">
        <v>54707</v>
      </c>
      <c r="AD117" s="542">
        <v>0</v>
      </c>
      <c r="AE117" s="542">
        <v>318887.65999999997</v>
      </c>
      <c r="AF117" s="542">
        <v>318887.65999999997</v>
      </c>
      <c r="AG117" s="542">
        <v>0</v>
      </c>
      <c r="AH117" s="542">
        <v>0</v>
      </c>
      <c r="AI117" s="542">
        <v>268166</v>
      </c>
      <c r="AJ117" s="542">
        <v>268166</v>
      </c>
      <c r="AK117" s="542">
        <v>0</v>
      </c>
      <c r="AL117" s="542">
        <v>0</v>
      </c>
      <c r="AM117" s="542">
        <v>50722</v>
      </c>
      <c r="AN117" s="542">
        <v>50722</v>
      </c>
      <c r="AO117" s="542">
        <v>0</v>
      </c>
      <c r="AP117" s="542">
        <v>0</v>
      </c>
      <c r="AQ117" s="542">
        <v>559351.54099999997</v>
      </c>
      <c r="AR117" s="542">
        <v>139837.88500000001</v>
      </c>
      <c r="AS117" s="542">
        <v>0</v>
      </c>
      <c r="AT117" s="542">
        <v>415679</v>
      </c>
      <c r="AU117" s="542">
        <v>103920</v>
      </c>
      <c r="AV117" s="542">
        <v>0</v>
      </c>
      <c r="AW117" s="542">
        <v>143673</v>
      </c>
      <c r="AX117" s="542">
        <v>35918</v>
      </c>
      <c r="AY117" s="542">
        <v>0</v>
      </c>
      <c r="AZ117" s="542">
        <v>0</v>
      </c>
      <c r="BA117" s="542">
        <v>0</v>
      </c>
      <c r="BB117" s="542">
        <v>0</v>
      </c>
      <c r="BC117" s="542">
        <v>8085</v>
      </c>
      <c r="BD117" s="542">
        <v>2021</v>
      </c>
      <c r="BE117" s="542">
        <v>0</v>
      </c>
      <c r="BF117" s="542">
        <v>-8085</v>
      </c>
      <c r="BG117" s="542">
        <v>-2021</v>
      </c>
      <c r="BH117" s="542">
        <v>0</v>
      </c>
      <c r="BI117" s="542">
        <v>0</v>
      </c>
      <c r="BJ117" s="542">
        <v>0</v>
      </c>
      <c r="BK117" s="542">
        <v>0</v>
      </c>
      <c r="BL117" s="542">
        <v>18191</v>
      </c>
      <c r="BM117" s="542">
        <v>4548</v>
      </c>
      <c r="BN117" s="542">
        <v>0</v>
      </c>
      <c r="BO117" s="542">
        <v>-18191</v>
      </c>
      <c r="BP117" s="542">
        <v>-4548</v>
      </c>
      <c r="BQ117" s="542">
        <v>0</v>
      </c>
      <c r="BR117" s="542">
        <v>0</v>
      </c>
      <c r="BS117" s="542">
        <v>0</v>
      </c>
      <c r="BT117" s="542">
        <v>0</v>
      </c>
      <c r="BU117" s="542">
        <v>10106.1571</v>
      </c>
      <c r="BV117" s="542">
        <v>2526.5392700000002</v>
      </c>
      <c r="BW117" s="542">
        <v>0</v>
      </c>
      <c r="BX117" s="542">
        <v>-10106</v>
      </c>
      <c r="BY117" s="542">
        <v>-2527</v>
      </c>
      <c r="BZ117" s="542">
        <v>0</v>
      </c>
      <c r="CA117" s="542">
        <v>64260.606299999999</v>
      </c>
      <c r="CB117" s="542">
        <v>16065.1515</v>
      </c>
      <c r="CC117" s="542">
        <v>0</v>
      </c>
      <c r="CD117" s="542">
        <v>349268.78899999999</v>
      </c>
      <c r="CE117" s="542">
        <v>87317.197400000005</v>
      </c>
      <c r="CF117" s="542">
        <v>0</v>
      </c>
      <c r="CG117" s="542">
        <v>-285008</v>
      </c>
      <c r="CH117" s="542">
        <v>-71252</v>
      </c>
      <c r="CI117" s="542">
        <v>0</v>
      </c>
      <c r="CJ117" s="542">
        <v>0</v>
      </c>
      <c r="CK117" s="542">
        <v>0</v>
      </c>
      <c r="CL117" s="542">
        <v>0</v>
      </c>
      <c r="CM117" s="542">
        <v>0</v>
      </c>
      <c r="CN117" s="542">
        <v>0</v>
      </c>
      <c r="CO117" s="542">
        <v>0</v>
      </c>
      <c r="CP117" s="542">
        <v>0</v>
      </c>
      <c r="CQ117" s="542">
        <v>0</v>
      </c>
      <c r="CR117" s="542">
        <v>0</v>
      </c>
      <c r="CS117" s="542">
        <v>0</v>
      </c>
      <c r="CT117" s="542">
        <v>0</v>
      </c>
      <c r="CU117" s="542">
        <v>0</v>
      </c>
      <c r="CV117" s="542">
        <v>111809.50900000001</v>
      </c>
      <c r="CW117" s="542">
        <v>27807.188900000001</v>
      </c>
      <c r="CX117" s="542">
        <v>0</v>
      </c>
      <c r="CY117" s="542">
        <v>126776</v>
      </c>
      <c r="CZ117" s="542">
        <v>30425</v>
      </c>
      <c r="DA117" s="542">
        <v>0</v>
      </c>
      <c r="DB117" s="542">
        <v>-14966</v>
      </c>
      <c r="DC117" s="542">
        <v>-2618</v>
      </c>
      <c r="DD117" s="542">
        <v>0</v>
      </c>
      <c r="DE117" s="153" t="s">
        <v>99</v>
      </c>
      <c r="DF117" s="103" t="s">
        <v>782</v>
      </c>
      <c r="DG117" s="104" t="s">
        <v>751</v>
      </c>
      <c r="DH117" s="549" t="s">
        <v>1190</v>
      </c>
      <c r="DI117" s="549"/>
    </row>
    <row r="118" spans="1:113" x14ac:dyDescent="0.2">
      <c r="A118" s="93">
        <v>112</v>
      </c>
      <c r="B118" s="145" t="s">
        <v>102</v>
      </c>
      <c r="C118" s="141" t="s">
        <v>877</v>
      </c>
      <c r="D118" s="142" t="s">
        <v>872</v>
      </c>
      <c r="E118" s="149" t="s">
        <v>101</v>
      </c>
      <c r="F118" s="542">
        <v>-49096</v>
      </c>
      <c r="G118" s="542">
        <v>0</v>
      </c>
      <c r="H118" s="542">
        <v>-49096</v>
      </c>
      <c r="I118" s="542">
        <v>45878</v>
      </c>
      <c r="J118" s="542">
        <v>0</v>
      </c>
      <c r="K118" s="542">
        <v>45878</v>
      </c>
      <c r="L118" s="542">
        <v>-94974</v>
      </c>
      <c r="M118" s="542">
        <v>0</v>
      </c>
      <c r="N118" s="542">
        <v>-94974</v>
      </c>
      <c r="O118" s="543">
        <v>0.5</v>
      </c>
      <c r="P118" s="543">
        <v>0.3</v>
      </c>
      <c r="Q118" s="543">
        <v>0.2</v>
      </c>
      <c r="R118" s="543">
        <v>0</v>
      </c>
      <c r="S118" s="542">
        <v>279481</v>
      </c>
      <c r="T118" s="542">
        <v>279481</v>
      </c>
      <c r="U118" s="542">
        <v>0</v>
      </c>
      <c r="V118" s="542">
        <v>0</v>
      </c>
      <c r="W118" s="542">
        <v>0</v>
      </c>
      <c r="X118" s="542">
        <v>0</v>
      </c>
      <c r="Y118" s="542">
        <v>0</v>
      </c>
      <c r="Z118" s="542">
        <v>0</v>
      </c>
      <c r="AA118" s="542">
        <v>0</v>
      </c>
      <c r="AB118" s="542">
        <v>0</v>
      </c>
      <c r="AC118" s="542">
        <v>0</v>
      </c>
      <c r="AD118" s="542">
        <v>0</v>
      </c>
      <c r="AE118" s="542">
        <v>0</v>
      </c>
      <c r="AF118" s="542">
        <v>0</v>
      </c>
      <c r="AG118" s="542">
        <v>0</v>
      </c>
      <c r="AH118" s="542">
        <v>0</v>
      </c>
      <c r="AI118" s="542">
        <v>0</v>
      </c>
      <c r="AJ118" s="542">
        <v>0</v>
      </c>
      <c r="AK118" s="542">
        <v>0</v>
      </c>
      <c r="AL118" s="542">
        <v>0</v>
      </c>
      <c r="AM118" s="542">
        <v>0</v>
      </c>
      <c r="AN118" s="542">
        <v>0</v>
      </c>
      <c r="AO118" s="542">
        <v>0</v>
      </c>
      <c r="AP118" s="542">
        <v>0</v>
      </c>
      <c r="AQ118" s="542">
        <v>508298.11499999999</v>
      </c>
      <c r="AR118" s="542">
        <v>338865.41</v>
      </c>
      <c r="AS118" s="542">
        <v>0</v>
      </c>
      <c r="AT118" s="542">
        <v>477001</v>
      </c>
      <c r="AU118" s="542">
        <v>318000</v>
      </c>
      <c r="AV118" s="542">
        <v>0</v>
      </c>
      <c r="AW118" s="542">
        <v>31297</v>
      </c>
      <c r="AX118" s="542">
        <v>20865</v>
      </c>
      <c r="AY118" s="542">
        <v>0</v>
      </c>
      <c r="AZ118" s="542">
        <v>0</v>
      </c>
      <c r="BA118" s="542">
        <v>0</v>
      </c>
      <c r="BB118" s="542">
        <v>0</v>
      </c>
      <c r="BC118" s="542">
        <v>0</v>
      </c>
      <c r="BD118" s="542">
        <v>0</v>
      </c>
      <c r="BE118" s="542">
        <v>0</v>
      </c>
      <c r="BF118" s="542">
        <v>0</v>
      </c>
      <c r="BG118" s="542">
        <v>0</v>
      </c>
      <c r="BH118" s="542">
        <v>0</v>
      </c>
      <c r="BI118" s="542">
        <v>0</v>
      </c>
      <c r="BJ118" s="542">
        <v>0</v>
      </c>
      <c r="BK118" s="542">
        <v>0</v>
      </c>
      <c r="BL118" s="542">
        <v>181911</v>
      </c>
      <c r="BM118" s="542">
        <v>121274</v>
      </c>
      <c r="BN118" s="542">
        <v>0</v>
      </c>
      <c r="BO118" s="542">
        <v>-181911</v>
      </c>
      <c r="BP118" s="542">
        <v>-121274</v>
      </c>
      <c r="BQ118" s="542">
        <v>0</v>
      </c>
      <c r="BR118" s="542">
        <v>56484.524799999999</v>
      </c>
      <c r="BS118" s="542">
        <v>37656.349800000004</v>
      </c>
      <c r="BT118" s="542">
        <v>0</v>
      </c>
      <c r="BU118" s="542">
        <v>231994.21400000001</v>
      </c>
      <c r="BV118" s="542">
        <v>154662.80900000001</v>
      </c>
      <c r="BW118" s="542">
        <v>0</v>
      </c>
      <c r="BX118" s="542">
        <v>-175510</v>
      </c>
      <c r="BY118" s="542">
        <v>-117006</v>
      </c>
      <c r="BZ118" s="542">
        <v>0</v>
      </c>
      <c r="CA118" s="542">
        <v>228275.35</v>
      </c>
      <c r="CB118" s="542">
        <v>152183.56599999999</v>
      </c>
      <c r="CC118" s="542">
        <v>0</v>
      </c>
      <c r="CD118" s="542">
        <v>397171.97399999999</v>
      </c>
      <c r="CE118" s="542">
        <v>264781.31599999999</v>
      </c>
      <c r="CF118" s="542">
        <v>0</v>
      </c>
      <c r="CG118" s="542">
        <v>-168897</v>
      </c>
      <c r="CH118" s="542">
        <v>-112598</v>
      </c>
      <c r="CI118" s="542">
        <v>0</v>
      </c>
      <c r="CJ118" s="542">
        <v>0</v>
      </c>
      <c r="CK118" s="542">
        <v>0</v>
      </c>
      <c r="CL118" s="542">
        <v>0</v>
      </c>
      <c r="CM118" s="542">
        <v>0</v>
      </c>
      <c r="CN118" s="542">
        <v>0</v>
      </c>
      <c r="CO118" s="542">
        <v>0</v>
      </c>
      <c r="CP118" s="542">
        <v>0</v>
      </c>
      <c r="CQ118" s="542">
        <v>0</v>
      </c>
      <c r="CR118" s="542">
        <v>0</v>
      </c>
      <c r="CS118" s="542">
        <v>0</v>
      </c>
      <c r="CT118" s="542">
        <v>0</v>
      </c>
      <c r="CU118" s="542">
        <v>0</v>
      </c>
      <c r="CV118" s="542">
        <v>212750.81200000001</v>
      </c>
      <c r="CW118" s="542">
        <v>141833.87400000001</v>
      </c>
      <c r="CX118" s="542">
        <v>0</v>
      </c>
      <c r="CY118" s="542">
        <v>216913</v>
      </c>
      <c r="CZ118" s="542">
        <v>142631</v>
      </c>
      <c r="DA118" s="542">
        <v>0</v>
      </c>
      <c r="DB118" s="542">
        <v>-4162</v>
      </c>
      <c r="DC118" s="542">
        <v>-797</v>
      </c>
      <c r="DD118" s="542">
        <v>0</v>
      </c>
      <c r="DE118" s="153" t="s">
        <v>101</v>
      </c>
      <c r="DF118" s="103" t="s">
        <v>762</v>
      </c>
      <c r="DG118" s="103" t="s">
        <v>750</v>
      </c>
      <c r="DH118" s="547"/>
      <c r="DI118" s="547"/>
    </row>
    <row r="119" spans="1:113" x14ac:dyDescent="0.2">
      <c r="A119" s="93">
        <v>113</v>
      </c>
      <c r="B119" s="145" t="s">
        <v>104</v>
      </c>
      <c r="C119" s="141" t="s">
        <v>866</v>
      </c>
      <c r="D119" s="142" t="s">
        <v>867</v>
      </c>
      <c r="E119" s="149" t="s">
        <v>103</v>
      </c>
      <c r="F119" s="542">
        <v>-636010</v>
      </c>
      <c r="G119" s="542">
        <v>0</v>
      </c>
      <c r="H119" s="542">
        <v>-636010</v>
      </c>
      <c r="I119" s="542">
        <v>-365420</v>
      </c>
      <c r="J119" s="542">
        <v>0</v>
      </c>
      <c r="K119" s="542">
        <v>-365420</v>
      </c>
      <c r="L119" s="542">
        <v>-270590</v>
      </c>
      <c r="M119" s="542">
        <v>0</v>
      </c>
      <c r="N119" s="542">
        <v>-270590</v>
      </c>
      <c r="O119" s="543">
        <v>0.5</v>
      </c>
      <c r="P119" s="543">
        <v>0.4</v>
      </c>
      <c r="Q119" s="543">
        <v>0.1</v>
      </c>
      <c r="R119" s="543">
        <v>0</v>
      </c>
      <c r="S119" s="542">
        <v>238276</v>
      </c>
      <c r="T119" s="542">
        <v>238276</v>
      </c>
      <c r="U119" s="542">
        <v>0</v>
      </c>
      <c r="V119" s="542">
        <v>0</v>
      </c>
      <c r="W119" s="542">
        <v>0</v>
      </c>
      <c r="X119" s="542">
        <v>0</v>
      </c>
      <c r="Y119" s="542">
        <v>0</v>
      </c>
      <c r="Z119" s="542">
        <v>0</v>
      </c>
      <c r="AA119" s="542">
        <v>0</v>
      </c>
      <c r="AB119" s="542">
        <v>0</v>
      </c>
      <c r="AC119" s="542">
        <v>0</v>
      </c>
      <c r="AD119" s="542">
        <v>0</v>
      </c>
      <c r="AE119" s="542">
        <v>0</v>
      </c>
      <c r="AF119" s="542">
        <v>0</v>
      </c>
      <c r="AG119" s="542">
        <v>0</v>
      </c>
      <c r="AH119" s="542">
        <v>0</v>
      </c>
      <c r="AI119" s="542">
        <v>0</v>
      </c>
      <c r="AJ119" s="542">
        <v>0</v>
      </c>
      <c r="AK119" s="542">
        <v>0</v>
      </c>
      <c r="AL119" s="542">
        <v>0</v>
      </c>
      <c r="AM119" s="542">
        <v>0</v>
      </c>
      <c r="AN119" s="542">
        <v>0</v>
      </c>
      <c r="AO119" s="542">
        <v>0</v>
      </c>
      <c r="AP119" s="542">
        <v>0</v>
      </c>
      <c r="AQ119" s="542">
        <v>369822.49</v>
      </c>
      <c r="AR119" s="542">
        <v>92455.622499999998</v>
      </c>
      <c r="AS119" s="542">
        <v>0</v>
      </c>
      <c r="AT119" s="542">
        <v>322538</v>
      </c>
      <c r="AU119" s="542">
        <v>80635</v>
      </c>
      <c r="AV119" s="542">
        <v>0</v>
      </c>
      <c r="AW119" s="542">
        <v>47284</v>
      </c>
      <c r="AX119" s="542">
        <v>11821</v>
      </c>
      <c r="AY119" s="542">
        <v>0</v>
      </c>
      <c r="AZ119" s="542">
        <v>0</v>
      </c>
      <c r="BA119" s="542">
        <v>0</v>
      </c>
      <c r="BB119" s="542">
        <v>0</v>
      </c>
      <c r="BC119" s="542">
        <v>6516</v>
      </c>
      <c r="BD119" s="542">
        <v>1629</v>
      </c>
      <c r="BE119" s="542">
        <v>0</v>
      </c>
      <c r="BF119" s="542">
        <v>-6516</v>
      </c>
      <c r="BG119" s="542">
        <v>-1629</v>
      </c>
      <c r="BH119" s="542">
        <v>0</v>
      </c>
      <c r="BI119" s="542">
        <v>0</v>
      </c>
      <c r="BJ119" s="542">
        <v>0</v>
      </c>
      <c r="BK119" s="542">
        <v>0</v>
      </c>
      <c r="BL119" s="542">
        <v>0</v>
      </c>
      <c r="BM119" s="542">
        <v>0</v>
      </c>
      <c r="BN119" s="542">
        <v>0</v>
      </c>
      <c r="BO119" s="542">
        <v>0</v>
      </c>
      <c r="BP119" s="542">
        <v>0</v>
      </c>
      <c r="BQ119" s="542">
        <v>0</v>
      </c>
      <c r="BR119" s="542">
        <v>15381.166800000001</v>
      </c>
      <c r="BS119" s="542">
        <v>3845.2917200000002</v>
      </c>
      <c r="BT119" s="542">
        <v>0</v>
      </c>
      <c r="BU119" s="542">
        <v>61770</v>
      </c>
      <c r="BV119" s="542">
        <v>15443</v>
      </c>
      <c r="BW119" s="542">
        <v>0</v>
      </c>
      <c r="BX119" s="542">
        <v>-46389</v>
      </c>
      <c r="BY119" s="542">
        <v>-11598</v>
      </c>
      <c r="BZ119" s="542">
        <v>0</v>
      </c>
      <c r="CA119" s="542">
        <v>141296.60800000001</v>
      </c>
      <c r="CB119" s="542">
        <v>35324.152000000002</v>
      </c>
      <c r="CC119" s="542">
        <v>0</v>
      </c>
      <c r="CD119" s="542">
        <v>252654</v>
      </c>
      <c r="CE119" s="542">
        <v>63163</v>
      </c>
      <c r="CF119" s="542">
        <v>0</v>
      </c>
      <c r="CG119" s="542">
        <v>-111357</v>
      </c>
      <c r="CH119" s="542">
        <v>-27839</v>
      </c>
      <c r="CI119" s="542">
        <v>0</v>
      </c>
      <c r="CJ119" s="542">
        <v>0</v>
      </c>
      <c r="CK119" s="542">
        <v>0</v>
      </c>
      <c r="CL119" s="542">
        <v>0</v>
      </c>
      <c r="CM119" s="542">
        <v>122787.787</v>
      </c>
      <c r="CN119" s="542">
        <v>30696.946899999999</v>
      </c>
      <c r="CO119" s="542">
        <v>0</v>
      </c>
      <c r="CP119" s="542">
        <v>12757</v>
      </c>
      <c r="CQ119" s="542">
        <v>3189.319</v>
      </c>
      <c r="CR119" s="542">
        <v>0</v>
      </c>
      <c r="CS119" s="542">
        <v>110031</v>
      </c>
      <c r="CT119" s="542">
        <v>27508</v>
      </c>
      <c r="CU119" s="542">
        <v>0</v>
      </c>
      <c r="CV119" s="542">
        <v>317004.17800000001</v>
      </c>
      <c r="CW119" s="542">
        <v>79251.044500000004</v>
      </c>
      <c r="CX119" s="542">
        <v>0</v>
      </c>
      <c r="CY119" s="542">
        <v>331377</v>
      </c>
      <c r="CZ119" s="542">
        <v>82212</v>
      </c>
      <c r="DA119" s="542">
        <v>0</v>
      </c>
      <c r="DB119" s="542">
        <v>-14373</v>
      </c>
      <c r="DC119" s="542">
        <v>-2961</v>
      </c>
      <c r="DD119" s="542">
        <v>0</v>
      </c>
      <c r="DE119" s="153" t="s">
        <v>103</v>
      </c>
      <c r="DF119" s="103" t="s">
        <v>807</v>
      </c>
      <c r="DG119" s="104" t="s">
        <v>751</v>
      </c>
      <c r="DH119" s="547"/>
      <c r="DI119" s="547"/>
    </row>
    <row r="120" spans="1:113" x14ac:dyDescent="0.2">
      <c r="A120" s="93">
        <v>114</v>
      </c>
      <c r="B120" s="145" t="s">
        <v>106</v>
      </c>
      <c r="C120" s="141" t="s">
        <v>877</v>
      </c>
      <c r="D120" s="142" t="s">
        <v>872</v>
      </c>
      <c r="E120" s="149" t="s">
        <v>105</v>
      </c>
      <c r="F120" s="542">
        <v>291578</v>
      </c>
      <c r="G120" s="542">
        <v>0</v>
      </c>
      <c r="H120" s="542">
        <v>291578</v>
      </c>
      <c r="I120" s="542">
        <v>646828</v>
      </c>
      <c r="J120" s="542">
        <v>0</v>
      </c>
      <c r="K120" s="542">
        <v>646828</v>
      </c>
      <c r="L120" s="542">
        <v>-355250</v>
      </c>
      <c r="M120" s="542">
        <v>0</v>
      </c>
      <c r="N120" s="542">
        <v>-355250</v>
      </c>
      <c r="O120" s="543">
        <v>0.5</v>
      </c>
      <c r="P120" s="543">
        <v>0.3</v>
      </c>
      <c r="Q120" s="543">
        <v>0.2</v>
      </c>
      <c r="R120" s="543">
        <v>0</v>
      </c>
      <c r="S120" s="542">
        <v>508126</v>
      </c>
      <c r="T120" s="542">
        <v>508126</v>
      </c>
      <c r="U120" s="542">
        <v>0</v>
      </c>
      <c r="V120" s="542">
        <v>0</v>
      </c>
      <c r="W120" s="542">
        <v>0</v>
      </c>
      <c r="X120" s="542">
        <v>0</v>
      </c>
      <c r="Y120" s="542">
        <v>0</v>
      </c>
      <c r="Z120" s="542">
        <v>0</v>
      </c>
      <c r="AA120" s="542">
        <v>0</v>
      </c>
      <c r="AB120" s="542">
        <v>0</v>
      </c>
      <c r="AC120" s="542">
        <v>0</v>
      </c>
      <c r="AD120" s="542">
        <v>0</v>
      </c>
      <c r="AE120" s="542">
        <v>0</v>
      </c>
      <c r="AF120" s="542">
        <v>0</v>
      </c>
      <c r="AG120" s="542">
        <v>0</v>
      </c>
      <c r="AH120" s="542">
        <v>0</v>
      </c>
      <c r="AI120" s="542">
        <v>0</v>
      </c>
      <c r="AJ120" s="542">
        <v>0</v>
      </c>
      <c r="AK120" s="542">
        <v>0</v>
      </c>
      <c r="AL120" s="542">
        <v>0</v>
      </c>
      <c r="AM120" s="542">
        <v>0</v>
      </c>
      <c r="AN120" s="542">
        <v>0</v>
      </c>
      <c r="AO120" s="542">
        <v>0</v>
      </c>
      <c r="AP120" s="542">
        <v>0</v>
      </c>
      <c r="AQ120" s="542">
        <v>845145.27599999995</v>
      </c>
      <c r="AR120" s="542">
        <v>563430.18400000001</v>
      </c>
      <c r="AS120" s="542">
        <v>0</v>
      </c>
      <c r="AT120" s="542">
        <v>758917</v>
      </c>
      <c r="AU120" s="542">
        <v>505945</v>
      </c>
      <c r="AV120" s="542">
        <v>0</v>
      </c>
      <c r="AW120" s="542">
        <v>86228</v>
      </c>
      <c r="AX120" s="542">
        <v>57485</v>
      </c>
      <c r="AY120" s="542">
        <v>0</v>
      </c>
      <c r="AZ120" s="542">
        <v>0</v>
      </c>
      <c r="BA120" s="542">
        <v>0</v>
      </c>
      <c r="BB120" s="542">
        <v>0</v>
      </c>
      <c r="BC120" s="542">
        <v>0</v>
      </c>
      <c r="BD120" s="542">
        <v>0</v>
      </c>
      <c r="BE120" s="542">
        <v>0</v>
      </c>
      <c r="BF120" s="542">
        <v>0</v>
      </c>
      <c r="BG120" s="542">
        <v>0</v>
      </c>
      <c r="BH120" s="542">
        <v>0</v>
      </c>
      <c r="BI120" s="542">
        <v>5019.5261099999998</v>
      </c>
      <c r="BJ120" s="542">
        <v>3346.3507399999999</v>
      </c>
      <c r="BK120" s="542">
        <v>0</v>
      </c>
      <c r="BL120" s="542">
        <v>0</v>
      </c>
      <c r="BM120" s="542">
        <v>0</v>
      </c>
      <c r="BN120" s="542">
        <v>0</v>
      </c>
      <c r="BO120" s="542">
        <v>5020</v>
      </c>
      <c r="BP120" s="542">
        <v>3346</v>
      </c>
      <c r="BQ120" s="542">
        <v>0</v>
      </c>
      <c r="BR120" s="542">
        <v>0</v>
      </c>
      <c r="BS120" s="542">
        <v>0</v>
      </c>
      <c r="BT120" s="542">
        <v>0</v>
      </c>
      <c r="BU120" s="542">
        <v>24028.419300000001</v>
      </c>
      <c r="BV120" s="542">
        <v>16018.9462</v>
      </c>
      <c r="BW120" s="542">
        <v>0</v>
      </c>
      <c r="BX120" s="542">
        <v>-24028</v>
      </c>
      <c r="BY120" s="542">
        <v>-16019</v>
      </c>
      <c r="BZ120" s="542">
        <v>0</v>
      </c>
      <c r="CA120" s="542">
        <v>390733.24</v>
      </c>
      <c r="CB120" s="542">
        <v>260488.82699999999</v>
      </c>
      <c r="CC120" s="542">
        <v>0</v>
      </c>
      <c r="CD120" s="542">
        <v>766600.94299999997</v>
      </c>
      <c r="CE120" s="542">
        <v>511067.29499999998</v>
      </c>
      <c r="CF120" s="542">
        <v>0</v>
      </c>
      <c r="CG120" s="542">
        <v>-375868</v>
      </c>
      <c r="CH120" s="542">
        <v>-250578</v>
      </c>
      <c r="CI120" s="542">
        <v>0</v>
      </c>
      <c r="CJ120" s="542">
        <v>0</v>
      </c>
      <c r="CK120" s="542">
        <v>0</v>
      </c>
      <c r="CL120" s="542">
        <v>0</v>
      </c>
      <c r="CM120" s="542">
        <v>0</v>
      </c>
      <c r="CN120" s="542">
        <v>0</v>
      </c>
      <c r="CO120" s="542">
        <v>0</v>
      </c>
      <c r="CP120" s="542">
        <v>0</v>
      </c>
      <c r="CQ120" s="542">
        <v>0</v>
      </c>
      <c r="CR120" s="542">
        <v>0</v>
      </c>
      <c r="CS120" s="542">
        <v>0</v>
      </c>
      <c r="CT120" s="542">
        <v>0</v>
      </c>
      <c r="CU120" s="542">
        <v>0</v>
      </c>
      <c r="CV120" s="542">
        <v>265630.84000000003</v>
      </c>
      <c r="CW120" s="542">
        <v>177087.22700000001</v>
      </c>
      <c r="CX120" s="542">
        <v>0</v>
      </c>
      <c r="CY120" s="542">
        <v>299261</v>
      </c>
      <c r="CZ120" s="542">
        <v>195911</v>
      </c>
      <c r="DA120" s="542">
        <v>0</v>
      </c>
      <c r="DB120" s="542">
        <v>-33630</v>
      </c>
      <c r="DC120" s="542">
        <v>-18824</v>
      </c>
      <c r="DD120" s="542">
        <v>0</v>
      </c>
      <c r="DE120" s="153" t="s">
        <v>105</v>
      </c>
      <c r="DF120" s="103" t="s">
        <v>762</v>
      </c>
      <c r="DG120" s="103" t="s">
        <v>750</v>
      </c>
      <c r="DH120" s="547"/>
      <c r="DI120" s="547"/>
    </row>
    <row r="121" spans="1:113" x14ac:dyDescent="0.2">
      <c r="A121" s="93">
        <v>115</v>
      </c>
      <c r="B121" s="145" t="s">
        <v>108</v>
      </c>
      <c r="C121" s="141" t="s">
        <v>770</v>
      </c>
      <c r="D121" s="142" t="s">
        <v>868</v>
      </c>
      <c r="E121" s="149" t="s">
        <v>697</v>
      </c>
      <c r="F121" s="542">
        <v>-305916</v>
      </c>
      <c r="G121" s="542">
        <v>0</v>
      </c>
      <c r="H121" s="542">
        <v>-305916</v>
      </c>
      <c r="I121" s="542">
        <v>215000</v>
      </c>
      <c r="J121" s="542">
        <v>0</v>
      </c>
      <c r="K121" s="542">
        <v>215000</v>
      </c>
      <c r="L121" s="542">
        <v>-520916</v>
      </c>
      <c r="M121" s="542">
        <v>0</v>
      </c>
      <c r="N121" s="542">
        <v>-520916</v>
      </c>
      <c r="O121" s="543">
        <v>0.5</v>
      </c>
      <c r="P121" s="543">
        <v>0.49</v>
      </c>
      <c r="Q121" s="543">
        <v>0</v>
      </c>
      <c r="R121" s="543">
        <v>0.01</v>
      </c>
      <c r="S121" s="542">
        <v>167391</v>
      </c>
      <c r="T121" s="542">
        <v>167391</v>
      </c>
      <c r="U121" s="542">
        <v>0</v>
      </c>
      <c r="V121" s="542">
        <v>0</v>
      </c>
      <c r="W121" s="542">
        <v>137279</v>
      </c>
      <c r="X121" s="542">
        <v>-137279</v>
      </c>
      <c r="Y121" s="542">
        <v>0</v>
      </c>
      <c r="Z121" s="542">
        <v>0</v>
      </c>
      <c r="AA121" s="542">
        <v>0</v>
      </c>
      <c r="AB121" s="542">
        <v>0</v>
      </c>
      <c r="AC121" s="542">
        <v>0</v>
      </c>
      <c r="AD121" s="542">
        <v>0</v>
      </c>
      <c r="AE121" s="542">
        <v>166024.45000000001</v>
      </c>
      <c r="AF121" s="542">
        <v>165694.70000000001</v>
      </c>
      <c r="AG121" s="542">
        <v>0</v>
      </c>
      <c r="AH121" s="542">
        <v>329.75</v>
      </c>
      <c r="AI121" s="542">
        <v>154402.5</v>
      </c>
      <c r="AJ121" s="542">
        <v>154084.5</v>
      </c>
      <c r="AK121" s="542">
        <v>0</v>
      </c>
      <c r="AL121" s="542">
        <v>318</v>
      </c>
      <c r="AM121" s="542">
        <v>11622</v>
      </c>
      <c r="AN121" s="542">
        <v>11610</v>
      </c>
      <c r="AO121" s="542">
        <v>0</v>
      </c>
      <c r="AP121" s="542">
        <v>12</v>
      </c>
      <c r="AQ121" s="542">
        <v>474750.86</v>
      </c>
      <c r="AR121" s="542">
        <v>0</v>
      </c>
      <c r="AS121" s="542">
        <v>9688.7900000000009</v>
      </c>
      <c r="AT121" s="542">
        <v>394158</v>
      </c>
      <c r="AU121" s="542">
        <v>0</v>
      </c>
      <c r="AV121" s="542">
        <v>8044</v>
      </c>
      <c r="AW121" s="542">
        <v>80593</v>
      </c>
      <c r="AX121" s="542">
        <v>0</v>
      </c>
      <c r="AY121" s="542">
        <v>1645</v>
      </c>
      <c r="AZ121" s="542">
        <v>2488.39</v>
      </c>
      <c r="BA121" s="542">
        <v>0</v>
      </c>
      <c r="BB121" s="542">
        <v>50.78</v>
      </c>
      <c r="BC121" s="542">
        <v>139115</v>
      </c>
      <c r="BD121" s="542">
        <v>0</v>
      </c>
      <c r="BE121" s="542">
        <v>2839</v>
      </c>
      <c r="BF121" s="542">
        <v>-136627</v>
      </c>
      <c r="BG121" s="542">
        <v>0</v>
      </c>
      <c r="BH121" s="542">
        <v>-2788</v>
      </c>
      <c r="BI121" s="542">
        <v>0</v>
      </c>
      <c r="BJ121" s="542">
        <v>0</v>
      </c>
      <c r="BK121" s="542">
        <v>0</v>
      </c>
      <c r="BL121" s="542">
        <v>14856</v>
      </c>
      <c r="BM121" s="542">
        <v>0</v>
      </c>
      <c r="BN121" s="542">
        <v>303</v>
      </c>
      <c r="BO121" s="542">
        <v>-14856</v>
      </c>
      <c r="BP121" s="542">
        <v>0</v>
      </c>
      <c r="BQ121" s="542">
        <v>-303</v>
      </c>
      <c r="BR121" s="542">
        <v>1852.05</v>
      </c>
      <c r="BS121" s="542">
        <v>0</v>
      </c>
      <c r="BT121" s="542">
        <v>37.799999999999997</v>
      </c>
      <c r="BU121" s="542">
        <v>49520.17</v>
      </c>
      <c r="BV121" s="542">
        <v>0</v>
      </c>
      <c r="BW121" s="542">
        <v>1010.62</v>
      </c>
      <c r="BX121" s="542">
        <v>-47668</v>
      </c>
      <c r="BY121" s="542">
        <v>0</v>
      </c>
      <c r="BZ121" s="542">
        <v>-973</v>
      </c>
      <c r="CA121" s="542">
        <v>195309.04</v>
      </c>
      <c r="CB121" s="542">
        <v>0</v>
      </c>
      <c r="CC121" s="542">
        <v>3985.9</v>
      </c>
      <c r="CD121" s="542">
        <v>218824.68</v>
      </c>
      <c r="CE121" s="542">
        <v>0</v>
      </c>
      <c r="CF121" s="542">
        <v>4465.8100000000004</v>
      </c>
      <c r="CG121" s="542">
        <v>-23516</v>
      </c>
      <c r="CH121" s="542">
        <v>0</v>
      </c>
      <c r="CI121" s="542">
        <v>-480</v>
      </c>
      <c r="CJ121" s="542">
        <v>0</v>
      </c>
      <c r="CK121" s="542">
        <v>0</v>
      </c>
      <c r="CL121" s="542">
        <v>0</v>
      </c>
      <c r="CM121" s="542">
        <v>0</v>
      </c>
      <c r="CN121" s="542">
        <v>0</v>
      </c>
      <c r="CO121" s="542">
        <v>0</v>
      </c>
      <c r="CP121" s="542">
        <v>0</v>
      </c>
      <c r="CQ121" s="542">
        <v>0</v>
      </c>
      <c r="CR121" s="542">
        <v>0</v>
      </c>
      <c r="CS121" s="542">
        <v>0</v>
      </c>
      <c r="CT121" s="542">
        <v>0</v>
      </c>
      <c r="CU121" s="542">
        <v>0</v>
      </c>
      <c r="CV121" s="542">
        <v>241023.88</v>
      </c>
      <c r="CW121" s="542">
        <v>0</v>
      </c>
      <c r="CX121" s="542">
        <v>4918.8500000000004</v>
      </c>
      <c r="CY121" s="542">
        <v>267931</v>
      </c>
      <c r="CZ121" s="542">
        <v>0</v>
      </c>
      <c r="DA121" s="542">
        <v>5372</v>
      </c>
      <c r="DB121" s="542">
        <v>-26907</v>
      </c>
      <c r="DC121" s="542">
        <v>0</v>
      </c>
      <c r="DD121" s="542">
        <v>-453</v>
      </c>
      <c r="DE121" s="153" t="s">
        <v>697</v>
      </c>
      <c r="DF121" s="103" t="s">
        <v>770</v>
      </c>
      <c r="DG121" s="104" t="s">
        <v>796</v>
      </c>
      <c r="DH121" s="549" t="s">
        <v>1191</v>
      </c>
      <c r="DI121" s="549" t="s">
        <v>1191</v>
      </c>
    </row>
    <row r="122" spans="1:113" x14ac:dyDescent="0.2">
      <c r="A122" s="93">
        <v>116</v>
      </c>
      <c r="B122" s="145" t="s">
        <v>110</v>
      </c>
      <c r="C122" s="141" t="s">
        <v>866</v>
      </c>
      <c r="D122" s="142" t="s">
        <v>874</v>
      </c>
      <c r="E122" s="149" t="s">
        <v>109</v>
      </c>
      <c r="F122" s="542">
        <v>-48252</v>
      </c>
      <c r="G122" s="542">
        <v>0</v>
      </c>
      <c r="H122" s="542">
        <v>-48252</v>
      </c>
      <c r="I122" s="542">
        <v>29783</v>
      </c>
      <c r="J122" s="542">
        <v>0</v>
      </c>
      <c r="K122" s="542">
        <v>29783</v>
      </c>
      <c r="L122" s="542">
        <v>-78035</v>
      </c>
      <c r="M122" s="542">
        <v>0</v>
      </c>
      <c r="N122" s="542">
        <v>-78035</v>
      </c>
      <c r="O122" s="543">
        <v>0.5</v>
      </c>
      <c r="P122" s="543">
        <v>0.4</v>
      </c>
      <c r="Q122" s="543">
        <v>0.09</v>
      </c>
      <c r="R122" s="543">
        <v>0.01</v>
      </c>
      <c r="S122" s="542">
        <v>154459</v>
      </c>
      <c r="T122" s="542">
        <v>154459</v>
      </c>
      <c r="U122" s="542">
        <v>0</v>
      </c>
      <c r="V122" s="542">
        <v>0</v>
      </c>
      <c r="W122" s="542">
        <v>0</v>
      </c>
      <c r="X122" s="542">
        <v>0</v>
      </c>
      <c r="Y122" s="542">
        <v>0</v>
      </c>
      <c r="Z122" s="542">
        <v>0</v>
      </c>
      <c r="AA122" s="542">
        <v>0</v>
      </c>
      <c r="AB122" s="542">
        <v>0</v>
      </c>
      <c r="AC122" s="542">
        <v>0</v>
      </c>
      <c r="AD122" s="542">
        <v>0</v>
      </c>
      <c r="AE122" s="542">
        <v>0</v>
      </c>
      <c r="AF122" s="542">
        <v>0</v>
      </c>
      <c r="AG122" s="542">
        <v>0</v>
      </c>
      <c r="AH122" s="542">
        <v>0</v>
      </c>
      <c r="AI122" s="542">
        <v>0</v>
      </c>
      <c r="AJ122" s="542">
        <v>0</v>
      </c>
      <c r="AK122" s="542">
        <v>0</v>
      </c>
      <c r="AL122" s="542">
        <v>0</v>
      </c>
      <c r="AM122" s="542">
        <v>0</v>
      </c>
      <c r="AN122" s="542">
        <v>0</v>
      </c>
      <c r="AO122" s="542">
        <v>0</v>
      </c>
      <c r="AP122" s="542">
        <v>0</v>
      </c>
      <c r="AQ122" s="542">
        <v>537604.70799999998</v>
      </c>
      <c r="AR122" s="542">
        <v>120961.05899999999</v>
      </c>
      <c r="AS122" s="542">
        <v>13440.117700000001</v>
      </c>
      <c r="AT122" s="542">
        <v>482070</v>
      </c>
      <c r="AU122" s="542">
        <v>108466</v>
      </c>
      <c r="AV122" s="542">
        <v>12052</v>
      </c>
      <c r="AW122" s="542">
        <v>55535</v>
      </c>
      <c r="AX122" s="542">
        <v>12495</v>
      </c>
      <c r="AY122" s="542">
        <v>1388</v>
      </c>
      <c r="AZ122" s="542">
        <v>7328.98513</v>
      </c>
      <c r="BA122" s="542">
        <v>1649.0216499999999</v>
      </c>
      <c r="BB122" s="542">
        <v>183.224628</v>
      </c>
      <c r="BC122" s="542">
        <v>0</v>
      </c>
      <c r="BD122" s="542">
        <v>0</v>
      </c>
      <c r="BE122" s="542">
        <v>0</v>
      </c>
      <c r="BF122" s="542">
        <v>7329</v>
      </c>
      <c r="BG122" s="542">
        <v>1649</v>
      </c>
      <c r="BH122" s="542">
        <v>183</v>
      </c>
      <c r="BI122" s="542">
        <v>0</v>
      </c>
      <c r="BJ122" s="542">
        <v>0</v>
      </c>
      <c r="BK122" s="542">
        <v>0</v>
      </c>
      <c r="BL122" s="542">
        <v>8085</v>
      </c>
      <c r="BM122" s="542">
        <v>1819</v>
      </c>
      <c r="BN122" s="542">
        <v>202</v>
      </c>
      <c r="BO122" s="542">
        <v>-8085</v>
      </c>
      <c r="BP122" s="542">
        <v>-1819</v>
      </c>
      <c r="BQ122" s="542">
        <v>-202</v>
      </c>
      <c r="BR122" s="542">
        <v>983.93545600000004</v>
      </c>
      <c r="BS122" s="542">
        <v>221.38547700000001</v>
      </c>
      <c r="BT122" s="542">
        <v>24.598386399999999</v>
      </c>
      <c r="BU122" s="542">
        <v>8085</v>
      </c>
      <c r="BV122" s="542">
        <v>1819</v>
      </c>
      <c r="BW122" s="542">
        <v>202</v>
      </c>
      <c r="BX122" s="542">
        <v>-7101</v>
      </c>
      <c r="BY122" s="542">
        <v>-1598</v>
      </c>
      <c r="BZ122" s="542">
        <v>-177</v>
      </c>
      <c r="CA122" s="542">
        <v>135280.614</v>
      </c>
      <c r="CB122" s="542">
        <v>30438.138299999999</v>
      </c>
      <c r="CC122" s="542">
        <v>3382.0153700000001</v>
      </c>
      <c r="CD122" s="542">
        <v>202123</v>
      </c>
      <c r="CE122" s="542">
        <v>45478</v>
      </c>
      <c r="CF122" s="542">
        <v>5053</v>
      </c>
      <c r="CG122" s="542">
        <v>-66842</v>
      </c>
      <c r="CH122" s="542">
        <v>-15040</v>
      </c>
      <c r="CI122" s="542">
        <v>-1671</v>
      </c>
      <c r="CJ122" s="542">
        <v>0</v>
      </c>
      <c r="CK122" s="542">
        <v>0</v>
      </c>
      <c r="CL122" s="542">
        <v>0</v>
      </c>
      <c r="CM122" s="542">
        <v>0</v>
      </c>
      <c r="CN122" s="542">
        <v>0</v>
      </c>
      <c r="CO122" s="542">
        <v>0</v>
      </c>
      <c r="CP122" s="542">
        <v>0</v>
      </c>
      <c r="CQ122" s="542">
        <v>0</v>
      </c>
      <c r="CR122" s="542">
        <v>0</v>
      </c>
      <c r="CS122" s="542">
        <v>0</v>
      </c>
      <c r="CT122" s="542">
        <v>0</v>
      </c>
      <c r="CU122" s="542">
        <v>0</v>
      </c>
      <c r="CV122" s="542">
        <v>108829.14599999999</v>
      </c>
      <c r="CW122" s="542">
        <v>24486.5579</v>
      </c>
      <c r="CX122" s="542">
        <v>2720.7286600000002</v>
      </c>
      <c r="CY122" s="542">
        <v>113119</v>
      </c>
      <c r="CZ122" s="542">
        <v>25083</v>
      </c>
      <c r="DA122" s="542">
        <v>2787</v>
      </c>
      <c r="DB122" s="542">
        <v>-4290</v>
      </c>
      <c r="DC122" s="542">
        <v>-596</v>
      </c>
      <c r="DD122" s="542">
        <v>-66</v>
      </c>
      <c r="DE122" s="153" t="s">
        <v>109</v>
      </c>
      <c r="DF122" s="103" t="s">
        <v>800</v>
      </c>
      <c r="DG122" s="104" t="s">
        <v>801</v>
      </c>
      <c r="DH122" s="547"/>
      <c r="DI122" s="547"/>
    </row>
    <row r="123" spans="1:113" x14ac:dyDescent="0.2">
      <c r="A123" s="93">
        <v>117</v>
      </c>
      <c r="B123" s="145" t="s">
        <v>112</v>
      </c>
      <c r="C123" s="141" t="s">
        <v>877</v>
      </c>
      <c r="D123" s="142" t="s">
        <v>872</v>
      </c>
      <c r="E123" s="149" t="s">
        <v>698</v>
      </c>
      <c r="F123" s="542">
        <v>-1300939</v>
      </c>
      <c r="G123" s="542">
        <v>0</v>
      </c>
      <c r="H123" s="542">
        <v>-1300939</v>
      </c>
      <c r="I123" s="542">
        <v>-708121</v>
      </c>
      <c r="J123" s="542">
        <v>0</v>
      </c>
      <c r="K123" s="542">
        <v>-708121</v>
      </c>
      <c r="L123" s="542">
        <v>-592818</v>
      </c>
      <c r="M123" s="542">
        <v>0</v>
      </c>
      <c r="N123" s="542">
        <v>-592818</v>
      </c>
      <c r="O123" s="543">
        <v>0.5</v>
      </c>
      <c r="P123" s="543">
        <v>0.3</v>
      </c>
      <c r="Q123" s="543">
        <v>0.2</v>
      </c>
      <c r="R123" s="543">
        <v>0</v>
      </c>
      <c r="S123" s="542">
        <v>565150</v>
      </c>
      <c r="T123" s="542">
        <v>565150</v>
      </c>
      <c r="U123" s="542">
        <v>0</v>
      </c>
      <c r="V123" s="542">
        <v>0</v>
      </c>
      <c r="W123" s="542">
        <v>0</v>
      </c>
      <c r="X123" s="542">
        <v>0</v>
      </c>
      <c r="Y123" s="542">
        <v>0</v>
      </c>
      <c r="Z123" s="542">
        <v>0</v>
      </c>
      <c r="AA123" s="542">
        <v>0</v>
      </c>
      <c r="AB123" s="542">
        <v>0</v>
      </c>
      <c r="AC123" s="542">
        <v>0</v>
      </c>
      <c r="AD123" s="542">
        <v>0</v>
      </c>
      <c r="AE123" s="542">
        <v>0</v>
      </c>
      <c r="AF123" s="542">
        <v>0</v>
      </c>
      <c r="AG123" s="542">
        <v>0</v>
      </c>
      <c r="AH123" s="542">
        <v>0</v>
      </c>
      <c r="AI123" s="542">
        <v>0</v>
      </c>
      <c r="AJ123" s="542">
        <v>0</v>
      </c>
      <c r="AK123" s="542">
        <v>0</v>
      </c>
      <c r="AL123" s="542">
        <v>0</v>
      </c>
      <c r="AM123" s="542">
        <v>0</v>
      </c>
      <c r="AN123" s="542">
        <v>0</v>
      </c>
      <c r="AO123" s="542">
        <v>0</v>
      </c>
      <c r="AP123" s="542">
        <v>0</v>
      </c>
      <c r="AQ123" s="542">
        <v>382955.34</v>
      </c>
      <c r="AR123" s="542">
        <v>255303.56</v>
      </c>
      <c r="AS123" s="542">
        <v>0</v>
      </c>
      <c r="AT123" s="542">
        <v>299200</v>
      </c>
      <c r="AU123" s="542">
        <v>199466</v>
      </c>
      <c r="AV123" s="542">
        <v>0</v>
      </c>
      <c r="AW123" s="542">
        <v>83755</v>
      </c>
      <c r="AX123" s="542">
        <v>55838</v>
      </c>
      <c r="AY123" s="542">
        <v>0</v>
      </c>
      <c r="AZ123" s="542">
        <v>0</v>
      </c>
      <c r="BA123" s="542">
        <v>0</v>
      </c>
      <c r="BB123" s="542">
        <v>0</v>
      </c>
      <c r="BC123" s="542">
        <v>31495</v>
      </c>
      <c r="BD123" s="542">
        <v>20996</v>
      </c>
      <c r="BE123" s="542">
        <v>0</v>
      </c>
      <c r="BF123" s="542">
        <v>-31495</v>
      </c>
      <c r="BG123" s="542">
        <v>-20996</v>
      </c>
      <c r="BH123" s="542">
        <v>0</v>
      </c>
      <c r="BI123" s="542">
        <v>0</v>
      </c>
      <c r="BJ123" s="542">
        <v>0</v>
      </c>
      <c r="BK123" s="542">
        <v>0</v>
      </c>
      <c r="BL123" s="542">
        <v>126841</v>
      </c>
      <c r="BM123" s="542">
        <v>84561</v>
      </c>
      <c r="BN123" s="542">
        <v>0</v>
      </c>
      <c r="BO123" s="542">
        <v>-126841</v>
      </c>
      <c r="BP123" s="542">
        <v>-84561</v>
      </c>
      <c r="BQ123" s="542">
        <v>0</v>
      </c>
      <c r="BR123" s="542">
        <v>7638.74</v>
      </c>
      <c r="BS123" s="542">
        <v>5092.49</v>
      </c>
      <c r="BT123" s="542">
        <v>0</v>
      </c>
      <c r="BU123" s="542">
        <v>92209.39</v>
      </c>
      <c r="BV123" s="542">
        <v>61472.92</v>
      </c>
      <c r="BW123" s="542">
        <v>0</v>
      </c>
      <c r="BX123" s="542">
        <v>-84571</v>
      </c>
      <c r="BY123" s="542">
        <v>-56380</v>
      </c>
      <c r="BZ123" s="542">
        <v>0</v>
      </c>
      <c r="CA123" s="542">
        <v>323001.78000000003</v>
      </c>
      <c r="CB123" s="542">
        <v>215334.52</v>
      </c>
      <c r="CC123" s="542">
        <v>0</v>
      </c>
      <c r="CD123" s="542">
        <v>656452.51</v>
      </c>
      <c r="CE123" s="542">
        <v>437635.01</v>
      </c>
      <c r="CF123" s="542">
        <v>0</v>
      </c>
      <c r="CG123" s="542">
        <v>-333451</v>
      </c>
      <c r="CH123" s="542">
        <v>-222300</v>
      </c>
      <c r="CI123" s="542">
        <v>0</v>
      </c>
      <c r="CJ123" s="542">
        <v>0</v>
      </c>
      <c r="CK123" s="542">
        <v>0</v>
      </c>
      <c r="CL123" s="542">
        <v>0</v>
      </c>
      <c r="CM123" s="542">
        <v>0</v>
      </c>
      <c r="CN123" s="542">
        <v>0</v>
      </c>
      <c r="CO123" s="542">
        <v>0</v>
      </c>
      <c r="CP123" s="542">
        <v>0</v>
      </c>
      <c r="CQ123" s="542">
        <v>0</v>
      </c>
      <c r="CR123" s="542">
        <v>0</v>
      </c>
      <c r="CS123" s="542">
        <v>0</v>
      </c>
      <c r="CT123" s="542">
        <v>0</v>
      </c>
      <c r="CU123" s="542">
        <v>0</v>
      </c>
      <c r="CV123" s="542">
        <v>548638.93999999994</v>
      </c>
      <c r="CW123" s="542">
        <v>365759.3</v>
      </c>
      <c r="CX123" s="542">
        <v>0</v>
      </c>
      <c r="CY123" s="542">
        <v>569743</v>
      </c>
      <c r="CZ123" s="542">
        <v>375829</v>
      </c>
      <c r="DA123" s="542">
        <v>0</v>
      </c>
      <c r="DB123" s="542">
        <v>-21104</v>
      </c>
      <c r="DC123" s="542">
        <v>-10070</v>
      </c>
      <c r="DD123" s="542">
        <v>0</v>
      </c>
      <c r="DE123" s="153" t="s">
        <v>698</v>
      </c>
      <c r="DF123" s="103" t="s">
        <v>762</v>
      </c>
      <c r="DG123" s="103" t="s">
        <v>750</v>
      </c>
      <c r="DH123" s="547"/>
      <c r="DI123" s="547"/>
    </row>
    <row r="124" spans="1:113" x14ac:dyDescent="0.2">
      <c r="A124" s="93">
        <v>118</v>
      </c>
      <c r="B124" s="145" t="s">
        <v>114</v>
      </c>
      <c r="C124" s="141" t="s">
        <v>866</v>
      </c>
      <c r="D124" s="142" t="s">
        <v>869</v>
      </c>
      <c r="E124" s="149" t="s">
        <v>113</v>
      </c>
      <c r="F124" s="542">
        <v>-79734</v>
      </c>
      <c r="G124" s="542">
        <v>0</v>
      </c>
      <c r="H124" s="542">
        <v>-79734</v>
      </c>
      <c r="I124" s="542">
        <v>14131</v>
      </c>
      <c r="J124" s="542">
        <v>0</v>
      </c>
      <c r="K124" s="542">
        <v>14131</v>
      </c>
      <c r="L124" s="542">
        <v>-93865</v>
      </c>
      <c r="M124" s="542">
        <v>0</v>
      </c>
      <c r="N124" s="542">
        <v>-93865</v>
      </c>
      <c r="O124" s="543">
        <v>0.5</v>
      </c>
      <c r="P124" s="543">
        <v>0.4</v>
      </c>
      <c r="Q124" s="543">
        <v>0.09</v>
      </c>
      <c r="R124" s="543">
        <v>0.01</v>
      </c>
      <c r="S124" s="542">
        <v>124037</v>
      </c>
      <c r="T124" s="542">
        <v>124037</v>
      </c>
      <c r="U124" s="542">
        <v>0</v>
      </c>
      <c r="V124" s="542">
        <v>0</v>
      </c>
      <c r="W124" s="542">
        <v>0</v>
      </c>
      <c r="X124" s="542">
        <v>0</v>
      </c>
      <c r="Y124" s="542">
        <v>0</v>
      </c>
      <c r="Z124" s="542">
        <v>0</v>
      </c>
      <c r="AA124" s="542">
        <v>0</v>
      </c>
      <c r="AB124" s="542">
        <v>0</v>
      </c>
      <c r="AC124" s="542">
        <v>0</v>
      </c>
      <c r="AD124" s="542">
        <v>0</v>
      </c>
      <c r="AE124" s="542">
        <v>0</v>
      </c>
      <c r="AF124" s="542">
        <v>0</v>
      </c>
      <c r="AG124" s="542">
        <v>0</v>
      </c>
      <c r="AH124" s="542">
        <v>0</v>
      </c>
      <c r="AI124" s="542">
        <v>0</v>
      </c>
      <c r="AJ124" s="542">
        <v>0</v>
      </c>
      <c r="AK124" s="542">
        <v>0</v>
      </c>
      <c r="AL124" s="542">
        <v>0</v>
      </c>
      <c r="AM124" s="542">
        <v>0</v>
      </c>
      <c r="AN124" s="542">
        <v>0</v>
      </c>
      <c r="AO124" s="542">
        <v>0</v>
      </c>
      <c r="AP124" s="542">
        <v>0</v>
      </c>
      <c r="AQ124" s="542">
        <v>345228.95400000003</v>
      </c>
      <c r="AR124" s="542">
        <v>77676.5147</v>
      </c>
      <c r="AS124" s="542">
        <v>8630.7238600000001</v>
      </c>
      <c r="AT124" s="542">
        <v>315344</v>
      </c>
      <c r="AU124" s="542">
        <v>70952</v>
      </c>
      <c r="AV124" s="542">
        <v>7884</v>
      </c>
      <c r="AW124" s="542">
        <v>29885</v>
      </c>
      <c r="AX124" s="542">
        <v>6725</v>
      </c>
      <c r="AY124" s="542">
        <v>747</v>
      </c>
      <c r="AZ124" s="542">
        <v>0</v>
      </c>
      <c r="BA124" s="542">
        <v>0</v>
      </c>
      <c r="BB124" s="542">
        <v>0</v>
      </c>
      <c r="BC124" s="542">
        <v>0</v>
      </c>
      <c r="BD124" s="542">
        <v>0</v>
      </c>
      <c r="BE124" s="542">
        <v>0</v>
      </c>
      <c r="BF124" s="542">
        <v>0</v>
      </c>
      <c r="BG124" s="542">
        <v>0</v>
      </c>
      <c r="BH124" s="542">
        <v>0</v>
      </c>
      <c r="BI124" s="542">
        <v>3155.5464900000002</v>
      </c>
      <c r="BJ124" s="542">
        <v>709.99796100000003</v>
      </c>
      <c r="BK124" s="542">
        <v>78.888662400000001</v>
      </c>
      <c r="BL124" s="542">
        <v>1812</v>
      </c>
      <c r="BM124" s="542">
        <v>408</v>
      </c>
      <c r="BN124" s="542">
        <v>45</v>
      </c>
      <c r="BO124" s="542">
        <v>1344</v>
      </c>
      <c r="BP124" s="542">
        <v>302</v>
      </c>
      <c r="BQ124" s="542">
        <v>34</v>
      </c>
      <c r="BR124" s="542">
        <v>0</v>
      </c>
      <c r="BS124" s="542">
        <v>0</v>
      </c>
      <c r="BT124" s="542">
        <v>0</v>
      </c>
      <c r="BU124" s="542">
        <v>2021</v>
      </c>
      <c r="BV124" s="542">
        <v>455</v>
      </c>
      <c r="BW124" s="542">
        <v>51</v>
      </c>
      <c r="BX124" s="542">
        <v>-2021</v>
      </c>
      <c r="BY124" s="542">
        <v>-455</v>
      </c>
      <c r="BZ124" s="542">
        <v>-51</v>
      </c>
      <c r="CA124" s="542">
        <v>101819.128</v>
      </c>
      <c r="CB124" s="542">
        <v>22909.303899999999</v>
      </c>
      <c r="CC124" s="542">
        <v>2545.4782100000002</v>
      </c>
      <c r="CD124" s="542">
        <v>164068</v>
      </c>
      <c r="CE124" s="542">
        <v>36915</v>
      </c>
      <c r="CF124" s="542">
        <v>4102</v>
      </c>
      <c r="CG124" s="542">
        <v>-62249</v>
      </c>
      <c r="CH124" s="542">
        <v>-14006</v>
      </c>
      <c r="CI124" s="542">
        <v>-1557</v>
      </c>
      <c r="CJ124" s="542">
        <v>0</v>
      </c>
      <c r="CK124" s="542">
        <v>0</v>
      </c>
      <c r="CL124" s="542">
        <v>0</v>
      </c>
      <c r="CM124" s="542">
        <v>0</v>
      </c>
      <c r="CN124" s="542">
        <v>0</v>
      </c>
      <c r="CO124" s="542">
        <v>0</v>
      </c>
      <c r="CP124" s="542">
        <v>0</v>
      </c>
      <c r="CQ124" s="542">
        <v>0</v>
      </c>
      <c r="CR124" s="542">
        <v>0</v>
      </c>
      <c r="CS124" s="542">
        <v>0</v>
      </c>
      <c r="CT124" s="542">
        <v>0</v>
      </c>
      <c r="CU124" s="542">
        <v>0</v>
      </c>
      <c r="CV124" s="542">
        <v>146637.25200000001</v>
      </c>
      <c r="CW124" s="542">
        <v>32993.381800000003</v>
      </c>
      <c r="CX124" s="542">
        <v>3665.9313099999999</v>
      </c>
      <c r="CY124" s="542">
        <v>158424</v>
      </c>
      <c r="CZ124" s="542">
        <v>35349</v>
      </c>
      <c r="DA124" s="542">
        <v>3928</v>
      </c>
      <c r="DB124" s="542">
        <v>-11787</v>
      </c>
      <c r="DC124" s="542">
        <v>-2356</v>
      </c>
      <c r="DD124" s="542">
        <v>-262</v>
      </c>
      <c r="DE124" s="153" t="s">
        <v>113</v>
      </c>
      <c r="DF124" s="103" t="s">
        <v>774</v>
      </c>
      <c r="DG124" s="104" t="s">
        <v>775</v>
      </c>
      <c r="DH124" s="547"/>
      <c r="DI124" s="547"/>
    </row>
    <row r="125" spans="1:113" x14ac:dyDescent="0.2">
      <c r="A125" s="93">
        <v>119</v>
      </c>
      <c r="B125" s="145" t="s">
        <v>116</v>
      </c>
      <c r="C125" s="141" t="s">
        <v>871</v>
      </c>
      <c r="D125" s="142" t="s">
        <v>872</v>
      </c>
      <c r="E125" s="149" t="s">
        <v>115</v>
      </c>
      <c r="F125" s="542">
        <v>-1486980</v>
      </c>
      <c r="G125" s="542">
        <v>0</v>
      </c>
      <c r="H125" s="542">
        <v>-1486980</v>
      </c>
      <c r="I125" s="542">
        <v>84986</v>
      </c>
      <c r="J125" s="542">
        <v>0</v>
      </c>
      <c r="K125" s="542">
        <v>84986</v>
      </c>
      <c r="L125" s="542">
        <v>-1571966</v>
      </c>
      <c r="M125" s="542">
        <v>0</v>
      </c>
      <c r="N125" s="542">
        <v>-1571966</v>
      </c>
      <c r="O125" s="543">
        <v>0.5</v>
      </c>
      <c r="P125" s="543">
        <v>0.3</v>
      </c>
      <c r="Q125" s="543">
        <v>0.2</v>
      </c>
      <c r="R125" s="543">
        <v>0</v>
      </c>
      <c r="S125" s="542">
        <v>309403</v>
      </c>
      <c r="T125" s="542">
        <v>309403</v>
      </c>
      <c r="U125" s="542">
        <v>0</v>
      </c>
      <c r="V125" s="542">
        <v>0</v>
      </c>
      <c r="W125" s="542">
        <v>0</v>
      </c>
      <c r="X125" s="542">
        <v>0</v>
      </c>
      <c r="Y125" s="542">
        <v>0</v>
      </c>
      <c r="Z125" s="542">
        <v>0</v>
      </c>
      <c r="AA125" s="542">
        <v>0</v>
      </c>
      <c r="AB125" s="542">
        <v>0</v>
      </c>
      <c r="AC125" s="542">
        <v>0</v>
      </c>
      <c r="AD125" s="542">
        <v>0</v>
      </c>
      <c r="AE125" s="542">
        <v>0</v>
      </c>
      <c r="AF125" s="542">
        <v>0</v>
      </c>
      <c r="AG125" s="542">
        <v>0</v>
      </c>
      <c r="AH125" s="542">
        <v>0</v>
      </c>
      <c r="AI125" s="542">
        <v>0</v>
      </c>
      <c r="AJ125" s="542">
        <v>0</v>
      </c>
      <c r="AK125" s="542">
        <v>0</v>
      </c>
      <c r="AL125" s="542">
        <v>0</v>
      </c>
      <c r="AM125" s="542">
        <v>0</v>
      </c>
      <c r="AN125" s="542">
        <v>0</v>
      </c>
      <c r="AO125" s="542">
        <v>0</v>
      </c>
      <c r="AP125" s="542">
        <v>0</v>
      </c>
      <c r="AQ125" s="542">
        <v>627922.06999999995</v>
      </c>
      <c r="AR125" s="542">
        <v>418614.71299999999</v>
      </c>
      <c r="AS125" s="542">
        <v>0</v>
      </c>
      <c r="AT125" s="542">
        <v>599503</v>
      </c>
      <c r="AU125" s="542">
        <v>399668</v>
      </c>
      <c r="AV125" s="542">
        <v>0</v>
      </c>
      <c r="AW125" s="542">
        <v>28419</v>
      </c>
      <c r="AX125" s="542">
        <v>18947</v>
      </c>
      <c r="AY125" s="542">
        <v>0</v>
      </c>
      <c r="AZ125" s="542">
        <v>0</v>
      </c>
      <c r="BA125" s="542">
        <v>0</v>
      </c>
      <c r="BB125" s="542">
        <v>0</v>
      </c>
      <c r="BC125" s="542">
        <v>0</v>
      </c>
      <c r="BD125" s="542">
        <v>0</v>
      </c>
      <c r="BE125" s="542">
        <v>0</v>
      </c>
      <c r="BF125" s="542">
        <v>0</v>
      </c>
      <c r="BG125" s="542">
        <v>0</v>
      </c>
      <c r="BH125" s="542">
        <v>0</v>
      </c>
      <c r="BI125" s="542">
        <v>17747.523499999999</v>
      </c>
      <c r="BJ125" s="542">
        <v>11831.6823</v>
      </c>
      <c r="BK125" s="542">
        <v>0</v>
      </c>
      <c r="BL125" s="542">
        <v>0</v>
      </c>
      <c r="BM125" s="542">
        <v>0</v>
      </c>
      <c r="BN125" s="542">
        <v>0</v>
      </c>
      <c r="BO125" s="542">
        <v>17748</v>
      </c>
      <c r="BP125" s="542">
        <v>11832</v>
      </c>
      <c r="BQ125" s="542">
        <v>0</v>
      </c>
      <c r="BR125" s="542">
        <v>110.056051</v>
      </c>
      <c r="BS125" s="542">
        <v>73.370700600000006</v>
      </c>
      <c r="BT125" s="542">
        <v>0</v>
      </c>
      <c r="BU125" s="542">
        <v>0</v>
      </c>
      <c r="BV125" s="542">
        <v>0</v>
      </c>
      <c r="BW125" s="542">
        <v>0</v>
      </c>
      <c r="BX125" s="542">
        <v>110</v>
      </c>
      <c r="BY125" s="542">
        <v>73</v>
      </c>
      <c r="BZ125" s="542">
        <v>0</v>
      </c>
      <c r="CA125" s="542">
        <v>578716.55500000005</v>
      </c>
      <c r="CB125" s="542">
        <v>385811.03600000002</v>
      </c>
      <c r="CC125" s="542">
        <v>0</v>
      </c>
      <c r="CD125" s="542">
        <v>649517.15899999999</v>
      </c>
      <c r="CE125" s="542">
        <v>433011.43900000001</v>
      </c>
      <c r="CF125" s="542">
        <v>0</v>
      </c>
      <c r="CG125" s="542">
        <v>-70801</v>
      </c>
      <c r="CH125" s="542">
        <v>-47200</v>
      </c>
      <c r="CI125" s="542">
        <v>0</v>
      </c>
      <c r="CJ125" s="542">
        <v>0</v>
      </c>
      <c r="CK125" s="542">
        <v>0</v>
      </c>
      <c r="CL125" s="542">
        <v>0</v>
      </c>
      <c r="CM125" s="542">
        <v>0</v>
      </c>
      <c r="CN125" s="542">
        <v>0</v>
      </c>
      <c r="CO125" s="542">
        <v>0</v>
      </c>
      <c r="CP125" s="542">
        <v>0</v>
      </c>
      <c r="CQ125" s="542">
        <v>0</v>
      </c>
      <c r="CR125" s="542">
        <v>0</v>
      </c>
      <c r="CS125" s="542">
        <v>0</v>
      </c>
      <c r="CT125" s="542">
        <v>0</v>
      </c>
      <c r="CU125" s="542">
        <v>0</v>
      </c>
      <c r="CV125" s="542">
        <v>153840.71299999999</v>
      </c>
      <c r="CW125" s="542">
        <v>102560.47500000001</v>
      </c>
      <c r="CX125" s="542">
        <v>0</v>
      </c>
      <c r="CY125" s="542">
        <v>207264</v>
      </c>
      <c r="CZ125" s="542">
        <v>135986</v>
      </c>
      <c r="DA125" s="542">
        <v>0</v>
      </c>
      <c r="DB125" s="542">
        <v>-53423</v>
      </c>
      <c r="DC125" s="542">
        <v>-33426</v>
      </c>
      <c r="DD125" s="542">
        <v>0</v>
      </c>
      <c r="DE125" s="153" t="s">
        <v>115</v>
      </c>
      <c r="DF125" s="103" t="s">
        <v>762</v>
      </c>
      <c r="DG125" s="103" t="s">
        <v>750</v>
      </c>
      <c r="DH125" s="547"/>
      <c r="DI125" s="547"/>
    </row>
    <row r="126" spans="1:113" x14ac:dyDescent="0.2">
      <c r="A126" s="93">
        <v>120</v>
      </c>
      <c r="B126" s="145" t="s">
        <v>118</v>
      </c>
      <c r="C126" s="141" t="s">
        <v>866</v>
      </c>
      <c r="D126" s="142" t="s">
        <v>870</v>
      </c>
      <c r="E126" s="149" t="s">
        <v>117</v>
      </c>
      <c r="F126" s="542">
        <v>-330562</v>
      </c>
      <c r="G126" s="542">
        <v>-575</v>
      </c>
      <c r="H126" s="542">
        <v>-331137</v>
      </c>
      <c r="I126" s="542">
        <v>-10692</v>
      </c>
      <c r="J126" s="542">
        <v>0</v>
      </c>
      <c r="K126" s="542">
        <v>-10692</v>
      </c>
      <c r="L126" s="542">
        <v>-319870</v>
      </c>
      <c r="M126" s="542">
        <v>-575</v>
      </c>
      <c r="N126" s="542">
        <v>-320445</v>
      </c>
      <c r="O126" s="543">
        <v>0.5</v>
      </c>
      <c r="P126" s="543">
        <v>0.4</v>
      </c>
      <c r="Q126" s="543">
        <v>0.09</v>
      </c>
      <c r="R126" s="543">
        <v>0.01</v>
      </c>
      <c r="S126" s="542">
        <v>123090</v>
      </c>
      <c r="T126" s="542">
        <v>123090</v>
      </c>
      <c r="U126" s="542">
        <v>0</v>
      </c>
      <c r="V126" s="542">
        <v>0</v>
      </c>
      <c r="W126" s="542">
        <v>0</v>
      </c>
      <c r="X126" s="542">
        <v>0</v>
      </c>
      <c r="Y126" s="542">
        <v>0</v>
      </c>
      <c r="Z126" s="542">
        <v>0</v>
      </c>
      <c r="AA126" s="542">
        <v>0</v>
      </c>
      <c r="AB126" s="542">
        <v>0</v>
      </c>
      <c r="AC126" s="542">
        <v>0</v>
      </c>
      <c r="AD126" s="542">
        <v>0</v>
      </c>
      <c r="AE126" s="542">
        <v>0</v>
      </c>
      <c r="AF126" s="542">
        <v>0</v>
      </c>
      <c r="AG126" s="542">
        <v>0</v>
      </c>
      <c r="AH126" s="542">
        <v>0</v>
      </c>
      <c r="AI126" s="542">
        <v>0</v>
      </c>
      <c r="AJ126" s="542">
        <v>0</v>
      </c>
      <c r="AK126" s="542">
        <v>0</v>
      </c>
      <c r="AL126" s="542">
        <v>0</v>
      </c>
      <c r="AM126" s="542">
        <v>0</v>
      </c>
      <c r="AN126" s="542">
        <v>0</v>
      </c>
      <c r="AO126" s="542">
        <v>0</v>
      </c>
      <c r="AP126" s="542">
        <v>0</v>
      </c>
      <c r="AQ126" s="542">
        <v>187431.61900000001</v>
      </c>
      <c r="AR126" s="542">
        <v>37487.455800000003</v>
      </c>
      <c r="AS126" s="542">
        <v>4165.27286</v>
      </c>
      <c r="AT126" s="542">
        <v>161758</v>
      </c>
      <c r="AU126" s="542">
        <v>36395</v>
      </c>
      <c r="AV126" s="542">
        <v>4044</v>
      </c>
      <c r="AW126" s="542">
        <v>25674</v>
      </c>
      <c r="AX126" s="542">
        <v>1092</v>
      </c>
      <c r="AY126" s="542">
        <v>121</v>
      </c>
      <c r="AZ126" s="542">
        <v>2413.7545599999999</v>
      </c>
      <c r="BA126" s="542">
        <v>543.09477700000002</v>
      </c>
      <c r="BB126" s="542">
        <v>60.343864099999998</v>
      </c>
      <c r="BC126" s="542">
        <v>0</v>
      </c>
      <c r="BD126" s="542">
        <v>0</v>
      </c>
      <c r="BE126" s="542">
        <v>0</v>
      </c>
      <c r="BF126" s="542">
        <v>2414</v>
      </c>
      <c r="BG126" s="542">
        <v>543</v>
      </c>
      <c r="BH126" s="542">
        <v>60</v>
      </c>
      <c r="BI126" s="542">
        <v>0</v>
      </c>
      <c r="BJ126" s="542">
        <v>0</v>
      </c>
      <c r="BK126" s="542">
        <v>0</v>
      </c>
      <c r="BL126" s="542">
        <v>0</v>
      </c>
      <c r="BM126" s="542">
        <v>0</v>
      </c>
      <c r="BN126" s="542">
        <v>0</v>
      </c>
      <c r="BO126" s="542">
        <v>0</v>
      </c>
      <c r="BP126" s="542">
        <v>0</v>
      </c>
      <c r="BQ126" s="542">
        <v>0</v>
      </c>
      <c r="BR126" s="542">
        <v>3895.3171900000002</v>
      </c>
      <c r="BS126" s="542">
        <v>876.446369</v>
      </c>
      <c r="BT126" s="542">
        <v>97.382929899999993</v>
      </c>
      <c r="BU126" s="542">
        <v>0</v>
      </c>
      <c r="BV126" s="542">
        <v>0</v>
      </c>
      <c r="BW126" s="542">
        <v>0</v>
      </c>
      <c r="BX126" s="542">
        <v>3895</v>
      </c>
      <c r="BY126" s="542">
        <v>876</v>
      </c>
      <c r="BZ126" s="542">
        <v>97</v>
      </c>
      <c r="CA126" s="542">
        <v>69578.8704</v>
      </c>
      <c r="CB126" s="542">
        <v>15655.245800000001</v>
      </c>
      <c r="CC126" s="542">
        <v>1739.4717599999999</v>
      </c>
      <c r="CD126" s="542">
        <v>144316</v>
      </c>
      <c r="CE126" s="542">
        <v>32471</v>
      </c>
      <c r="CF126" s="542">
        <v>3608</v>
      </c>
      <c r="CG126" s="542">
        <v>-74737</v>
      </c>
      <c r="CH126" s="542">
        <v>-16816</v>
      </c>
      <c r="CI126" s="542">
        <v>-1869</v>
      </c>
      <c r="CJ126" s="542">
        <v>0</v>
      </c>
      <c r="CK126" s="542">
        <v>0</v>
      </c>
      <c r="CL126" s="542">
        <v>0</v>
      </c>
      <c r="CM126" s="542">
        <v>0</v>
      </c>
      <c r="CN126" s="542">
        <v>0</v>
      </c>
      <c r="CO126" s="542">
        <v>0</v>
      </c>
      <c r="CP126" s="542">
        <v>0</v>
      </c>
      <c r="CQ126" s="542">
        <v>0</v>
      </c>
      <c r="CR126" s="542">
        <v>0</v>
      </c>
      <c r="CS126" s="542">
        <v>0</v>
      </c>
      <c r="CT126" s="542">
        <v>0</v>
      </c>
      <c r="CU126" s="542">
        <v>0</v>
      </c>
      <c r="CV126" s="542">
        <v>179893.12899999999</v>
      </c>
      <c r="CW126" s="542">
        <v>40475.954100000003</v>
      </c>
      <c r="CX126" s="542">
        <v>4497.3282300000001</v>
      </c>
      <c r="CY126" s="542">
        <v>183633</v>
      </c>
      <c r="CZ126" s="542">
        <v>41023</v>
      </c>
      <c r="DA126" s="542">
        <v>4558</v>
      </c>
      <c r="DB126" s="542">
        <v>-3740</v>
      </c>
      <c r="DC126" s="542">
        <v>-547</v>
      </c>
      <c r="DD126" s="542">
        <v>-61</v>
      </c>
      <c r="DE126" s="153" t="s">
        <v>117</v>
      </c>
      <c r="DF126" s="103" t="s">
        <v>765</v>
      </c>
      <c r="DG126" s="104" t="s">
        <v>766</v>
      </c>
      <c r="DH126" s="549" t="s">
        <v>117</v>
      </c>
      <c r="DI126" s="549"/>
    </row>
    <row r="127" spans="1:113" x14ac:dyDescent="0.2">
      <c r="A127" s="93">
        <v>121</v>
      </c>
      <c r="B127" s="145" t="s">
        <v>120</v>
      </c>
      <c r="C127" s="141" t="s">
        <v>866</v>
      </c>
      <c r="D127" s="142" t="s">
        <v>874</v>
      </c>
      <c r="E127" s="149" t="s">
        <v>119</v>
      </c>
      <c r="F127" s="542">
        <v>-163364</v>
      </c>
      <c r="G127" s="542">
        <v>0</v>
      </c>
      <c r="H127" s="542">
        <v>-163364</v>
      </c>
      <c r="I127" s="542">
        <v>36735</v>
      </c>
      <c r="J127" s="542">
        <v>0</v>
      </c>
      <c r="K127" s="542">
        <v>36735</v>
      </c>
      <c r="L127" s="542">
        <v>-200099</v>
      </c>
      <c r="M127" s="542">
        <v>0</v>
      </c>
      <c r="N127" s="542">
        <v>-200099</v>
      </c>
      <c r="O127" s="543">
        <v>0.5</v>
      </c>
      <c r="P127" s="543">
        <v>0.4</v>
      </c>
      <c r="Q127" s="543">
        <v>0.09</v>
      </c>
      <c r="R127" s="543">
        <v>0.01</v>
      </c>
      <c r="S127" s="542">
        <v>285902</v>
      </c>
      <c r="T127" s="542">
        <v>285902</v>
      </c>
      <c r="U127" s="542">
        <v>0</v>
      </c>
      <c r="V127" s="542">
        <v>0</v>
      </c>
      <c r="W127" s="542">
        <v>0</v>
      </c>
      <c r="X127" s="542">
        <v>0</v>
      </c>
      <c r="Y127" s="542">
        <v>0</v>
      </c>
      <c r="Z127" s="542">
        <v>0</v>
      </c>
      <c r="AA127" s="542">
        <v>0</v>
      </c>
      <c r="AB127" s="542">
        <v>0</v>
      </c>
      <c r="AC127" s="542">
        <v>0</v>
      </c>
      <c r="AD127" s="542">
        <v>0</v>
      </c>
      <c r="AE127" s="542">
        <v>0</v>
      </c>
      <c r="AF127" s="542">
        <v>0</v>
      </c>
      <c r="AG127" s="542">
        <v>0</v>
      </c>
      <c r="AH127" s="542">
        <v>0</v>
      </c>
      <c r="AI127" s="542">
        <v>0</v>
      </c>
      <c r="AJ127" s="542">
        <v>0</v>
      </c>
      <c r="AK127" s="542">
        <v>0</v>
      </c>
      <c r="AL127" s="542">
        <v>0</v>
      </c>
      <c r="AM127" s="542">
        <v>0</v>
      </c>
      <c r="AN127" s="542">
        <v>0</v>
      </c>
      <c r="AO127" s="542">
        <v>0</v>
      </c>
      <c r="AP127" s="542">
        <v>0</v>
      </c>
      <c r="AQ127" s="542">
        <v>951555.73300000001</v>
      </c>
      <c r="AR127" s="542">
        <v>214100.04</v>
      </c>
      <c r="AS127" s="542">
        <v>23788.8933</v>
      </c>
      <c r="AT127" s="542">
        <v>874714</v>
      </c>
      <c r="AU127" s="542">
        <v>196811</v>
      </c>
      <c r="AV127" s="542">
        <v>21868</v>
      </c>
      <c r="AW127" s="542">
        <v>76842</v>
      </c>
      <c r="AX127" s="542">
        <v>17289</v>
      </c>
      <c r="AY127" s="542">
        <v>1921</v>
      </c>
      <c r="AZ127" s="542">
        <v>9073.7121000000006</v>
      </c>
      <c r="BA127" s="542">
        <v>2041.5852199999999</v>
      </c>
      <c r="BB127" s="542">
        <v>226.84280200000001</v>
      </c>
      <c r="BC127" s="542">
        <v>5689</v>
      </c>
      <c r="BD127" s="542">
        <v>1280</v>
      </c>
      <c r="BE127" s="542">
        <v>142</v>
      </c>
      <c r="BF127" s="542">
        <v>3385</v>
      </c>
      <c r="BG127" s="542">
        <v>762</v>
      </c>
      <c r="BH127" s="542">
        <v>85</v>
      </c>
      <c r="BI127" s="542">
        <v>25889.9532</v>
      </c>
      <c r="BJ127" s="542">
        <v>5825.2394899999999</v>
      </c>
      <c r="BK127" s="542">
        <v>647.24883199999999</v>
      </c>
      <c r="BL127" s="542">
        <v>7793</v>
      </c>
      <c r="BM127" s="542">
        <v>1754</v>
      </c>
      <c r="BN127" s="542">
        <v>195</v>
      </c>
      <c r="BO127" s="542">
        <v>18097</v>
      </c>
      <c r="BP127" s="542">
        <v>4071</v>
      </c>
      <c r="BQ127" s="542">
        <v>452</v>
      </c>
      <c r="BR127" s="542">
        <v>6554.4492499999997</v>
      </c>
      <c r="BS127" s="542">
        <v>1474.75108</v>
      </c>
      <c r="BT127" s="542">
        <v>163.861231</v>
      </c>
      <c r="BU127" s="542">
        <v>22892.0628</v>
      </c>
      <c r="BV127" s="542">
        <v>5150.71414</v>
      </c>
      <c r="BW127" s="542">
        <v>572.30157099999997</v>
      </c>
      <c r="BX127" s="542">
        <v>-16338</v>
      </c>
      <c r="BY127" s="542">
        <v>-3676</v>
      </c>
      <c r="BZ127" s="542">
        <v>-408</v>
      </c>
      <c r="CA127" s="542">
        <v>335592.32900000003</v>
      </c>
      <c r="CB127" s="542">
        <v>75508.274099999995</v>
      </c>
      <c r="CC127" s="542">
        <v>8389.8082300000005</v>
      </c>
      <c r="CD127" s="542">
        <v>5457.3248400000002</v>
      </c>
      <c r="CE127" s="542">
        <v>1227.8980799999999</v>
      </c>
      <c r="CF127" s="542">
        <v>136.433121</v>
      </c>
      <c r="CG127" s="542">
        <v>330135</v>
      </c>
      <c r="CH127" s="542">
        <v>74280</v>
      </c>
      <c r="CI127" s="542">
        <v>8253</v>
      </c>
      <c r="CJ127" s="542">
        <v>0</v>
      </c>
      <c r="CK127" s="542">
        <v>0</v>
      </c>
      <c r="CL127" s="542">
        <v>0</v>
      </c>
      <c r="CM127" s="542">
        <v>0</v>
      </c>
      <c r="CN127" s="542">
        <v>0</v>
      </c>
      <c r="CO127" s="542">
        <v>0</v>
      </c>
      <c r="CP127" s="542">
        <v>0</v>
      </c>
      <c r="CQ127" s="542">
        <v>0</v>
      </c>
      <c r="CR127" s="542">
        <v>0</v>
      </c>
      <c r="CS127" s="542">
        <v>0</v>
      </c>
      <c r="CT127" s="542">
        <v>0</v>
      </c>
      <c r="CU127" s="542">
        <v>0</v>
      </c>
      <c r="CV127" s="542">
        <v>253534.16899999999</v>
      </c>
      <c r="CW127" s="542">
        <v>57045.188199999997</v>
      </c>
      <c r="CX127" s="542">
        <v>6338.3542399999997</v>
      </c>
      <c r="CY127" s="542">
        <v>258550</v>
      </c>
      <c r="CZ127" s="542">
        <v>57491</v>
      </c>
      <c r="DA127" s="542">
        <v>6388</v>
      </c>
      <c r="DB127" s="542">
        <v>-5016</v>
      </c>
      <c r="DC127" s="542">
        <v>-446</v>
      </c>
      <c r="DD127" s="542">
        <v>-50</v>
      </c>
      <c r="DE127" s="153" t="s">
        <v>119</v>
      </c>
      <c r="DF127" s="103" t="s">
        <v>800</v>
      </c>
      <c r="DG127" s="104" t="s">
        <v>801</v>
      </c>
      <c r="DH127" s="547"/>
      <c r="DI127" s="547"/>
    </row>
    <row r="128" spans="1:113" x14ac:dyDescent="0.2">
      <c r="A128" s="93">
        <v>122</v>
      </c>
      <c r="B128" s="145" t="s">
        <v>122</v>
      </c>
      <c r="C128" s="141" t="s">
        <v>871</v>
      </c>
      <c r="D128" s="142" t="s">
        <v>872</v>
      </c>
      <c r="E128" s="149" t="s">
        <v>121</v>
      </c>
      <c r="F128" s="542">
        <v>-291416</v>
      </c>
      <c r="G128" s="542">
        <v>0</v>
      </c>
      <c r="H128" s="542">
        <v>-291416</v>
      </c>
      <c r="I128" s="542">
        <v>-152489</v>
      </c>
      <c r="J128" s="542">
        <v>0</v>
      </c>
      <c r="K128" s="542">
        <v>-152489</v>
      </c>
      <c r="L128" s="542">
        <v>-138927</v>
      </c>
      <c r="M128" s="542">
        <v>0</v>
      </c>
      <c r="N128" s="542">
        <v>-138927</v>
      </c>
      <c r="O128" s="543">
        <v>0.5</v>
      </c>
      <c r="P128" s="543">
        <v>0.3</v>
      </c>
      <c r="Q128" s="543">
        <v>0.2</v>
      </c>
      <c r="R128" s="543">
        <v>0</v>
      </c>
      <c r="S128" s="542">
        <v>257701</v>
      </c>
      <c r="T128" s="542">
        <v>257701</v>
      </c>
      <c r="U128" s="542">
        <v>0</v>
      </c>
      <c r="V128" s="542">
        <v>0</v>
      </c>
      <c r="W128" s="542">
        <v>0</v>
      </c>
      <c r="X128" s="542">
        <v>0</v>
      </c>
      <c r="Y128" s="542">
        <v>0</v>
      </c>
      <c r="Z128" s="542">
        <v>0</v>
      </c>
      <c r="AA128" s="542">
        <v>0</v>
      </c>
      <c r="AB128" s="542">
        <v>0</v>
      </c>
      <c r="AC128" s="542">
        <v>0</v>
      </c>
      <c r="AD128" s="542">
        <v>0</v>
      </c>
      <c r="AE128" s="542">
        <v>0</v>
      </c>
      <c r="AF128" s="542">
        <v>0</v>
      </c>
      <c r="AG128" s="542">
        <v>0</v>
      </c>
      <c r="AH128" s="542">
        <v>0</v>
      </c>
      <c r="AI128" s="542">
        <v>0</v>
      </c>
      <c r="AJ128" s="542">
        <v>0</v>
      </c>
      <c r="AK128" s="542">
        <v>0</v>
      </c>
      <c r="AL128" s="542">
        <v>0</v>
      </c>
      <c r="AM128" s="542">
        <v>0</v>
      </c>
      <c r="AN128" s="542">
        <v>0</v>
      </c>
      <c r="AO128" s="542">
        <v>0</v>
      </c>
      <c r="AP128" s="542">
        <v>0</v>
      </c>
      <c r="AQ128" s="542">
        <v>438880.94</v>
      </c>
      <c r="AR128" s="542">
        <v>292587.3</v>
      </c>
      <c r="AS128" s="542">
        <v>0</v>
      </c>
      <c r="AT128" s="542">
        <v>435980</v>
      </c>
      <c r="AU128" s="542">
        <v>290653</v>
      </c>
      <c r="AV128" s="542">
        <v>0</v>
      </c>
      <c r="AW128" s="542">
        <v>2901</v>
      </c>
      <c r="AX128" s="542">
        <v>1934</v>
      </c>
      <c r="AY128" s="542">
        <v>0</v>
      </c>
      <c r="AZ128" s="542">
        <v>0</v>
      </c>
      <c r="BA128" s="542">
        <v>0</v>
      </c>
      <c r="BB128" s="542">
        <v>0</v>
      </c>
      <c r="BC128" s="542">
        <v>0</v>
      </c>
      <c r="BD128" s="542">
        <v>0</v>
      </c>
      <c r="BE128" s="542">
        <v>0</v>
      </c>
      <c r="BF128" s="542">
        <v>0</v>
      </c>
      <c r="BG128" s="542">
        <v>0</v>
      </c>
      <c r="BH128" s="542">
        <v>0</v>
      </c>
      <c r="BI128" s="542">
        <v>0</v>
      </c>
      <c r="BJ128" s="542">
        <v>0</v>
      </c>
      <c r="BK128" s="542">
        <v>0</v>
      </c>
      <c r="BL128" s="542">
        <v>75796</v>
      </c>
      <c r="BM128" s="542">
        <v>50531</v>
      </c>
      <c r="BN128" s="542">
        <v>0</v>
      </c>
      <c r="BO128" s="542">
        <v>-75796</v>
      </c>
      <c r="BP128" s="542">
        <v>-50531</v>
      </c>
      <c r="BQ128" s="542">
        <v>0</v>
      </c>
      <c r="BR128" s="542">
        <v>2359.38</v>
      </c>
      <c r="BS128" s="542">
        <v>1572.92</v>
      </c>
      <c r="BT128" s="542">
        <v>0</v>
      </c>
      <c r="BU128" s="542">
        <v>75796.179999999993</v>
      </c>
      <c r="BV128" s="542">
        <v>50530.79</v>
      </c>
      <c r="BW128" s="542">
        <v>0</v>
      </c>
      <c r="BX128" s="542">
        <v>-73437</v>
      </c>
      <c r="BY128" s="542">
        <v>-48958</v>
      </c>
      <c r="BZ128" s="542">
        <v>0</v>
      </c>
      <c r="CA128" s="542">
        <v>265206.28000000003</v>
      </c>
      <c r="CB128" s="542">
        <v>176804.19</v>
      </c>
      <c r="CC128" s="542">
        <v>0</v>
      </c>
      <c r="CD128" s="542">
        <v>227388.54</v>
      </c>
      <c r="CE128" s="542">
        <v>151592.35999999999</v>
      </c>
      <c r="CF128" s="542">
        <v>0</v>
      </c>
      <c r="CG128" s="542">
        <v>37818</v>
      </c>
      <c r="CH128" s="542">
        <v>25212</v>
      </c>
      <c r="CI128" s="542">
        <v>0</v>
      </c>
      <c r="CJ128" s="542">
        <v>0</v>
      </c>
      <c r="CK128" s="542">
        <v>0</v>
      </c>
      <c r="CL128" s="542">
        <v>0</v>
      </c>
      <c r="CM128" s="542">
        <v>0</v>
      </c>
      <c r="CN128" s="542">
        <v>0</v>
      </c>
      <c r="CO128" s="542">
        <v>0</v>
      </c>
      <c r="CP128" s="542">
        <v>0</v>
      </c>
      <c r="CQ128" s="542">
        <v>0</v>
      </c>
      <c r="CR128" s="542">
        <v>0</v>
      </c>
      <c r="CS128" s="542">
        <v>0</v>
      </c>
      <c r="CT128" s="542">
        <v>0</v>
      </c>
      <c r="CU128" s="542">
        <v>0</v>
      </c>
      <c r="CV128" s="542">
        <v>142822.25</v>
      </c>
      <c r="CW128" s="542">
        <v>95214.83</v>
      </c>
      <c r="CX128" s="542">
        <v>0</v>
      </c>
      <c r="CY128" s="542">
        <v>156593</v>
      </c>
      <c r="CZ128" s="542">
        <v>102572</v>
      </c>
      <c r="DA128" s="542">
        <v>0</v>
      </c>
      <c r="DB128" s="542">
        <v>-13771</v>
      </c>
      <c r="DC128" s="542">
        <v>-7357</v>
      </c>
      <c r="DD128" s="542">
        <v>0</v>
      </c>
      <c r="DE128" s="153" t="s">
        <v>121</v>
      </c>
      <c r="DF128" s="103" t="s">
        <v>762</v>
      </c>
      <c r="DG128" s="103" t="s">
        <v>750</v>
      </c>
      <c r="DH128" s="547"/>
      <c r="DI128" s="547"/>
    </row>
    <row r="129" spans="1:113" x14ac:dyDescent="0.2">
      <c r="A129" s="93">
        <v>123</v>
      </c>
      <c r="B129" s="145" t="s">
        <v>124</v>
      </c>
      <c r="C129" s="141" t="s">
        <v>866</v>
      </c>
      <c r="D129" s="142" t="s">
        <v>867</v>
      </c>
      <c r="E129" s="149" t="s">
        <v>123</v>
      </c>
      <c r="F129" s="542">
        <v>18790</v>
      </c>
      <c r="G129" s="542">
        <v>0</v>
      </c>
      <c r="H129" s="542">
        <v>18790</v>
      </c>
      <c r="I129" s="542">
        <v>27895</v>
      </c>
      <c r="J129" s="542">
        <v>0</v>
      </c>
      <c r="K129" s="542">
        <v>27895</v>
      </c>
      <c r="L129" s="542">
        <v>-9105</v>
      </c>
      <c r="M129" s="542">
        <v>0</v>
      </c>
      <c r="N129" s="542">
        <v>-9105</v>
      </c>
      <c r="O129" s="543">
        <v>0.5</v>
      </c>
      <c r="P129" s="543">
        <v>0.4</v>
      </c>
      <c r="Q129" s="543">
        <v>0.09</v>
      </c>
      <c r="R129" s="543">
        <v>0.01</v>
      </c>
      <c r="S129" s="542">
        <v>99703</v>
      </c>
      <c r="T129" s="542">
        <v>99703</v>
      </c>
      <c r="U129" s="542">
        <v>0</v>
      </c>
      <c r="V129" s="542">
        <v>0</v>
      </c>
      <c r="W129" s="542">
        <v>0</v>
      </c>
      <c r="X129" s="542">
        <v>0</v>
      </c>
      <c r="Y129" s="542">
        <v>0</v>
      </c>
      <c r="Z129" s="542">
        <v>0</v>
      </c>
      <c r="AA129" s="542">
        <v>0</v>
      </c>
      <c r="AB129" s="542">
        <v>0</v>
      </c>
      <c r="AC129" s="542">
        <v>0</v>
      </c>
      <c r="AD129" s="542">
        <v>0</v>
      </c>
      <c r="AE129" s="542">
        <v>0</v>
      </c>
      <c r="AF129" s="542">
        <v>0</v>
      </c>
      <c r="AG129" s="542">
        <v>0</v>
      </c>
      <c r="AH129" s="542">
        <v>0</v>
      </c>
      <c r="AI129" s="542">
        <v>0</v>
      </c>
      <c r="AJ129" s="542">
        <v>0</v>
      </c>
      <c r="AK129" s="542">
        <v>0</v>
      </c>
      <c r="AL129" s="542">
        <v>0</v>
      </c>
      <c r="AM129" s="542">
        <v>0</v>
      </c>
      <c r="AN129" s="542">
        <v>0</v>
      </c>
      <c r="AO129" s="542">
        <v>0</v>
      </c>
      <c r="AP129" s="542">
        <v>0</v>
      </c>
      <c r="AQ129" s="542">
        <v>212796.677</v>
      </c>
      <c r="AR129" s="542">
        <v>47879.2523</v>
      </c>
      <c r="AS129" s="542">
        <v>5319.9169300000003</v>
      </c>
      <c r="AT129" s="542">
        <v>199102</v>
      </c>
      <c r="AU129" s="542">
        <v>44798</v>
      </c>
      <c r="AV129" s="542">
        <v>4978</v>
      </c>
      <c r="AW129" s="542">
        <v>13695</v>
      </c>
      <c r="AX129" s="542">
        <v>3081</v>
      </c>
      <c r="AY129" s="542">
        <v>342</v>
      </c>
      <c r="AZ129" s="542">
        <v>0</v>
      </c>
      <c r="BA129" s="542">
        <v>0</v>
      </c>
      <c r="BB129" s="542">
        <v>0</v>
      </c>
      <c r="BC129" s="542">
        <v>5414</v>
      </c>
      <c r="BD129" s="542">
        <v>1218</v>
      </c>
      <c r="BE129" s="542">
        <v>135</v>
      </c>
      <c r="BF129" s="542">
        <v>-5414</v>
      </c>
      <c r="BG129" s="542">
        <v>-1218</v>
      </c>
      <c r="BH129" s="542">
        <v>-135</v>
      </c>
      <c r="BI129" s="542">
        <v>0</v>
      </c>
      <c r="BJ129" s="542">
        <v>0</v>
      </c>
      <c r="BK129" s="542">
        <v>0</v>
      </c>
      <c r="BL129" s="542">
        <v>4042</v>
      </c>
      <c r="BM129" s="542">
        <v>910</v>
      </c>
      <c r="BN129" s="542">
        <v>101</v>
      </c>
      <c r="BO129" s="542">
        <v>-4042</v>
      </c>
      <c r="BP129" s="542">
        <v>-910</v>
      </c>
      <c r="BQ129" s="542">
        <v>-101</v>
      </c>
      <c r="BR129" s="542">
        <v>0</v>
      </c>
      <c r="BS129" s="542">
        <v>0</v>
      </c>
      <c r="BT129" s="542">
        <v>0</v>
      </c>
      <c r="BU129" s="542">
        <v>4447</v>
      </c>
      <c r="BV129" s="542">
        <v>1000</v>
      </c>
      <c r="BW129" s="542">
        <v>111</v>
      </c>
      <c r="BX129" s="542">
        <v>-4447</v>
      </c>
      <c r="BY129" s="542">
        <v>-1000</v>
      </c>
      <c r="BZ129" s="542">
        <v>-111</v>
      </c>
      <c r="CA129" s="542">
        <v>124083.712</v>
      </c>
      <c r="CB129" s="542">
        <v>27918.835200000001</v>
      </c>
      <c r="CC129" s="542">
        <v>3102.0927999999999</v>
      </c>
      <c r="CD129" s="542">
        <v>189591</v>
      </c>
      <c r="CE129" s="542">
        <v>42658</v>
      </c>
      <c r="CF129" s="542">
        <v>4740</v>
      </c>
      <c r="CG129" s="542">
        <v>-65507</v>
      </c>
      <c r="CH129" s="542">
        <v>-14739</v>
      </c>
      <c r="CI129" s="542">
        <v>-1638</v>
      </c>
      <c r="CJ129" s="542">
        <v>0</v>
      </c>
      <c r="CK129" s="542">
        <v>0</v>
      </c>
      <c r="CL129" s="542">
        <v>0</v>
      </c>
      <c r="CM129" s="542">
        <v>0</v>
      </c>
      <c r="CN129" s="542">
        <v>0</v>
      </c>
      <c r="CO129" s="542">
        <v>0</v>
      </c>
      <c r="CP129" s="542">
        <v>0</v>
      </c>
      <c r="CQ129" s="542">
        <v>0</v>
      </c>
      <c r="CR129" s="542">
        <v>0</v>
      </c>
      <c r="CS129" s="542">
        <v>0</v>
      </c>
      <c r="CT129" s="542">
        <v>0</v>
      </c>
      <c r="CU129" s="542">
        <v>0</v>
      </c>
      <c r="CV129" s="542">
        <v>119887.486</v>
      </c>
      <c r="CW129" s="542">
        <v>26974.684300000001</v>
      </c>
      <c r="CX129" s="542">
        <v>2997.1871500000002</v>
      </c>
      <c r="CY129" s="542">
        <v>124824</v>
      </c>
      <c r="CZ129" s="542">
        <v>27847</v>
      </c>
      <c r="DA129" s="542">
        <v>3094</v>
      </c>
      <c r="DB129" s="542">
        <v>-4937</v>
      </c>
      <c r="DC129" s="542">
        <v>-872</v>
      </c>
      <c r="DD129" s="542">
        <v>-97</v>
      </c>
      <c r="DE129" s="153" t="s">
        <v>123</v>
      </c>
      <c r="DF129" s="103" t="s">
        <v>767</v>
      </c>
      <c r="DG129" s="104" t="s">
        <v>768</v>
      </c>
      <c r="DH129" s="547"/>
      <c r="DI129" s="547"/>
    </row>
    <row r="130" spans="1:113" x14ac:dyDescent="0.2">
      <c r="A130" s="93">
        <v>124</v>
      </c>
      <c r="B130" s="145" t="s">
        <v>126</v>
      </c>
      <c r="C130" s="141" t="s">
        <v>770</v>
      </c>
      <c r="D130" s="142" t="s">
        <v>878</v>
      </c>
      <c r="E130" s="149" t="s">
        <v>699</v>
      </c>
      <c r="F130" s="542">
        <v>7997685</v>
      </c>
      <c r="G130" s="542">
        <v>0</v>
      </c>
      <c r="H130" s="542">
        <v>7997685</v>
      </c>
      <c r="I130" s="542">
        <v>8073127</v>
      </c>
      <c r="J130" s="542">
        <v>0</v>
      </c>
      <c r="K130" s="542">
        <v>8073127</v>
      </c>
      <c r="L130" s="542">
        <v>-75442</v>
      </c>
      <c r="M130" s="542">
        <v>0</v>
      </c>
      <c r="N130" s="542">
        <v>-75442</v>
      </c>
      <c r="O130" s="543">
        <v>0.5</v>
      </c>
      <c r="P130" s="543">
        <v>0.49</v>
      </c>
      <c r="Q130" s="543">
        <v>0</v>
      </c>
      <c r="R130" s="543">
        <v>0.01</v>
      </c>
      <c r="S130" s="542">
        <v>125321</v>
      </c>
      <c r="T130" s="542">
        <v>125321</v>
      </c>
      <c r="U130" s="542">
        <v>0</v>
      </c>
      <c r="V130" s="542">
        <v>0</v>
      </c>
      <c r="W130" s="542">
        <v>0</v>
      </c>
      <c r="X130" s="542">
        <v>0</v>
      </c>
      <c r="Y130" s="542">
        <v>0</v>
      </c>
      <c r="Z130" s="542">
        <v>0</v>
      </c>
      <c r="AA130" s="542">
        <v>0</v>
      </c>
      <c r="AB130" s="542">
        <v>0</v>
      </c>
      <c r="AC130" s="542">
        <v>0</v>
      </c>
      <c r="AD130" s="542">
        <v>0</v>
      </c>
      <c r="AE130" s="542">
        <v>83607.23</v>
      </c>
      <c r="AF130" s="542">
        <v>83607.23</v>
      </c>
      <c r="AG130" s="542">
        <v>0</v>
      </c>
      <c r="AH130" s="542">
        <v>0</v>
      </c>
      <c r="AI130" s="542">
        <v>72798</v>
      </c>
      <c r="AJ130" s="542">
        <v>72798</v>
      </c>
      <c r="AK130" s="542">
        <v>0</v>
      </c>
      <c r="AL130" s="542">
        <v>0</v>
      </c>
      <c r="AM130" s="542">
        <v>10809</v>
      </c>
      <c r="AN130" s="542">
        <v>10809</v>
      </c>
      <c r="AO130" s="542">
        <v>0</v>
      </c>
      <c r="AP130" s="542">
        <v>0</v>
      </c>
      <c r="AQ130" s="542">
        <v>485314.25</v>
      </c>
      <c r="AR130" s="542">
        <v>0</v>
      </c>
      <c r="AS130" s="542">
        <v>9904.3700000000008</v>
      </c>
      <c r="AT130" s="542">
        <v>453377</v>
      </c>
      <c r="AU130" s="542">
        <v>0</v>
      </c>
      <c r="AV130" s="542">
        <v>9253</v>
      </c>
      <c r="AW130" s="542">
        <v>31937</v>
      </c>
      <c r="AX130" s="542">
        <v>0</v>
      </c>
      <c r="AY130" s="542">
        <v>651</v>
      </c>
      <c r="AZ130" s="542">
        <v>0</v>
      </c>
      <c r="BA130" s="542">
        <v>0</v>
      </c>
      <c r="BB130" s="542">
        <v>0</v>
      </c>
      <c r="BC130" s="542">
        <v>0</v>
      </c>
      <c r="BD130" s="542">
        <v>0</v>
      </c>
      <c r="BE130" s="542">
        <v>0</v>
      </c>
      <c r="BF130" s="542">
        <v>0</v>
      </c>
      <c r="BG130" s="542">
        <v>0</v>
      </c>
      <c r="BH130" s="542">
        <v>0</v>
      </c>
      <c r="BI130" s="542">
        <v>0</v>
      </c>
      <c r="BJ130" s="542">
        <v>0</v>
      </c>
      <c r="BK130" s="542">
        <v>0</v>
      </c>
      <c r="BL130" s="542">
        <v>24760</v>
      </c>
      <c r="BM130" s="542">
        <v>0</v>
      </c>
      <c r="BN130" s="542">
        <v>505</v>
      </c>
      <c r="BO130" s="542">
        <v>-24760</v>
      </c>
      <c r="BP130" s="542">
        <v>0</v>
      </c>
      <c r="BQ130" s="542">
        <v>-505</v>
      </c>
      <c r="BR130" s="542">
        <v>0</v>
      </c>
      <c r="BS130" s="542">
        <v>0</v>
      </c>
      <c r="BT130" s="542">
        <v>0</v>
      </c>
      <c r="BU130" s="542">
        <v>63530.42</v>
      </c>
      <c r="BV130" s="542">
        <v>0</v>
      </c>
      <c r="BW130" s="542">
        <v>1296.54</v>
      </c>
      <c r="BX130" s="542">
        <v>-63530</v>
      </c>
      <c r="BY130" s="542">
        <v>0</v>
      </c>
      <c r="BZ130" s="542">
        <v>-1297</v>
      </c>
      <c r="CA130" s="542">
        <v>126862.26</v>
      </c>
      <c r="CB130" s="542">
        <v>0</v>
      </c>
      <c r="CC130" s="542">
        <v>2589.0300000000002</v>
      </c>
      <c r="CD130" s="542">
        <v>207998.07999999999</v>
      </c>
      <c r="CE130" s="542">
        <v>0</v>
      </c>
      <c r="CF130" s="542">
        <v>4244.8599999999997</v>
      </c>
      <c r="CG130" s="542">
        <v>-81136</v>
      </c>
      <c r="CH130" s="542">
        <v>0</v>
      </c>
      <c r="CI130" s="542">
        <v>-1656</v>
      </c>
      <c r="CJ130" s="542">
        <v>0</v>
      </c>
      <c r="CK130" s="542">
        <v>0</v>
      </c>
      <c r="CL130" s="542">
        <v>0</v>
      </c>
      <c r="CM130" s="542">
        <v>0</v>
      </c>
      <c r="CN130" s="542">
        <v>0</v>
      </c>
      <c r="CO130" s="542">
        <v>0</v>
      </c>
      <c r="CP130" s="542">
        <v>0</v>
      </c>
      <c r="CQ130" s="542">
        <v>0</v>
      </c>
      <c r="CR130" s="542">
        <v>0</v>
      </c>
      <c r="CS130" s="542">
        <v>0</v>
      </c>
      <c r="CT130" s="542">
        <v>0</v>
      </c>
      <c r="CU130" s="542">
        <v>0</v>
      </c>
      <c r="CV130" s="542">
        <v>224719.49</v>
      </c>
      <c r="CW130" s="542">
        <v>0</v>
      </c>
      <c r="CX130" s="542">
        <v>4586.1099999999997</v>
      </c>
      <c r="CY130" s="542">
        <v>204808</v>
      </c>
      <c r="CZ130" s="542">
        <v>0</v>
      </c>
      <c r="DA130" s="542">
        <v>4137</v>
      </c>
      <c r="DB130" s="542">
        <v>19911</v>
      </c>
      <c r="DC130" s="542">
        <v>0</v>
      </c>
      <c r="DD130" s="542">
        <v>449</v>
      </c>
      <c r="DE130" s="153" t="s">
        <v>699</v>
      </c>
      <c r="DF130" s="103" t="s">
        <v>770</v>
      </c>
      <c r="DG130" s="104" t="s">
        <v>809</v>
      </c>
      <c r="DH130" s="549" t="s">
        <v>1192</v>
      </c>
      <c r="DI130" s="549"/>
    </row>
    <row r="131" spans="1:113" x14ac:dyDescent="0.2">
      <c r="A131" s="93">
        <v>125</v>
      </c>
      <c r="B131" s="145" t="s">
        <v>128</v>
      </c>
      <c r="C131" s="141" t="s">
        <v>866</v>
      </c>
      <c r="D131" s="142" t="s">
        <v>867</v>
      </c>
      <c r="E131" s="149" t="s">
        <v>127</v>
      </c>
      <c r="F131" s="542">
        <v>-160531</v>
      </c>
      <c r="G131" s="542">
        <v>0</v>
      </c>
      <c r="H131" s="542">
        <v>-160531</v>
      </c>
      <c r="I131" s="542">
        <v>96000</v>
      </c>
      <c r="J131" s="542">
        <v>0</v>
      </c>
      <c r="K131" s="542">
        <v>96000</v>
      </c>
      <c r="L131" s="542">
        <v>-256531</v>
      </c>
      <c r="M131" s="542">
        <v>0</v>
      </c>
      <c r="N131" s="542">
        <v>-256531</v>
      </c>
      <c r="O131" s="543">
        <v>0.5</v>
      </c>
      <c r="P131" s="543">
        <v>0.4</v>
      </c>
      <c r="Q131" s="543">
        <v>0.09</v>
      </c>
      <c r="R131" s="543">
        <v>0.01</v>
      </c>
      <c r="S131" s="542">
        <v>132805</v>
      </c>
      <c r="T131" s="542">
        <v>132805</v>
      </c>
      <c r="U131" s="542">
        <v>0</v>
      </c>
      <c r="V131" s="542">
        <v>0</v>
      </c>
      <c r="W131" s="542">
        <v>0</v>
      </c>
      <c r="X131" s="542">
        <v>0</v>
      </c>
      <c r="Y131" s="542">
        <v>0</v>
      </c>
      <c r="Z131" s="542">
        <v>0</v>
      </c>
      <c r="AA131" s="542">
        <v>0</v>
      </c>
      <c r="AB131" s="542">
        <v>0</v>
      </c>
      <c r="AC131" s="542">
        <v>0</v>
      </c>
      <c r="AD131" s="542">
        <v>0</v>
      </c>
      <c r="AE131" s="542">
        <v>0</v>
      </c>
      <c r="AF131" s="542">
        <v>0</v>
      </c>
      <c r="AG131" s="542">
        <v>0</v>
      </c>
      <c r="AH131" s="542">
        <v>0</v>
      </c>
      <c r="AI131" s="542">
        <v>0</v>
      </c>
      <c r="AJ131" s="542">
        <v>0</v>
      </c>
      <c r="AK131" s="542">
        <v>0</v>
      </c>
      <c r="AL131" s="542">
        <v>0</v>
      </c>
      <c r="AM131" s="542">
        <v>0</v>
      </c>
      <c r="AN131" s="542">
        <v>0</v>
      </c>
      <c r="AO131" s="542">
        <v>0</v>
      </c>
      <c r="AP131" s="542">
        <v>0</v>
      </c>
      <c r="AQ131" s="542">
        <v>481126.44900000002</v>
      </c>
      <c r="AR131" s="542">
        <v>108253.451</v>
      </c>
      <c r="AS131" s="542">
        <v>12028.1612</v>
      </c>
      <c r="AT131" s="542">
        <v>493625</v>
      </c>
      <c r="AU131" s="542">
        <v>111066</v>
      </c>
      <c r="AV131" s="542">
        <v>12341</v>
      </c>
      <c r="AW131" s="542">
        <v>-12499</v>
      </c>
      <c r="AX131" s="542">
        <v>-2813</v>
      </c>
      <c r="AY131" s="542">
        <v>-313</v>
      </c>
      <c r="AZ131" s="542">
        <v>0</v>
      </c>
      <c r="BA131" s="542">
        <v>0</v>
      </c>
      <c r="BB131" s="542">
        <v>0</v>
      </c>
      <c r="BC131" s="542">
        <v>0</v>
      </c>
      <c r="BD131" s="542">
        <v>0</v>
      </c>
      <c r="BE131" s="542">
        <v>0</v>
      </c>
      <c r="BF131" s="542">
        <v>0</v>
      </c>
      <c r="BG131" s="542">
        <v>0</v>
      </c>
      <c r="BH131" s="542">
        <v>0</v>
      </c>
      <c r="BI131" s="542">
        <v>0</v>
      </c>
      <c r="BJ131" s="542">
        <v>0</v>
      </c>
      <c r="BK131" s="542">
        <v>0</v>
      </c>
      <c r="BL131" s="542">
        <v>0</v>
      </c>
      <c r="BM131" s="542">
        <v>0</v>
      </c>
      <c r="BN131" s="542">
        <v>0</v>
      </c>
      <c r="BO131" s="542">
        <v>0</v>
      </c>
      <c r="BP131" s="542">
        <v>0</v>
      </c>
      <c r="BQ131" s="542">
        <v>0</v>
      </c>
      <c r="BR131" s="542">
        <v>0</v>
      </c>
      <c r="BS131" s="542">
        <v>0</v>
      </c>
      <c r="BT131" s="542">
        <v>0</v>
      </c>
      <c r="BU131" s="542">
        <v>0</v>
      </c>
      <c r="BV131" s="542">
        <v>0</v>
      </c>
      <c r="BW131" s="542">
        <v>0</v>
      </c>
      <c r="BX131" s="542">
        <v>0</v>
      </c>
      <c r="BY131" s="542">
        <v>0</v>
      </c>
      <c r="BZ131" s="542">
        <v>0</v>
      </c>
      <c r="CA131" s="542">
        <v>139762.49299999999</v>
      </c>
      <c r="CB131" s="542">
        <v>31446.561000000002</v>
      </c>
      <c r="CC131" s="542">
        <v>3494.0623300000002</v>
      </c>
      <c r="CD131" s="542">
        <v>0</v>
      </c>
      <c r="CE131" s="542">
        <v>0</v>
      </c>
      <c r="CF131" s="542">
        <v>0</v>
      </c>
      <c r="CG131" s="542">
        <v>139762</v>
      </c>
      <c r="CH131" s="542">
        <v>31447</v>
      </c>
      <c r="CI131" s="542">
        <v>3494</v>
      </c>
      <c r="CJ131" s="542">
        <v>0</v>
      </c>
      <c r="CK131" s="542">
        <v>0</v>
      </c>
      <c r="CL131" s="542">
        <v>0</v>
      </c>
      <c r="CM131" s="542">
        <v>0</v>
      </c>
      <c r="CN131" s="542">
        <v>0</v>
      </c>
      <c r="CO131" s="542">
        <v>0</v>
      </c>
      <c r="CP131" s="542">
        <v>0</v>
      </c>
      <c r="CQ131" s="542">
        <v>0</v>
      </c>
      <c r="CR131" s="542">
        <v>0</v>
      </c>
      <c r="CS131" s="542">
        <v>0</v>
      </c>
      <c r="CT131" s="542">
        <v>0</v>
      </c>
      <c r="CU131" s="542">
        <v>0</v>
      </c>
      <c r="CV131" s="542">
        <v>82556.348199999993</v>
      </c>
      <c r="CW131" s="542">
        <v>18575.1783</v>
      </c>
      <c r="CX131" s="542">
        <v>2063.9087</v>
      </c>
      <c r="CY131" s="542">
        <v>90337</v>
      </c>
      <c r="CZ131" s="542">
        <v>20009</v>
      </c>
      <c r="DA131" s="542">
        <v>2223</v>
      </c>
      <c r="DB131" s="542">
        <v>-7781</v>
      </c>
      <c r="DC131" s="542">
        <v>-1434</v>
      </c>
      <c r="DD131" s="542">
        <v>-159</v>
      </c>
      <c r="DE131" s="153" t="s">
        <v>127</v>
      </c>
      <c r="DF131" s="103" t="s">
        <v>806</v>
      </c>
      <c r="DG131" s="104" t="s">
        <v>784</v>
      </c>
      <c r="DH131" s="547"/>
      <c r="DI131" s="547"/>
    </row>
    <row r="132" spans="1:113" x14ac:dyDescent="0.2">
      <c r="A132" s="93">
        <v>126</v>
      </c>
      <c r="B132" s="145" t="s">
        <v>130</v>
      </c>
      <c r="C132" s="141" t="s">
        <v>866</v>
      </c>
      <c r="D132" s="142" t="s">
        <v>867</v>
      </c>
      <c r="E132" s="149" t="s">
        <v>129</v>
      </c>
      <c r="F132" s="542">
        <v>-182417</v>
      </c>
      <c r="G132" s="542">
        <v>0</v>
      </c>
      <c r="H132" s="542">
        <v>-182417</v>
      </c>
      <c r="I132" s="542">
        <v>26478</v>
      </c>
      <c r="J132" s="542">
        <v>0</v>
      </c>
      <c r="K132" s="542">
        <v>26478</v>
      </c>
      <c r="L132" s="542">
        <v>-208895</v>
      </c>
      <c r="M132" s="542">
        <v>0</v>
      </c>
      <c r="N132" s="542">
        <v>-208895</v>
      </c>
      <c r="O132" s="543">
        <v>0.5</v>
      </c>
      <c r="P132" s="543">
        <v>0.4</v>
      </c>
      <c r="Q132" s="543">
        <v>0.09</v>
      </c>
      <c r="R132" s="543">
        <v>0.01</v>
      </c>
      <c r="S132" s="542">
        <v>140067</v>
      </c>
      <c r="T132" s="542">
        <v>140067</v>
      </c>
      <c r="U132" s="542">
        <v>0</v>
      </c>
      <c r="V132" s="542">
        <v>0</v>
      </c>
      <c r="W132" s="542">
        <v>0</v>
      </c>
      <c r="X132" s="542">
        <v>0</v>
      </c>
      <c r="Y132" s="542">
        <v>0</v>
      </c>
      <c r="Z132" s="542">
        <v>0</v>
      </c>
      <c r="AA132" s="542">
        <v>0</v>
      </c>
      <c r="AB132" s="542">
        <v>0</v>
      </c>
      <c r="AC132" s="542">
        <v>0</v>
      </c>
      <c r="AD132" s="542">
        <v>0</v>
      </c>
      <c r="AE132" s="542">
        <v>0</v>
      </c>
      <c r="AF132" s="542">
        <v>0</v>
      </c>
      <c r="AG132" s="542">
        <v>0</v>
      </c>
      <c r="AH132" s="542">
        <v>0</v>
      </c>
      <c r="AI132" s="542">
        <v>0</v>
      </c>
      <c r="AJ132" s="542">
        <v>0</v>
      </c>
      <c r="AK132" s="542">
        <v>0</v>
      </c>
      <c r="AL132" s="542">
        <v>0</v>
      </c>
      <c r="AM132" s="542">
        <v>0</v>
      </c>
      <c r="AN132" s="542">
        <v>0</v>
      </c>
      <c r="AO132" s="542">
        <v>0</v>
      </c>
      <c r="AP132" s="542">
        <v>0</v>
      </c>
      <c r="AQ132" s="542">
        <v>413403.473</v>
      </c>
      <c r="AR132" s="542">
        <v>93015.781499999997</v>
      </c>
      <c r="AS132" s="542">
        <v>10335.086799999999</v>
      </c>
      <c r="AT132" s="542">
        <v>389065</v>
      </c>
      <c r="AU132" s="542">
        <v>87540</v>
      </c>
      <c r="AV132" s="542">
        <v>9727</v>
      </c>
      <c r="AW132" s="542">
        <v>24338</v>
      </c>
      <c r="AX132" s="542">
        <v>5476</v>
      </c>
      <c r="AY132" s="542">
        <v>608</v>
      </c>
      <c r="AZ132" s="542">
        <v>742.60042399999998</v>
      </c>
      <c r="BA132" s="542">
        <v>167.085095</v>
      </c>
      <c r="BB132" s="542">
        <v>18.565010600000001</v>
      </c>
      <c r="BC132" s="542">
        <v>0</v>
      </c>
      <c r="BD132" s="542">
        <v>0</v>
      </c>
      <c r="BE132" s="542">
        <v>0</v>
      </c>
      <c r="BF132" s="542">
        <v>743</v>
      </c>
      <c r="BG132" s="542">
        <v>167</v>
      </c>
      <c r="BH132" s="542">
        <v>19</v>
      </c>
      <c r="BI132" s="542">
        <v>0</v>
      </c>
      <c r="BJ132" s="542">
        <v>0</v>
      </c>
      <c r="BK132" s="542">
        <v>0</v>
      </c>
      <c r="BL132" s="542">
        <v>20212</v>
      </c>
      <c r="BM132" s="542">
        <v>4548</v>
      </c>
      <c r="BN132" s="542">
        <v>505</v>
      </c>
      <c r="BO132" s="542">
        <v>-20212</v>
      </c>
      <c r="BP132" s="542">
        <v>-4548</v>
      </c>
      <c r="BQ132" s="542">
        <v>-505</v>
      </c>
      <c r="BR132" s="542">
        <v>1965.84968</v>
      </c>
      <c r="BS132" s="542">
        <v>442.31617799999998</v>
      </c>
      <c r="BT132" s="542">
        <v>49.146242000000001</v>
      </c>
      <c r="BU132" s="542">
        <v>8489.1719699999994</v>
      </c>
      <c r="BV132" s="542">
        <v>1910.06369</v>
      </c>
      <c r="BW132" s="542">
        <v>212.229299</v>
      </c>
      <c r="BX132" s="542">
        <v>-6523</v>
      </c>
      <c r="BY132" s="542">
        <v>-1468</v>
      </c>
      <c r="BZ132" s="542">
        <v>-163</v>
      </c>
      <c r="CA132" s="542">
        <v>163001.80300000001</v>
      </c>
      <c r="CB132" s="542">
        <v>36675.4058</v>
      </c>
      <c r="CC132" s="542">
        <v>4075.0450900000001</v>
      </c>
      <c r="CD132" s="542">
        <v>214250.53</v>
      </c>
      <c r="CE132" s="542">
        <v>48206.369400000003</v>
      </c>
      <c r="CF132" s="542">
        <v>5356.2632700000004</v>
      </c>
      <c r="CG132" s="542">
        <v>-51249</v>
      </c>
      <c r="CH132" s="542">
        <v>-11531</v>
      </c>
      <c r="CI132" s="542">
        <v>-1281</v>
      </c>
      <c r="CJ132" s="542">
        <v>0</v>
      </c>
      <c r="CK132" s="542">
        <v>0</v>
      </c>
      <c r="CL132" s="542">
        <v>0</v>
      </c>
      <c r="CM132" s="542">
        <v>16718.009300000002</v>
      </c>
      <c r="CN132" s="542">
        <v>3761.5520999999999</v>
      </c>
      <c r="CO132" s="542">
        <v>417.95023300000003</v>
      </c>
      <c r="CP132" s="542">
        <v>6833</v>
      </c>
      <c r="CQ132" s="542">
        <v>1537.47</v>
      </c>
      <c r="CR132" s="542">
        <v>170.83</v>
      </c>
      <c r="CS132" s="542">
        <v>9885</v>
      </c>
      <c r="CT132" s="542">
        <v>2224</v>
      </c>
      <c r="CU132" s="542">
        <v>247</v>
      </c>
      <c r="CV132" s="542">
        <v>141054.92499999999</v>
      </c>
      <c r="CW132" s="542">
        <v>31737.358199999999</v>
      </c>
      <c r="CX132" s="542">
        <v>3526.3731400000001</v>
      </c>
      <c r="CY132" s="542">
        <v>126593</v>
      </c>
      <c r="CZ132" s="542">
        <v>28149</v>
      </c>
      <c r="DA132" s="542">
        <v>3128</v>
      </c>
      <c r="DB132" s="542">
        <v>14462</v>
      </c>
      <c r="DC132" s="542">
        <v>3588</v>
      </c>
      <c r="DD132" s="542">
        <v>398</v>
      </c>
      <c r="DE132" s="153" t="s">
        <v>129</v>
      </c>
      <c r="DF132" s="103" t="s">
        <v>767</v>
      </c>
      <c r="DG132" s="104" t="s">
        <v>768</v>
      </c>
      <c r="DH132" s="547"/>
      <c r="DI132" s="547"/>
    </row>
    <row r="133" spans="1:113" x14ac:dyDescent="0.2">
      <c r="A133" s="93">
        <v>127</v>
      </c>
      <c r="B133" s="145" t="s">
        <v>132</v>
      </c>
      <c r="C133" s="141" t="s">
        <v>871</v>
      </c>
      <c r="D133" s="142" t="s">
        <v>872</v>
      </c>
      <c r="E133" s="149" t="s">
        <v>131</v>
      </c>
      <c r="F133" s="542">
        <v>400202</v>
      </c>
      <c r="G133" s="542">
        <v>0</v>
      </c>
      <c r="H133" s="542">
        <v>400202</v>
      </c>
      <c r="I133" s="542">
        <v>53764</v>
      </c>
      <c r="J133" s="542">
        <v>0</v>
      </c>
      <c r="K133" s="542">
        <v>53764</v>
      </c>
      <c r="L133" s="542">
        <v>346438</v>
      </c>
      <c r="M133" s="542">
        <v>0</v>
      </c>
      <c r="N133" s="542">
        <v>346438</v>
      </c>
      <c r="O133" s="543">
        <v>0.5</v>
      </c>
      <c r="P133" s="543">
        <v>0.3</v>
      </c>
      <c r="Q133" s="543">
        <v>0.2</v>
      </c>
      <c r="R133" s="543">
        <v>0</v>
      </c>
      <c r="S133" s="542">
        <v>272168</v>
      </c>
      <c r="T133" s="542">
        <v>272168</v>
      </c>
      <c r="U133" s="542">
        <v>0</v>
      </c>
      <c r="V133" s="542">
        <v>0</v>
      </c>
      <c r="W133" s="542">
        <v>0</v>
      </c>
      <c r="X133" s="542">
        <v>0</v>
      </c>
      <c r="Y133" s="542">
        <v>0</v>
      </c>
      <c r="Z133" s="542">
        <v>0</v>
      </c>
      <c r="AA133" s="542">
        <v>0</v>
      </c>
      <c r="AB133" s="542">
        <v>0</v>
      </c>
      <c r="AC133" s="542">
        <v>0</v>
      </c>
      <c r="AD133" s="542">
        <v>0</v>
      </c>
      <c r="AE133" s="542">
        <v>0</v>
      </c>
      <c r="AF133" s="542">
        <v>0</v>
      </c>
      <c r="AG133" s="542">
        <v>0</v>
      </c>
      <c r="AH133" s="542">
        <v>0</v>
      </c>
      <c r="AI133" s="542">
        <v>0</v>
      </c>
      <c r="AJ133" s="542">
        <v>0</v>
      </c>
      <c r="AK133" s="542">
        <v>0</v>
      </c>
      <c r="AL133" s="542">
        <v>0</v>
      </c>
      <c r="AM133" s="542">
        <v>0</v>
      </c>
      <c r="AN133" s="542">
        <v>0</v>
      </c>
      <c r="AO133" s="542">
        <v>0</v>
      </c>
      <c r="AP133" s="542">
        <v>0</v>
      </c>
      <c r="AQ133" s="542">
        <v>518750.10100000002</v>
      </c>
      <c r="AR133" s="542">
        <v>345833.4</v>
      </c>
      <c r="AS133" s="542">
        <v>0</v>
      </c>
      <c r="AT133" s="542">
        <v>488842</v>
      </c>
      <c r="AU133" s="542">
        <v>325894</v>
      </c>
      <c r="AV133" s="542">
        <v>0</v>
      </c>
      <c r="AW133" s="542">
        <v>29908</v>
      </c>
      <c r="AX133" s="542">
        <v>19939</v>
      </c>
      <c r="AY133" s="542">
        <v>0</v>
      </c>
      <c r="AZ133" s="542">
        <v>4448.6383900000001</v>
      </c>
      <c r="BA133" s="542">
        <v>2965.75893</v>
      </c>
      <c r="BB133" s="542">
        <v>0</v>
      </c>
      <c r="BC133" s="542">
        <v>5956</v>
      </c>
      <c r="BD133" s="542">
        <v>3971</v>
      </c>
      <c r="BE133" s="542">
        <v>0</v>
      </c>
      <c r="BF133" s="542">
        <v>-1507</v>
      </c>
      <c r="BG133" s="542">
        <v>-1005</v>
      </c>
      <c r="BH133" s="542">
        <v>0</v>
      </c>
      <c r="BI133" s="542">
        <v>0</v>
      </c>
      <c r="BJ133" s="542">
        <v>0</v>
      </c>
      <c r="BK133" s="542">
        <v>0</v>
      </c>
      <c r="BL133" s="542">
        <v>0</v>
      </c>
      <c r="BM133" s="542">
        <v>0</v>
      </c>
      <c r="BN133" s="542">
        <v>0</v>
      </c>
      <c r="BO133" s="542">
        <v>0</v>
      </c>
      <c r="BP133" s="542">
        <v>0</v>
      </c>
      <c r="BQ133" s="542">
        <v>0</v>
      </c>
      <c r="BR133" s="542">
        <v>3302.5910800000001</v>
      </c>
      <c r="BS133" s="542">
        <v>2201.7273799999998</v>
      </c>
      <c r="BT133" s="542">
        <v>0</v>
      </c>
      <c r="BU133" s="542">
        <v>7120.2929899999999</v>
      </c>
      <c r="BV133" s="542">
        <v>4746.8619900000003</v>
      </c>
      <c r="BW133" s="542">
        <v>0</v>
      </c>
      <c r="BX133" s="542">
        <v>-3818</v>
      </c>
      <c r="BY133" s="542">
        <v>-2545</v>
      </c>
      <c r="BZ133" s="542">
        <v>0</v>
      </c>
      <c r="CA133" s="542">
        <v>276022.69799999997</v>
      </c>
      <c r="CB133" s="542">
        <v>184015.13200000001</v>
      </c>
      <c r="CC133" s="542">
        <v>0</v>
      </c>
      <c r="CD133" s="542">
        <v>448849.27500000002</v>
      </c>
      <c r="CE133" s="542">
        <v>299232.84999999998</v>
      </c>
      <c r="CF133" s="542">
        <v>0</v>
      </c>
      <c r="CG133" s="542">
        <v>-172827</v>
      </c>
      <c r="CH133" s="542">
        <v>-115218</v>
      </c>
      <c r="CI133" s="542">
        <v>0</v>
      </c>
      <c r="CJ133" s="542">
        <v>0</v>
      </c>
      <c r="CK133" s="542">
        <v>0</v>
      </c>
      <c r="CL133" s="542">
        <v>0</v>
      </c>
      <c r="CM133" s="542">
        <v>0</v>
      </c>
      <c r="CN133" s="542">
        <v>0</v>
      </c>
      <c r="CO133" s="542">
        <v>0</v>
      </c>
      <c r="CP133" s="542">
        <v>0</v>
      </c>
      <c r="CQ133" s="542">
        <v>0</v>
      </c>
      <c r="CR133" s="542">
        <v>0</v>
      </c>
      <c r="CS133" s="542">
        <v>0</v>
      </c>
      <c r="CT133" s="542">
        <v>0</v>
      </c>
      <c r="CU133" s="542">
        <v>0</v>
      </c>
      <c r="CV133" s="542">
        <v>232331.70699999999</v>
      </c>
      <c r="CW133" s="542">
        <v>154887.804</v>
      </c>
      <c r="CX133" s="542">
        <v>0</v>
      </c>
      <c r="CY133" s="542">
        <v>232531</v>
      </c>
      <c r="CZ133" s="542">
        <v>153094</v>
      </c>
      <c r="DA133" s="542">
        <v>0</v>
      </c>
      <c r="DB133" s="542">
        <v>-199</v>
      </c>
      <c r="DC133" s="542">
        <v>1794</v>
      </c>
      <c r="DD133" s="542">
        <v>0</v>
      </c>
      <c r="DE133" s="153" t="s">
        <v>131</v>
      </c>
      <c r="DF133" s="103" t="s">
        <v>762</v>
      </c>
      <c r="DG133" s="103" t="s">
        <v>750</v>
      </c>
      <c r="DH133" s="547"/>
      <c r="DI133" s="547"/>
    </row>
    <row r="134" spans="1:113" x14ac:dyDescent="0.2">
      <c r="A134" s="93">
        <v>128</v>
      </c>
      <c r="B134" s="145" t="s">
        <v>134</v>
      </c>
      <c r="C134" s="141" t="s">
        <v>770</v>
      </c>
      <c r="D134" s="142" t="s">
        <v>876</v>
      </c>
      <c r="E134" s="149" t="s">
        <v>700</v>
      </c>
      <c r="F134" s="542">
        <v>-162647</v>
      </c>
      <c r="G134" s="542">
        <v>0</v>
      </c>
      <c r="H134" s="542">
        <v>-162647</v>
      </c>
      <c r="I134" s="542">
        <v>71420</v>
      </c>
      <c r="J134" s="542">
        <v>0</v>
      </c>
      <c r="K134" s="542">
        <v>71420</v>
      </c>
      <c r="L134" s="542">
        <v>-234067</v>
      </c>
      <c r="M134" s="542">
        <v>0</v>
      </c>
      <c r="N134" s="542">
        <v>-234067</v>
      </c>
      <c r="O134" s="543">
        <v>0.5</v>
      </c>
      <c r="P134" s="543">
        <v>0.49</v>
      </c>
      <c r="Q134" s="543">
        <v>0</v>
      </c>
      <c r="R134" s="543">
        <v>0.01</v>
      </c>
      <c r="S134" s="542">
        <v>300804</v>
      </c>
      <c r="T134" s="542">
        <v>300804</v>
      </c>
      <c r="U134" s="542">
        <v>0</v>
      </c>
      <c r="V134" s="542">
        <v>0</v>
      </c>
      <c r="W134" s="542">
        <v>0</v>
      </c>
      <c r="X134" s="542">
        <v>0</v>
      </c>
      <c r="Y134" s="542">
        <v>42598</v>
      </c>
      <c r="Z134" s="542">
        <v>0</v>
      </c>
      <c r="AA134" s="542">
        <v>15600</v>
      </c>
      <c r="AB134" s="542">
        <v>0</v>
      </c>
      <c r="AC134" s="542">
        <v>26998</v>
      </c>
      <c r="AD134" s="542">
        <v>0</v>
      </c>
      <c r="AE134" s="542">
        <v>89976.13</v>
      </c>
      <c r="AF134" s="542">
        <v>89976.13</v>
      </c>
      <c r="AG134" s="542">
        <v>0</v>
      </c>
      <c r="AH134" s="542">
        <v>0</v>
      </c>
      <c r="AI134" s="542">
        <v>185100</v>
      </c>
      <c r="AJ134" s="542">
        <v>185100</v>
      </c>
      <c r="AK134" s="542">
        <v>0</v>
      </c>
      <c r="AL134" s="542">
        <v>0</v>
      </c>
      <c r="AM134" s="542">
        <v>-95124</v>
      </c>
      <c r="AN134" s="542">
        <v>-95124</v>
      </c>
      <c r="AO134" s="542">
        <v>0</v>
      </c>
      <c r="AP134" s="542">
        <v>0</v>
      </c>
      <c r="AQ134" s="542">
        <v>1340666.02</v>
      </c>
      <c r="AR134" s="542">
        <v>0</v>
      </c>
      <c r="AS134" s="542">
        <v>26721.8</v>
      </c>
      <c r="AT134" s="542">
        <v>1242359</v>
      </c>
      <c r="AU134" s="542">
        <v>0</v>
      </c>
      <c r="AV134" s="542">
        <v>25354</v>
      </c>
      <c r="AW134" s="542">
        <v>98307</v>
      </c>
      <c r="AX134" s="542">
        <v>0</v>
      </c>
      <c r="AY134" s="542">
        <v>1368</v>
      </c>
      <c r="AZ134" s="542">
        <v>0</v>
      </c>
      <c r="BA134" s="542">
        <v>0</v>
      </c>
      <c r="BB134" s="542">
        <v>0</v>
      </c>
      <c r="BC134" s="542">
        <v>0</v>
      </c>
      <c r="BD134" s="542">
        <v>0</v>
      </c>
      <c r="BE134" s="542">
        <v>0</v>
      </c>
      <c r="BF134" s="542">
        <v>0</v>
      </c>
      <c r="BG134" s="542">
        <v>0</v>
      </c>
      <c r="BH134" s="542">
        <v>0</v>
      </c>
      <c r="BI134" s="542">
        <v>0</v>
      </c>
      <c r="BJ134" s="542">
        <v>0</v>
      </c>
      <c r="BK134" s="542">
        <v>0</v>
      </c>
      <c r="BL134" s="542">
        <v>149551</v>
      </c>
      <c r="BM134" s="542">
        <v>0</v>
      </c>
      <c r="BN134" s="542">
        <v>3052</v>
      </c>
      <c r="BO134" s="542">
        <v>-149551</v>
      </c>
      <c r="BP134" s="542">
        <v>0</v>
      </c>
      <c r="BQ134" s="542">
        <v>-3052</v>
      </c>
      <c r="BR134" s="542">
        <v>0</v>
      </c>
      <c r="BS134" s="542">
        <v>0</v>
      </c>
      <c r="BT134" s="542">
        <v>0</v>
      </c>
      <c r="BU134" s="542">
        <v>18945.43</v>
      </c>
      <c r="BV134" s="542">
        <v>0</v>
      </c>
      <c r="BW134" s="542">
        <v>386.64</v>
      </c>
      <c r="BX134" s="542">
        <v>-18945</v>
      </c>
      <c r="BY134" s="542">
        <v>0</v>
      </c>
      <c r="BZ134" s="542">
        <v>-387</v>
      </c>
      <c r="CA134" s="542">
        <v>443295.15</v>
      </c>
      <c r="CB134" s="542">
        <v>0</v>
      </c>
      <c r="CC134" s="542">
        <v>9046.84</v>
      </c>
      <c r="CD134" s="542">
        <v>511353.2</v>
      </c>
      <c r="CE134" s="542">
        <v>0</v>
      </c>
      <c r="CF134" s="542">
        <v>10435.780000000001</v>
      </c>
      <c r="CG134" s="542">
        <v>-68058</v>
      </c>
      <c r="CH134" s="542">
        <v>0</v>
      </c>
      <c r="CI134" s="542">
        <v>-1389</v>
      </c>
      <c r="CJ134" s="542">
        <v>0</v>
      </c>
      <c r="CK134" s="542">
        <v>0</v>
      </c>
      <c r="CL134" s="542">
        <v>0</v>
      </c>
      <c r="CM134" s="542">
        <v>13309.54</v>
      </c>
      <c r="CN134" s="542">
        <v>0</v>
      </c>
      <c r="CO134" s="542">
        <v>271.62</v>
      </c>
      <c r="CP134" s="542">
        <v>0</v>
      </c>
      <c r="CQ134" s="542">
        <v>0</v>
      </c>
      <c r="CR134" s="542">
        <v>0</v>
      </c>
      <c r="CS134" s="542">
        <v>13310</v>
      </c>
      <c r="CT134" s="542">
        <v>0</v>
      </c>
      <c r="CU134" s="542">
        <v>272</v>
      </c>
      <c r="CV134" s="542">
        <v>218262.67</v>
      </c>
      <c r="CW134" s="542">
        <v>0</v>
      </c>
      <c r="CX134" s="542">
        <v>4445.1099999999997</v>
      </c>
      <c r="CY134" s="542">
        <v>251215</v>
      </c>
      <c r="CZ134" s="542">
        <v>0</v>
      </c>
      <c r="DA134" s="542">
        <v>5018</v>
      </c>
      <c r="DB134" s="542">
        <v>-32952</v>
      </c>
      <c r="DC134" s="542">
        <v>0</v>
      </c>
      <c r="DD134" s="542">
        <v>-573</v>
      </c>
      <c r="DE134" s="153" t="s">
        <v>700</v>
      </c>
      <c r="DF134" s="103" t="s">
        <v>770</v>
      </c>
      <c r="DG134" s="104" t="s">
        <v>787</v>
      </c>
      <c r="DH134" s="549" t="s">
        <v>1193</v>
      </c>
      <c r="DI134" s="549"/>
    </row>
    <row r="135" spans="1:113" x14ac:dyDescent="0.2">
      <c r="A135" s="93">
        <v>129</v>
      </c>
      <c r="B135" s="145" t="s">
        <v>136</v>
      </c>
      <c r="C135" s="141" t="s">
        <v>866</v>
      </c>
      <c r="D135" s="142" t="s">
        <v>870</v>
      </c>
      <c r="E135" s="149" t="s">
        <v>135</v>
      </c>
      <c r="F135" s="542">
        <v>-69557</v>
      </c>
      <c r="G135" s="542">
        <v>0</v>
      </c>
      <c r="H135" s="542">
        <v>-69557</v>
      </c>
      <c r="I135" s="542">
        <v>-3826</v>
      </c>
      <c r="J135" s="542">
        <v>0</v>
      </c>
      <c r="K135" s="542">
        <v>-3826</v>
      </c>
      <c r="L135" s="542">
        <v>-65731</v>
      </c>
      <c r="M135" s="542">
        <v>0</v>
      </c>
      <c r="N135" s="542">
        <v>-65731</v>
      </c>
      <c r="O135" s="543">
        <v>0.5</v>
      </c>
      <c r="P135" s="543">
        <v>0.4</v>
      </c>
      <c r="Q135" s="543">
        <v>0.1</v>
      </c>
      <c r="R135" s="543">
        <v>0</v>
      </c>
      <c r="S135" s="542">
        <v>147906</v>
      </c>
      <c r="T135" s="542">
        <v>147906</v>
      </c>
      <c r="U135" s="542">
        <v>0</v>
      </c>
      <c r="V135" s="542">
        <v>0</v>
      </c>
      <c r="W135" s="542">
        <v>0</v>
      </c>
      <c r="X135" s="542">
        <v>0</v>
      </c>
      <c r="Y135" s="542">
        <v>0</v>
      </c>
      <c r="Z135" s="542">
        <v>0</v>
      </c>
      <c r="AA135" s="542">
        <v>0</v>
      </c>
      <c r="AB135" s="542">
        <v>0</v>
      </c>
      <c r="AC135" s="542">
        <v>0</v>
      </c>
      <c r="AD135" s="542">
        <v>0</v>
      </c>
      <c r="AE135" s="542">
        <v>0</v>
      </c>
      <c r="AF135" s="542">
        <v>0</v>
      </c>
      <c r="AG135" s="542">
        <v>0</v>
      </c>
      <c r="AH135" s="542">
        <v>0</v>
      </c>
      <c r="AI135" s="542">
        <v>0</v>
      </c>
      <c r="AJ135" s="542">
        <v>0</v>
      </c>
      <c r="AK135" s="542">
        <v>0</v>
      </c>
      <c r="AL135" s="542">
        <v>0</v>
      </c>
      <c r="AM135" s="542">
        <v>0</v>
      </c>
      <c r="AN135" s="542">
        <v>0</v>
      </c>
      <c r="AO135" s="542">
        <v>0</v>
      </c>
      <c r="AP135" s="542">
        <v>0</v>
      </c>
      <c r="AQ135" s="542">
        <v>332592.01299999998</v>
      </c>
      <c r="AR135" s="542">
        <v>83148.003400000001</v>
      </c>
      <c r="AS135" s="542">
        <v>0</v>
      </c>
      <c r="AT135" s="542">
        <v>293962</v>
      </c>
      <c r="AU135" s="542">
        <v>73491</v>
      </c>
      <c r="AV135" s="542">
        <v>0</v>
      </c>
      <c r="AW135" s="542">
        <v>38630</v>
      </c>
      <c r="AX135" s="542">
        <v>9657</v>
      </c>
      <c r="AY135" s="542">
        <v>0</v>
      </c>
      <c r="AZ135" s="542">
        <v>0</v>
      </c>
      <c r="BA135" s="542">
        <v>0</v>
      </c>
      <c r="BB135" s="542">
        <v>0</v>
      </c>
      <c r="BC135" s="542">
        <v>0</v>
      </c>
      <c r="BD135" s="542">
        <v>0</v>
      </c>
      <c r="BE135" s="542">
        <v>0</v>
      </c>
      <c r="BF135" s="542">
        <v>0</v>
      </c>
      <c r="BG135" s="542">
        <v>0</v>
      </c>
      <c r="BH135" s="542">
        <v>0</v>
      </c>
      <c r="BI135" s="542">
        <v>43154.099300000002</v>
      </c>
      <c r="BJ135" s="542">
        <v>10788.524799999999</v>
      </c>
      <c r="BK135" s="542">
        <v>0</v>
      </c>
      <c r="BL135" s="542">
        <v>45275</v>
      </c>
      <c r="BM135" s="542">
        <v>11319</v>
      </c>
      <c r="BN135" s="542">
        <v>0</v>
      </c>
      <c r="BO135" s="542">
        <v>-2121</v>
      </c>
      <c r="BP135" s="542">
        <v>-530</v>
      </c>
      <c r="BQ135" s="542">
        <v>0</v>
      </c>
      <c r="BR135" s="542">
        <v>6276.3278099999998</v>
      </c>
      <c r="BS135" s="542">
        <v>1569.08195</v>
      </c>
      <c r="BT135" s="542">
        <v>0</v>
      </c>
      <c r="BU135" s="542">
        <v>32340</v>
      </c>
      <c r="BV135" s="542">
        <v>8085</v>
      </c>
      <c r="BW135" s="542">
        <v>0</v>
      </c>
      <c r="BX135" s="542">
        <v>-26064</v>
      </c>
      <c r="BY135" s="542">
        <v>-6516</v>
      </c>
      <c r="BZ135" s="542">
        <v>0</v>
      </c>
      <c r="CA135" s="542">
        <v>226271.198</v>
      </c>
      <c r="CB135" s="542">
        <v>56567.799500000001</v>
      </c>
      <c r="CC135" s="542">
        <v>0</v>
      </c>
      <c r="CD135" s="542">
        <v>264782</v>
      </c>
      <c r="CE135" s="542">
        <v>66195</v>
      </c>
      <c r="CF135" s="542">
        <v>0</v>
      </c>
      <c r="CG135" s="542">
        <v>-38511</v>
      </c>
      <c r="CH135" s="542">
        <v>-9627</v>
      </c>
      <c r="CI135" s="542">
        <v>0</v>
      </c>
      <c r="CJ135" s="542">
        <v>0</v>
      </c>
      <c r="CK135" s="542">
        <v>0</v>
      </c>
      <c r="CL135" s="542">
        <v>0</v>
      </c>
      <c r="CM135" s="542">
        <v>0</v>
      </c>
      <c r="CN135" s="542">
        <v>0</v>
      </c>
      <c r="CO135" s="542">
        <v>0</v>
      </c>
      <c r="CP135" s="542">
        <v>0</v>
      </c>
      <c r="CQ135" s="542">
        <v>0</v>
      </c>
      <c r="CR135" s="542">
        <v>0</v>
      </c>
      <c r="CS135" s="542">
        <v>0</v>
      </c>
      <c r="CT135" s="542">
        <v>0</v>
      </c>
      <c r="CU135" s="542">
        <v>0</v>
      </c>
      <c r="CV135" s="542">
        <v>203563.37299999999</v>
      </c>
      <c r="CW135" s="542">
        <v>50890.843399999998</v>
      </c>
      <c r="CX135" s="542">
        <v>0</v>
      </c>
      <c r="CY135" s="542">
        <v>181138</v>
      </c>
      <c r="CZ135" s="542">
        <v>44892</v>
      </c>
      <c r="DA135" s="542">
        <v>0</v>
      </c>
      <c r="DB135" s="542">
        <v>22425</v>
      </c>
      <c r="DC135" s="542">
        <v>5999</v>
      </c>
      <c r="DD135" s="542">
        <v>0</v>
      </c>
      <c r="DE135" s="153" t="s">
        <v>135</v>
      </c>
      <c r="DF135" s="103" t="s">
        <v>788</v>
      </c>
      <c r="DG135" s="104" t="s">
        <v>751</v>
      </c>
      <c r="DH135" s="547"/>
      <c r="DI135" s="547"/>
    </row>
    <row r="136" spans="1:113" x14ac:dyDescent="0.2">
      <c r="A136" s="93">
        <v>130</v>
      </c>
      <c r="B136" s="145" t="s">
        <v>138</v>
      </c>
      <c r="C136" s="141" t="s">
        <v>866</v>
      </c>
      <c r="D136" s="142" t="s">
        <v>869</v>
      </c>
      <c r="E136" s="149" t="s">
        <v>137</v>
      </c>
      <c r="F136" s="542">
        <v>86528</v>
      </c>
      <c r="G136" s="542">
        <v>0</v>
      </c>
      <c r="H136" s="542">
        <v>86528</v>
      </c>
      <c r="I136" s="542">
        <v>83298</v>
      </c>
      <c r="J136" s="542">
        <v>0</v>
      </c>
      <c r="K136" s="542">
        <v>83298</v>
      </c>
      <c r="L136" s="542">
        <v>3230</v>
      </c>
      <c r="M136" s="542">
        <v>0</v>
      </c>
      <c r="N136" s="542">
        <v>3230</v>
      </c>
      <c r="O136" s="543">
        <v>0.5</v>
      </c>
      <c r="P136" s="543">
        <v>0.4</v>
      </c>
      <c r="Q136" s="543">
        <v>0.09</v>
      </c>
      <c r="R136" s="543">
        <v>0.01</v>
      </c>
      <c r="S136" s="542">
        <v>134980</v>
      </c>
      <c r="T136" s="542">
        <v>134980</v>
      </c>
      <c r="U136" s="542">
        <v>0</v>
      </c>
      <c r="V136" s="542">
        <v>0</v>
      </c>
      <c r="W136" s="542">
        <v>0</v>
      </c>
      <c r="X136" s="542">
        <v>0</v>
      </c>
      <c r="Y136" s="542">
        <v>0</v>
      </c>
      <c r="Z136" s="542">
        <v>0</v>
      </c>
      <c r="AA136" s="542">
        <v>0</v>
      </c>
      <c r="AB136" s="542">
        <v>0</v>
      </c>
      <c r="AC136" s="542">
        <v>0</v>
      </c>
      <c r="AD136" s="542">
        <v>0</v>
      </c>
      <c r="AE136" s="542">
        <v>0</v>
      </c>
      <c r="AF136" s="542">
        <v>0</v>
      </c>
      <c r="AG136" s="542">
        <v>0</v>
      </c>
      <c r="AH136" s="542">
        <v>0</v>
      </c>
      <c r="AI136" s="542">
        <v>0</v>
      </c>
      <c r="AJ136" s="542">
        <v>0</v>
      </c>
      <c r="AK136" s="542">
        <v>0</v>
      </c>
      <c r="AL136" s="542">
        <v>0</v>
      </c>
      <c r="AM136" s="542">
        <v>0</v>
      </c>
      <c r="AN136" s="542">
        <v>0</v>
      </c>
      <c r="AO136" s="542">
        <v>0</v>
      </c>
      <c r="AP136" s="542">
        <v>0</v>
      </c>
      <c r="AQ136" s="542">
        <v>525335.63100000005</v>
      </c>
      <c r="AR136" s="542">
        <v>118200.51700000001</v>
      </c>
      <c r="AS136" s="542">
        <v>13133.3907</v>
      </c>
      <c r="AT136" s="542">
        <v>488842</v>
      </c>
      <c r="AU136" s="542">
        <v>109990</v>
      </c>
      <c r="AV136" s="542">
        <v>12221</v>
      </c>
      <c r="AW136" s="542">
        <v>36494</v>
      </c>
      <c r="AX136" s="542">
        <v>8211</v>
      </c>
      <c r="AY136" s="542">
        <v>912</v>
      </c>
      <c r="AZ136" s="542">
        <v>1453.6696300000001</v>
      </c>
      <c r="BA136" s="542">
        <v>327.07566800000001</v>
      </c>
      <c r="BB136" s="542">
        <v>36.341740899999998</v>
      </c>
      <c r="BC136" s="542">
        <v>0</v>
      </c>
      <c r="BD136" s="542">
        <v>0</v>
      </c>
      <c r="BE136" s="542">
        <v>0</v>
      </c>
      <c r="BF136" s="542">
        <v>1454</v>
      </c>
      <c r="BG136" s="542">
        <v>327</v>
      </c>
      <c r="BH136" s="542">
        <v>36</v>
      </c>
      <c r="BI136" s="542">
        <v>0</v>
      </c>
      <c r="BJ136" s="542">
        <v>0</v>
      </c>
      <c r="BK136" s="542">
        <v>0</v>
      </c>
      <c r="BL136" s="542">
        <v>0</v>
      </c>
      <c r="BM136" s="542">
        <v>0</v>
      </c>
      <c r="BN136" s="542">
        <v>0</v>
      </c>
      <c r="BO136" s="542">
        <v>0</v>
      </c>
      <c r="BP136" s="542">
        <v>0</v>
      </c>
      <c r="BQ136" s="542">
        <v>0</v>
      </c>
      <c r="BR136" s="542">
        <v>361.80042400000002</v>
      </c>
      <c r="BS136" s="542">
        <v>81.405095500000002</v>
      </c>
      <c r="BT136" s="542">
        <v>9.0450106100000003</v>
      </c>
      <c r="BU136" s="542">
        <v>0</v>
      </c>
      <c r="BV136" s="542">
        <v>0</v>
      </c>
      <c r="BW136" s="542">
        <v>0</v>
      </c>
      <c r="BX136" s="542">
        <v>362</v>
      </c>
      <c r="BY136" s="542">
        <v>81</v>
      </c>
      <c r="BZ136" s="542">
        <v>9</v>
      </c>
      <c r="CA136" s="542">
        <v>176950.726</v>
      </c>
      <c r="CB136" s="542">
        <v>39813.9133</v>
      </c>
      <c r="CC136" s="542">
        <v>4423.7681499999999</v>
      </c>
      <c r="CD136" s="542">
        <v>201806</v>
      </c>
      <c r="CE136" s="542">
        <v>45406</v>
      </c>
      <c r="CF136" s="542">
        <v>5045</v>
      </c>
      <c r="CG136" s="542">
        <v>-24855</v>
      </c>
      <c r="CH136" s="542">
        <v>-5592</v>
      </c>
      <c r="CI136" s="542">
        <v>-621</v>
      </c>
      <c r="CJ136" s="542">
        <v>0</v>
      </c>
      <c r="CK136" s="542">
        <v>0</v>
      </c>
      <c r="CL136" s="542">
        <v>0</v>
      </c>
      <c r="CM136" s="542">
        <v>0</v>
      </c>
      <c r="CN136" s="542">
        <v>0</v>
      </c>
      <c r="CO136" s="542">
        <v>0</v>
      </c>
      <c r="CP136" s="542">
        <v>0</v>
      </c>
      <c r="CQ136" s="542">
        <v>0</v>
      </c>
      <c r="CR136" s="542">
        <v>0</v>
      </c>
      <c r="CS136" s="542">
        <v>0</v>
      </c>
      <c r="CT136" s="542">
        <v>0</v>
      </c>
      <c r="CU136" s="542">
        <v>0</v>
      </c>
      <c r="CV136" s="542">
        <v>99422.662400000001</v>
      </c>
      <c r="CW136" s="542">
        <v>22370.098999999998</v>
      </c>
      <c r="CX136" s="542">
        <v>2485.5665600000002</v>
      </c>
      <c r="CY136" s="542">
        <v>103784</v>
      </c>
      <c r="CZ136" s="542">
        <v>23029</v>
      </c>
      <c r="DA136" s="542">
        <v>2559</v>
      </c>
      <c r="DB136" s="542">
        <v>-4361</v>
      </c>
      <c r="DC136" s="542">
        <v>-659</v>
      </c>
      <c r="DD136" s="542">
        <v>-73</v>
      </c>
      <c r="DE136" s="153" t="s">
        <v>137</v>
      </c>
      <c r="DF136" s="103" t="s">
        <v>753</v>
      </c>
      <c r="DG136" s="104" t="s">
        <v>754</v>
      </c>
      <c r="DH136" s="547"/>
      <c r="DI136" s="547"/>
    </row>
    <row r="137" spans="1:113" x14ac:dyDescent="0.2">
      <c r="A137" s="93">
        <v>131</v>
      </c>
      <c r="B137" s="145" t="s">
        <v>140</v>
      </c>
      <c r="C137" s="141" t="s">
        <v>871</v>
      </c>
      <c r="D137" s="142" t="s">
        <v>872</v>
      </c>
      <c r="E137" s="149" t="s">
        <v>139</v>
      </c>
      <c r="F137" s="542">
        <v>-183407</v>
      </c>
      <c r="G137" s="542">
        <v>0</v>
      </c>
      <c r="H137" s="542">
        <v>-183407</v>
      </c>
      <c r="I137" s="542">
        <v>0</v>
      </c>
      <c r="J137" s="542">
        <v>0</v>
      </c>
      <c r="K137" s="542">
        <v>0</v>
      </c>
      <c r="L137" s="542">
        <v>-183407</v>
      </c>
      <c r="M137" s="542">
        <v>0</v>
      </c>
      <c r="N137" s="542">
        <v>-183407</v>
      </c>
      <c r="O137" s="543">
        <v>0.5</v>
      </c>
      <c r="P137" s="543">
        <v>0.3</v>
      </c>
      <c r="Q137" s="543">
        <v>0.2</v>
      </c>
      <c r="R137" s="543">
        <v>0</v>
      </c>
      <c r="S137" s="542">
        <v>595739</v>
      </c>
      <c r="T137" s="542">
        <v>595739</v>
      </c>
      <c r="U137" s="542">
        <v>0</v>
      </c>
      <c r="V137" s="542">
        <v>0</v>
      </c>
      <c r="W137" s="542">
        <v>0</v>
      </c>
      <c r="X137" s="542">
        <v>0</v>
      </c>
      <c r="Y137" s="542">
        <v>0</v>
      </c>
      <c r="Z137" s="542">
        <v>0</v>
      </c>
      <c r="AA137" s="542">
        <v>0</v>
      </c>
      <c r="AB137" s="542">
        <v>0</v>
      </c>
      <c r="AC137" s="542">
        <v>0</v>
      </c>
      <c r="AD137" s="542">
        <v>0</v>
      </c>
      <c r="AE137" s="542">
        <v>0</v>
      </c>
      <c r="AF137" s="542">
        <v>0</v>
      </c>
      <c r="AG137" s="542">
        <v>0</v>
      </c>
      <c r="AH137" s="542">
        <v>0</v>
      </c>
      <c r="AI137" s="542">
        <v>0</v>
      </c>
      <c r="AJ137" s="542">
        <v>0</v>
      </c>
      <c r="AK137" s="542">
        <v>0</v>
      </c>
      <c r="AL137" s="542">
        <v>0</v>
      </c>
      <c r="AM137" s="542">
        <v>0</v>
      </c>
      <c r="AN137" s="542">
        <v>0</v>
      </c>
      <c r="AO137" s="542">
        <v>0</v>
      </c>
      <c r="AP137" s="542">
        <v>0</v>
      </c>
      <c r="AQ137" s="542">
        <v>496620.19799999997</v>
      </c>
      <c r="AR137" s="542">
        <v>331080.13199999998</v>
      </c>
      <c r="AS137" s="542">
        <v>0</v>
      </c>
      <c r="AT137" s="542">
        <v>394140</v>
      </c>
      <c r="AU137" s="542">
        <v>262760</v>
      </c>
      <c r="AV137" s="542">
        <v>0</v>
      </c>
      <c r="AW137" s="542">
        <v>102480</v>
      </c>
      <c r="AX137" s="542">
        <v>68320</v>
      </c>
      <c r="AY137" s="542">
        <v>0</v>
      </c>
      <c r="AZ137" s="542">
        <v>0</v>
      </c>
      <c r="BA137" s="542">
        <v>0</v>
      </c>
      <c r="BB137" s="542">
        <v>0</v>
      </c>
      <c r="BC137" s="542">
        <v>47903</v>
      </c>
      <c r="BD137" s="542">
        <v>31936</v>
      </c>
      <c r="BE137" s="542">
        <v>0</v>
      </c>
      <c r="BF137" s="542">
        <v>-47903</v>
      </c>
      <c r="BG137" s="542">
        <v>-31936</v>
      </c>
      <c r="BH137" s="542">
        <v>0</v>
      </c>
      <c r="BI137" s="542">
        <v>0</v>
      </c>
      <c r="BJ137" s="542">
        <v>0</v>
      </c>
      <c r="BK137" s="542">
        <v>0</v>
      </c>
      <c r="BL137" s="542">
        <v>0</v>
      </c>
      <c r="BM137" s="542">
        <v>0</v>
      </c>
      <c r="BN137" s="542">
        <v>0</v>
      </c>
      <c r="BO137" s="542">
        <v>0</v>
      </c>
      <c r="BP137" s="542">
        <v>0</v>
      </c>
      <c r="BQ137" s="542">
        <v>0</v>
      </c>
      <c r="BR137" s="542">
        <v>0</v>
      </c>
      <c r="BS137" s="542">
        <v>0</v>
      </c>
      <c r="BT137" s="542">
        <v>0</v>
      </c>
      <c r="BU137" s="542">
        <v>30319</v>
      </c>
      <c r="BV137" s="542">
        <v>20212</v>
      </c>
      <c r="BW137" s="542">
        <v>0</v>
      </c>
      <c r="BX137" s="542">
        <v>-30319</v>
      </c>
      <c r="BY137" s="542">
        <v>-20212</v>
      </c>
      <c r="BZ137" s="542">
        <v>0</v>
      </c>
      <c r="CA137" s="542">
        <v>248705.149</v>
      </c>
      <c r="CB137" s="542">
        <v>165803.432</v>
      </c>
      <c r="CC137" s="542">
        <v>0</v>
      </c>
      <c r="CD137" s="542">
        <v>363821</v>
      </c>
      <c r="CE137" s="542">
        <v>242548</v>
      </c>
      <c r="CF137" s="542">
        <v>0</v>
      </c>
      <c r="CG137" s="542">
        <v>-115116</v>
      </c>
      <c r="CH137" s="542">
        <v>-76745</v>
      </c>
      <c r="CI137" s="542">
        <v>0</v>
      </c>
      <c r="CJ137" s="542">
        <v>0</v>
      </c>
      <c r="CK137" s="542">
        <v>0</v>
      </c>
      <c r="CL137" s="542">
        <v>0</v>
      </c>
      <c r="CM137" s="542">
        <v>0</v>
      </c>
      <c r="CN137" s="542">
        <v>0</v>
      </c>
      <c r="CO137" s="542">
        <v>0</v>
      </c>
      <c r="CP137" s="542">
        <v>0</v>
      </c>
      <c r="CQ137" s="542">
        <v>0</v>
      </c>
      <c r="CR137" s="542">
        <v>0</v>
      </c>
      <c r="CS137" s="542">
        <v>0</v>
      </c>
      <c r="CT137" s="542">
        <v>0</v>
      </c>
      <c r="CU137" s="542">
        <v>0</v>
      </c>
      <c r="CV137" s="542">
        <v>1102158.67</v>
      </c>
      <c r="CW137" s="542">
        <v>734772.45</v>
      </c>
      <c r="CX137" s="542">
        <v>0</v>
      </c>
      <c r="CY137" s="542">
        <v>1126119</v>
      </c>
      <c r="CZ137" s="542">
        <v>746530</v>
      </c>
      <c r="DA137" s="542">
        <v>0</v>
      </c>
      <c r="DB137" s="542">
        <v>-23960</v>
      </c>
      <c r="DC137" s="542">
        <v>-11758</v>
      </c>
      <c r="DD137" s="542">
        <v>0</v>
      </c>
      <c r="DE137" s="153" t="s">
        <v>139</v>
      </c>
      <c r="DF137" s="103" t="s">
        <v>762</v>
      </c>
      <c r="DG137" s="103" t="s">
        <v>750</v>
      </c>
      <c r="DH137" s="547"/>
      <c r="DI137" s="547"/>
    </row>
    <row r="138" spans="1:113" x14ac:dyDescent="0.2">
      <c r="A138" s="93">
        <v>132</v>
      </c>
      <c r="B138" s="145" t="s">
        <v>142</v>
      </c>
      <c r="C138" s="141" t="s">
        <v>866</v>
      </c>
      <c r="D138" s="142" t="s">
        <v>869</v>
      </c>
      <c r="E138" s="149" t="s">
        <v>701</v>
      </c>
      <c r="F138" s="542">
        <v>-286448</v>
      </c>
      <c r="G138" s="542">
        <v>0</v>
      </c>
      <c r="H138" s="542">
        <v>-286448</v>
      </c>
      <c r="I138" s="542">
        <v>11586</v>
      </c>
      <c r="J138" s="542">
        <v>0</v>
      </c>
      <c r="K138" s="542">
        <v>11586</v>
      </c>
      <c r="L138" s="542">
        <v>-298034</v>
      </c>
      <c r="M138" s="542">
        <v>0</v>
      </c>
      <c r="N138" s="542">
        <v>-298034</v>
      </c>
      <c r="O138" s="543">
        <v>0.5</v>
      </c>
      <c r="P138" s="543">
        <v>0.4</v>
      </c>
      <c r="Q138" s="543">
        <v>0.09</v>
      </c>
      <c r="R138" s="543">
        <v>0.01</v>
      </c>
      <c r="S138" s="542">
        <v>124663</v>
      </c>
      <c r="T138" s="542">
        <v>124663</v>
      </c>
      <c r="U138" s="542">
        <v>0</v>
      </c>
      <c r="V138" s="542">
        <v>59808</v>
      </c>
      <c r="W138" s="542">
        <v>950243</v>
      </c>
      <c r="X138" s="542">
        <v>-890435</v>
      </c>
      <c r="Y138" s="542">
        <v>0</v>
      </c>
      <c r="Z138" s="542">
        <v>0</v>
      </c>
      <c r="AA138" s="542">
        <v>0</v>
      </c>
      <c r="AB138" s="542">
        <v>0</v>
      </c>
      <c r="AC138" s="542">
        <v>0</v>
      </c>
      <c r="AD138" s="542">
        <v>0</v>
      </c>
      <c r="AE138" s="542">
        <v>0</v>
      </c>
      <c r="AF138" s="542">
        <v>0</v>
      </c>
      <c r="AG138" s="542">
        <v>0</v>
      </c>
      <c r="AH138" s="542">
        <v>0</v>
      </c>
      <c r="AI138" s="542">
        <v>0</v>
      </c>
      <c r="AJ138" s="542">
        <v>0</v>
      </c>
      <c r="AK138" s="542">
        <v>0</v>
      </c>
      <c r="AL138" s="542">
        <v>0</v>
      </c>
      <c r="AM138" s="542">
        <v>0</v>
      </c>
      <c r="AN138" s="542">
        <v>0</v>
      </c>
      <c r="AO138" s="542">
        <v>0</v>
      </c>
      <c r="AP138" s="542">
        <v>0</v>
      </c>
      <c r="AQ138" s="542">
        <v>453152.40399999998</v>
      </c>
      <c r="AR138" s="542">
        <v>101959.291</v>
      </c>
      <c r="AS138" s="542">
        <v>11328.810100000001</v>
      </c>
      <c r="AT138" s="542">
        <v>438075</v>
      </c>
      <c r="AU138" s="542">
        <v>98567</v>
      </c>
      <c r="AV138" s="542">
        <v>10952</v>
      </c>
      <c r="AW138" s="542">
        <v>15077</v>
      </c>
      <c r="AX138" s="542">
        <v>3392</v>
      </c>
      <c r="AY138" s="542">
        <v>377</v>
      </c>
      <c r="AZ138" s="542">
        <v>440.22420299999999</v>
      </c>
      <c r="BA138" s="542">
        <v>99.050445800000006</v>
      </c>
      <c r="BB138" s="542">
        <v>11.0056051</v>
      </c>
      <c r="BC138" s="542">
        <v>0</v>
      </c>
      <c r="BD138" s="542">
        <v>0</v>
      </c>
      <c r="BE138" s="542">
        <v>0</v>
      </c>
      <c r="BF138" s="542">
        <v>440</v>
      </c>
      <c r="BG138" s="542">
        <v>99</v>
      </c>
      <c r="BH138" s="542">
        <v>11</v>
      </c>
      <c r="BI138" s="542">
        <v>1583.4326900000001</v>
      </c>
      <c r="BJ138" s="542">
        <v>356.272356</v>
      </c>
      <c r="BK138" s="542">
        <v>39.585817400000003</v>
      </c>
      <c r="BL138" s="542">
        <v>0</v>
      </c>
      <c r="BM138" s="542">
        <v>0</v>
      </c>
      <c r="BN138" s="542">
        <v>0</v>
      </c>
      <c r="BO138" s="542">
        <v>1583</v>
      </c>
      <c r="BP138" s="542">
        <v>356</v>
      </c>
      <c r="BQ138" s="542">
        <v>40</v>
      </c>
      <c r="BR138" s="542">
        <v>0</v>
      </c>
      <c r="BS138" s="542">
        <v>0</v>
      </c>
      <c r="BT138" s="542">
        <v>0</v>
      </c>
      <c r="BU138" s="542">
        <v>13294.8518</v>
      </c>
      <c r="BV138" s="542">
        <v>2991.3416499999998</v>
      </c>
      <c r="BW138" s="542">
        <v>332.37129499999998</v>
      </c>
      <c r="BX138" s="542">
        <v>-13295</v>
      </c>
      <c r="BY138" s="542">
        <v>-2991</v>
      </c>
      <c r="BZ138" s="542">
        <v>-332</v>
      </c>
      <c r="CA138" s="542">
        <v>93321.871700000003</v>
      </c>
      <c r="CB138" s="542">
        <v>20997.4211</v>
      </c>
      <c r="CC138" s="542">
        <v>2333.0467899999999</v>
      </c>
      <c r="CD138" s="542">
        <v>173069.557</v>
      </c>
      <c r="CE138" s="542">
        <v>38940.650399999999</v>
      </c>
      <c r="CF138" s="542">
        <v>4326.7389300000004</v>
      </c>
      <c r="CG138" s="542">
        <v>-79748</v>
      </c>
      <c r="CH138" s="542">
        <v>-17943</v>
      </c>
      <c r="CI138" s="542">
        <v>-1994</v>
      </c>
      <c r="CJ138" s="542">
        <v>0</v>
      </c>
      <c r="CK138" s="542">
        <v>0</v>
      </c>
      <c r="CL138" s="542">
        <v>0</v>
      </c>
      <c r="CM138" s="542">
        <v>0</v>
      </c>
      <c r="CN138" s="542">
        <v>0</v>
      </c>
      <c r="CO138" s="542">
        <v>0</v>
      </c>
      <c r="CP138" s="542">
        <v>0</v>
      </c>
      <c r="CQ138" s="542">
        <v>0</v>
      </c>
      <c r="CR138" s="542">
        <v>0</v>
      </c>
      <c r="CS138" s="542">
        <v>0</v>
      </c>
      <c r="CT138" s="542">
        <v>0</v>
      </c>
      <c r="CU138" s="542">
        <v>0</v>
      </c>
      <c r="CV138" s="542">
        <v>113379.38800000001</v>
      </c>
      <c r="CW138" s="542">
        <v>25367.508900000001</v>
      </c>
      <c r="CX138" s="542">
        <v>2818.6120999999998</v>
      </c>
      <c r="CY138" s="542">
        <v>127399</v>
      </c>
      <c r="CZ138" s="542">
        <v>26097</v>
      </c>
      <c r="DA138" s="542">
        <v>2900</v>
      </c>
      <c r="DB138" s="542">
        <v>-14020</v>
      </c>
      <c r="DC138" s="542">
        <v>-729</v>
      </c>
      <c r="DD138" s="542">
        <v>-81</v>
      </c>
      <c r="DE138" s="153" t="s">
        <v>701</v>
      </c>
      <c r="DF138" s="103" t="s">
        <v>774</v>
      </c>
      <c r="DG138" s="104" t="s">
        <v>775</v>
      </c>
      <c r="DH138" s="549" t="s">
        <v>1194</v>
      </c>
      <c r="DI138" s="549"/>
    </row>
    <row r="139" spans="1:113" x14ac:dyDescent="0.2">
      <c r="A139" s="93">
        <v>133</v>
      </c>
      <c r="B139" s="145" t="s">
        <v>144</v>
      </c>
      <c r="C139" s="141" t="s">
        <v>866</v>
      </c>
      <c r="D139" s="142" t="s">
        <v>867</v>
      </c>
      <c r="E139" s="149" t="s">
        <v>143</v>
      </c>
      <c r="F139" s="542">
        <v>-138006</v>
      </c>
      <c r="G139" s="542">
        <v>0</v>
      </c>
      <c r="H139" s="542">
        <v>-138006</v>
      </c>
      <c r="I139" s="542">
        <v>534</v>
      </c>
      <c r="J139" s="542">
        <v>0</v>
      </c>
      <c r="K139" s="542">
        <v>534</v>
      </c>
      <c r="L139" s="542">
        <v>-138540</v>
      </c>
      <c r="M139" s="542">
        <v>0</v>
      </c>
      <c r="N139" s="542">
        <v>-138540</v>
      </c>
      <c r="O139" s="543">
        <v>0.5</v>
      </c>
      <c r="P139" s="543">
        <v>0.4</v>
      </c>
      <c r="Q139" s="543">
        <v>0.1</v>
      </c>
      <c r="R139" s="543">
        <v>0</v>
      </c>
      <c r="S139" s="542">
        <v>178215</v>
      </c>
      <c r="T139" s="542">
        <v>178215</v>
      </c>
      <c r="U139" s="542">
        <v>0</v>
      </c>
      <c r="V139" s="542">
        <v>0</v>
      </c>
      <c r="W139" s="542">
        <v>0</v>
      </c>
      <c r="X139" s="542">
        <v>0</v>
      </c>
      <c r="Y139" s="542">
        <v>0</v>
      </c>
      <c r="Z139" s="542">
        <v>0</v>
      </c>
      <c r="AA139" s="542">
        <v>0</v>
      </c>
      <c r="AB139" s="542">
        <v>0</v>
      </c>
      <c r="AC139" s="542">
        <v>0</v>
      </c>
      <c r="AD139" s="542">
        <v>0</v>
      </c>
      <c r="AE139" s="542">
        <v>0</v>
      </c>
      <c r="AF139" s="542">
        <v>0</v>
      </c>
      <c r="AG139" s="542">
        <v>0</v>
      </c>
      <c r="AH139" s="542">
        <v>0</v>
      </c>
      <c r="AI139" s="542">
        <v>0</v>
      </c>
      <c r="AJ139" s="542">
        <v>0</v>
      </c>
      <c r="AK139" s="542">
        <v>0</v>
      </c>
      <c r="AL139" s="542">
        <v>0</v>
      </c>
      <c r="AM139" s="542">
        <v>0</v>
      </c>
      <c r="AN139" s="542">
        <v>0</v>
      </c>
      <c r="AO139" s="542">
        <v>0</v>
      </c>
      <c r="AP139" s="542">
        <v>0</v>
      </c>
      <c r="AQ139" s="542">
        <v>555124.94400000002</v>
      </c>
      <c r="AR139" s="542">
        <v>138781.236</v>
      </c>
      <c r="AS139" s="542">
        <v>0</v>
      </c>
      <c r="AT139" s="542">
        <v>482534</v>
      </c>
      <c r="AU139" s="542">
        <v>120633</v>
      </c>
      <c r="AV139" s="542">
        <v>0</v>
      </c>
      <c r="AW139" s="542">
        <v>72591</v>
      </c>
      <c r="AX139" s="542">
        <v>18148</v>
      </c>
      <c r="AY139" s="542">
        <v>0</v>
      </c>
      <c r="AZ139" s="542">
        <v>0</v>
      </c>
      <c r="BA139" s="542">
        <v>0</v>
      </c>
      <c r="BB139" s="542">
        <v>0</v>
      </c>
      <c r="BC139" s="542">
        <v>9748</v>
      </c>
      <c r="BD139" s="542">
        <v>2437</v>
      </c>
      <c r="BE139" s="542">
        <v>0</v>
      </c>
      <c r="BF139" s="542">
        <v>-9748</v>
      </c>
      <c r="BG139" s="542">
        <v>-2437</v>
      </c>
      <c r="BH139" s="542">
        <v>0</v>
      </c>
      <c r="BI139" s="542">
        <v>0</v>
      </c>
      <c r="BJ139" s="542">
        <v>0</v>
      </c>
      <c r="BK139" s="542">
        <v>0</v>
      </c>
      <c r="BL139" s="542">
        <v>3758</v>
      </c>
      <c r="BM139" s="542">
        <v>939</v>
      </c>
      <c r="BN139" s="542">
        <v>0</v>
      </c>
      <c r="BO139" s="542">
        <v>-3758</v>
      </c>
      <c r="BP139" s="542">
        <v>-939</v>
      </c>
      <c r="BQ139" s="542">
        <v>0</v>
      </c>
      <c r="BR139" s="542">
        <v>337.94989299999997</v>
      </c>
      <c r="BS139" s="542">
        <v>84.487473399999999</v>
      </c>
      <c r="BT139" s="542">
        <v>0</v>
      </c>
      <c r="BU139" s="542">
        <v>24266</v>
      </c>
      <c r="BV139" s="542">
        <v>6066</v>
      </c>
      <c r="BW139" s="542">
        <v>0</v>
      </c>
      <c r="BX139" s="542">
        <v>-23928</v>
      </c>
      <c r="BY139" s="542">
        <v>-5982</v>
      </c>
      <c r="BZ139" s="542">
        <v>0</v>
      </c>
      <c r="CA139" s="542">
        <v>208469.80799999999</v>
      </c>
      <c r="CB139" s="542">
        <v>52117.4522</v>
      </c>
      <c r="CC139" s="542">
        <v>0</v>
      </c>
      <c r="CD139" s="542">
        <v>293233</v>
      </c>
      <c r="CE139" s="542">
        <v>73308</v>
      </c>
      <c r="CF139" s="542">
        <v>0</v>
      </c>
      <c r="CG139" s="542">
        <v>-84763</v>
      </c>
      <c r="CH139" s="542">
        <v>-21191</v>
      </c>
      <c r="CI139" s="542">
        <v>0</v>
      </c>
      <c r="CJ139" s="542">
        <v>2392.8000000000002</v>
      </c>
      <c r="CK139" s="542">
        <v>598.20000000000005</v>
      </c>
      <c r="CL139" s="542">
        <v>0</v>
      </c>
      <c r="CM139" s="542">
        <v>17039.3851</v>
      </c>
      <c r="CN139" s="542">
        <v>4259.8462799999998</v>
      </c>
      <c r="CO139" s="542">
        <v>0</v>
      </c>
      <c r="CP139" s="542">
        <v>0</v>
      </c>
      <c r="CQ139" s="542">
        <v>0</v>
      </c>
      <c r="CR139" s="542">
        <v>0</v>
      </c>
      <c r="CS139" s="542">
        <v>19432</v>
      </c>
      <c r="CT139" s="542">
        <v>4858</v>
      </c>
      <c r="CU139" s="542">
        <v>0</v>
      </c>
      <c r="CV139" s="542">
        <v>157003.67300000001</v>
      </c>
      <c r="CW139" s="542">
        <v>39250.9182</v>
      </c>
      <c r="CX139" s="542">
        <v>0</v>
      </c>
      <c r="CY139" s="542">
        <v>167257</v>
      </c>
      <c r="CZ139" s="542">
        <v>41341</v>
      </c>
      <c r="DA139" s="542">
        <v>0</v>
      </c>
      <c r="DB139" s="542">
        <v>-10253</v>
      </c>
      <c r="DC139" s="542">
        <v>-2090</v>
      </c>
      <c r="DD139" s="542">
        <v>0</v>
      </c>
      <c r="DE139" s="153" t="s">
        <v>143</v>
      </c>
      <c r="DF139" s="103" t="s">
        <v>749</v>
      </c>
      <c r="DG139" s="104" t="s">
        <v>751</v>
      </c>
      <c r="DH139" s="547"/>
      <c r="DI139" s="547"/>
    </row>
    <row r="140" spans="1:113" x14ac:dyDescent="0.2">
      <c r="A140" s="93">
        <v>134</v>
      </c>
      <c r="B140" s="145" t="s">
        <v>146</v>
      </c>
      <c r="C140" s="141" t="s">
        <v>871</v>
      </c>
      <c r="D140" s="142" t="s">
        <v>872</v>
      </c>
      <c r="E140" s="149" t="s">
        <v>145</v>
      </c>
      <c r="F140" s="542">
        <v>-1426916</v>
      </c>
      <c r="G140" s="542">
        <v>0</v>
      </c>
      <c r="H140" s="542">
        <v>-1426916</v>
      </c>
      <c r="I140" s="542">
        <v>460351</v>
      </c>
      <c r="J140" s="542">
        <v>0</v>
      </c>
      <c r="K140" s="542">
        <v>460351</v>
      </c>
      <c r="L140" s="542">
        <v>-1887267</v>
      </c>
      <c r="M140" s="542">
        <v>0</v>
      </c>
      <c r="N140" s="542">
        <v>-1887267</v>
      </c>
      <c r="O140" s="543">
        <v>0.5</v>
      </c>
      <c r="P140" s="543">
        <v>0.3</v>
      </c>
      <c r="Q140" s="543">
        <v>0.2</v>
      </c>
      <c r="R140" s="543">
        <v>0</v>
      </c>
      <c r="S140" s="542">
        <v>398763</v>
      </c>
      <c r="T140" s="542">
        <v>398763</v>
      </c>
      <c r="U140" s="542">
        <v>0</v>
      </c>
      <c r="V140" s="542">
        <v>0</v>
      </c>
      <c r="W140" s="542">
        <v>0</v>
      </c>
      <c r="X140" s="542">
        <v>0</v>
      </c>
      <c r="Y140" s="542">
        <v>0</v>
      </c>
      <c r="Z140" s="542">
        <v>0</v>
      </c>
      <c r="AA140" s="542">
        <v>0</v>
      </c>
      <c r="AB140" s="542">
        <v>0</v>
      </c>
      <c r="AC140" s="542">
        <v>0</v>
      </c>
      <c r="AD140" s="542">
        <v>0</v>
      </c>
      <c r="AE140" s="542">
        <v>0</v>
      </c>
      <c r="AF140" s="542">
        <v>0</v>
      </c>
      <c r="AG140" s="542">
        <v>0</v>
      </c>
      <c r="AH140" s="542">
        <v>0</v>
      </c>
      <c r="AI140" s="542">
        <v>0</v>
      </c>
      <c r="AJ140" s="542">
        <v>0</v>
      </c>
      <c r="AK140" s="542">
        <v>0</v>
      </c>
      <c r="AL140" s="542">
        <v>0</v>
      </c>
      <c r="AM140" s="542">
        <v>0</v>
      </c>
      <c r="AN140" s="542">
        <v>0</v>
      </c>
      <c r="AO140" s="542">
        <v>0</v>
      </c>
      <c r="AP140" s="542">
        <v>0</v>
      </c>
      <c r="AQ140" s="542">
        <v>432241.04700000002</v>
      </c>
      <c r="AR140" s="542">
        <v>288160.69799999997</v>
      </c>
      <c r="AS140" s="542">
        <v>0</v>
      </c>
      <c r="AT140" s="542">
        <v>380839</v>
      </c>
      <c r="AU140" s="542">
        <v>253892</v>
      </c>
      <c r="AV140" s="542">
        <v>0</v>
      </c>
      <c r="AW140" s="542">
        <v>51402</v>
      </c>
      <c r="AX140" s="542">
        <v>34269</v>
      </c>
      <c r="AY140" s="542">
        <v>0</v>
      </c>
      <c r="AZ140" s="542">
        <v>787.97707000000003</v>
      </c>
      <c r="BA140" s="542">
        <v>525.31804599999998</v>
      </c>
      <c r="BB140" s="542">
        <v>0</v>
      </c>
      <c r="BC140" s="542">
        <v>0</v>
      </c>
      <c r="BD140" s="542">
        <v>0</v>
      </c>
      <c r="BE140" s="542">
        <v>0</v>
      </c>
      <c r="BF140" s="542">
        <v>788</v>
      </c>
      <c r="BG140" s="542">
        <v>525</v>
      </c>
      <c r="BH140" s="542">
        <v>0</v>
      </c>
      <c r="BI140" s="542">
        <v>23033.245800000001</v>
      </c>
      <c r="BJ140" s="542">
        <v>15355.4972</v>
      </c>
      <c r="BK140" s="542">
        <v>0</v>
      </c>
      <c r="BL140" s="542">
        <v>0</v>
      </c>
      <c r="BM140" s="542">
        <v>0</v>
      </c>
      <c r="BN140" s="542">
        <v>0</v>
      </c>
      <c r="BO140" s="542">
        <v>23033</v>
      </c>
      <c r="BP140" s="542">
        <v>15355</v>
      </c>
      <c r="BQ140" s="542">
        <v>0</v>
      </c>
      <c r="BR140" s="542">
        <v>1499.55159</v>
      </c>
      <c r="BS140" s="542">
        <v>999.70106099999998</v>
      </c>
      <c r="BT140" s="542">
        <v>0</v>
      </c>
      <c r="BU140" s="542">
        <v>12826.5324</v>
      </c>
      <c r="BV140" s="542">
        <v>8551.0216500000006</v>
      </c>
      <c r="BW140" s="542">
        <v>0</v>
      </c>
      <c r="BX140" s="542">
        <v>-11327</v>
      </c>
      <c r="BY140" s="542">
        <v>-7551</v>
      </c>
      <c r="BZ140" s="542">
        <v>0</v>
      </c>
      <c r="CA140" s="542">
        <v>206490.315</v>
      </c>
      <c r="CB140" s="542">
        <v>137660.21</v>
      </c>
      <c r="CC140" s="542">
        <v>0</v>
      </c>
      <c r="CD140" s="542">
        <v>151592.356</v>
      </c>
      <c r="CE140" s="542">
        <v>101061.571</v>
      </c>
      <c r="CF140" s="542">
        <v>0</v>
      </c>
      <c r="CG140" s="542">
        <v>54898</v>
      </c>
      <c r="CH140" s="542">
        <v>36599</v>
      </c>
      <c r="CI140" s="542">
        <v>0</v>
      </c>
      <c r="CJ140" s="542">
        <v>0</v>
      </c>
      <c r="CK140" s="542">
        <v>0</v>
      </c>
      <c r="CL140" s="542">
        <v>0</v>
      </c>
      <c r="CM140" s="542">
        <v>0</v>
      </c>
      <c r="CN140" s="542">
        <v>0</v>
      </c>
      <c r="CO140" s="542">
        <v>0</v>
      </c>
      <c r="CP140" s="542">
        <v>0</v>
      </c>
      <c r="CQ140" s="542">
        <v>0</v>
      </c>
      <c r="CR140" s="542">
        <v>0</v>
      </c>
      <c r="CS140" s="542">
        <v>0</v>
      </c>
      <c r="CT140" s="542">
        <v>0</v>
      </c>
      <c r="CU140" s="542">
        <v>0</v>
      </c>
      <c r="CV140" s="542">
        <v>452369.41</v>
      </c>
      <c r="CW140" s="542">
        <v>301579.60700000002</v>
      </c>
      <c r="CX140" s="542">
        <v>0</v>
      </c>
      <c r="CY140" s="542">
        <v>484667</v>
      </c>
      <c r="CZ140" s="542">
        <v>320289</v>
      </c>
      <c r="DA140" s="542">
        <v>0</v>
      </c>
      <c r="DB140" s="542">
        <v>-32298</v>
      </c>
      <c r="DC140" s="542">
        <v>-18709</v>
      </c>
      <c r="DD140" s="542">
        <v>0</v>
      </c>
      <c r="DE140" s="153" t="s">
        <v>145</v>
      </c>
      <c r="DF140" s="103" t="s">
        <v>762</v>
      </c>
      <c r="DG140" s="103" t="s">
        <v>750</v>
      </c>
      <c r="DH140" s="547"/>
      <c r="DI140" s="547"/>
    </row>
    <row r="141" spans="1:113" x14ac:dyDescent="0.2">
      <c r="A141" s="93">
        <v>135</v>
      </c>
      <c r="B141" s="145" t="s">
        <v>148</v>
      </c>
      <c r="C141" s="141" t="s">
        <v>866</v>
      </c>
      <c r="D141" s="142" t="s">
        <v>870</v>
      </c>
      <c r="E141" s="149" t="s">
        <v>881</v>
      </c>
      <c r="F141" s="542">
        <v>-704351</v>
      </c>
      <c r="G141" s="542">
        <v>10</v>
      </c>
      <c r="H141" s="542">
        <v>-704341</v>
      </c>
      <c r="I141" s="542">
        <v>81147</v>
      </c>
      <c r="J141" s="542">
        <v>2524</v>
      </c>
      <c r="K141" s="542">
        <v>83671</v>
      </c>
      <c r="L141" s="542">
        <v>-785498</v>
      </c>
      <c r="M141" s="542">
        <v>-2514</v>
      </c>
      <c r="N141" s="542">
        <v>-788012</v>
      </c>
      <c r="O141" s="543">
        <v>0.5</v>
      </c>
      <c r="P141" s="543">
        <v>0.4</v>
      </c>
      <c r="Q141" s="543">
        <v>0.09</v>
      </c>
      <c r="R141" s="543">
        <v>0.01</v>
      </c>
      <c r="S141" s="542">
        <v>221615</v>
      </c>
      <c r="T141" s="542">
        <v>221615</v>
      </c>
      <c r="U141" s="542">
        <v>0</v>
      </c>
      <c r="V141" s="542">
        <v>0</v>
      </c>
      <c r="W141" s="542">
        <v>43945</v>
      </c>
      <c r="X141" s="542">
        <v>-43945</v>
      </c>
      <c r="Y141" s="542">
        <v>223074</v>
      </c>
      <c r="Z141" s="542">
        <v>0</v>
      </c>
      <c r="AA141" s="542">
        <v>195210</v>
      </c>
      <c r="AB141" s="542">
        <v>0</v>
      </c>
      <c r="AC141" s="542">
        <v>27864</v>
      </c>
      <c r="AD141" s="542">
        <v>0</v>
      </c>
      <c r="AE141" s="542">
        <v>271659.56599999999</v>
      </c>
      <c r="AF141" s="542">
        <v>271659.56599999999</v>
      </c>
      <c r="AG141" s="542">
        <v>0</v>
      </c>
      <c r="AH141" s="542">
        <v>0</v>
      </c>
      <c r="AI141" s="542">
        <v>625479</v>
      </c>
      <c r="AJ141" s="542">
        <v>625479</v>
      </c>
      <c r="AK141" s="542">
        <v>0</v>
      </c>
      <c r="AL141" s="542">
        <v>0</v>
      </c>
      <c r="AM141" s="542">
        <v>-353819</v>
      </c>
      <c r="AN141" s="542">
        <v>-353819</v>
      </c>
      <c r="AO141" s="542">
        <v>0</v>
      </c>
      <c r="AP141" s="542">
        <v>0</v>
      </c>
      <c r="AQ141" s="542">
        <v>590366.83200000005</v>
      </c>
      <c r="AR141" s="542">
        <v>132582.52299999999</v>
      </c>
      <c r="AS141" s="542">
        <v>14731.3915</v>
      </c>
      <c r="AT141" s="542">
        <v>542728</v>
      </c>
      <c r="AU141" s="542">
        <v>122114</v>
      </c>
      <c r="AV141" s="542">
        <v>13568</v>
      </c>
      <c r="AW141" s="542">
        <v>47639</v>
      </c>
      <c r="AX141" s="542">
        <v>10469</v>
      </c>
      <c r="AY141" s="542">
        <v>1163</v>
      </c>
      <c r="AZ141" s="542">
        <v>4835.1898000000001</v>
      </c>
      <c r="BA141" s="542">
        <v>1087.9177</v>
      </c>
      <c r="BB141" s="542">
        <v>120.879745</v>
      </c>
      <c r="BC141" s="542">
        <v>20212</v>
      </c>
      <c r="BD141" s="542">
        <v>4548</v>
      </c>
      <c r="BE141" s="542">
        <v>505</v>
      </c>
      <c r="BF141" s="542">
        <v>-15377</v>
      </c>
      <c r="BG141" s="542">
        <v>-3460</v>
      </c>
      <c r="BH141" s="542">
        <v>-384</v>
      </c>
      <c r="BI141" s="542">
        <v>0</v>
      </c>
      <c r="BJ141" s="542">
        <v>0</v>
      </c>
      <c r="BK141" s="542">
        <v>0</v>
      </c>
      <c r="BL141" s="542">
        <v>8085</v>
      </c>
      <c r="BM141" s="542">
        <v>1819</v>
      </c>
      <c r="BN141" s="542">
        <v>202</v>
      </c>
      <c r="BO141" s="542">
        <v>-8085</v>
      </c>
      <c r="BP141" s="542">
        <v>-1819</v>
      </c>
      <c r="BQ141" s="542">
        <v>-202</v>
      </c>
      <c r="BR141" s="542">
        <v>2167.97282</v>
      </c>
      <c r="BS141" s="542">
        <v>487.79388499999999</v>
      </c>
      <c r="BT141" s="542">
        <v>54.199320499999999</v>
      </c>
      <c r="BU141" s="542">
        <v>10106.1571</v>
      </c>
      <c r="BV141" s="542">
        <v>2273.88535</v>
      </c>
      <c r="BW141" s="542">
        <v>252.65392700000001</v>
      </c>
      <c r="BX141" s="542">
        <v>-7938</v>
      </c>
      <c r="BY141" s="542">
        <v>-1786</v>
      </c>
      <c r="BZ141" s="542">
        <v>-198</v>
      </c>
      <c r="CA141" s="542">
        <v>196423.269</v>
      </c>
      <c r="CB141" s="542">
        <v>44195.2356</v>
      </c>
      <c r="CC141" s="542">
        <v>4910.5817399999996</v>
      </c>
      <c r="CD141" s="542">
        <v>20212.314200000001</v>
      </c>
      <c r="CE141" s="542">
        <v>4547.7707</v>
      </c>
      <c r="CF141" s="542">
        <v>505.30785500000002</v>
      </c>
      <c r="CG141" s="542">
        <v>176211</v>
      </c>
      <c r="CH141" s="542">
        <v>39647</v>
      </c>
      <c r="CI141" s="542">
        <v>4405</v>
      </c>
      <c r="CJ141" s="542">
        <v>0</v>
      </c>
      <c r="CK141" s="542">
        <v>0</v>
      </c>
      <c r="CL141" s="542">
        <v>0</v>
      </c>
      <c r="CM141" s="542">
        <v>0</v>
      </c>
      <c r="CN141" s="542">
        <v>0</v>
      </c>
      <c r="CO141" s="542">
        <v>0</v>
      </c>
      <c r="CP141" s="542">
        <v>0</v>
      </c>
      <c r="CQ141" s="542">
        <v>0</v>
      </c>
      <c r="CR141" s="542">
        <v>0</v>
      </c>
      <c r="CS141" s="542">
        <v>0</v>
      </c>
      <c r="CT141" s="542">
        <v>0</v>
      </c>
      <c r="CU141" s="542">
        <v>0</v>
      </c>
      <c r="CV141" s="542">
        <v>225116.54699999999</v>
      </c>
      <c r="CW141" s="542">
        <v>50118.403100000003</v>
      </c>
      <c r="CX141" s="542">
        <v>5568.7114600000004</v>
      </c>
      <c r="CY141" s="542">
        <v>258250</v>
      </c>
      <c r="CZ141" s="542">
        <v>55512</v>
      </c>
      <c r="DA141" s="542">
        <v>6168</v>
      </c>
      <c r="DB141" s="542">
        <v>-33133</v>
      </c>
      <c r="DC141" s="542">
        <v>-5394</v>
      </c>
      <c r="DD141" s="542">
        <v>-599</v>
      </c>
      <c r="DE141" s="153" t="s">
        <v>147</v>
      </c>
      <c r="DF141" s="103" t="s">
        <v>790</v>
      </c>
      <c r="DG141" s="104" t="s">
        <v>791</v>
      </c>
      <c r="DH141" s="549" t="s">
        <v>1195</v>
      </c>
      <c r="DI141" s="549"/>
    </row>
    <row r="142" spans="1:113" x14ac:dyDescent="0.2">
      <c r="A142" s="93">
        <v>136</v>
      </c>
      <c r="B142" s="145" t="s">
        <v>150</v>
      </c>
      <c r="C142" s="141" t="s">
        <v>866</v>
      </c>
      <c r="D142" s="142" t="s">
        <v>868</v>
      </c>
      <c r="E142" s="149" t="s">
        <v>149</v>
      </c>
      <c r="F142" s="542">
        <v>100757</v>
      </c>
      <c r="G142" s="542">
        <v>0</v>
      </c>
      <c r="H142" s="542">
        <v>100757</v>
      </c>
      <c r="I142" s="542">
        <v>76348</v>
      </c>
      <c r="J142" s="542">
        <v>0</v>
      </c>
      <c r="K142" s="542">
        <v>76348</v>
      </c>
      <c r="L142" s="542">
        <v>24409</v>
      </c>
      <c r="M142" s="542">
        <v>0</v>
      </c>
      <c r="N142" s="542">
        <v>24409</v>
      </c>
      <c r="O142" s="543">
        <v>0.5</v>
      </c>
      <c r="P142" s="543">
        <v>0.4</v>
      </c>
      <c r="Q142" s="543">
        <v>0.09</v>
      </c>
      <c r="R142" s="543">
        <v>0.01</v>
      </c>
      <c r="S142" s="542">
        <v>132514</v>
      </c>
      <c r="T142" s="542">
        <v>132514</v>
      </c>
      <c r="U142" s="542">
        <v>0</v>
      </c>
      <c r="V142" s="542">
        <v>0</v>
      </c>
      <c r="W142" s="542">
        <v>0</v>
      </c>
      <c r="X142" s="542">
        <v>0</v>
      </c>
      <c r="Y142" s="542">
        <v>0</v>
      </c>
      <c r="Z142" s="542">
        <v>0</v>
      </c>
      <c r="AA142" s="542">
        <v>0</v>
      </c>
      <c r="AB142" s="542">
        <v>0</v>
      </c>
      <c r="AC142" s="542">
        <v>0</v>
      </c>
      <c r="AD142" s="542">
        <v>0</v>
      </c>
      <c r="AE142" s="542">
        <v>0</v>
      </c>
      <c r="AF142" s="542">
        <v>0</v>
      </c>
      <c r="AG142" s="542">
        <v>0</v>
      </c>
      <c r="AH142" s="542">
        <v>0</v>
      </c>
      <c r="AI142" s="542">
        <v>0</v>
      </c>
      <c r="AJ142" s="542">
        <v>0</v>
      </c>
      <c r="AK142" s="542">
        <v>0</v>
      </c>
      <c r="AL142" s="542">
        <v>0</v>
      </c>
      <c r="AM142" s="542">
        <v>0</v>
      </c>
      <c r="AN142" s="542">
        <v>0</v>
      </c>
      <c r="AO142" s="542">
        <v>0</v>
      </c>
      <c r="AP142" s="542">
        <v>0</v>
      </c>
      <c r="AQ142" s="542">
        <v>475243.45299999998</v>
      </c>
      <c r="AR142" s="542">
        <v>106929.776</v>
      </c>
      <c r="AS142" s="542">
        <v>11881.086300000001</v>
      </c>
      <c r="AT142" s="542">
        <v>448164</v>
      </c>
      <c r="AU142" s="542">
        <v>100837</v>
      </c>
      <c r="AV142" s="542">
        <v>11204</v>
      </c>
      <c r="AW142" s="542">
        <v>27079</v>
      </c>
      <c r="AX142" s="542">
        <v>6093</v>
      </c>
      <c r="AY142" s="542">
        <v>677</v>
      </c>
      <c r="AZ142" s="542">
        <v>0</v>
      </c>
      <c r="BA142" s="542">
        <v>0</v>
      </c>
      <c r="BB142" s="542">
        <v>0</v>
      </c>
      <c r="BC142" s="542">
        <v>0</v>
      </c>
      <c r="BD142" s="542">
        <v>0</v>
      </c>
      <c r="BE142" s="542">
        <v>0</v>
      </c>
      <c r="BF142" s="542">
        <v>0</v>
      </c>
      <c r="BG142" s="542">
        <v>0</v>
      </c>
      <c r="BH142" s="542">
        <v>0</v>
      </c>
      <c r="BI142" s="542">
        <v>0</v>
      </c>
      <c r="BJ142" s="542">
        <v>0</v>
      </c>
      <c r="BK142" s="542">
        <v>0</v>
      </c>
      <c r="BL142" s="542">
        <v>0</v>
      </c>
      <c r="BM142" s="542">
        <v>0</v>
      </c>
      <c r="BN142" s="542">
        <v>0</v>
      </c>
      <c r="BO142" s="542">
        <v>0</v>
      </c>
      <c r="BP142" s="542">
        <v>0</v>
      </c>
      <c r="BQ142" s="542">
        <v>0</v>
      </c>
      <c r="BR142" s="542">
        <v>1196.569</v>
      </c>
      <c r="BS142" s="542">
        <v>269.228025</v>
      </c>
      <c r="BT142" s="542">
        <v>29.914224999999998</v>
      </c>
      <c r="BU142" s="542">
        <v>26692</v>
      </c>
      <c r="BV142" s="542">
        <v>6006</v>
      </c>
      <c r="BW142" s="542">
        <v>667</v>
      </c>
      <c r="BX142" s="542">
        <v>-25495</v>
      </c>
      <c r="BY142" s="542">
        <v>-5737</v>
      </c>
      <c r="BZ142" s="542">
        <v>-637</v>
      </c>
      <c r="CA142" s="542">
        <v>135718.413</v>
      </c>
      <c r="CB142" s="542">
        <v>30536.643</v>
      </c>
      <c r="CC142" s="542">
        <v>3392.9603400000001</v>
      </c>
      <c r="CD142" s="542">
        <v>149962</v>
      </c>
      <c r="CE142" s="542">
        <v>33741</v>
      </c>
      <c r="CF142" s="542">
        <v>3749</v>
      </c>
      <c r="CG142" s="542">
        <v>-14244</v>
      </c>
      <c r="CH142" s="542">
        <v>-3204</v>
      </c>
      <c r="CI142" s="542">
        <v>-356</v>
      </c>
      <c r="CJ142" s="542">
        <v>0</v>
      </c>
      <c r="CK142" s="542">
        <v>0</v>
      </c>
      <c r="CL142" s="542">
        <v>0</v>
      </c>
      <c r="CM142" s="542">
        <v>0</v>
      </c>
      <c r="CN142" s="542">
        <v>0</v>
      </c>
      <c r="CO142" s="542">
        <v>0</v>
      </c>
      <c r="CP142" s="542">
        <v>0</v>
      </c>
      <c r="CQ142" s="542">
        <v>0</v>
      </c>
      <c r="CR142" s="542">
        <v>0</v>
      </c>
      <c r="CS142" s="542">
        <v>0</v>
      </c>
      <c r="CT142" s="542">
        <v>0</v>
      </c>
      <c r="CU142" s="542">
        <v>0</v>
      </c>
      <c r="CV142" s="542">
        <v>87686.526500000007</v>
      </c>
      <c r="CW142" s="542">
        <v>19729.468400000002</v>
      </c>
      <c r="CX142" s="542">
        <v>2192.1631600000001</v>
      </c>
      <c r="CY142" s="542">
        <v>88927</v>
      </c>
      <c r="CZ142" s="542">
        <v>19692</v>
      </c>
      <c r="DA142" s="542">
        <v>2188</v>
      </c>
      <c r="DB142" s="542">
        <v>-1240</v>
      </c>
      <c r="DC142" s="542">
        <v>37</v>
      </c>
      <c r="DD142" s="542">
        <v>4</v>
      </c>
      <c r="DE142" s="153" t="s">
        <v>149</v>
      </c>
      <c r="DF142" s="103" t="s">
        <v>789</v>
      </c>
      <c r="DG142" s="104" t="s">
        <v>776</v>
      </c>
      <c r="DH142" s="547"/>
      <c r="DI142" s="547"/>
    </row>
    <row r="143" spans="1:113" x14ac:dyDescent="0.2">
      <c r="A143" s="93">
        <v>137</v>
      </c>
      <c r="B143" s="145" t="s">
        <v>152</v>
      </c>
      <c r="C143" s="141" t="s">
        <v>866</v>
      </c>
      <c r="D143" s="142" t="s">
        <v>870</v>
      </c>
      <c r="E143" s="149" t="s">
        <v>151</v>
      </c>
      <c r="F143" s="542">
        <v>-137003</v>
      </c>
      <c r="G143" s="542">
        <v>0</v>
      </c>
      <c r="H143" s="542">
        <v>-137003</v>
      </c>
      <c r="I143" s="542">
        <v>80310</v>
      </c>
      <c r="J143" s="542">
        <v>0</v>
      </c>
      <c r="K143" s="542">
        <v>80310</v>
      </c>
      <c r="L143" s="542">
        <v>-217313</v>
      </c>
      <c r="M143" s="542">
        <v>0</v>
      </c>
      <c r="N143" s="542">
        <v>-217313</v>
      </c>
      <c r="O143" s="543">
        <v>0.5</v>
      </c>
      <c r="P143" s="543">
        <v>0.4</v>
      </c>
      <c r="Q143" s="543">
        <v>0.1</v>
      </c>
      <c r="R143" s="543">
        <v>0</v>
      </c>
      <c r="S143" s="542">
        <v>193509</v>
      </c>
      <c r="T143" s="542">
        <v>193509</v>
      </c>
      <c r="U143" s="542">
        <v>0</v>
      </c>
      <c r="V143" s="542">
        <v>0</v>
      </c>
      <c r="W143" s="542">
        <v>0</v>
      </c>
      <c r="X143" s="542">
        <v>0</v>
      </c>
      <c r="Y143" s="542">
        <v>0</v>
      </c>
      <c r="Z143" s="542">
        <v>0</v>
      </c>
      <c r="AA143" s="542">
        <v>0</v>
      </c>
      <c r="AB143" s="542">
        <v>0</v>
      </c>
      <c r="AC143" s="542">
        <v>0</v>
      </c>
      <c r="AD143" s="542">
        <v>0</v>
      </c>
      <c r="AE143" s="542">
        <v>0</v>
      </c>
      <c r="AF143" s="542">
        <v>0</v>
      </c>
      <c r="AG143" s="542">
        <v>0</v>
      </c>
      <c r="AH143" s="542">
        <v>0</v>
      </c>
      <c r="AI143" s="542">
        <v>0</v>
      </c>
      <c r="AJ143" s="542">
        <v>0</v>
      </c>
      <c r="AK143" s="542">
        <v>0</v>
      </c>
      <c r="AL143" s="542">
        <v>0</v>
      </c>
      <c r="AM143" s="542">
        <v>0</v>
      </c>
      <c r="AN143" s="542">
        <v>0</v>
      </c>
      <c r="AO143" s="542">
        <v>0</v>
      </c>
      <c r="AP143" s="542">
        <v>0</v>
      </c>
      <c r="AQ143" s="542">
        <v>469528.01699999999</v>
      </c>
      <c r="AR143" s="542">
        <v>117382.004</v>
      </c>
      <c r="AS143" s="542">
        <v>0</v>
      </c>
      <c r="AT143" s="542">
        <v>435262</v>
      </c>
      <c r="AU143" s="542">
        <v>108815</v>
      </c>
      <c r="AV143" s="542">
        <v>0</v>
      </c>
      <c r="AW143" s="542">
        <v>34266</v>
      </c>
      <c r="AX143" s="542">
        <v>8567</v>
      </c>
      <c r="AY143" s="542">
        <v>0</v>
      </c>
      <c r="AZ143" s="542">
        <v>5221.6492500000004</v>
      </c>
      <c r="BA143" s="542">
        <v>1305.4123099999999</v>
      </c>
      <c r="BB143" s="542">
        <v>0</v>
      </c>
      <c r="BC143" s="542">
        <v>8793</v>
      </c>
      <c r="BD143" s="542">
        <v>2198</v>
      </c>
      <c r="BE143" s="542">
        <v>0</v>
      </c>
      <c r="BF143" s="542">
        <v>-3571</v>
      </c>
      <c r="BG143" s="542">
        <v>-893</v>
      </c>
      <c r="BH143" s="542">
        <v>0</v>
      </c>
      <c r="BI143" s="542">
        <v>0</v>
      </c>
      <c r="BJ143" s="542">
        <v>0</v>
      </c>
      <c r="BK143" s="542">
        <v>0</v>
      </c>
      <c r="BL143" s="542">
        <v>0</v>
      </c>
      <c r="BM143" s="542">
        <v>0</v>
      </c>
      <c r="BN143" s="542">
        <v>0</v>
      </c>
      <c r="BO143" s="542">
        <v>0</v>
      </c>
      <c r="BP143" s="542">
        <v>0</v>
      </c>
      <c r="BQ143" s="542">
        <v>0</v>
      </c>
      <c r="BR143" s="542">
        <v>4726.4475499999999</v>
      </c>
      <c r="BS143" s="542">
        <v>1181.6118899999999</v>
      </c>
      <c r="BT143" s="542">
        <v>0</v>
      </c>
      <c r="BU143" s="542">
        <v>60637</v>
      </c>
      <c r="BV143" s="542">
        <v>15159</v>
      </c>
      <c r="BW143" s="542">
        <v>0</v>
      </c>
      <c r="BX143" s="542">
        <v>-55911</v>
      </c>
      <c r="BY143" s="542">
        <v>-13977</v>
      </c>
      <c r="BZ143" s="542">
        <v>0</v>
      </c>
      <c r="CA143" s="542">
        <v>161684.36499999999</v>
      </c>
      <c r="CB143" s="542">
        <v>40421.0913</v>
      </c>
      <c r="CC143" s="542">
        <v>0</v>
      </c>
      <c r="CD143" s="542">
        <v>121274</v>
      </c>
      <c r="CE143" s="542">
        <v>30318</v>
      </c>
      <c r="CF143" s="542">
        <v>0</v>
      </c>
      <c r="CG143" s="542">
        <v>40410</v>
      </c>
      <c r="CH143" s="542">
        <v>10103</v>
      </c>
      <c r="CI143" s="542">
        <v>0</v>
      </c>
      <c r="CJ143" s="542">
        <v>0</v>
      </c>
      <c r="CK143" s="542">
        <v>0</v>
      </c>
      <c r="CL143" s="542">
        <v>0</v>
      </c>
      <c r="CM143" s="542">
        <v>0</v>
      </c>
      <c r="CN143" s="542">
        <v>0</v>
      </c>
      <c r="CO143" s="542">
        <v>0</v>
      </c>
      <c r="CP143" s="542">
        <v>0</v>
      </c>
      <c r="CQ143" s="542">
        <v>0</v>
      </c>
      <c r="CR143" s="542">
        <v>0</v>
      </c>
      <c r="CS143" s="542">
        <v>0</v>
      </c>
      <c r="CT143" s="542">
        <v>0</v>
      </c>
      <c r="CU143" s="542">
        <v>0</v>
      </c>
      <c r="CV143" s="542">
        <v>234200.39</v>
      </c>
      <c r="CW143" s="542">
        <v>58550.097600000001</v>
      </c>
      <c r="CX143" s="542">
        <v>0</v>
      </c>
      <c r="CY143" s="542">
        <v>239173</v>
      </c>
      <c r="CZ143" s="542">
        <v>59280</v>
      </c>
      <c r="DA143" s="542">
        <v>0</v>
      </c>
      <c r="DB143" s="542">
        <v>-4973</v>
      </c>
      <c r="DC143" s="542">
        <v>-730</v>
      </c>
      <c r="DD143" s="542">
        <v>0</v>
      </c>
      <c r="DE143" s="153" t="s">
        <v>151</v>
      </c>
      <c r="DF143" s="103" t="s">
        <v>761</v>
      </c>
      <c r="DG143" s="104" t="s">
        <v>751</v>
      </c>
      <c r="DH143" s="547"/>
      <c r="DI143" s="547"/>
    </row>
    <row r="144" spans="1:113" x14ac:dyDescent="0.2">
      <c r="A144" s="93">
        <v>138</v>
      </c>
      <c r="B144" s="145" t="s">
        <v>154</v>
      </c>
      <c r="C144" s="141" t="s">
        <v>770</v>
      </c>
      <c r="D144" s="142" t="s">
        <v>867</v>
      </c>
      <c r="E144" s="149" t="s">
        <v>882</v>
      </c>
      <c r="F144" s="542">
        <v>-430526</v>
      </c>
      <c r="G144" s="542">
        <v>0</v>
      </c>
      <c r="H144" s="542">
        <v>-430526</v>
      </c>
      <c r="I144" s="542">
        <v>17809</v>
      </c>
      <c r="J144" s="542">
        <v>0</v>
      </c>
      <c r="K144" s="542">
        <v>17809</v>
      </c>
      <c r="L144" s="542">
        <v>-448335</v>
      </c>
      <c r="M144" s="542">
        <v>0</v>
      </c>
      <c r="N144" s="542">
        <v>-448335</v>
      </c>
      <c r="O144" s="543">
        <v>0.5</v>
      </c>
      <c r="P144" s="543">
        <v>0.5</v>
      </c>
      <c r="Q144" s="543">
        <v>0</v>
      </c>
      <c r="R144" s="543">
        <v>0</v>
      </c>
      <c r="S144" s="542">
        <v>251556</v>
      </c>
      <c r="T144" s="542">
        <v>251556</v>
      </c>
      <c r="U144" s="542">
        <v>0</v>
      </c>
      <c r="V144" s="542">
        <v>0</v>
      </c>
      <c r="W144" s="542">
        <v>0</v>
      </c>
      <c r="X144" s="542">
        <v>0</v>
      </c>
      <c r="Y144" s="542">
        <v>140658</v>
      </c>
      <c r="Z144" s="542">
        <v>0</v>
      </c>
      <c r="AA144" s="542">
        <v>62832</v>
      </c>
      <c r="AB144" s="542">
        <v>0</v>
      </c>
      <c r="AC144" s="542">
        <v>77826</v>
      </c>
      <c r="AD144" s="542">
        <v>0</v>
      </c>
      <c r="AE144" s="542">
        <v>0</v>
      </c>
      <c r="AF144" s="542">
        <v>0</v>
      </c>
      <c r="AG144" s="542">
        <v>0</v>
      </c>
      <c r="AH144" s="542">
        <v>0</v>
      </c>
      <c r="AI144" s="542">
        <v>0</v>
      </c>
      <c r="AJ144" s="542">
        <v>0</v>
      </c>
      <c r="AK144" s="542">
        <v>0</v>
      </c>
      <c r="AL144" s="542">
        <v>0</v>
      </c>
      <c r="AM144" s="542">
        <v>0</v>
      </c>
      <c r="AN144" s="542">
        <v>0</v>
      </c>
      <c r="AO144" s="542">
        <v>0</v>
      </c>
      <c r="AP144" s="542">
        <v>0</v>
      </c>
      <c r="AQ144" s="542">
        <v>1175488.82</v>
      </c>
      <c r="AR144" s="542">
        <v>0</v>
      </c>
      <c r="AS144" s="542">
        <v>0</v>
      </c>
      <c r="AT144" s="542">
        <v>1086676</v>
      </c>
      <c r="AU144" s="542">
        <v>0</v>
      </c>
      <c r="AV144" s="542">
        <v>0</v>
      </c>
      <c r="AW144" s="542">
        <v>88813</v>
      </c>
      <c r="AX144" s="542">
        <v>0</v>
      </c>
      <c r="AY144" s="542">
        <v>0</v>
      </c>
      <c r="AZ144" s="542">
        <v>6698.8662400000003</v>
      </c>
      <c r="BA144" s="542">
        <v>0</v>
      </c>
      <c r="BB144" s="542">
        <v>0</v>
      </c>
      <c r="BC144" s="542">
        <v>6064</v>
      </c>
      <c r="BD144" s="542">
        <v>0</v>
      </c>
      <c r="BE144" s="542">
        <v>0</v>
      </c>
      <c r="BF144" s="542">
        <v>635</v>
      </c>
      <c r="BG144" s="542">
        <v>0</v>
      </c>
      <c r="BH144" s="542">
        <v>0</v>
      </c>
      <c r="BI144" s="542">
        <v>7096.5435200000002</v>
      </c>
      <c r="BJ144" s="542">
        <v>0</v>
      </c>
      <c r="BK144" s="542">
        <v>0</v>
      </c>
      <c r="BL144" s="542">
        <v>2527</v>
      </c>
      <c r="BM144" s="542">
        <v>0</v>
      </c>
      <c r="BN144" s="542">
        <v>0</v>
      </c>
      <c r="BO144" s="542">
        <v>4570</v>
      </c>
      <c r="BP144" s="542">
        <v>0</v>
      </c>
      <c r="BQ144" s="542">
        <v>0</v>
      </c>
      <c r="BR144" s="542">
        <v>2105.1125200000001</v>
      </c>
      <c r="BS144" s="542">
        <v>0</v>
      </c>
      <c r="BT144" s="542">
        <v>0</v>
      </c>
      <c r="BU144" s="542">
        <v>50531</v>
      </c>
      <c r="BV144" s="542">
        <v>0</v>
      </c>
      <c r="BW144" s="542">
        <v>0</v>
      </c>
      <c r="BX144" s="542">
        <v>-48426</v>
      </c>
      <c r="BY144" s="542">
        <v>0</v>
      </c>
      <c r="BZ144" s="542">
        <v>0</v>
      </c>
      <c r="CA144" s="542">
        <v>326306.59000000003</v>
      </c>
      <c r="CB144" s="542">
        <v>0</v>
      </c>
      <c r="CC144" s="542">
        <v>0</v>
      </c>
      <c r="CD144" s="542">
        <v>512887</v>
      </c>
      <c r="CE144" s="542">
        <v>0</v>
      </c>
      <c r="CF144" s="542">
        <v>0</v>
      </c>
      <c r="CG144" s="542">
        <v>-186580</v>
      </c>
      <c r="CH144" s="542">
        <v>0</v>
      </c>
      <c r="CI144" s="542">
        <v>0</v>
      </c>
      <c r="CJ144" s="542">
        <v>9075.5</v>
      </c>
      <c r="CK144" s="542">
        <v>0</v>
      </c>
      <c r="CL144" s="542">
        <v>0</v>
      </c>
      <c r="CM144" s="542">
        <v>12208.2377</v>
      </c>
      <c r="CN144" s="542">
        <v>0</v>
      </c>
      <c r="CO144" s="542">
        <v>0</v>
      </c>
      <c r="CP144" s="542">
        <v>16952</v>
      </c>
      <c r="CQ144" s="542">
        <v>0</v>
      </c>
      <c r="CR144" s="542">
        <v>0</v>
      </c>
      <c r="CS144" s="542">
        <v>4332</v>
      </c>
      <c r="CT144" s="542">
        <v>0</v>
      </c>
      <c r="CU144" s="542">
        <v>0</v>
      </c>
      <c r="CV144" s="542">
        <v>173442.99299999999</v>
      </c>
      <c r="CW144" s="542">
        <v>0</v>
      </c>
      <c r="CX144" s="542">
        <v>0</v>
      </c>
      <c r="CY144" s="542">
        <v>185407</v>
      </c>
      <c r="CZ144" s="542">
        <v>0</v>
      </c>
      <c r="DA144" s="542">
        <v>0</v>
      </c>
      <c r="DB144" s="542">
        <v>-11964</v>
      </c>
      <c r="DC144" s="542">
        <v>0</v>
      </c>
      <c r="DD144" s="542">
        <v>0</v>
      </c>
      <c r="DE144" s="153" t="s">
        <v>882</v>
      </c>
      <c r="DF144" s="103" t="s">
        <v>770</v>
      </c>
      <c r="DG144" s="104" t="s">
        <v>751</v>
      </c>
      <c r="DH144" s="547"/>
      <c r="DI144" s="547"/>
    </row>
    <row r="145" spans="1:113" x14ac:dyDescent="0.2">
      <c r="A145" s="93">
        <v>139</v>
      </c>
      <c r="B145" s="145" t="s">
        <v>156</v>
      </c>
      <c r="C145" s="141" t="s">
        <v>770</v>
      </c>
      <c r="D145" s="142" t="s">
        <v>875</v>
      </c>
      <c r="E145" s="149" t="s">
        <v>155</v>
      </c>
      <c r="F145" s="542">
        <v>11647</v>
      </c>
      <c r="G145" s="542">
        <v>0</v>
      </c>
      <c r="H145" s="542">
        <v>11647</v>
      </c>
      <c r="I145" s="542">
        <v>14309</v>
      </c>
      <c r="J145" s="542">
        <v>0</v>
      </c>
      <c r="K145" s="542">
        <v>14309</v>
      </c>
      <c r="L145" s="542">
        <v>-2662</v>
      </c>
      <c r="M145" s="542">
        <v>0</v>
      </c>
      <c r="N145" s="542">
        <v>-2662</v>
      </c>
      <c r="O145" s="543">
        <v>0.5</v>
      </c>
      <c r="P145" s="543">
        <v>0.5</v>
      </c>
      <c r="Q145" s="543">
        <v>0</v>
      </c>
      <c r="R145" s="543">
        <v>0</v>
      </c>
      <c r="S145" s="542">
        <v>25335</v>
      </c>
      <c r="T145" s="542">
        <v>25335</v>
      </c>
      <c r="U145" s="542">
        <v>0</v>
      </c>
      <c r="V145" s="542">
        <v>0</v>
      </c>
      <c r="W145" s="542">
        <v>0</v>
      </c>
      <c r="X145" s="542">
        <v>0</v>
      </c>
      <c r="Y145" s="542">
        <v>0</v>
      </c>
      <c r="Z145" s="542">
        <v>0</v>
      </c>
      <c r="AA145" s="542">
        <v>0</v>
      </c>
      <c r="AB145" s="542">
        <v>0</v>
      </c>
      <c r="AC145" s="542">
        <v>0</v>
      </c>
      <c r="AD145" s="542">
        <v>0</v>
      </c>
      <c r="AE145" s="542">
        <v>0</v>
      </c>
      <c r="AF145" s="542">
        <v>0</v>
      </c>
      <c r="AG145" s="542">
        <v>0</v>
      </c>
      <c r="AH145" s="542">
        <v>0</v>
      </c>
      <c r="AI145" s="542">
        <v>0</v>
      </c>
      <c r="AJ145" s="542">
        <v>0</v>
      </c>
      <c r="AK145" s="542">
        <v>0</v>
      </c>
      <c r="AL145" s="542">
        <v>0</v>
      </c>
      <c r="AM145" s="542">
        <v>0</v>
      </c>
      <c r="AN145" s="542">
        <v>0</v>
      </c>
      <c r="AO145" s="542">
        <v>0</v>
      </c>
      <c r="AP145" s="542">
        <v>0</v>
      </c>
      <c r="AQ145" s="542">
        <v>83096.613500000007</v>
      </c>
      <c r="AR145" s="542">
        <v>0</v>
      </c>
      <c r="AS145" s="542">
        <v>0</v>
      </c>
      <c r="AT145" s="542">
        <v>75451</v>
      </c>
      <c r="AU145" s="542">
        <v>0</v>
      </c>
      <c r="AV145" s="542">
        <v>0</v>
      </c>
      <c r="AW145" s="542">
        <v>7646</v>
      </c>
      <c r="AX145" s="542">
        <v>0</v>
      </c>
      <c r="AY145" s="542">
        <v>0</v>
      </c>
      <c r="AZ145" s="542">
        <v>0</v>
      </c>
      <c r="BA145" s="542">
        <v>0</v>
      </c>
      <c r="BB145" s="542">
        <v>0</v>
      </c>
      <c r="BC145" s="542">
        <v>0</v>
      </c>
      <c r="BD145" s="542">
        <v>0</v>
      </c>
      <c r="BE145" s="542">
        <v>0</v>
      </c>
      <c r="BF145" s="542">
        <v>0</v>
      </c>
      <c r="BG145" s="542">
        <v>0</v>
      </c>
      <c r="BH145" s="542">
        <v>0</v>
      </c>
      <c r="BI145" s="542">
        <v>0</v>
      </c>
      <c r="BJ145" s="542">
        <v>0</v>
      </c>
      <c r="BK145" s="542">
        <v>0</v>
      </c>
      <c r="BL145" s="542">
        <v>0</v>
      </c>
      <c r="BM145" s="542">
        <v>0</v>
      </c>
      <c r="BN145" s="542">
        <v>0</v>
      </c>
      <c r="BO145" s="542">
        <v>0</v>
      </c>
      <c r="BP145" s="542">
        <v>0</v>
      </c>
      <c r="BQ145" s="542">
        <v>0</v>
      </c>
      <c r="BR145" s="542">
        <v>5648.8365100000001</v>
      </c>
      <c r="BS145" s="542">
        <v>0</v>
      </c>
      <c r="BT145" s="542">
        <v>0</v>
      </c>
      <c r="BU145" s="542">
        <v>0</v>
      </c>
      <c r="BV145" s="542">
        <v>0</v>
      </c>
      <c r="BW145" s="542">
        <v>0</v>
      </c>
      <c r="BX145" s="542">
        <v>5649</v>
      </c>
      <c r="BY145" s="542">
        <v>0</v>
      </c>
      <c r="BZ145" s="542">
        <v>0</v>
      </c>
      <c r="CA145" s="542">
        <v>22746.433099999998</v>
      </c>
      <c r="CB145" s="542">
        <v>0</v>
      </c>
      <c r="CC145" s="542">
        <v>0</v>
      </c>
      <c r="CD145" s="542">
        <v>22234</v>
      </c>
      <c r="CE145" s="542">
        <v>0</v>
      </c>
      <c r="CF145" s="542">
        <v>0</v>
      </c>
      <c r="CG145" s="542">
        <v>512</v>
      </c>
      <c r="CH145" s="542">
        <v>0</v>
      </c>
      <c r="CI145" s="542">
        <v>0</v>
      </c>
      <c r="CJ145" s="542">
        <v>2510</v>
      </c>
      <c r="CK145" s="542">
        <v>0</v>
      </c>
      <c r="CL145" s="542">
        <v>0</v>
      </c>
      <c r="CM145" s="542">
        <v>7696.8037700000004</v>
      </c>
      <c r="CN145" s="542">
        <v>0</v>
      </c>
      <c r="CO145" s="542">
        <v>0</v>
      </c>
      <c r="CP145" s="542">
        <v>2896</v>
      </c>
      <c r="CQ145" s="542">
        <v>0</v>
      </c>
      <c r="CR145" s="542">
        <v>0</v>
      </c>
      <c r="CS145" s="542">
        <v>7311</v>
      </c>
      <c r="CT145" s="542">
        <v>0</v>
      </c>
      <c r="CU145" s="542">
        <v>0</v>
      </c>
      <c r="CV145" s="542">
        <v>8228.4925600000006</v>
      </c>
      <c r="CW145" s="542">
        <v>0</v>
      </c>
      <c r="CX145" s="542">
        <v>0</v>
      </c>
      <c r="CY145" s="542">
        <v>8674</v>
      </c>
      <c r="CZ145" s="542">
        <v>0</v>
      </c>
      <c r="DA145" s="542">
        <v>0</v>
      </c>
      <c r="DB145" s="542">
        <v>-446</v>
      </c>
      <c r="DC145" s="542">
        <v>0</v>
      </c>
      <c r="DD145" s="542">
        <v>0</v>
      </c>
      <c r="DE145" s="153" t="s">
        <v>155</v>
      </c>
      <c r="DF145" s="103" t="s">
        <v>770</v>
      </c>
      <c r="DG145" s="104" t="s">
        <v>751</v>
      </c>
      <c r="DH145" s="547"/>
      <c r="DI145" s="547"/>
    </row>
    <row r="146" spans="1:113" x14ac:dyDescent="0.2">
      <c r="A146" s="93">
        <v>140</v>
      </c>
      <c r="B146" s="145" t="s">
        <v>158</v>
      </c>
      <c r="C146" s="141" t="s">
        <v>877</v>
      </c>
      <c r="D146" s="142" t="s">
        <v>872</v>
      </c>
      <c r="E146" s="149" t="s">
        <v>157</v>
      </c>
      <c r="F146" s="542">
        <v>-107397</v>
      </c>
      <c r="G146" s="542">
        <v>0</v>
      </c>
      <c r="H146" s="542">
        <v>-107397</v>
      </c>
      <c r="I146" s="542">
        <v>197923</v>
      </c>
      <c r="J146" s="542">
        <v>0</v>
      </c>
      <c r="K146" s="542">
        <v>197923</v>
      </c>
      <c r="L146" s="542">
        <v>-305320</v>
      </c>
      <c r="M146" s="542">
        <v>0</v>
      </c>
      <c r="N146" s="542">
        <v>-305320</v>
      </c>
      <c r="O146" s="543">
        <v>0.5</v>
      </c>
      <c r="P146" s="543">
        <v>0.3</v>
      </c>
      <c r="Q146" s="543">
        <v>0.2</v>
      </c>
      <c r="R146" s="543">
        <v>0</v>
      </c>
      <c r="S146" s="542">
        <v>647463</v>
      </c>
      <c r="T146" s="542">
        <v>647463</v>
      </c>
      <c r="U146" s="542">
        <v>0</v>
      </c>
      <c r="V146" s="542">
        <v>0</v>
      </c>
      <c r="W146" s="542">
        <v>0</v>
      </c>
      <c r="X146" s="542">
        <v>0</v>
      </c>
      <c r="Y146" s="542">
        <v>60240</v>
      </c>
      <c r="Z146" s="542">
        <v>0</v>
      </c>
      <c r="AA146" s="542">
        <v>0</v>
      </c>
      <c r="AB146" s="542">
        <v>0</v>
      </c>
      <c r="AC146" s="542">
        <v>60240</v>
      </c>
      <c r="AD146" s="542">
        <v>0</v>
      </c>
      <c r="AE146" s="542">
        <v>0</v>
      </c>
      <c r="AF146" s="542">
        <v>0</v>
      </c>
      <c r="AG146" s="542">
        <v>0</v>
      </c>
      <c r="AH146" s="542">
        <v>0</v>
      </c>
      <c r="AI146" s="542">
        <v>0</v>
      </c>
      <c r="AJ146" s="542">
        <v>0</v>
      </c>
      <c r="AK146" s="542">
        <v>0</v>
      </c>
      <c r="AL146" s="542">
        <v>0</v>
      </c>
      <c r="AM146" s="542">
        <v>0</v>
      </c>
      <c r="AN146" s="542">
        <v>0</v>
      </c>
      <c r="AO146" s="542">
        <v>0</v>
      </c>
      <c r="AP146" s="542">
        <v>0</v>
      </c>
      <c r="AQ146" s="542">
        <v>501375.04399999999</v>
      </c>
      <c r="AR146" s="542">
        <v>334250.02899999998</v>
      </c>
      <c r="AS146" s="542">
        <v>0</v>
      </c>
      <c r="AT146" s="542">
        <v>469242</v>
      </c>
      <c r="AU146" s="542">
        <v>312828</v>
      </c>
      <c r="AV146" s="542">
        <v>0</v>
      </c>
      <c r="AW146" s="542">
        <v>32133</v>
      </c>
      <c r="AX146" s="542">
        <v>21422</v>
      </c>
      <c r="AY146" s="542">
        <v>0</v>
      </c>
      <c r="AZ146" s="542">
        <v>7768.50191</v>
      </c>
      <c r="BA146" s="542">
        <v>5179.0012699999997</v>
      </c>
      <c r="BB146" s="542">
        <v>0</v>
      </c>
      <c r="BC146" s="542">
        <v>3032</v>
      </c>
      <c r="BD146" s="542">
        <v>2021</v>
      </c>
      <c r="BE146" s="542">
        <v>0</v>
      </c>
      <c r="BF146" s="542">
        <v>4737</v>
      </c>
      <c r="BG146" s="542">
        <v>3158</v>
      </c>
      <c r="BH146" s="542">
        <v>0</v>
      </c>
      <c r="BI146" s="542">
        <v>44474.1656</v>
      </c>
      <c r="BJ146" s="542">
        <v>29649.4437</v>
      </c>
      <c r="BK146" s="542">
        <v>0</v>
      </c>
      <c r="BL146" s="542">
        <v>30319</v>
      </c>
      <c r="BM146" s="542">
        <v>20212</v>
      </c>
      <c r="BN146" s="542">
        <v>0</v>
      </c>
      <c r="BO146" s="542">
        <v>14155</v>
      </c>
      <c r="BP146" s="542">
        <v>9437</v>
      </c>
      <c r="BQ146" s="542">
        <v>0</v>
      </c>
      <c r="BR146" s="542">
        <v>95.806369399999994</v>
      </c>
      <c r="BS146" s="542">
        <v>63.8709129</v>
      </c>
      <c r="BT146" s="542">
        <v>0</v>
      </c>
      <c r="BU146" s="542">
        <v>78467</v>
      </c>
      <c r="BV146" s="542">
        <v>52312</v>
      </c>
      <c r="BW146" s="542">
        <v>0</v>
      </c>
      <c r="BX146" s="542">
        <v>-78371</v>
      </c>
      <c r="BY146" s="542">
        <v>-52248</v>
      </c>
      <c r="BZ146" s="542">
        <v>0</v>
      </c>
      <c r="CA146" s="542">
        <v>487248.75900000002</v>
      </c>
      <c r="CB146" s="542">
        <v>324832.50599999999</v>
      </c>
      <c r="CC146" s="542">
        <v>0</v>
      </c>
      <c r="CD146" s="542">
        <v>212381</v>
      </c>
      <c r="CE146" s="542">
        <v>141587</v>
      </c>
      <c r="CF146" s="542">
        <v>0</v>
      </c>
      <c r="CG146" s="542">
        <v>274868</v>
      </c>
      <c r="CH146" s="542">
        <v>183246</v>
      </c>
      <c r="CI146" s="542">
        <v>0</v>
      </c>
      <c r="CJ146" s="542">
        <v>0</v>
      </c>
      <c r="CK146" s="542">
        <v>0</v>
      </c>
      <c r="CL146" s="542">
        <v>0</v>
      </c>
      <c r="CM146" s="542">
        <v>0</v>
      </c>
      <c r="CN146" s="542">
        <v>0</v>
      </c>
      <c r="CO146" s="542">
        <v>0</v>
      </c>
      <c r="CP146" s="542">
        <v>0</v>
      </c>
      <c r="CQ146" s="542">
        <v>0</v>
      </c>
      <c r="CR146" s="542">
        <v>0</v>
      </c>
      <c r="CS146" s="542">
        <v>0</v>
      </c>
      <c r="CT146" s="542">
        <v>0</v>
      </c>
      <c r="CU146" s="542">
        <v>0</v>
      </c>
      <c r="CV146" s="542">
        <v>613802.82400000002</v>
      </c>
      <c r="CW146" s="542">
        <v>408775.55599999998</v>
      </c>
      <c r="CX146" s="542">
        <v>0</v>
      </c>
      <c r="CY146" s="542">
        <v>603275</v>
      </c>
      <c r="CZ146" s="542">
        <v>397601</v>
      </c>
      <c r="DA146" s="542">
        <v>0</v>
      </c>
      <c r="DB146" s="542">
        <v>10528</v>
      </c>
      <c r="DC146" s="542">
        <v>11175</v>
      </c>
      <c r="DD146" s="542">
        <v>0</v>
      </c>
      <c r="DE146" s="153" t="s">
        <v>157</v>
      </c>
      <c r="DF146" s="103" t="s">
        <v>762</v>
      </c>
      <c r="DG146" s="103" t="s">
        <v>750</v>
      </c>
      <c r="DH146" s="547"/>
      <c r="DI146" s="547"/>
    </row>
    <row r="147" spans="1:113" x14ac:dyDescent="0.2">
      <c r="A147" s="93">
        <v>141</v>
      </c>
      <c r="B147" s="145" t="s">
        <v>160</v>
      </c>
      <c r="C147" s="141" t="s">
        <v>877</v>
      </c>
      <c r="D147" s="142" t="s">
        <v>872</v>
      </c>
      <c r="E147" s="149" t="s">
        <v>702</v>
      </c>
      <c r="F147" s="542">
        <v>-1051833</v>
      </c>
      <c r="G147" s="542">
        <v>0</v>
      </c>
      <c r="H147" s="542">
        <v>-1051833</v>
      </c>
      <c r="I147" s="542">
        <v>357860</v>
      </c>
      <c r="J147" s="542">
        <v>0</v>
      </c>
      <c r="K147" s="542">
        <v>357860</v>
      </c>
      <c r="L147" s="542">
        <v>-1409693</v>
      </c>
      <c r="M147" s="542">
        <v>0</v>
      </c>
      <c r="N147" s="542">
        <v>-1409693</v>
      </c>
      <c r="O147" s="543">
        <v>0.5</v>
      </c>
      <c r="P147" s="543">
        <v>0.3</v>
      </c>
      <c r="Q147" s="543">
        <v>0.2</v>
      </c>
      <c r="R147" s="543">
        <v>0</v>
      </c>
      <c r="S147" s="542">
        <v>616397</v>
      </c>
      <c r="T147" s="542">
        <v>616397</v>
      </c>
      <c r="U147" s="542">
        <v>0</v>
      </c>
      <c r="V147" s="542">
        <v>0</v>
      </c>
      <c r="W147" s="542">
        <v>0</v>
      </c>
      <c r="X147" s="542">
        <v>0</v>
      </c>
      <c r="Y147" s="542">
        <v>0</v>
      </c>
      <c r="Z147" s="542">
        <v>0</v>
      </c>
      <c r="AA147" s="542">
        <v>0</v>
      </c>
      <c r="AB147" s="542">
        <v>0</v>
      </c>
      <c r="AC147" s="542">
        <v>0</v>
      </c>
      <c r="AD147" s="542">
        <v>0</v>
      </c>
      <c r="AE147" s="542">
        <v>0</v>
      </c>
      <c r="AF147" s="542">
        <v>0</v>
      </c>
      <c r="AG147" s="542">
        <v>0</v>
      </c>
      <c r="AH147" s="542">
        <v>0</v>
      </c>
      <c r="AI147" s="542">
        <v>0</v>
      </c>
      <c r="AJ147" s="542">
        <v>0</v>
      </c>
      <c r="AK147" s="542">
        <v>0</v>
      </c>
      <c r="AL147" s="542">
        <v>0</v>
      </c>
      <c r="AM147" s="542">
        <v>0</v>
      </c>
      <c r="AN147" s="542">
        <v>0</v>
      </c>
      <c r="AO147" s="542">
        <v>0</v>
      </c>
      <c r="AP147" s="542">
        <v>0</v>
      </c>
      <c r="AQ147" s="542">
        <v>256260.36</v>
      </c>
      <c r="AR147" s="542">
        <v>170840.24</v>
      </c>
      <c r="AS147" s="542">
        <v>0</v>
      </c>
      <c r="AT147" s="542">
        <v>216778</v>
      </c>
      <c r="AU147" s="542">
        <v>144519</v>
      </c>
      <c r="AV147" s="542">
        <v>0</v>
      </c>
      <c r="AW147" s="542">
        <v>39482</v>
      </c>
      <c r="AX147" s="542">
        <v>26321</v>
      </c>
      <c r="AY147" s="542">
        <v>0</v>
      </c>
      <c r="AZ147" s="542">
        <v>456.89936299999999</v>
      </c>
      <c r="BA147" s="542">
        <v>304.59957500000002</v>
      </c>
      <c r="BB147" s="542">
        <v>0</v>
      </c>
      <c r="BC147" s="542">
        <v>0</v>
      </c>
      <c r="BD147" s="542">
        <v>0</v>
      </c>
      <c r="BE147" s="542">
        <v>0</v>
      </c>
      <c r="BF147" s="542">
        <v>457</v>
      </c>
      <c r="BG147" s="542">
        <v>305</v>
      </c>
      <c r="BH147" s="542">
        <v>0</v>
      </c>
      <c r="BI147" s="542">
        <v>0</v>
      </c>
      <c r="BJ147" s="542">
        <v>0</v>
      </c>
      <c r="BK147" s="542">
        <v>0</v>
      </c>
      <c r="BL147" s="542">
        <v>18191</v>
      </c>
      <c r="BM147" s="542">
        <v>12127</v>
      </c>
      <c r="BN147" s="542">
        <v>0</v>
      </c>
      <c r="BO147" s="542">
        <v>-18191</v>
      </c>
      <c r="BP147" s="542">
        <v>-12127</v>
      </c>
      <c r="BQ147" s="542">
        <v>0</v>
      </c>
      <c r="BR147" s="542">
        <v>14893.6458</v>
      </c>
      <c r="BS147" s="542">
        <v>9929.0972399999991</v>
      </c>
      <c r="BT147" s="542">
        <v>0</v>
      </c>
      <c r="BU147" s="542">
        <v>121273.88499999999</v>
      </c>
      <c r="BV147" s="542">
        <v>80849.256899999993</v>
      </c>
      <c r="BW147" s="542">
        <v>0</v>
      </c>
      <c r="BX147" s="542">
        <v>-106380</v>
      </c>
      <c r="BY147" s="542">
        <v>-70920</v>
      </c>
      <c r="BZ147" s="542">
        <v>0</v>
      </c>
      <c r="CA147" s="542">
        <v>364005.68900000001</v>
      </c>
      <c r="CB147" s="542">
        <v>242670.459</v>
      </c>
      <c r="CC147" s="542">
        <v>0</v>
      </c>
      <c r="CD147" s="542">
        <v>532089.17200000002</v>
      </c>
      <c r="CE147" s="542">
        <v>354726.114</v>
      </c>
      <c r="CF147" s="542">
        <v>0</v>
      </c>
      <c r="CG147" s="542">
        <v>-168083</v>
      </c>
      <c r="CH147" s="542">
        <v>-112056</v>
      </c>
      <c r="CI147" s="542">
        <v>0</v>
      </c>
      <c r="CJ147" s="542">
        <v>0</v>
      </c>
      <c r="CK147" s="542">
        <v>0</v>
      </c>
      <c r="CL147" s="542">
        <v>0</v>
      </c>
      <c r="CM147" s="542">
        <v>0</v>
      </c>
      <c r="CN147" s="542">
        <v>0</v>
      </c>
      <c r="CO147" s="542">
        <v>0</v>
      </c>
      <c r="CP147" s="542">
        <v>0</v>
      </c>
      <c r="CQ147" s="542">
        <v>0</v>
      </c>
      <c r="CR147" s="542">
        <v>0</v>
      </c>
      <c r="CS147" s="542">
        <v>0</v>
      </c>
      <c r="CT147" s="542">
        <v>0</v>
      </c>
      <c r="CU147" s="542">
        <v>0</v>
      </c>
      <c r="CV147" s="542">
        <v>852842.04299999995</v>
      </c>
      <c r="CW147" s="542">
        <v>568561.36199999996</v>
      </c>
      <c r="CX147" s="542">
        <v>0</v>
      </c>
      <c r="CY147" s="542">
        <v>859386</v>
      </c>
      <c r="CZ147" s="542">
        <v>568561</v>
      </c>
      <c r="DA147" s="542">
        <v>0</v>
      </c>
      <c r="DB147" s="542">
        <v>-6544</v>
      </c>
      <c r="DC147" s="542">
        <v>0</v>
      </c>
      <c r="DD147" s="542">
        <v>0</v>
      </c>
      <c r="DE147" s="153" t="s">
        <v>702</v>
      </c>
      <c r="DF147" s="103" t="s">
        <v>762</v>
      </c>
      <c r="DG147" s="103" t="s">
        <v>750</v>
      </c>
      <c r="DH147" s="547"/>
      <c r="DI147" s="547"/>
    </row>
    <row r="148" spans="1:113" x14ac:dyDescent="0.2">
      <c r="A148" s="93">
        <v>142</v>
      </c>
      <c r="B148" s="145" t="s">
        <v>162</v>
      </c>
      <c r="C148" s="141" t="s">
        <v>866</v>
      </c>
      <c r="D148" s="142" t="s">
        <v>869</v>
      </c>
      <c r="E148" s="149" t="s">
        <v>161</v>
      </c>
      <c r="F148" s="542">
        <v>-138938</v>
      </c>
      <c r="G148" s="542">
        <v>0</v>
      </c>
      <c r="H148" s="542">
        <v>-138938</v>
      </c>
      <c r="I148" s="542">
        <v>-51057</v>
      </c>
      <c r="J148" s="542">
        <v>0</v>
      </c>
      <c r="K148" s="542">
        <v>-51057</v>
      </c>
      <c r="L148" s="542">
        <v>-87881</v>
      </c>
      <c r="M148" s="542">
        <v>0</v>
      </c>
      <c r="N148" s="542">
        <v>-87881</v>
      </c>
      <c r="O148" s="543">
        <v>0.5</v>
      </c>
      <c r="P148" s="543">
        <v>0.4</v>
      </c>
      <c r="Q148" s="543">
        <v>0.1</v>
      </c>
      <c r="R148" s="543">
        <v>0</v>
      </c>
      <c r="S148" s="542">
        <v>110664</v>
      </c>
      <c r="T148" s="542">
        <v>110664</v>
      </c>
      <c r="U148" s="542">
        <v>0</v>
      </c>
      <c r="V148" s="542">
        <v>0</v>
      </c>
      <c r="W148" s="542">
        <v>0</v>
      </c>
      <c r="X148" s="542">
        <v>0</v>
      </c>
      <c r="Y148" s="542">
        <v>76638</v>
      </c>
      <c r="Z148" s="542">
        <v>0</v>
      </c>
      <c r="AA148" s="542">
        <v>0</v>
      </c>
      <c r="AB148" s="542">
        <v>0</v>
      </c>
      <c r="AC148" s="542">
        <v>76638</v>
      </c>
      <c r="AD148" s="542">
        <v>0</v>
      </c>
      <c r="AE148" s="542">
        <v>0</v>
      </c>
      <c r="AF148" s="542">
        <v>0</v>
      </c>
      <c r="AG148" s="542">
        <v>0</v>
      </c>
      <c r="AH148" s="542">
        <v>0</v>
      </c>
      <c r="AI148" s="542">
        <v>0</v>
      </c>
      <c r="AJ148" s="542">
        <v>0</v>
      </c>
      <c r="AK148" s="542">
        <v>0</v>
      </c>
      <c r="AL148" s="542">
        <v>0</v>
      </c>
      <c r="AM148" s="542">
        <v>0</v>
      </c>
      <c r="AN148" s="542">
        <v>0</v>
      </c>
      <c r="AO148" s="542">
        <v>0</v>
      </c>
      <c r="AP148" s="542">
        <v>0</v>
      </c>
      <c r="AQ148" s="542">
        <v>332497.217</v>
      </c>
      <c r="AR148" s="542">
        <v>83124.304399999994</v>
      </c>
      <c r="AS148" s="542">
        <v>0</v>
      </c>
      <c r="AT148" s="542">
        <v>309263</v>
      </c>
      <c r="AU148" s="542">
        <v>77316</v>
      </c>
      <c r="AV148" s="542">
        <v>0</v>
      </c>
      <c r="AW148" s="542">
        <v>23234</v>
      </c>
      <c r="AX148" s="542">
        <v>5808</v>
      </c>
      <c r="AY148" s="542">
        <v>0</v>
      </c>
      <c r="AZ148" s="542">
        <v>3456.30573</v>
      </c>
      <c r="BA148" s="542">
        <v>864.07643299999995</v>
      </c>
      <c r="BB148" s="542">
        <v>0</v>
      </c>
      <c r="BC148" s="542">
        <v>12623</v>
      </c>
      <c r="BD148" s="542">
        <v>3156</v>
      </c>
      <c r="BE148" s="542">
        <v>0</v>
      </c>
      <c r="BF148" s="542">
        <v>-9167</v>
      </c>
      <c r="BG148" s="542">
        <v>-2292</v>
      </c>
      <c r="BH148" s="542">
        <v>0</v>
      </c>
      <c r="BI148" s="542">
        <v>0</v>
      </c>
      <c r="BJ148" s="542">
        <v>0</v>
      </c>
      <c r="BK148" s="542">
        <v>0</v>
      </c>
      <c r="BL148" s="542">
        <v>0</v>
      </c>
      <c r="BM148" s="542">
        <v>0</v>
      </c>
      <c r="BN148" s="542">
        <v>0</v>
      </c>
      <c r="BO148" s="542">
        <v>0</v>
      </c>
      <c r="BP148" s="542">
        <v>0</v>
      </c>
      <c r="BQ148" s="542">
        <v>0</v>
      </c>
      <c r="BR148" s="542">
        <v>959.68067900000005</v>
      </c>
      <c r="BS148" s="542">
        <v>239.92016899999999</v>
      </c>
      <c r="BT148" s="542">
        <v>0</v>
      </c>
      <c r="BU148" s="542">
        <v>36382.1656</v>
      </c>
      <c r="BV148" s="542">
        <v>9095.5414000000001</v>
      </c>
      <c r="BW148" s="542">
        <v>0</v>
      </c>
      <c r="BX148" s="542">
        <v>-35422</v>
      </c>
      <c r="BY148" s="542">
        <v>-8856</v>
      </c>
      <c r="BZ148" s="542">
        <v>0</v>
      </c>
      <c r="CA148" s="542">
        <v>114764.307</v>
      </c>
      <c r="CB148" s="542">
        <v>28691.076799999999</v>
      </c>
      <c r="CC148" s="542">
        <v>0</v>
      </c>
      <c r="CD148" s="542">
        <v>165740.976</v>
      </c>
      <c r="CE148" s="542">
        <v>41435.244100000004</v>
      </c>
      <c r="CF148" s="542">
        <v>0</v>
      </c>
      <c r="CG148" s="542">
        <v>-50977</v>
      </c>
      <c r="CH148" s="542">
        <v>-12744</v>
      </c>
      <c r="CI148" s="542">
        <v>0</v>
      </c>
      <c r="CJ148" s="542">
        <v>0</v>
      </c>
      <c r="CK148" s="542">
        <v>0</v>
      </c>
      <c r="CL148" s="542">
        <v>0</v>
      </c>
      <c r="CM148" s="542">
        <v>0</v>
      </c>
      <c r="CN148" s="542">
        <v>0</v>
      </c>
      <c r="CO148" s="542">
        <v>0</v>
      </c>
      <c r="CP148" s="542">
        <v>0</v>
      </c>
      <c r="CQ148" s="542">
        <v>0</v>
      </c>
      <c r="CR148" s="542">
        <v>0</v>
      </c>
      <c r="CS148" s="542">
        <v>0</v>
      </c>
      <c r="CT148" s="542">
        <v>0</v>
      </c>
      <c r="CU148" s="542">
        <v>0</v>
      </c>
      <c r="CV148" s="542">
        <v>129652.33100000001</v>
      </c>
      <c r="CW148" s="542">
        <v>32209.690999999999</v>
      </c>
      <c r="CX148" s="542">
        <v>0</v>
      </c>
      <c r="CY148" s="542">
        <v>130661</v>
      </c>
      <c r="CZ148" s="542">
        <v>32372</v>
      </c>
      <c r="DA148" s="542">
        <v>0</v>
      </c>
      <c r="DB148" s="542">
        <v>-1009</v>
      </c>
      <c r="DC148" s="542">
        <v>-162</v>
      </c>
      <c r="DD148" s="542">
        <v>0</v>
      </c>
      <c r="DE148" s="153" t="s">
        <v>161</v>
      </c>
      <c r="DF148" s="103" t="s">
        <v>799</v>
      </c>
      <c r="DG148" s="104" t="s">
        <v>751</v>
      </c>
      <c r="DH148" s="547"/>
      <c r="DI148" s="547"/>
    </row>
    <row r="149" spans="1:113" ht="12.75" x14ac:dyDescent="0.2">
      <c r="A149" s="93">
        <v>143</v>
      </c>
      <c r="B149" s="145" t="s">
        <v>164</v>
      </c>
      <c r="C149" s="141" t="s">
        <v>866</v>
      </c>
      <c r="D149" s="142" t="s">
        <v>870</v>
      </c>
      <c r="E149" s="149" t="s">
        <v>883</v>
      </c>
      <c r="F149" s="542">
        <v>55524</v>
      </c>
      <c r="G149" s="542">
        <v>0</v>
      </c>
      <c r="H149" s="542">
        <v>55524</v>
      </c>
      <c r="I149" s="542">
        <v>219374</v>
      </c>
      <c r="J149" s="542">
        <v>0</v>
      </c>
      <c r="K149" s="542">
        <v>219374</v>
      </c>
      <c r="L149" s="542">
        <v>-163850</v>
      </c>
      <c r="M149" s="542">
        <v>0</v>
      </c>
      <c r="N149" s="542">
        <v>-163850</v>
      </c>
      <c r="O149" s="543">
        <v>0.5</v>
      </c>
      <c r="P149" s="543">
        <v>0.4</v>
      </c>
      <c r="Q149" s="543">
        <v>0.1</v>
      </c>
      <c r="R149" s="543">
        <v>0</v>
      </c>
      <c r="S149" s="542">
        <v>217818</v>
      </c>
      <c r="T149" s="542">
        <v>217818</v>
      </c>
      <c r="U149" s="542">
        <v>0</v>
      </c>
      <c r="V149" s="542">
        <v>0</v>
      </c>
      <c r="W149" s="542">
        <v>0</v>
      </c>
      <c r="X149" s="542">
        <v>0</v>
      </c>
      <c r="Y149" s="542">
        <v>555504</v>
      </c>
      <c r="Z149" s="542">
        <v>0</v>
      </c>
      <c r="AA149" s="542">
        <v>506100</v>
      </c>
      <c r="AB149" s="542">
        <v>0</v>
      </c>
      <c r="AC149" s="542">
        <v>49404</v>
      </c>
      <c r="AD149" s="542">
        <v>0</v>
      </c>
      <c r="AE149" s="542">
        <v>0</v>
      </c>
      <c r="AF149" s="542">
        <v>0</v>
      </c>
      <c r="AG149" s="542">
        <v>0</v>
      </c>
      <c r="AH149" s="542">
        <v>0</v>
      </c>
      <c r="AI149" s="542">
        <v>0</v>
      </c>
      <c r="AJ149" s="542">
        <v>0</v>
      </c>
      <c r="AK149" s="542">
        <v>0</v>
      </c>
      <c r="AL149" s="542">
        <v>0</v>
      </c>
      <c r="AM149" s="542">
        <v>0</v>
      </c>
      <c r="AN149" s="542">
        <v>0</v>
      </c>
      <c r="AO149" s="542">
        <v>0</v>
      </c>
      <c r="AP149" s="542">
        <v>0</v>
      </c>
      <c r="AQ149" s="542">
        <v>693862.47100000002</v>
      </c>
      <c r="AR149" s="542">
        <v>173465.617</v>
      </c>
      <c r="AS149" s="542">
        <v>0</v>
      </c>
      <c r="AT149" s="542">
        <v>629452</v>
      </c>
      <c r="AU149" s="542">
        <v>157363</v>
      </c>
      <c r="AV149" s="542">
        <v>0</v>
      </c>
      <c r="AW149" s="542">
        <v>64410</v>
      </c>
      <c r="AX149" s="542">
        <v>16103</v>
      </c>
      <c r="AY149" s="542">
        <v>0</v>
      </c>
      <c r="AZ149" s="542">
        <v>2113.39957</v>
      </c>
      <c r="BA149" s="542">
        <v>528.34989299999995</v>
      </c>
      <c r="BB149" s="542">
        <v>0</v>
      </c>
      <c r="BC149" s="542">
        <v>4851</v>
      </c>
      <c r="BD149" s="542">
        <v>1213</v>
      </c>
      <c r="BE149" s="542">
        <v>0</v>
      </c>
      <c r="BF149" s="542">
        <v>-2738</v>
      </c>
      <c r="BG149" s="542">
        <v>-685</v>
      </c>
      <c r="BH149" s="542">
        <v>0</v>
      </c>
      <c r="BI149" s="542">
        <v>7652.3821600000001</v>
      </c>
      <c r="BJ149" s="542">
        <v>1913.09554</v>
      </c>
      <c r="BK149" s="542">
        <v>0</v>
      </c>
      <c r="BL149" s="542">
        <v>40425</v>
      </c>
      <c r="BM149" s="542">
        <v>10106</v>
      </c>
      <c r="BN149" s="542">
        <v>0</v>
      </c>
      <c r="BO149" s="542">
        <v>-32773</v>
      </c>
      <c r="BP149" s="542">
        <v>-8193</v>
      </c>
      <c r="BQ149" s="542">
        <v>0</v>
      </c>
      <c r="BR149" s="542">
        <v>3059.7401199999999</v>
      </c>
      <c r="BS149" s="542">
        <v>764.93503099999998</v>
      </c>
      <c r="BT149" s="542">
        <v>0</v>
      </c>
      <c r="BU149" s="542">
        <v>111168</v>
      </c>
      <c r="BV149" s="542">
        <v>27792</v>
      </c>
      <c r="BW149" s="542">
        <v>0</v>
      </c>
      <c r="BX149" s="542">
        <v>-108108</v>
      </c>
      <c r="BY149" s="542">
        <v>-27027</v>
      </c>
      <c r="BZ149" s="542">
        <v>0</v>
      </c>
      <c r="CA149" s="542">
        <v>184589.36300000001</v>
      </c>
      <c r="CB149" s="542">
        <v>46147.340900000003</v>
      </c>
      <c r="CC149" s="542">
        <v>0</v>
      </c>
      <c r="CD149" s="542">
        <v>515414</v>
      </c>
      <c r="CE149" s="542">
        <v>128854</v>
      </c>
      <c r="CF149" s="542">
        <v>0</v>
      </c>
      <c r="CG149" s="542">
        <v>-330825</v>
      </c>
      <c r="CH149" s="542">
        <v>-82707</v>
      </c>
      <c r="CI149" s="542">
        <v>0</v>
      </c>
      <c r="CJ149" s="542">
        <v>0</v>
      </c>
      <c r="CK149" s="542">
        <v>0</v>
      </c>
      <c r="CL149" s="542">
        <v>0</v>
      </c>
      <c r="CM149" s="542">
        <v>6508.7694199999996</v>
      </c>
      <c r="CN149" s="542">
        <v>1627.19235</v>
      </c>
      <c r="CO149" s="542">
        <v>0</v>
      </c>
      <c r="CP149" s="542">
        <v>0</v>
      </c>
      <c r="CQ149" s="542">
        <v>0</v>
      </c>
      <c r="CR149" s="542">
        <v>0</v>
      </c>
      <c r="CS149" s="542">
        <v>6509</v>
      </c>
      <c r="CT149" s="542">
        <v>1627</v>
      </c>
      <c r="CU149" s="542">
        <v>0</v>
      </c>
      <c r="CV149" s="542">
        <v>179465.18900000001</v>
      </c>
      <c r="CW149" s="542">
        <v>43392.029699999999</v>
      </c>
      <c r="CX149" s="542">
        <v>0</v>
      </c>
      <c r="CY149" s="542">
        <v>176532</v>
      </c>
      <c r="CZ149" s="542">
        <v>42212</v>
      </c>
      <c r="DA149" s="542">
        <v>0</v>
      </c>
      <c r="DB149" s="542">
        <v>2933</v>
      </c>
      <c r="DC149" s="542">
        <v>1180</v>
      </c>
      <c r="DD149" s="542">
        <v>0</v>
      </c>
      <c r="DE149" s="153" t="s">
        <v>883</v>
      </c>
      <c r="DF149" s="103" t="s">
        <v>782</v>
      </c>
      <c r="DG149" s="104" t="s">
        <v>751</v>
      </c>
      <c r="DH149" s="548"/>
      <c r="DI149" s="548"/>
    </row>
    <row r="150" spans="1:113" x14ac:dyDescent="0.2">
      <c r="A150" s="93">
        <v>144</v>
      </c>
      <c r="B150" s="145" t="s">
        <v>166</v>
      </c>
      <c r="C150" s="141" t="s">
        <v>770</v>
      </c>
      <c r="D150" s="142" t="s">
        <v>874</v>
      </c>
      <c r="E150" s="149" t="s">
        <v>884</v>
      </c>
      <c r="F150" s="542">
        <v>-817385</v>
      </c>
      <c r="G150" s="542">
        <v>0</v>
      </c>
      <c r="H150" s="542">
        <v>-817385</v>
      </c>
      <c r="I150" s="542">
        <v>-333977</v>
      </c>
      <c r="J150" s="542">
        <v>0</v>
      </c>
      <c r="K150" s="542">
        <v>-333977</v>
      </c>
      <c r="L150" s="542">
        <v>-483408</v>
      </c>
      <c r="M150" s="542">
        <v>0</v>
      </c>
      <c r="N150" s="542">
        <v>-483408</v>
      </c>
      <c r="O150" s="543">
        <v>0.5</v>
      </c>
      <c r="P150" s="543">
        <v>0.49</v>
      </c>
      <c r="Q150" s="543">
        <v>0</v>
      </c>
      <c r="R150" s="543">
        <v>0.01</v>
      </c>
      <c r="S150" s="542">
        <v>372932</v>
      </c>
      <c r="T150" s="542">
        <v>372932</v>
      </c>
      <c r="U150" s="542">
        <v>0</v>
      </c>
      <c r="V150" s="542">
        <v>18806</v>
      </c>
      <c r="W150" s="542">
        <v>34383</v>
      </c>
      <c r="X150" s="542">
        <v>-15577</v>
      </c>
      <c r="Y150" s="542">
        <v>0</v>
      </c>
      <c r="Z150" s="542">
        <v>0</v>
      </c>
      <c r="AA150" s="542">
        <v>0</v>
      </c>
      <c r="AB150" s="542">
        <v>0</v>
      </c>
      <c r="AC150" s="542">
        <v>0</v>
      </c>
      <c r="AD150" s="542">
        <v>0</v>
      </c>
      <c r="AE150" s="542">
        <v>0</v>
      </c>
      <c r="AF150" s="542">
        <v>0</v>
      </c>
      <c r="AG150" s="542">
        <v>0</v>
      </c>
      <c r="AH150" s="542">
        <v>0</v>
      </c>
      <c r="AI150" s="542">
        <v>0</v>
      </c>
      <c r="AJ150" s="542">
        <v>0</v>
      </c>
      <c r="AK150" s="542">
        <v>0</v>
      </c>
      <c r="AL150" s="542">
        <v>0</v>
      </c>
      <c r="AM150" s="542">
        <v>0</v>
      </c>
      <c r="AN150" s="542">
        <v>0</v>
      </c>
      <c r="AO150" s="542">
        <v>0</v>
      </c>
      <c r="AP150" s="542">
        <v>0</v>
      </c>
      <c r="AQ150" s="542">
        <v>1604930.13</v>
      </c>
      <c r="AR150" s="542">
        <v>0</v>
      </c>
      <c r="AS150" s="542">
        <v>32753.68</v>
      </c>
      <c r="AT150" s="542">
        <v>1288484</v>
      </c>
      <c r="AU150" s="542">
        <v>0</v>
      </c>
      <c r="AV150" s="542">
        <v>26296</v>
      </c>
      <c r="AW150" s="542">
        <v>316446</v>
      </c>
      <c r="AX150" s="542">
        <v>0</v>
      </c>
      <c r="AY150" s="542">
        <v>6458</v>
      </c>
      <c r="AZ150" s="542">
        <v>660.1</v>
      </c>
      <c r="BA150" s="542">
        <v>0</v>
      </c>
      <c r="BB150" s="542">
        <v>13.47</v>
      </c>
      <c r="BC150" s="542">
        <v>57494</v>
      </c>
      <c r="BD150" s="542">
        <v>0</v>
      </c>
      <c r="BE150" s="542">
        <v>1173</v>
      </c>
      <c r="BF150" s="542">
        <v>-56834</v>
      </c>
      <c r="BG150" s="542">
        <v>0</v>
      </c>
      <c r="BH150" s="542">
        <v>-1160</v>
      </c>
      <c r="BI150" s="542">
        <v>0</v>
      </c>
      <c r="BJ150" s="542">
        <v>0</v>
      </c>
      <c r="BK150" s="542">
        <v>0</v>
      </c>
      <c r="BL150" s="542">
        <v>74280</v>
      </c>
      <c r="BM150" s="542">
        <v>0</v>
      </c>
      <c r="BN150" s="542">
        <v>1516</v>
      </c>
      <c r="BO150" s="542">
        <v>-74280</v>
      </c>
      <c r="BP150" s="542">
        <v>0</v>
      </c>
      <c r="BQ150" s="542">
        <v>-1516</v>
      </c>
      <c r="BR150" s="542">
        <v>11462.93</v>
      </c>
      <c r="BS150" s="542">
        <v>0</v>
      </c>
      <c r="BT150" s="542">
        <v>233.94</v>
      </c>
      <c r="BU150" s="542">
        <v>198080.68</v>
      </c>
      <c r="BV150" s="542">
        <v>0</v>
      </c>
      <c r="BW150" s="542">
        <v>4042.46</v>
      </c>
      <c r="BX150" s="542">
        <v>-186618</v>
      </c>
      <c r="BY150" s="542">
        <v>0</v>
      </c>
      <c r="BZ150" s="542">
        <v>-3809</v>
      </c>
      <c r="CA150" s="542">
        <v>544013.23</v>
      </c>
      <c r="CB150" s="542">
        <v>0</v>
      </c>
      <c r="CC150" s="542">
        <v>11102.31</v>
      </c>
      <c r="CD150" s="542">
        <v>580871.59</v>
      </c>
      <c r="CE150" s="542">
        <v>0</v>
      </c>
      <c r="CF150" s="542">
        <v>11854.52</v>
      </c>
      <c r="CG150" s="542">
        <v>-36858</v>
      </c>
      <c r="CH150" s="542">
        <v>0</v>
      </c>
      <c r="CI150" s="542">
        <v>-752</v>
      </c>
      <c r="CJ150" s="542">
        <v>77002.03</v>
      </c>
      <c r="CK150" s="542">
        <v>0</v>
      </c>
      <c r="CL150" s="542">
        <v>1571.47</v>
      </c>
      <c r="CM150" s="542">
        <v>120578.15</v>
      </c>
      <c r="CN150" s="542">
        <v>0</v>
      </c>
      <c r="CO150" s="542">
        <v>2460.7800000000002</v>
      </c>
      <c r="CP150" s="542">
        <v>75341</v>
      </c>
      <c r="CQ150" s="542">
        <v>0</v>
      </c>
      <c r="CR150" s="542">
        <v>1537.58</v>
      </c>
      <c r="CS150" s="542">
        <v>122239</v>
      </c>
      <c r="CT150" s="542">
        <v>0</v>
      </c>
      <c r="CU150" s="542">
        <v>2495</v>
      </c>
      <c r="CV150" s="542">
        <v>432300.86</v>
      </c>
      <c r="CW150" s="542">
        <v>0</v>
      </c>
      <c r="CX150" s="542">
        <v>8818.39</v>
      </c>
      <c r="CY150" s="542">
        <v>443660</v>
      </c>
      <c r="CZ150" s="542">
        <v>0</v>
      </c>
      <c r="DA150" s="542">
        <v>8962</v>
      </c>
      <c r="DB150" s="542">
        <v>-11359</v>
      </c>
      <c r="DC150" s="542">
        <v>0</v>
      </c>
      <c r="DD150" s="542">
        <v>-144</v>
      </c>
      <c r="DE150" s="153" t="s">
        <v>884</v>
      </c>
      <c r="DF150" s="103" t="s">
        <v>770</v>
      </c>
      <c r="DG150" s="104" t="s">
        <v>805</v>
      </c>
      <c r="DH150" s="549" t="s">
        <v>1185</v>
      </c>
      <c r="DI150" s="549" t="s">
        <v>1186</v>
      </c>
    </row>
    <row r="151" spans="1:113" x14ac:dyDescent="0.2">
      <c r="A151" s="93">
        <v>145</v>
      </c>
      <c r="B151" s="145" t="s">
        <v>168</v>
      </c>
      <c r="C151" s="141" t="s">
        <v>871</v>
      </c>
      <c r="D151" s="142" t="s">
        <v>872</v>
      </c>
      <c r="E151" s="149" t="s">
        <v>167</v>
      </c>
      <c r="F151" s="542">
        <v>-1062745</v>
      </c>
      <c r="G151" s="542">
        <v>0</v>
      </c>
      <c r="H151" s="542">
        <v>-1062745</v>
      </c>
      <c r="I151" s="542">
        <v>2272</v>
      </c>
      <c r="J151" s="542">
        <v>0</v>
      </c>
      <c r="K151" s="542">
        <v>2272</v>
      </c>
      <c r="L151" s="542">
        <v>-1065017</v>
      </c>
      <c r="M151" s="542">
        <v>0</v>
      </c>
      <c r="N151" s="542">
        <v>-1065017</v>
      </c>
      <c r="O151" s="543">
        <v>0.5</v>
      </c>
      <c r="P151" s="543">
        <v>0.3</v>
      </c>
      <c r="Q151" s="543">
        <v>0.2</v>
      </c>
      <c r="R151" s="543">
        <v>0</v>
      </c>
      <c r="S151" s="542">
        <v>257133</v>
      </c>
      <c r="T151" s="542">
        <v>257133</v>
      </c>
      <c r="U151" s="542">
        <v>0</v>
      </c>
      <c r="V151" s="542">
        <v>0</v>
      </c>
      <c r="W151" s="542">
        <v>0</v>
      </c>
      <c r="X151" s="542">
        <v>0</v>
      </c>
      <c r="Y151" s="542">
        <v>0</v>
      </c>
      <c r="Z151" s="542">
        <v>0</v>
      </c>
      <c r="AA151" s="542">
        <v>0</v>
      </c>
      <c r="AB151" s="542">
        <v>0</v>
      </c>
      <c r="AC151" s="542">
        <v>0</v>
      </c>
      <c r="AD151" s="542">
        <v>0</v>
      </c>
      <c r="AE151" s="542">
        <v>0</v>
      </c>
      <c r="AF151" s="542">
        <v>0</v>
      </c>
      <c r="AG151" s="542">
        <v>0</v>
      </c>
      <c r="AH151" s="542">
        <v>0</v>
      </c>
      <c r="AI151" s="542">
        <v>0</v>
      </c>
      <c r="AJ151" s="542">
        <v>0</v>
      </c>
      <c r="AK151" s="542">
        <v>0</v>
      </c>
      <c r="AL151" s="542">
        <v>0</v>
      </c>
      <c r="AM151" s="542">
        <v>0</v>
      </c>
      <c r="AN151" s="542">
        <v>0</v>
      </c>
      <c r="AO151" s="542">
        <v>0</v>
      </c>
      <c r="AP151" s="542">
        <v>0</v>
      </c>
      <c r="AQ151" s="542">
        <v>364691.49300000002</v>
      </c>
      <c r="AR151" s="542">
        <v>243127.66200000001</v>
      </c>
      <c r="AS151" s="542">
        <v>0</v>
      </c>
      <c r="AT151" s="542">
        <v>338757</v>
      </c>
      <c r="AU151" s="542">
        <v>225838</v>
      </c>
      <c r="AV151" s="542">
        <v>0</v>
      </c>
      <c r="AW151" s="542">
        <v>25934</v>
      </c>
      <c r="AX151" s="542">
        <v>17290</v>
      </c>
      <c r="AY151" s="542">
        <v>0</v>
      </c>
      <c r="AZ151" s="542">
        <v>0</v>
      </c>
      <c r="BA151" s="542">
        <v>0</v>
      </c>
      <c r="BB151" s="542">
        <v>0</v>
      </c>
      <c r="BC151" s="542">
        <v>15159</v>
      </c>
      <c r="BD151" s="542">
        <v>10106</v>
      </c>
      <c r="BE151" s="542">
        <v>0</v>
      </c>
      <c r="BF151" s="542">
        <v>-15159</v>
      </c>
      <c r="BG151" s="542">
        <v>-10106</v>
      </c>
      <c r="BH151" s="542">
        <v>0</v>
      </c>
      <c r="BI151" s="542">
        <v>0</v>
      </c>
      <c r="BJ151" s="542">
        <v>0</v>
      </c>
      <c r="BK151" s="542">
        <v>0</v>
      </c>
      <c r="BL151" s="542">
        <v>30319</v>
      </c>
      <c r="BM151" s="542">
        <v>20212</v>
      </c>
      <c r="BN151" s="542">
        <v>0</v>
      </c>
      <c r="BO151" s="542">
        <v>-30319</v>
      </c>
      <c r="BP151" s="542">
        <v>-20212</v>
      </c>
      <c r="BQ151" s="542">
        <v>0</v>
      </c>
      <c r="BR151" s="542">
        <v>0</v>
      </c>
      <c r="BS151" s="542">
        <v>0</v>
      </c>
      <c r="BT151" s="542">
        <v>0</v>
      </c>
      <c r="BU151" s="542">
        <v>90955.414000000004</v>
      </c>
      <c r="BV151" s="542">
        <v>60636.942600000002</v>
      </c>
      <c r="BW151" s="542">
        <v>0</v>
      </c>
      <c r="BX151" s="542">
        <v>-90955</v>
      </c>
      <c r="BY151" s="542">
        <v>-60637</v>
      </c>
      <c r="BZ151" s="542">
        <v>0</v>
      </c>
      <c r="CA151" s="542">
        <v>192858.524</v>
      </c>
      <c r="CB151" s="542">
        <v>128572.349</v>
      </c>
      <c r="CC151" s="542">
        <v>0</v>
      </c>
      <c r="CD151" s="542">
        <v>272866.24200000003</v>
      </c>
      <c r="CE151" s="542">
        <v>181910.82800000001</v>
      </c>
      <c r="CF151" s="542">
        <v>0</v>
      </c>
      <c r="CG151" s="542">
        <v>-80008</v>
      </c>
      <c r="CH151" s="542">
        <v>-53338</v>
      </c>
      <c r="CI151" s="542">
        <v>0</v>
      </c>
      <c r="CJ151" s="542">
        <v>0</v>
      </c>
      <c r="CK151" s="542">
        <v>0</v>
      </c>
      <c r="CL151" s="542">
        <v>0</v>
      </c>
      <c r="CM151" s="542">
        <v>23065.989799999999</v>
      </c>
      <c r="CN151" s="542">
        <v>15377.326499999999</v>
      </c>
      <c r="CO151" s="542">
        <v>0</v>
      </c>
      <c r="CP151" s="542">
        <v>23220</v>
      </c>
      <c r="CQ151" s="542">
        <v>15480</v>
      </c>
      <c r="CR151" s="542">
        <v>0</v>
      </c>
      <c r="CS151" s="542">
        <v>-154</v>
      </c>
      <c r="CT151" s="542">
        <v>-103</v>
      </c>
      <c r="CU151" s="542">
        <v>0</v>
      </c>
      <c r="CV151" s="542">
        <v>254128.21599999999</v>
      </c>
      <c r="CW151" s="542">
        <v>169418.81099999999</v>
      </c>
      <c r="CX151" s="542">
        <v>0</v>
      </c>
      <c r="CY151" s="542">
        <v>263073</v>
      </c>
      <c r="CZ151" s="542">
        <v>173562</v>
      </c>
      <c r="DA151" s="542">
        <v>0</v>
      </c>
      <c r="DB151" s="542">
        <v>-8945</v>
      </c>
      <c r="DC151" s="542">
        <v>-4143</v>
      </c>
      <c r="DD151" s="542">
        <v>0</v>
      </c>
      <c r="DE151" s="153" t="s">
        <v>167</v>
      </c>
      <c r="DF151" s="103" t="s">
        <v>762</v>
      </c>
      <c r="DG151" s="103" t="s">
        <v>750</v>
      </c>
      <c r="DH151" s="547"/>
      <c r="DI151" s="547"/>
    </row>
    <row r="152" spans="1:113" x14ac:dyDescent="0.2">
      <c r="A152" s="93">
        <v>146</v>
      </c>
      <c r="B152" s="145" t="s">
        <v>170</v>
      </c>
      <c r="C152" s="141" t="s">
        <v>873</v>
      </c>
      <c r="D152" s="142" t="s">
        <v>874</v>
      </c>
      <c r="E152" s="149" t="s">
        <v>169</v>
      </c>
      <c r="F152" s="542">
        <v>-1071598</v>
      </c>
      <c r="G152" s="542">
        <v>0</v>
      </c>
      <c r="H152" s="542">
        <v>-1071598</v>
      </c>
      <c r="I152" s="542">
        <v>258040</v>
      </c>
      <c r="J152" s="542">
        <v>0</v>
      </c>
      <c r="K152" s="542">
        <v>258040</v>
      </c>
      <c r="L152" s="542">
        <v>-1329638</v>
      </c>
      <c r="M152" s="542">
        <v>0</v>
      </c>
      <c r="N152" s="542">
        <v>-1329638</v>
      </c>
      <c r="O152" s="543">
        <v>0.5</v>
      </c>
      <c r="P152" s="543">
        <v>0.49</v>
      </c>
      <c r="Q152" s="543">
        <v>0</v>
      </c>
      <c r="R152" s="543">
        <v>0.01</v>
      </c>
      <c r="S152" s="542">
        <v>613307</v>
      </c>
      <c r="T152" s="542">
        <v>613307</v>
      </c>
      <c r="U152" s="542">
        <v>0</v>
      </c>
      <c r="V152" s="542">
        <v>0</v>
      </c>
      <c r="W152" s="542">
        <v>0</v>
      </c>
      <c r="X152" s="542">
        <v>0</v>
      </c>
      <c r="Y152" s="542">
        <v>0</v>
      </c>
      <c r="Z152" s="542">
        <v>0</v>
      </c>
      <c r="AA152" s="542">
        <v>0</v>
      </c>
      <c r="AB152" s="542">
        <v>0</v>
      </c>
      <c r="AC152" s="542">
        <v>0</v>
      </c>
      <c r="AD152" s="542">
        <v>0</v>
      </c>
      <c r="AE152" s="542">
        <v>0</v>
      </c>
      <c r="AF152" s="542">
        <v>0</v>
      </c>
      <c r="AG152" s="542">
        <v>0</v>
      </c>
      <c r="AH152" s="542">
        <v>0</v>
      </c>
      <c r="AI152" s="542">
        <v>0</v>
      </c>
      <c r="AJ152" s="542">
        <v>0</v>
      </c>
      <c r="AK152" s="542">
        <v>0</v>
      </c>
      <c r="AL152" s="542">
        <v>0</v>
      </c>
      <c r="AM152" s="542">
        <v>0</v>
      </c>
      <c r="AN152" s="542">
        <v>0</v>
      </c>
      <c r="AO152" s="542">
        <v>0</v>
      </c>
      <c r="AP152" s="542">
        <v>0</v>
      </c>
      <c r="AQ152" s="542">
        <v>2965392.07</v>
      </c>
      <c r="AR152" s="542">
        <v>0</v>
      </c>
      <c r="AS152" s="542">
        <v>60518.21</v>
      </c>
      <c r="AT152" s="542">
        <v>2821435</v>
      </c>
      <c r="AU152" s="542">
        <v>0</v>
      </c>
      <c r="AV152" s="542">
        <v>57580</v>
      </c>
      <c r="AW152" s="542">
        <v>143957</v>
      </c>
      <c r="AX152" s="542">
        <v>0</v>
      </c>
      <c r="AY152" s="542">
        <v>2938</v>
      </c>
      <c r="AZ152" s="542">
        <v>8860.64</v>
      </c>
      <c r="BA152" s="542">
        <v>0</v>
      </c>
      <c r="BB152" s="542">
        <v>180.83</v>
      </c>
      <c r="BC152" s="542">
        <v>69972</v>
      </c>
      <c r="BD152" s="542">
        <v>0</v>
      </c>
      <c r="BE152" s="542">
        <v>1428</v>
      </c>
      <c r="BF152" s="542">
        <v>-61111</v>
      </c>
      <c r="BG152" s="542">
        <v>0</v>
      </c>
      <c r="BH152" s="542">
        <v>-1247</v>
      </c>
      <c r="BI152" s="542">
        <v>0</v>
      </c>
      <c r="BJ152" s="542">
        <v>0</v>
      </c>
      <c r="BK152" s="542">
        <v>0</v>
      </c>
      <c r="BL152" s="542">
        <v>22391</v>
      </c>
      <c r="BM152" s="542">
        <v>0</v>
      </c>
      <c r="BN152" s="542">
        <v>457</v>
      </c>
      <c r="BO152" s="542">
        <v>-22391</v>
      </c>
      <c r="BP152" s="542">
        <v>0</v>
      </c>
      <c r="BQ152" s="542">
        <v>-457</v>
      </c>
      <c r="BR152" s="542">
        <v>23790.48</v>
      </c>
      <c r="BS152" s="542">
        <v>0</v>
      </c>
      <c r="BT152" s="542">
        <v>485.52</v>
      </c>
      <c r="BU152" s="542">
        <v>104958</v>
      </c>
      <c r="BV152" s="542">
        <v>0</v>
      </c>
      <c r="BW152" s="542">
        <v>2142</v>
      </c>
      <c r="BX152" s="542">
        <v>-81168</v>
      </c>
      <c r="BY152" s="542">
        <v>0</v>
      </c>
      <c r="BZ152" s="542">
        <v>-1656</v>
      </c>
      <c r="CA152" s="542">
        <v>731503.04</v>
      </c>
      <c r="CB152" s="542">
        <v>0</v>
      </c>
      <c r="CC152" s="542">
        <v>14928.63</v>
      </c>
      <c r="CD152" s="542">
        <v>495202</v>
      </c>
      <c r="CE152" s="542">
        <v>0</v>
      </c>
      <c r="CF152" s="542">
        <v>10106</v>
      </c>
      <c r="CG152" s="542">
        <v>236301</v>
      </c>
      <c r="CH152" s="542">
        <v>0</v>
      </c>
      <c r="CI152" s="542">
        <v>4823</v>
      </c>
      <c r="CJ152" s="542">
        <v>0</v>
      </c>
      <c r="CK152" s="542">
        <v>0</v>
      </c>
      <c r="CL152" s="542">
        <v>0</v>
      </c>
      <c r="CM152" s="542">
        <v>0</v>
      </c>
      <c r="CN152" s="542">
        <v>0</v>
      </c>
      <c r="CO152" s="542">
        <v>0</v>
      </c>
      <c r="CP152" s="542">
        <v>0</v>
      </c>
      <c r="CQ152" s="542">
        <v>0</v>
      </c>
      <c r="CR152" s="542">
        <v>0</v>
      </c>
      <c r="CS152" s="542">
        <v>0</v>
      </c>
      <c r="CT152" s="542">
        <v>0</v>
      </c>
      <c r="CU152" s="542">
        <v>0</v>
      </c>
      <c r="CV152" s="542">
        <v>520879.53</v>
      </c>
      <c r="CW152" s="542">
        <v>0</v>
      </c>
      <c r="CX152" s="542">
        <v>10630.19</v>
      </c>
      <c r="CY152" s="542">
        <v>547690</v>
      </c>
      <c r="CZ152" s="542">
        <v>0</v>
      </c>
      <c r="DA152" s="542">
        <v>11044</v>
      </c>
      <c r="DB152" s="542">
        <v>-26810</v>
      </c>
      <c r="DC152" s="542">
        <v>0</v>
      </c>
      <c r="DD152" s="542">
        <v>-414</v>
      </c>
      <c r="DE152" s="153" t="s">
        <v>169</v>
      </c>
      <c r="DF152" s="103" t="s">
        <v>763</v>
      </c>
      <c r="DG152" s="104" t="s">
        <v>781</v>
      </c>
      <c r="DH152" s="547"/>
      <c r="DI152" s="547"/>
    </row>
    <row r="153" spans="1:113" x14ac:dyDescent="0.2">
      <c r="A153" s="93">
        <v>147</v>
      </c>
      <c r="B153" s="145" t="s">
        <v>172</v>
      </c>
      <c r="C153" s="141" t="s">
        <v>873</v>
      </c>
      <c r="D153" s="142" t="s">
        <v>868</v>
      </c>
      <c r="E153" s="149" t="s">
        <v>171</v>
      </c>
      <c r="F153" s="542">
        <v>-1329454</v>
      </c>
      <c r="G153" s="542">
        <v>0</v>
      </c>
      <c r="H153" s="542">
        <v>-1329454</v>
      </c>
      <c r="I153" s="542">
        <v>1114</v>
      </c>
      <c r="J153" s="542">
        <v>0</v>
      </c>
      <c r="K153" s="542">
        <v>1114</v>
      </c>
      <c r="L153" s="542">
        <v>-1330568</v>
      </c>
      <c r="M153" s="542">
        <v>0</v>
      </c>
      <c r="N153" s="542">
        <v>-1330568</v>
      </c>
      <c r="O153" s="543">
        <v>0.5</v>
      </c>
      <c r="P153" s="543">
        <v>0.49</v>
      </c>
      <c r="Q153" s="543">
        <v>0</v>
      </c>
      <c r="R153" s="543">
        <v>0.01</v>
      </c>
      <c r="S153" s="542">
        <v>139232</v>
      </c>
      <c r="T153" s="542">
        <v>139232</v>
      </c>
      <c r="U153" s="542">
        <v>0</v>
      </c>
      <c r="V153" s="542">
        <v>0</v>
      </c>
      <c r="W153" s="542">
        <v>0</v>
      </c>
      <c r="X153" s="542">
        <v>0</v>
      </c>
      <c r="Y153" s="542">
        <v>0</v>
      </c>
      <c r="Z153" s="542">
        <v>0</v>
      </c>
      <c r="AA153" s="542">
        <v>0</v>
      </c>
      <c r="AB153" s="542">
        <v>0</v>
      </c>
      <c r="AC153" s="542">
        <v>0</v>
      </c>
      <c r="AD153" s="542">
        <v>0</v>
      </c>
      <c r="AE153" s="542">
        <v>0</v>
      </c>
      <c r="AF153" s="542">
        <v>0</v>
      </c>
      <c r="AG153" s="542">
        <v>0</v>
      </c>
      <c r="AH153" s="542">
        <v>0</v>
      </c>
      <c r="AI153" s="542">
        <v>0</v>
      </c>
      <c r="AJ153" s="542">
        <v>0</v>
      </c>
      <c r="AK153" s="542">
        <v>0</v>
      </c>
      <c r="AL153" s="542">
        <v>0</v>
      </c>
      <c r="AM153" s="542">
        <v>0</v>
      </c>
      <c r="AN153" s="542">
        <v>0</v>
      </c>
      <c r="AO153" s="542">
        <v>0</v>
      </c>
      <c r="AP153" s="542">
        <v>0</v>
      </c>
      <c r="AQ153" s="542">
        <v>454910.85</v>
      </c>
      <c r="AR153" s="542">
        <v>0</v>
      </c>
      <c r="AS153" s="542">
        <v>9283.89</v>
      </c>
      <c r="AT153" s="542">
        <v>416688</v>
      </c>
      <c r="AU153" s="542">
        <v>0</v>
      </c>
      <c r="AV153" s="542">
        <v>8504</v>
      </c>
      <c r="AW153" s="542">
        <v>38223</v>
      </c>
      <c r="AX153" s="542">
        <v>0</v>
      </c>
      <c r="AY153" s="542">
        <v>780</v>
      </c>
      <c r="AZ153" s="542">
        <v>1616.83</v>
      </c>
      <c r="BA153" s="542">
        <v>0</v>
      </c>
      <c r="BB153" s="542">
        <v>33</v>
      </c>
      <c r="BC153" s="542">
        <v>0</v>
      </c>
      <c r="BD153" s="542">
        <v>0</v>
      </c>
      <c r="BE153" s="542">
        <v>0</v>
      </c>
      <c r="BF153" s="542">
        <v>1617</v>
      </c>
      <c r="BG153" s="542">
        <v>0</v>
      </c>
      <c r="BH153" s="542">
        <v>33</v>
      </c>
      <c r="BI153" s="542">
        <v>28932.65</v>
      </c>
      <c r="BJ153" s="542">
        <v>0</v>
      </c>
      <c r="BK153" s="542">
        <v>590.46</v>
      </c>
      <c r="BL153" s="542">
        <v>0</v>
      </c>
      <c r="BM153" s="542">
        <v>0</v>
      </c>
      <c r="BN153" s="542">
        <v>0</v>
      </c>
      <c r="BO153" s="542">
        <v>28933</v>
      </c>
      <c r="BP153" s="542">
        <v>0</v>
      </c>
      <c r="BQ153" s="542">
        <v>590</v>
      </c>
      <c r="BR153" s="542">
        <v>10523.53</v>
      </c>
      <c r="BS153" s="542">
        <v>0</v>
      </c>
      <c r="BT153" s="542">
        <v>214.77</v>
      </c>
      <c r="BU153" s="542">
        <v>0</v>
      </c>
      <c r="BV153" s="542">
        <v>0</v>
      </c>
      <c r="BW153" s="542">
        <v>0</v>
      </c>
      <c r="BX153" s="542">
        <v>10524</v>
      </c>
      <c r="BY153" s="542">
        <v>0</v>
      </c>
      <c r="BZ153" s="542">
        <v>215</v>
      </c>
      <c r="CA153" s="542">
        <v>130213.29</v>
      </c>
      <c r="CB153" s="542">
        <v>0</v>
      </c>
      <c r="CC153" s="542">
        <v>2657.41</v>
      </c>
      <c r="CD153" s="542">
        <v>247601</v>
      </c>
      <c r="CE153" s="542">
        <v>0</v>
      </c>
      <c r="CF153" s="542">
        <v>5053</v>
      </c>
      <c r="CG153" s="542">
        <v>-117388</v>
      </c>
      <c r="CH153" s="542">
        <v>0</v>
      </c>
      <c r="CI153" s="542">
        <v>-2396</v>
      </c>
      <c r="CJ153" s="542">
        <v>0</v>
      </c>
      <c r="CK153" s="542">
        <v>0</v>
      </c>
      <c r="CL153" s="542">
        <v>0</v>
      </c>
      <c r="CM153" s="542">
        <v>0</v>
      </c>
      <c r="CN153" s="542">
        <v>0</v>
      </c>
      <c r="CO153" s="542">
        <v>0</v>
      </c>
      <c r="CP153" s="542">
        <v>0</v>
      </c>
      <c r="CQ153" s="542">
        <v>0</v>
      </c>
      <c r="CR153" s="542">
        <v>0</v>
      </c>
      <c r="CS153" s="542">
        <v>0</v>
      </c>
      <c r="CT153" s="542">
        <v>0</v>
      </c>
      <c r="CU153" s="542">
        <v>0</v>
      </c>
      <c r="CV153" s="542">
        <v>212547.99</v>
      </c>
      <c r="CW153" s="542">
        <v>0</v>
      </c>
      <c r="CX153" s="542">
        <v>4337.71</v>
      </c>
      <c r="CY153" s="542">
        <v>208091</v>
      </c>
      <c r="CZ153" s="542">
        <v>0</v>
      </c>
      <c r="DA153" s="542">
        <v>4217</v>
      </c>
      <c r="DB153" s="542">
        <v>4457</v>
      </c>
      <c r="DC153" s="542">
        <v>0</v>
      </c>
      <c r="DD153" s="542">
        <v>121</v>
      </c>
      <c r="DE153" s="153" t="s">
        <v>171</v>
      </c>
      <c r="DF153" s="103" t="s">
        <v>763</v>
      </c>
      <c r="DG153" s="104" t="s">
        <v>814</v>
      </c>
      <c r="DH153" s="547"/>
      <c r="DI153" s="547"/>
    </row>
    <row r="154" spans="1:113" x14ac:dyDescent="0.2">
      <c r="A154" s="93">
        <v>148</v>
      </c>
      <c r="B154" s="145" t="s">
        <v>174</v>
      </c>
      <c r="C154" s="141" t="s">
        <v>877</v>
      </c>
      <c r="D154" s="142" t="s">
        <v>872</v>
      </c>
      <c r="E154" s="149" t="s">
        <v>173</v>
      </c>
      <c r="F154" s="542">
        <v>-639263</v>
      </c>
      <c r="G154" s="542">
        <v>0</v>
      </c>
      <c r="H154" s="542">
        <v>-639263</v>
      </c>
      <c r="I154" s="542">
        <v>376398</v>
      </c>
      <c r="J154" s="542">
        <v>0</v>
      </c>
      <c r="K154" s="542">
        <v>376398</v>
      </c>
      <c r="L154" s="542">
        <v>-1015661</v>
      </c>
      <c r="M154" s="542">
        <v>0</v>
      </c>
      <c r="N154" s="542">
        <v>-1015661</v>
      </c>
      <c r="O154" s="543">
        <v>0.5</v>
      </c>
      <c r="P154" s="543">
        <v>0.3</v>
      </c>
      <c r="Q154" s="543">
        <v>0.2</v>
      </c>
      <c r="R154" s="543">
        <v>0</v>
      </c>
      <c r="S154" s="542">
        <v>481327</v>
      </c>
      <c r="T154" s="542">
        <v>481327</v>
      </c>
      <c r="U154" s="542">
        <v>0</v>
      </c>
      <c r="V154" s="542">
        <v>0</v>
      </c>
      <c r="W154" s="542">
        <v>0</v>
      </c>
      <c r="X154" s="542">
        <v>0</v>
      </c>
      <c r="Y154" s="542">
        <v>0</v>
      </c>
      <c r="Z154" s="542">
        <v>0</v>
      </c>
      <c r="AA154" s="542">
        <v>0</v>
      </c>
      <c r="AB154" s="542">
        <v>0</v>
      </c>
      <c r="AC154" s="542">
        <v>0</v>
      </c>
      <c r="AD154" s="542">
        <v>0</v>
      </c>
      <c r="AE154" s="542">
        <v>0</v>
      </c>
      <c r="AF154" s="542">
        <v>0</v>
      </c>
      <c r="AG154" s="542">
        <v>0</v>
      </c>
      <c r="AH154" s="542">
        <v>0</v>
      </c>
      <c r="AI154" s="542">
        <v>0</v>
      </c>
      <c r="AJ154" s="542">
        <v>0</v>
      </c>
      <c r="AK154" s="542">
        <v>0</v>
      </c>
      <c r="AL154" s="542">
        <v>0</v>
      </c>
      <c r="AM154" s="542">
        <v>0</v>
      </c>
      <c r="AN154" s="542">
        <v>0</v>
      </c>
      <c r="AO154" s="542">
        <v>0</v>
      </c>
      <c r="AP154" s="542">
        <v>0</v>
      </c>
      <c r="AQ154" s="542">
        <v>860053.929</v>
      </c>
      <c r="AR154" s="542">
        <v>573369.28599999996</v>
      </c>
      <c r="AS154" s="542">
        <v>0</v>
      </c>
      <c r="AT154" s="542">
        <v>795370</v>
      </c>
      <c r="AU154" s="542">
        <v>530246</v>
      </c>
      <c r="AV154" s="542">
        <v>0</v>
      </c>
      <c r="AW154" s="542">
        <v>64684</v>
      </c>
      <c r="AX154" s="542">
        <v>43123</v>
      </c>
      <c r="AY154" s="542">
        <v>0</v>
      </c>
      <c r="AZ154" s="542">
        <v>0</v>
      </c>
      <c r="BA154" s="542">
        <v>0</v>
      </c>
      <c r="BB154" s="542">
        <v>0</v>
      </c>
      <c r="BC154" s="542">
        <v>0</v>
      </c>
      <c r="BD154" s="542">
        <v>0</v>
      </c>
      <c r="BE154" s="542">
        <v>0</v>
      </c>
      <c r="BF154" s="542">
        <v>0</v>
      </c>
      <c r="BG154" s="542">
        <v>0</v>
      </c>
      <c r="BH154" s="542">
        <v>0</v>
      </c>
      <c r="BI154" s="542">
        <v>26339.778300000002</v>
      </c>
      <c r="BJ154" s="542">
        <v>17559.852200000001</v>
      </c>
      <c r="BK154" s="542">
        <v>0</v>
      </c>
      <c r="BL154" s="542">
        <v>60119</v>
      </c>
      <c r="BM154" s="542">
        <v>40079</v>
      </c>
      <c r="BN154" s="542">
        <v>0</v>
      </c>
      <c r="BO154" s="542">
        <v>-33779</v>
      </c>
      <c r="BP154" s="542">
        <v>-22519</v>
      </c>
      <c r="BQ154" s="542">
        <v>0</v>
      </c>
      <c r="BR154" s="542">
        <v>1134.8203799999999</v>
      </c>
      <c r="BS154" s="542">
        <v>756.546921</v>
      </c>
      <c r="BT154" s="542">
        <v>0</v>
      </c>
      <c r="BU154" s="542">
        <v>0</v>
      </c>
      <c r="BV154" s="542">
        <v>0</v>
      </c>
      <c r="BW154" s="542">
        <v>0</v>
      </c>
      <c r="BX154" s="542">
        <v>1135</v>
      </c>
      <c r="BY154" s="542">
        <v>757</v>
      </c>
      <c r="BZ154" s="542">
        <v>0</v>
      </c>
      <c r="CA154" s="542">
        <v>364199.424</v>
      </c>
      <c r="CB154" s="542">
        <v>242799.61600000001</v>
      </c>
      <c r="CC154" s="542">
        <v>0</v>
      </c>
      <c r="CD154" s="542">
        <v>891666.24199999997</v>
      </c>
      <c r="CE154" s="542">
        <v>594444.16099999996</v>
      </c>
      <c r="CF154" s="542">
        <v>0</v>
      </c>
      <c r="CG154" s="542">
        <v>-527467</v>
      </c>
      <c r="CH154" s="542">
        <v>-351645</v>
      </c>
      <c r="CI154" s="542">
        <v>0</v>
      </c>
      <c r="CJ154" s="542">
        <v>0</v>
      </c>
      <c r="CK154" s="542">
        <v>0</v>
      </c>
      <c r="CL154" s="542">
        <v>0</v>
      </c>
      <c r="CM154" s="542">
        <v>0</v>
      </c>
      <c r="CN154" s="542">
        <v>0</v>
      </c>
      <c r="CO154" s="542">
        <v>0</v>
      </c>
      <c r="CP154" s="542">
        <v>0</v>
      </c>
      <c r="CQ154" s="542">
        <v>0</v>
      </c>
      <c r="CR154" s="542">
        <v>0</v>
      </c>
      <c r="CS154" s="542">
        <v>0</v>
      </c>
      <c r="CT154" s="542">
        <v>0</v>
      </c>
      <c r="CU154" s="542">
        <v>0</v>
      </c>
      <c r="CV154" s="542">
        <v>355457.06300000002</v>
      </c>
      <c r="CW154" s="542">
        <v>236971.375</v>
      </c>
      <c r="CX154" s="542">
        <v>0</v>
      </c>
      <c r="CY154" s="542">
        <v>390546</v>
      </c>
      <c r="CZ154" s="542">
        <v>256958</v>
      </c>
      <c r="DA154" s="542">
        <v>0</v>
      </c>
      <c r="DB154" s="542">
        <v>-35089</v>
      </c>
      <c r="DC154" s="542">
        <v>-19987</v>
      </c>
      <c r="DD154" s="542">
        <v>0</v>
      </c>
      <c r="DE154" s="153" t="s">
        <v>173</v>
      </c>
      <c r="DF154" s="103" t="s">
        <v>762</v>
      </c>
      <c r="DG154" s="103" t="s">
        <v>750</v>
      </c>
      <c r="DH154" s="547"/>
      <c r="DI154" s="547"/>
    </row>
    <row r="155" spans="1:113" x14ac:dyDescent="0.2">
      <c r="A155" s="93">
        <v>149</v>
      </c>
      <c r="B155" s="145" t="s">
        <v>176</v>
      </c>
      <c r="C155" s="141" t="s">
        <v>866</v>
      </c>
      <c r="D155" s="142" t="s">
        <v>868</v>
      </c>
      <c r="E155" s="149" t="s">
        <v>175</v>
      </c>
      <c r="F155" s="542">
        <v>16782624</v>
      </c>
      <c r="G155" s="542">
        <v>0</v>
      </c>
      <c r="H155" s="542">
        <v>16782624</v>
      </c>
      <c r="I155" s="542">
        <v>16952043</v>
      </c>
      <c r="J155" s="542">
        <v>0</v>
      </c>
      <c r="K155" s="542">
        <v>16952043</v>
      </c>
      <c r="L155" s="542">
        <v>-169419</v>
      </c>
      <c r="M155" s="542">
        <v>0</v>
      </c>
      <c r="N155" s="542">
        <v>-169419</v>
      </c>
      <c r="O155" s="543">
        <v>0.5</v>
      </c>
      <c r="P155" s="543">
        <v>0.4</v>
      </c>
      <c r="Q155" s="543">
        <v>0.09</v>
      </c>
      <c r="R155" s="543">
        <v>0.01</v>
      </c>
      <c r="S155" s="542">
        <v>228713</v>
      </c>
      <c r="T155" s="542">
        <v>228713</v>
      </c>
      <c r="U155" s="542">
        <v>0</v>
      </c>
      <c r="V155" s="542">
        <v>0</v>
      </c>
      <c r="W155" s="542">
        <v>0</v>
      </c>
      <c r="X155" s="542">
        <v>0</v>
      </c>
      <c r="Y155" s="542">
        <v>661870</v>
      </c>
      <c r="Z155" s="542">
        <v>0</v>
      </c>
      <c r="AA155" s="542">
        <v>0</v>
      </c>
      <c r="AB155" s="542">
        <v>0</v>
      </c>
      <c r="AC155" s="542">
        <v>661870</v>
      </c>
      <c r="AD155" s="542">
        <v>0</v>
      </c>
      <c r="AE155" s="542">
        <v>0</v>
      </c>
      <c r="AF155" s="542">
        <v>0</v>
      </c>
      <c r="AG155" s="542">
        <v>0</v>
      </c>
      <c r="AH155" s="542">
        <v>0</v>
      </c>
      <c r="AI155" s="542">
        <v>0</v>
      </c>
      <c r="AJ155" s="542">
        <v>0</v>
      </c>
      <c r="AK155" s="542">
        <v>0</v>
      </c>
      <c r="AL155" s="542">
        <v>0</v>
      </c>
      <c r="AM155" s="542">
        <v>0</v>
      </c>
      <c r="AN155" s="542">
        <v>0</v>
      </c>
      <c r="AO155" s="542">
        <v>0</v>
      </c>
      <c r="AP155" s="542">
        <v>0</v>
      </c>
      <c r="AQ155" s="542">
        <v>664248.39899999998</v>
      </c>
      <c r="AR155" s="542">
        <v>149455.889</v>
      </c>
      <c r="AS155" s="542">
        <v>16606.209900000002</v>
      </c>
      <c r="AT155" s="542">
        <v>648098</v>
      </c>
      <c r="AU155" s="542">
        <v>145822</v>
      </c>
      <c r="AV155" s="542">
        <v>16202</v>
      </c>
      <c r="AW155" s="542">
        <v>16150</v>
      </c>
      <c r="AX155" s="542">
        <v>3634</v>
      </c>
      <c r="AY155" s="542">
        <v>404</v>
      </c>
      <c r="AZ155" s="542">
        <v>5726.1486199999999</v>
      </c>
      <c r="BA155" s="542">
        <v>1288.3834300000001</v>
      </c>
      <c r="BB155" s="542">
        <v>143.15371500000001</v>
      </c>
      <c r="BC155" s="542">
        <v>0</v>
      </c>
      <c r="BD155" s="542">
        <v>0</v>
      </c>
      <c r="BE155" s="542">
        <v>0</v>
      </c>
      <c r="BF155" s="542">
        <v>5726</v>
      </c>
      <c r="BG155" s="542">
        <v>1288</v>
      </c>
      <c r="BH155" s="542">
        <v>143</v>
      </c>
      <c r="BI155" s="542">
        <v>3128.4619899999998</v>
      </c>
      <c r="BJ155" s="542">
        <v>703.90394900000001</v>
      </c>
      <c r="BK155" s="542">
        <v>78.2115498</v>
      </c>
      <c r="BL155" s="542">
        <v>0</v>
      </c>
      <c r="BM155" s="542">
        <v>0</v>
      </c>
      <c r="BN155" s="542">
        <v>0</v>
      </c>
      <c r="BO155" s="542">
        <v>3128</v>
      </c>
      <c r="BP155" s="542">
        <v>704</v>
      </c>
      <c r="BQ155" s="542">
        <v>78</v>
      </c>
      <c r="BR155" s="542">
        <v>8418.8331199999993</v>
      </c>
      <c r="BS155" s="542">
        <v>1894.2374500000001</v>
      </c>
      <c r="BT155" s="542">
        <v>210.47082800000001</v>
      </c>
      <c r="BU155" s="542">
        <v>14253</v>
      </c>
      <c r="BV155" s="542">
        <v>3207</v>
      </c>
      <c r="BW155" s="542">
        <v>356</v>
      </c>
      <c r="BX155" s="542">
        <v>-5834</v>
      </c>
      <c r="BY155" s="542">
        <v>-1313</v>
      </c>
      <c r="BZ155" s="542">
        <v>-146</v>
      </c>
      <c r="CA155" s="542">
        <v>255699.519</v>
      </c>
      <c r="CB155" s="542">
        <v>57532.391799999998</v>
      </c>
      <c r="CC155" s="542">
        <v>6392.4879799999999</v>
      </c>
      <c r="CD155" s="542">
        <v>265687</v>
      </c>
      <c r="CE155" s="542">
        <v>59779</v>
      </c>
      <c r="CF155" s="542">
        <v>6642</v>
      </c>
      <c r="CG155" s="542">
        <v>-9987</v>
      </c>
      <c r="CH155" s="542">
        <v>-2247</v>
      </c>
      <c r="CI155" s="542">
        <v>-250</v>
      </c>
      <c r="CJ155" s="542">
        <v>4134.3999999999996</v>
      </c>
      <c r="CK155" s="542">
        <v>930.24</v>
      </c>
      <c r="CL155" s="542">
        <v>103.36</v>
      </c>
      <c r="CM155" s="542">
        <v>0</v>
      </c>
      <c r="CN155" s="542">
        <v>0</v>
      </c>
      <c r="CO155" s="542">
        <v>0</v>
      </c>
      <c r="CP155" s="542">
        <v>4146</v>
      </c>
      <c r="CQ155" s="542">
        <v>932.95709999999997</v>
      </c>
      <c r="CR155" s="542">
        <v>103.6619</v>
      </c>
      <c r="CS155" s="542">
        <v>-12</v>
      </c>
      <c r="CT155" s="542">
        <v>-3</v>
      </c>
      <c r="CU155" s="542">
        <v>0</v>
      </c>
      <c r="CV155" s="542">
        <v>215122.83600000001</v>
      </c>
      <c r="CW155" s="542">
        <v>46821.738499999999</v>
      </c>
      <c r="CX155" s="542">
        <v>5202.4153900000001</v>
      </c>
      <c r="CY155" s="542">
        <v>271190</v>
      </c>
      <c r="CZ155" s="542">
        <v>60472</v>
      </c>
      <c r="DA155" s="542">
        <v>6719</v>
      </c>
      <c r="DB155" s="542">
        <v>-56067</v>
      </c>
      <c r="DC155" s="542">
        <v>-13650</v>
      </c>
      <c r="DD155" s="542">
        <v>-1517</v>
      </c>
      <c r="DE155" s="153" t="s">
        <v>175</v>
      </c>
      <c r="DF155" s="103" t="s">
        <v>789</v>
      </c>
      <c r="DG155" s="104" t="s">
        <v>776</v>
      </c>
      <c r="DH155" s="547"/>
      <c r="DI155" s="547"/>
    </row>
    <row r="156" spans="1:113" x14ac:dyDescent="0.2">
      <c r="A156" s="93">
        <v>150</v>
      </c>
      <c r="B156" s="145" t="s">
        <v>178</v>
      </c>
      <c r="C156" s="141" t="s">
        <v>873</v>
      </c>
      <c r="D156" s="142" t="s">
        <v>874</v>
      </c>
      <c r="E156" s="149" t="s">
        <v>177</v>
      </c>
      <c r="F156" s="542">
        <v>-3919809</v>
      </c>
      <c r="G156" s="542">
        <v>0</v>
      </c>
      <c r="H156" s="542">
        <v>-3919809</v>
      </c>
      <c r="I156" s="542">
        <v>484945</v>
      </c>
      <c r="J156" s="542">
        <v>0</v>
      </c>
      <c r="K156" s="542">
        <v>484945</v>
      </c>
      <c r="L156" s="542">
        <v>-4404754</v>
      </c>
      <c r="M156" s="542">
        <v>0</v>
      </c>
      <c r="N156" s="542">
        <v>-4404754</v>
      </c>
      <c r="O156" s="543">
        <v>0.5</v>
      </c>
      <c r="P156" s="543">
        <v>0.49</v>
      </c>
      <c r="Q156" s="543">
        <v>0</v>
      </c>
      <c r="R156" s="543">
        <v>0.01</v>
      </c>
      <c r="S156" s="542">
        <v>1235172</v>
      </c>
      <c r="T156" s="542">
        <v>1235172</v>
      </c>
      <c r="U156" s="542">
        <v>0</v>
      </c>
      <c r="V156" s="542">
        <v>0</v>
      </c>
      <c r="W156" s="542">
        <v>0</v>
      </c>
      <c r="X156" s="542">
        <v>0</v>
      </c>
      <c r="Y156" s="542">
        <v>0</v>
      </c>
      <c r="Z156" s="542">
        <v>0</v>
      </c>
      <c r="AA156" s="542">
        <v>0</v>
      </c>
      <c r="AB156" s="542">
        <v>0</v>
      </c>
      <c r="AC156" s="542">
        <v>0</v>
      </c>
      <c r="AD156" s="542">
        <v>0</v>
      </c>
      <c r="AE156" s="542">
        <v>192498.04</v>
      </c>
      <c r="AF156" s="542">
        <v>192498.04</v>
      </c>
      <c r="AG156" s="542">
        <v>0</v>
      </c>
      <c r="AH156" s="542">
        <v>0</v>
      </c>
      <c r="AI156" s="542">
        <v>220000</v>
      </c>
      <c r="AJ156" s="542">
        <v>220000</v>
      </c>
      <c r="AK156" s="542">
        <v>0</v>
      </c>
      <c r="AL156" s="542">
        <v>0</v>
      </c>
      <c r="AM156" s="542">
        <v>-27502</v>
      </c>
      <c r="AN156" s="542">
        <v>-27502</v>
      </c>
      <c r="AO156" s="542">
        <v>0</v>
      </c>
      <c r="AP156" s="542">
        <v>0</v>
      </c>
      <c r="AQ156" s="542">
        <v>4038776.91</v>
      </c>
      <c r="AR156" s="542">
        <v>0</v>
      </c>
      <c r="AS156" s="542">
        <v>82424.02</v>
      </c>
      <c r="AT156" s="542">
        <v>3807996</v>
      </c>
      <c r="AU156" s="542">
        <v>0</v>
      </c>
      <c r="AV156" s="542">
        <v>77714</v>
      </c>
      <c r="AW156" s="542">
        <v>230781</v>
      </c>
      <c r="AX156" s="542">
        <v>0</v>
      </c>
      <c r="AY156" s="542">
        <v>4710</v>
      </c>
      <c r="AZ156" s="542">
        <v>1290.5</v>
      </c>
      <c r="BA156" s="542">
        <v>0</v>
      </c>
      <c r="BB156" s="542">
        <v>26.34</v>
      </c>
      <c r="BC156" s="542">
        <v>4952</v>
      </c>
      <c r="BD156" s="542">
        <v>0</v>
      </c>
      <c r="BE156" s="542">
        <v>101</v>
      </c>
      <c r="BF156" s="542">
        <v>-3662</v>
      </c>
      <c r="BG156" s="542">
        <v>0</v>
      </c>
      <c r="BH156" s="542">
        <v>-75</v>
      </c>
      <c r="BI156" s="542">
        <v>0</v>
      </c>
      <c r="BJ156" s="542">
        <v>0</v>
      </c>
      <c r="BK156" s="542">
        <v>0</v>
      </c>
      <c r="BL156" s="542">
        <v>99041</v>
      </c>
      <c r="BM156" s="542">
        <v>0</v>
      </c>
      <c r="BN156" s="542">
        <v>2021</v>
      </c>
      <c r="BO156" s="542">
        <v>-99041</v>
      </c>
      <c r="BP156" s="542">
        <v>0</v>
      </c>
      <c r="BQ156" s="542">
        <v>-2021</v>
      </c>
      <c r="BR156" s="542">
        <v>35351.949999999997</v>
      </c>
      <c r="BS156" s="542">
        <v>0</v>
      </c>
      <c r="BT156" s="542">
        <v>721.47</v>
      </c>
      <c r="BU156" s="542">
        <v>99040.34</v>
      </c>
      <c r="BV156" s="542">
        <v>0</v>
      </c>
      <c r="BW156" s="542">
        <v>2021.23</v>
      </c>
      <c r="BX156" s="542">
        <v>-63688</v>
      </c>
      <c r="BY156" s="542">
        <v>0</v>
      </c>
      <c r="BZ156" s="542">
        <v>-1300</v>
      </c>
      <c r="CA156" s="542">
        <v>1552916.38</v>
      </c>
      <c r="CB156" s="542">
        <v>0</v>
      </c>
      <c r="CC156" s="542">
        <v>31692.17</v>
      </c>
      <c r="CD156" s="542">
        <v>1485605.1</v>
      </c>
      <c r="CE156" s="542">
        <v>0</v>
      </c>
      <c r="CF156" s="542">
        <v>30318.47</v>
      </c>
      <c r="CG156" s="542">
        <v>67311</v>
      </c>
      <c r="CH156" s="542">
        <v>0</v>
      </c>
      <c r="CI156" s="542">
        <v>1374</v>
      </c>
      <c r="CJ156" s="542">
        <v>0</v>
      </c>
      <c r="CK156" s="542">
        <v>0</v>
      </c>
      <c r="CL156" s="542">
        <v>0</v>
      </c>
      <c r="CM156" s="542">
        <v>0</v>
      </c>
      <c r="CN156" s="542">
        <v>0</v>
      </c>
      <c r="CO156" s="542">
        <v>0</v>
      </c>
      <c r="CP156" s="542">
        <v>0</v>
      </c>
      <c r="CQ156" s="542">
        <v>0</v>
      </c>
      <c r="CR156" s="542">
        <v>0</v>
      </c>
      <c r="CS156" s="542">
        <v>0</v>
      </c>
      <c r="CT156" s="542">
        <v>0</v>
      </c>
      <c r="CU156" s="542">
        <v>0</v>
      </c>
      <c r="CV156" s="542">
        <v>1726737.34</v>
      </c>
      <c r="CW156" s="542">
        <v>0</v>
      </c>
      <c r="CX156" s="542">
        <v>35239.54</v>
      </c>
      <c r="CY156" s="542">
        <v>1950905</v>
      </c>
      <c r="CZ156" s="542">
        <v>0</v>
      </c>
      <c r="DA156" s="542">
        <v>39499</v>
      </c>
      <c r="DB156" s="542">
        <v>-224168</v>
      </c>
      <c r="DC156" s="542">
        <v>0</v>
      </c>
      <c r="DD156" s="542">
        <v>-4259</v>
      </c>
      <c r="DE156" s="153" t="s">
        <v>177</v>
      </c>
      <c r="DF156" s="103" t="s">
        <v>763</v>
      </c>
      <c r="DG156" s="104" t="s">
        <v>781</v>
      </c>
      <c r="DH156" s="549" t="s">
        <v>1196</v>
      </c>
      <c r="DI156" s="549" t="s">
        <v>1196</v>
      </c>
    </row>
    <row r="157" spans="1:113" x14ac:dyDescent="0.2">
      <c r="A157" s="93">
        <v>151</v>
      </c>
      <c r="B157" s="145" t="s">
        <v>180</v>
      </c>
      <c r="C157" s="141" t="s">
        <v>770</v>
      </c>
      <c r="D157" s="142" t="s">
        <v>869</v>
      </c>
      <c r="E157" s="149" t="s">
        <v>703</v>
      </c>
      <c r="F157" s="542">
        <v>-2812775</v>
      </c>
      <c r="G157" s="542">
        <v>0</v>
      </c>
      <c r="H157" s="542">
        <v>-2812775</v>
      </c>
      <c r="I157" s="542">
        <v>-25708</v>
      </c>
      <c r="J157" s="542">
        <v>0</v>
      </c>
      <c r="K157" s="542">
        <v>-25708</v>
      </c>
      <c r="L157" s="542">
        <v>-2787067</v>
      </c>
      <c r="M157" s="542">
        <v>0</v>
      </c>
      <c r="N157" s="542">
        <v>-2787067</v>
      </c>
      <c r="O157" s="543">
        <v>0.5</v>
      </c>
      <c r="P157" s="543">
        <v>0.49</v>
      </c>
      <c r="Q157" s="543">
        <v>0</v>
      </c>
      <c r="R157" s="543">
        <v>0.01</v>
      </c>
      <c r="S157" s="542">
        <v>489707</v>
      </c>
      <c r="T157" s="542">
        <v>489707</v>
      </c>
      <c r="U157" s="542">
        <v>0</v>
      </c>
      <c r="V157" s="542">
        <v>0</v>
      </c>
      <c r="W157" s="542">
        <v>0</v>
      </c>
      <c r="X157" s="542">
        <v>0</v>
      </c>
      <c r="Y157" s="542">
        <v>0</v>
      </c>
      <c r="Z157" s="542">
        <v>0</v>
      </c>
      <c r="AA157" s="542">
        <v>0</v>
      </c>
      <c r="AB157" s="542">
        <v>0</v>
      </c>
      <c r="AC157" s="542">
        <v>0</v>
      </c>
      <c r="AD157" s="542">
        <v>0</v>
      </c>
      <c r="AE157" s="542">
        <v>0</v>
      </c>
      <c r="AF157" s="542">
        <v>0</v>
      </c>
      <c r="AG157" s="542">
        <v>0</v>
      </c>
      <c r="AH157" s="542">
        <v>0</v>
      </c>
      <c r="AI157" s="542">
        <v>0</v>
      </c>
      <c r="AJ157" s="542">
        <v>0</v>
      </c>
      <c r="AK157" s="542">
        <v>0</v>
      </c>
      <c r="AL157" s="542">
        <v>0</v>
      </c>
      <c r="AM157" s="542">
        <v>0</v>
      </c>
      <c r="AN157" s="542">
        <v>0</v>
      </c>
      <c r="AO157" s="542">
        <v>0</v>
      </c>
      <c r="AP157" s="542">
        <v>0</v>
      </c>
      <c r="AQ157" s="542">
        <v>2092352.71</v>
      </c>
      <c r="AR157" s="542">
        <v>0</v>
      </c>
      <c r="AS157" s="542">
        <v>42701.08</v>
      </c>
      <c r="AT157" s="542">
        <v>1927961</v>
      </c>
      <c r="AU157" s="542">
        <v>0</v>
      </c>
      <c r="AV157" s="542">
        <v>39346</v>
      </c>
      <c r="AW157" s="542">
        <v>164392</v>
      </c>
      <c r="AX157" s="542">
        <v>0</v>
      </c>
      <c r="AY157" s="542">
        <v>3355</v>
      </c>
      <c r="AZ157" s="542">
        <v>16387.71</v>
      </c>
      <c r="BA157" s="542">
        <v>0</v>
      </c>
      <c r="BB157" s="542">
        <v>334.44</v>
      </c>
      <c r="BC157" s="542">
        <v>29712</v>
      </c>
      <c r="BD157" s="542">
        <v>0</v>
      </c>
      <c r="BE157" s="542">
        <v>606</v>
      </c>
      <c r="BF157" s="542">
        <v>-13324</v>
      </c>
      <c r="BG157" s="542">
        <v>0</v>
      </c>
      <c r="BH157" s="542">
        <v>-272</v>
      </c>
      <c r="BI157" s="542">
        <v>41075.5</v>
      </c>
      <c r="BJ157" s="542">
        <v>0</v>
      </c>
      <c r="BK157" s="542">
        <v>838.28</v>
      </c>
      <c r="BL157" s="542">
        <v>59424</v>
      </c>
      <c r="BM157" s="542">
        <v>0</v>
      </c>
      <c r="BN157" s="542">
        <v>1213</v>
      </c>
      <c r="BO157" s="542">
        <v>-18349</v>
      </c>
      <c r="BP157" s="542">
        <v>0</v>
      </c>
      <c r="BQ157" s="542">
        <v>-375</v>
      </c>
      <c r="BR157" s="542">
        <v>40554.54</v>
      </c>
      <c r="BS157" s="542">
        <v>0</v>
      </c>
      <c r="BT157" s="542">
        <v>827.64</v>
      </c>
      <c r="BU157" s="542">
        <v>188415</v>
      </c>
      <c r="BV157" s="542">
        <v>0</v>
      </c>
      <c r="BW157" s="542">
        <v>3845</v>
      </c>
      <c r="BX157" s="542">
        <v>-147860</v>
      </c>
      <c r="BY157" s="542">
        <v>0</v>
      </c>
      <c r="BZ157" s="542">
        <v>-3017</v>
      </c>
      <c r="CA157" s="542">
        <v>669312.63</v>
      </c>
      <c r="CB157" s="542">
        <v>0</v>
      </c>
      <c r="CC157" s="542">
        <v>13659.44</v>
      </c>
      <c r="CD157" s="542">
        <v>866603</v>
      </c>
      <c r="CE157" s="542">
        <v>0</v>
      </c>
      <c r="CF157" s="542">
        <v>17686</v>
      </c>
      <c r="CG157" s="542">
        <v>-197290</v>
      </c>
      <c r="CH157" s="542">
        <v>0</v>
      </c>
      <c r="CI157" s="542">
        <v>-4027</v>
      </c>
      <c r="CJ157" s="542">
        <v>0</v>
      </c>
      <c r="CK157" s="542">
        <v>0</v>
      </c>
      <c r="CL157" s="542">
        <v>0</v>
      </c>
      <c r="CM157" s="542">
        <v>0</v>
      </c>
      <c r="CN157" s="542">
        <v>0</v>
      </c>
      <c r="CO157" s="542">
        <v>0</v>
      </c>
      <c r="CP157" s="542">
        <v>0</v>
      </c>
      <c r="CQ157" s="542">
        <v>0</v>
      </c>
      <c r="CR157" s="542">
        <v>0</v>
      </c>
      <c r="CS157" s="542">
        <v>0</v>
      </c>
      <c r="CT157" s="542">
        <v>0</v>
      </c>
      <c r="CU157" s="542">
        <v>0</v>
      </c>
      <c r="CV157" s="542">
        <v>491621.4</v>
      </c>
      <c r="CW157" s="542">
        <v>0</v>
      </c>
      <c r="CX157" s="542">
        <v>10033.09</v>
      </c>
      <c r="CY157" s="542">
        <v>531798</v>
      </c>
      <c r="CZ157" s="542">
        <v>0</v>
      </c>
      <c r="DA157" s="542">
        <v>10747</v>
      </c>
      <c r="DB157" s="542">
        <v>-40177</v>
      </c>
      <c r="DC157" s="542">
        <v>0</v>
      </c>
      <c r="DD157" s="542">
        <v>-714</v>
      </c>
      <c r="DE157" s="153" t="s">
        <v>703</v>
      </c>
      <c r="DF157" s="103" t="s">
        <v>770</v>
      </c>
      <c r="DG157" s="104" t="s">
        <v>775</v>
      </c>
      <c r="DH157" s="547"/>
      <c r="DI157" s="547"/>
    </row>
    <row r="158" spans="1:113" x14ac:dyDescent="0.2">
      <c r="A158" s="93">
        <v>152</v>
      </c>
      <c r="B158" s="145" t="s">
        <v>182</v>
      </c>
      <c r="C158" s="141" t="s">
        <v>866</v>
      </c>
      <c r="D158" s="142" t="s">
        <v>867</v>
      </c>
      <c r="E158" s="149" t="s">
        <v>181</v>
      </c>
      <c r="F158" s="542">
        <v>22182</v>
      </c>
      <c r="G158" s="542">
        <v>0</v>
      </c>
      <c r="H158" s="542">
        <v>22182</v>
      </c>
      <c r="I158" s="542">
        <v>74458</v>
      </c>
      <c r="J158" s="542">
        <v>0</v>
      </c>
      <c r="K158" s="542">
        <v>74458</v>
      </c>
      <c r="L158" s="542">
        <v>-52276</v>
      </c>
      <c r="M158" s="542">
        <v>0</v>
      </c>
      <c r="N158" s="542">
        <v>-52276</v>
      </c>
      <c r="O158" s="543">
        <v>0.5</v>
      </c>
      <c r="P158" s="543">
        <v>0.4</v>
      </c>
      <c r="Q158" s="543">
        <v>0.09</v>
      </c>
      <c r="R158" s="543">
        <v>0.01</v>
      </c>
      <c r="S158" s="542">
        <v>128644</v>
      </c>
      <c r="T158" s="542">
        <v>128644</v>
      </c>
      <c r="U158" s="542">
        <v>0</v>
      </c>
      <c r="V158" s="542">
        <v>0</v>
      </c>
      <c r="W158" s="542">
        <v>0</v>
      </c>
      <c r="X158" s="542">
        <v>0</v>
      </c>
      <c r="Y158" s="542">
        <v>0</v>
      </c>
      <c r="Z158" s="542">
        <v>0</v>
      </c>
      <c r="AA158" s="542">
        <v>0</v>
      </c>
      <c r="AB158" s="542">
        <v>0</v>
      </c>
      <c r="AC158" s="542">
        <v>0</v>
      </c>
      <c r="AD158" s="542">
        <v>0</v>
      </c>
      <c r="AE158" s="542">
        <v>0</v>
      </c>
      <c r="AF158" s="542">
        <v>0</v>
      </c>
      <c r="AG158" s="542">
        <v>0</v>
      </c>
      <c r="AH158" s="542">
        <v>0</v>
      </c>
      <c r="AI158" s="542">
        <v>0</v>
      </c>
      <c r="AJ158" s="542">
        <v>0</v>
      </c>
      <c r="AK158" s="542">
        <v>0</v>
      </c>
      <c r="AL158" s="542">
        <v>0</v>
      </c>
      <c r="AM158" s="542">
        <v>0</v>
      </c>
      <c r="AN158" s="542">
        <v>0</v>
      </c>
      <c r="AO158" s="542">
        <v>0</v>
      </c>
      <c r="AP158" s="542">
        <v>0</v>
      </c>
      <c r="AQ158" s="542">
        <v>492170.45699999999</v>
      </c>
      <c r="AR158" s="542">
        <v>110738.353</v>
      </c>
      <c r="AS158" s="542">
        <v>12304.261399999999</v>
      </c>
      <c r="AT158" s="542">
        <v>429734</v>
      </c>
      <c r="AU158" s="542">
        <v>96690</v>
      </c>
      <c r="AV158" s="542">
        <v>10743</v>
      </c>
      <c r="AW158" s="542">
        <v>62436</v>
      </c>
      <c r="AX158" s="542">
        <v>14048</v>
      </c>
      <c r="AY158" s="542">
        <v>1561</v>
      </c>
      <c r="AZ158" s="542">
        <v>0</v>
      </c>
      <c r="BA158" s="542">
        <v>0</v>
      </c>
      <c r="BB158" s="542">
        <v>0</v>
      </c>
      <c r="BC158" s="542">
        <v>0</v>
      </c>
      <c r="BD158" s="542">
        <v>0</v>
      </c>
      <c r="BE158" s="542">
        <v>0</v>
      </c>
      <c r="BF158" s="542">
        <v>0</v>
      </c>
      <c r="BG158" s="542">
        <v>0</v>
      </c>
      <c r="BH158" s="542">
        <v>0</v>
      </c>
      <c r="BI158" s="542">
        <v>0</v>
      </c>
      <c r="BJ158" s="542">
        <v>0</v>
      </c>
      <c r="BK158" s="542">
        <v>0</v>
      </c>
      <c r="BL158" s="542">
        <v>0</v>
      </c>
      <c r="BM158" s="542">
        <v>0</v>
      </c>
      <c r="BN158" s="542">
        <v>0</v>
      </c>
      <c r="BO158" s="542">
        <v>0</v>
      </c>
      <c r="BP158" s="542">
        <v>0</v>
      </c>
      <c r="BQ158" s="542">
        <v>0</v>
      </c>
      <c r="BR158" s="542">
        <v>0</v>
      </c>
      <c r="BS158" s="542">
        <v>0</v>
      </c>
      <c r="BT158" s="542">
        <v>0</v>
      </c>
      <c r="BU158" s="542">
        <v>0</v>
      </c>
      <c r="BV158" s="542">
        <v>0</v>
      </c>
      <c r="BW158" s="542">
        <v>0</v>
      </c>
      <c r="BX158" s="542">
        <v>0</v>
      </c>
      <c r="BY158" s="542">
        <v>0</v>
      </c>
      <c r="BZ158" s="542">
        <v>0</v>
      </c>
      <c r="CA158" s="542">
        <v>200524.348</v>
      </c>
      <c r="CB158" s="542">
        <v>45117.978300000002</v>
      </c>
      <c r="CC158" s="542">
        <v>5013.1086999999998</v>
      </c>
      <c r="CD158" s="542">
        <v>328248</v>
      </c>
      <c r="CE158" s="542">
        <v>73856</v>
      </c>
      <c r="CF158" s="542">
        <v>8206</v>
      </c>
      <c r="CG158" s="542">
        <v>-127724</v>
      </c>
      <c r="CH158" s="542">
        <v>-28738</v>
      </c>
      <c r="CI158" s="542">
        <v>-3193</v>
      </c>
      <c r="CJ158" s="542">
        <v>14296.8</v>
      </c>
      <c r="CK158" s="542">
        <v>3216.78</v>
      </c>
      <c r="CL158" s="542">
        <v>357.42</v>
      </c>
      <c r="CM158" s="542">
        <v>289.03609299999999</v>
      </c>
      <c r="CN158" s="542">
        <v>65.033120999999994</v>
      </c>
      <c r="CO158" s="542">
        <v>7.2259023300000003</v>
      </c>
      <c r="CP158" s="542">
        <v>14938</v>
      </c>
      <c r="CQ158" s="542">
        <v>3361.05</v>
      </c>
      <c r="CR158" s="542">
        <v>373.45</v>
      </c>
      <c r="CS158" s="542">
        <v>-352</v>
      </c>
      <c r="CT158" s="542">
        <v>-79</v>
      </c>
      <c r="CU158" s="542">
        <v>-9</v>
      </c>
      <c r="CV158" s="542">
        <v>99849.473400000003</v>
      </c>
      <c r="CW158" s="542">
        <v>22466.1315</v>
      </c>
      <c r="CX158" s="542">
        <v>2496.2368299999998</v>
      </c>
      <c r="CY158" s="542">
        <v>100547</v>
      </c>
      <c r="CZ158" s="542">
        <v>22316</v>
      </c>
      <c r="DA158" s="542">
        <v>2480</v>
      </c>
      <c r="DB158" s="542">
        <v>-698</v>
      </c>
      <c r="DC158" s="542">
        <v>150</v>
      </c>
      <c r="DD158" s="542">
        <v>16</v>
      </c>
      <c r="DE158" s="153" t="s">
        <v>181</v>
      </c>
      <c r="DF158" s="103" t="s">
        <v>806</v>
      </c>
      <c r="DG158" s="104" t="s">
        <v>784</v>
      </c>
      <c r="DH158" s="547"/>
      <c r="DI158" s="547"/>
    </row>
    <row r="159" spans="1:113" x14ac:dyDescent="0.2">
      <c r="A159" s="93">
        <v>153</v>
      </c>
      <c r="B159" s="145" t="s">
        <v>184</v>
      </c>
      <c r="C159" s="141" t="s">
        <v>877</v>
      </c>
      <c r="D159" s="142" t="s">
        <v>872</v>
      </c>
      <c r="E159" s="149" t="s">
        <v>183</v>
      </c>
      <c r="F159" s="542">
        <v>-2883590</v>
      </c>
      <c r="G159" s="542">
        <v>0</v>
      </c>
      <c r="H159" s="542">
        <v>-2883590</v>
      </c>
      <c r="I159" s="542">
        <v>87829</v>
      </c>
      <c r="J159" s="542">
        <v>0</v>
      </c>
      <c r="K159" s="542">
        <v>87829</v>
      </c>
      <c r="L159" s="542">
        <v>-2971419</v>
      </c>
      <c r="M159" s="542">
        <v>0</v>
      </c>
      <c r="N159" s="542">
        <v>-2971419</v>
      </c>
      <c r="O159" s="543">
        <v>0.5</v>
      </c>
      <c r="P159" s="543">
        <v>0.3</v>
      </c>
      <c r="Q159" s="543">
        <v>0.2</v>
      </c>
      <c r="R159" s="543">
        <v>0</v>
      </c>
      <c r="S159" s="542">
        <v>306394</v>
      </c>
      <c r="T159" s="542">
        <v>306394</v>
      </c>
      <c r="U159" s="542">
        <v>0</v>
      </c>
      <c r="V159" s="542">
        <v>0</v>
      </c>
      <c r="W159" s="542">
        <v>0</v>
      </c>
      <c r="X159" s="542">
        <v>0</v>
      </c>
      <c r="Y159" s="542">
        <v>0</v>
      </c>
      <c r="Z159" s="542">
        <v>0</v>
      </c>
      <c r="AA159" s="542">
        <v>0</v>
      </c>
      <c r="AB159" s="542">
        <v>0</v>
      </c>
      <c r="AC159" s="542">
        <v>0</v>
      </c>
      <c r="AD159" s="542">
        <v>0</v>
      </c>
      <c r="AE159" s="542">
        <v>0</v>
      </c>
      <c r="AF159" s="542">
        <v>0</v>
      </c>
      <c r="AG159" s="542">
        <v>0</v>
      </c>
      <c r="AH159" s="542">
        <v>0</v>
      </c>
      <c r="AI159" s="542">
        <v>0</v>
      </c>
      <c r="AJ159" s="542">
        <v>0</v>
      </c>
      <c r="AK159" s="542">
        <v>0</v>
      </c>
      <c r="AL159" s="542">
        <v>0</v>
      </c>
      <c r="AM159" s="542">
        <v>0</v>
      </c>
      <c r="AN159" s="542">
        <v>0</v>
      </c>
      <c r="AO159" s="542">
        <v>0</v>
      </c>
      <c r="AP159" s="542">
        <v>0</v>
      </c>
      <c r="AQ159" s="542">
        <v>734880.78599999996</v>
      </c>
      <c r="AR159" s="542">
        <v>489920.52399999998</v>
      </c>
      <c r="AS159" s="542">
        <v>0</v>
      </c>
      <c r="AT159" s="542">
        <v>693032</v>
      </c>
      <c r="AU159" s="542">
        <v>462022</v>
      </c>
      <c r="AV159" s="542">
        <v>0</v>
      </c>
      <c r="AW159" s="542">
        <v>41849</v>
      </c>
      <c r="AX159" s="542">
        <v>27899</v>
      </c>
      <c r="AY159" s="542">
        <v>0</v>
      </c>
      <c r="AZ159" s="542">
        <v>0</v>
      </c>
      <c r="BA159" s="542">
        <v>0</v>
      </c>
      <c r="BB159" s="542">
        <v>0</v>
      </c>
      <c r="BC159" s="542">
        <v>0</v>
      </c>
      <c r="BD159" s="542">
        <v>0</v>
      </c>
      <c r="BE159" s="542">
        <v>0</v>
      </c>
      <c r="BF159" s="542">
        <v>0</v>
      </c>
      <c r="BG159" s="542">
        <v>0</v>
      </c>
      <c r="BH159" s="542">
        <v>0</v>
      </c>
      <c r="BI159" s="542">
        <v>1659.63312</v>
      </c>
      <c r="BJ159" s="542">
        <v>1106.4220800000001</v>
      </c>
      <c r="BK159" s="542">
        <v>0</v>
      </c>
      <c r="BL159" s="542">
        <v>0</v>
      </c>
      <c r="BM159" s="542">
        <v>0</v>
      </c>
      <c r="BN159" s="542">
        <v>0</v>
      </c>
      <c r="BO159" s="542">
        <v>1660</v>
      </c>
      <c r="BP159" s="542">
        <v>1106</v>
      </c>
      <c r="BQ159" s="542">
        <v>0</v>
      </c>
      <c r="BR159" s="542">
        <v>4645.0929900000001</v>
      </c>
      <c r="BS159" s="542">
        <v>3096.7286600000002</v>
      </c>
      <c r="BT159" s="542">
        <v>0</v>
      </c>
      <c r="BU159" s="542">
        <v>24092.0972</v>
      </c>
      <c r="BV159" s="542">
        <v>16061.3981</v>
      </c>
      <c r="BW159" s="542">
        <v>0</v>
      </c>
      <c r="BX159" s="542">
        <v>-19447</v>
      </c>
      <c r="BY159" s="542">
        <v>-12965</v>
      </c>
      <c r="BZ159" s="542">
        <v>0</v>
      </c>
      <c r="CA159" s="542">
        <v>240684.09400000001</v>
      </c>
      <c r="CB159" s="542">
        <v>160456.06200000001</v>
      </c>
      <c r="CC159" s="542">
        <v>0</v>
      </c>
      <c r="CD159" s="542">
        <v>479065.45500000002</v>
      </c>
      <c r="CE159" s="542">
        <v>319376.96999999997</v>
      </c>
      <c r="CF159" s="542">
        <v>0</v>
      </c>
      <c r="CG159" s="542">
        <v>-238381</v>
      </c>
      <c r="CH159" s="542">
        <v>-158921</v>
      </c>
      <c r="CI159" s="542">
        <v>0</v>
      </c>
      <c r="CJ159" s="542">
        <v>0</v>
      </c>
      <c r="CK159" s="542">
        <v>0</v>
      </c>
      <c r="CL159" s="542">
        <v>0</v>
      </c>
      <c r="CM159" s="542">
        <v>0</v>
      </c>
      <c r="CN159" s="542">
        <v>0</v>
      </c>
      <c r="CO159" s="542">
        <v>0</v>
      </c>
      <c r="CP159" s="542">
        <v>0</v>
      </c>
      <c r="CQ159" s="542">
        <v>0</v>
      </c>
      <c r="CR159" s="542">
        <v>0</v>
      </c>
      <c r="CS159" s="542">
        <v>0</v>
      </c>
      <c r="CT159" s="542">
        <v>0</v>
      </c>
      <c r="CU159" s="542">
        <v>0</v>
      </c>
      <c r="CV159" s="542">
        <v>156506.391</v>
      </c>
      <c r="CW159" s="542">
        <v>104337.594</v>
      </c>
      <c r="CX159" s="542">
        <v>0</v>
      </c>
      <c r="CY159" s="542">
        <v>150568</v>
      </c>
      <c r="CZ159" s="542">
        <v>98186</v>
      </c>
      <c r="DA159" s="542">
        <v>0</v>
      </c>
      <c r="DB159" s="542">
        <v>5938</v>
      </c>
      <c r="DC159" s="542">
        <v>6152</v>
      </c>
      <c r="DD159" s="542">
        <v>0</v>
      </c>
      <c r="DE159" s="153" t="s">
        <v>183</v>
      </c>
      <c r="DF159" s="103" t="s">
        <v>762</v>
      </c>
      <c r="DG159" s="103" t="s">
        <v>750</v>
      </c>
      <c r="DH159" s="547"/>
      <c r="DI159" s="547"/>
    </row>
    <row r="160" spans="1:113" x14ac:dyDescent="0.2">
      <c r="A160" s="93">
        <v>154</v>
      </c>
      <c r="B160" s="145" t="s">
        <v>186</v>
      </c>
      <c r="C160" s="141" t="s">
        <v>866</v>
      </c>
      <c r="D160" s="142" t="s">
        <v>876</v>
      </c>
      <c r="E160" s="149" t="s">
        <v>185</v>
      </c>
      <c r="F160" s="542">
        <v>-225213</v>
      </c>
      <c r="G160" s="542">
        <v>0</v>
      </c>
      <c r="H160" s="542">
        <v>-225213</v>
      </c>
      <c r="I160" s="542">
        <v>67350</v>
      </c>
      <c r="J160" s="542">
        <v>0</v>
      </c>
      <c r="K160" s="542">
        <v>67350</v>
      </c>
      <c r="L160" s="542">
        <v>-292563</v>
      </c>
      <c r="M160" s="542">
        <v>0</v>
      </c>
      <c r="N160" s="542">
        <v>-292563</v>
      </c>
      <c r="O160" s="543">
        <v>0.5</v>
      </c>
      <c r="P160" s="543">
        <v>0.4</v>
      </c>
      <c r="Q160" s="543">
        <v>0.09</v>
      </c>
      <c r="R160" s="543">
        <v>0.01</v>
      </c>
      <c r="S160" s="542">
        <v>124697</v>
      </c>
      <c r="T160" s="542">
        <v>124697</v>
      </c>
      <c r="U160" s="542">
        <v>0</v>
      </c>
      <c r="V160" s="542">
        <v>0</v>
      </c>
      <c r="W160" s="542">
        <v>0</v>
      </c>
      <c r="X160" s="542">
        <v>0</v>
      </c>
      <c r="Y160" s="542">
        <v>0</v>
      </c>
      <c r="Z160" s="542">
        <v>0</v>
      </c>
      <c r="AA160" s="542">
        <v>0</v>
      </c>
      <c r="AB160" s="542">
        <v>0</v>
      </c>
      <c r="AC160" s="542">
        <v>0</v>
      </c>
      <c r="AD160" s="542">
        <v>0</v>
      </c>
      <c r="AE160" s="542">
        <v>0</v>
      </c>
      <c r="AF160" s="542">
        <v>0</v>
      </c>
      <c r="AG160" s="542">
        <v>0</v>
      </c>
      <c r="AH160" s="542">
        <v>0</v>
      </c>
      <c r="AI160" s="542">
        <v>0</v>
      </c>
      <c r="AJ160" s="542">
        <v>0</v>
      </c>
      <c r="AK160" s="542">
        <v>0</v>
      </c>
      <c r="AL160" s="542">
        <v>0</v>
      </c>
      <c r="AM160" s="542">
        <v>0</v>
      </c>
      <c r="AN160" s="542">
        <v>0</v>
      </c>
      <c r="AO160" s="542">
        <v>0</v>
      </c>
      <c r="AP160" s="542">
        <v>0</v>
      </c>
      <c r="AQ160" s="542">
        <v>343466.64199999999</v>
      </c>
      <c r="AR160" s="542">
        <v>77279.994600000005</v>
      </c>
      <c r="AS160" s="542">
        <v>8586.6660699999993</v>
      </c>
      <c r="AT160" s="542">
        <v>313108</v>
      </c>
      <c r="AU160" s="542">
        <v>70449</v>
      </c>
      <c r="AV160" s="542">
        <v>7828</v>
      </c>
      <c r="AW160" s="542">
        <v>30359</v>
      </c>
      <c r="AX160" s="542">
        <v>6831</v>
      </c>
      <c r="AY160" s="542">
        <v>759</v>
      </c>
      <c r="AZ160" s="542">
        <v>11177.814</v>
      </c>
      <c r="BA160" s="542">
        <v>2515.0081500000001</v>
      </c>
      <c r="BB160" s="542">
        <v>279.44535000000002</v>
      </c>
      <c r="BC160" s="542">
        <v>0</v>
      </c>
      <c r="BD160" s="542">
        <v>0</v>
      </c>
      <c r="BE160" s="542">
        <v>0</v>
      </c>
      <c r="BF160" s="542">
        <v>11178</v>
      </c>
      <c r="BG160" s="542">
        <v>2515</v>
      </c>
      <c r="BH160" s="542">
        <v>279</v>
      </c>
      <c r="BI160" s="542">
        <v>0</v>
      </c>
      <c r="BJ160" s="542">
        <v>0</v>
      </c>
      <c r="BK160" s="542">
        <v>0</v>
      </c>
      <c r="BL160" s="542">
        <v>0</v>
      </c>
      <c r="BM160" s="542">
        <v>0</v>
      </c>
      <c r="BN160" s="542">
        <v>0</v>
      </c>
      <c r="BO160" s="542">
        <v>0</v>
      </c>
      <c r="BP160" s="542">
        <v>0</v>
      </c>
      <c r="BQ160" s="542">
        <v>0</v>
      </c>
      <c r="BR160" s="542">
        <v>1743.10997</v>
      </c>
      <c r="BS160" s="542">
        <v>392.19974500000001</v>
      </c>
      <c r="BT160" s="542">
        <v>43.577749400000002</v>
      </c>
      <c r="BU160" s="542">
        <v>321882</v>
      </c>
      <c r="BV160" s="542">
        <v>72423</v>
      </c>
      <c r="BW160" s="542">
        <v>8047</v>
      </c>
      <c r="BX160" s="542">
        <v>-320139</v>
      </c>
      <c r="BY160" s="542">
        <v>-72031</v>
      </c>
      <c r="BZ160" s="542">
        <v>-8003</v>
      </c>
      <c r="CA160" s="542">
        <v>164450.21799999999</v>
      </c>
      <c r="CB160" s="542">
        <v>37001.299099999997</v>
      </c>
      <c r="CC160" s="542">
        <v>4111.2554499999997</v>
      </c>
      <c r="CD160" s="542">
        <v>217080</v>
      </c>
      <c r="CE160" s="542">
        <v>48843</v>
      </c>
      <c r="CF160" s="542">
        <v>5427</v>
      </c>
      <c r="CG160" s="542">
        <v>-52630</v>
      </c>
      <c r="CH160" s="542">
        <v>-11842</v>
      </c>
      <c r="CI160" s="542">
        <v>-1316</v>
      </c>
      <c r="CJ160" s="542">
        <v>0</v>
      </c>
      <c r="CK160" s="542">
        <v>0</v>
      </c>
      <c r="CL160" s="542">
        <v>0</v>
      </c>
      <c r="CM160" s="542">
        <v>0</v>
      </c>
      <c r="CN160" s="542">
        <v>0</v>
      </c>
      <c r="CO160" s="542">
        <v>0</v>
      </c>
      <c r="CP160" s="542">
        <v>0</v>
      </c>
      <c r="CQ160" s="542">
        <v>0</v>
      </c>
      <c r="CR160" s="542">
        <v>0</v>
      </c>
      <c r="CS160" s="542">
        <v>0</v>
      </c>
      <c r="CT160" s="542">
        <v>0</v>
      </c>
      <c r="CU160" s="542">
        <v>0</v>
      </c>
      <c r="CV160" s="542">
        <v>128322.86199999999</v>
      </c>
      <c r="CW160" s="542">
        <v>28872.643899999999</v>
      </c>
      <c r="CX160" s="542">
        <v>3208.0715500000001</v>
      </c>
      <c r="CY160" s="542">
        <v>134191</v>
      </c>
      <c r="CZ160" s="542">
        <v>29895</v>
      </c>
      <c r="DA160" s="542">
        <v>3322</v>
      </c>
      <c r="DB160" s="542">
        <v>-5868</v>
      </c>
      <c r="DC160" s="542">
        <v>-1022</v>
      </c>
      <c r="DD160" s="542">
        <v>-114</v>
      </c>
      <c r="DE160" s="153" t="s">
        <v>185</v>
      </c>
      <c r="DF160" s="103" t="s">
        <v>792</v>
      </c>
      <c r="DG160" s="104" t="s">
        <v>793</v>
      </c>
      <c r="DH160" s="547"/>
      <c r="DI160" s="547"/>
    </row>
    <row r="161" spans="1:113" x14ac:dyDescent="0.2">
      <c r="A161" s="93">
        <v>155</v>
      </c>
      <c r="B161" s="145" t="s">
        <v>188</v>
      </c>
      <c r="C161" s="141" t="s">
        <v>866</v>
      </c>
      <c r="D161" s="142" t="s">
        <v>869</v>
      </c>
      <c r="E161" s="149" t="s">
        <v>187</v>
      </c>
      <c r="F161" s="542">
        <v>-174010</v>
      </c>
      <c r="G161" s="542">
        <v>0</v>
      </c>
      <c r="H161" s="542">
        <v>-174010</v>
      </c>
      <c r="I161" s="542">
        <v>-5083</v>
      </c>
      <c r="J161" s="542">
        <v>0</v>
      </c>
      <c r="K161" s="542">
        <v>-5083</v>
      </c>
      <c r="L161" s="542">
        <v>-168927</v>
      </c>
      <c r="M161" s="542">
        <v>0</v>
      </c>
      <c r="N161" s="542">
        <v>-168927</v>
      </c>
      <c r="O161" s="543">
        <v>0.5</v>
      </c>
      <c r="P161" s="543">
        <v>0.4</v>
      </c>
      <c r="Q161" s="543">
        <v>0.1</v>
      </c>
      <c r="R161" s="543">
        <v>0</v>
      </c>
      <c r="S161" s="542">
        <v>150379</v>
      </c>
      <c r="T161" s="542">
        <v>150379</v>
      </c>
      <c r="U161" s="542">
        <v>0</v>
      </c>
      <c r="V161" s="542">
        <v>0</v>
      </c>
      <c r="W161" s="542">
        <v>0</v>
      </c>
      <c r="X161" s="542">
        <v>0</v>
      </c>
      <c r="Y161" s="542">
        <v>0</v>
      </c>
      <c r="Z161" s="542">
        <v>0</v>
      </c>
      <c r="AA161" s="542">
        <v>0</v>
      </c>
      <c r="AB161" s="542">
        <v>0</v>
      </c>
      <c r="AC161" s="542">
        <v>0</v>
      </c>
      <c r="AD161" s="542">
        <v>0</v>
      </c>
      <c r="AE161" s="542">
        <v>0</v>
      </c>
      <c r="AF161" s="542">
        <v>0</v>
      </c>
      <c r="AG161" s="542">
        <v>0</v>
      </c>
      <c r="AH161" s="542">
        <v>0</v>
      </c>
      <c r="AI161" s="542">
        <v>0</v>
      </c>
      <c r="AJ161" s="542">
        <v>0</v>
      </c>
      <c r="AK161" s="542">
        <v>0</v>
      </c>
      <c r="AL161" s="542">
        <v>0</v>
      </c>
      <c r="AM161" s="542">
        <v>0</v>
      </c>
      <c r="AN161" s="542">
        <v>0</v>
      </c>
      <c r="AO161" s="542">
        <v>0</v>
      </c>
      <c r="AP161" s="542">
        <v>0</v>
      </c>
      <c r="AQ161" s="542">
        <v>386748.68599999999</v>
      </c>
      <c r="AR161" s="542">
        <v>96687.171499999997</v>
      </c>
      <c r="AS161" s="542">
        <v>0</v>
      </c>
      <c r="AT161" s="542">
        <v>356694</v>
      </c>
      <c r="AU161" s="542">
        <v>89174</v>
      </c>
      <c r="AV161" s="542">
        <v>0</v>
      </c>
      <c r="AW161" s="542">
        <v>30055</v>
      </c>
      <c r="AX161" s="542">
        <v>7513</v>
      </c>
      <c r="AY161" s="542">
        <v>0</v>
      </c>
      <c r="AZ161" s="542">
        <v>1506.6259</v>
      </c>
      <c r="BA161" s="542">
        <v>376.656475</v>
      </c>
      <c r="BB161" s="542">
        <v>0</v>
      </c>
      <c r="BC161" s="542">
        <v>4042</v>
      </c>
      <c r="BD161" s="542">
        <v>1011</v>
      </c>
      <c r="BE161" s="542">
        <v>0</v>
      </c>
      <c r="BF161" s="542">
        <v>-2535</v>
      </c>
      <c r="BG161" s="542">
        <v>-634</v>
      </c>
      <c r="BH161" s="542">
        <v>0</v>
      </c>
      <c r="BI161" s="542">
        <v>33087.1541</v>
      </c>
      <c r="BJ161" s="542">
        <v>8271.7885299999998</v>
      </c>
      <c r="BK161" s="542">
        <v>0</v>
      </c>
      <c r="BL161" s="542">
        <v>36382</v>
      </c>
      <c r="BM161" s="542">
        <v>9096</v>
      </c>
      <c r="BN161" s="542">
        <v>0</v>
      </c>
      <c r="BO161" s="542">
        <v>-3295</v>
      </c>
      <c r="BP161" s="542">
        <v>-824</v>
      </c>
      <c r="BQ161" s="542">
        <v>0</v>
      </c>
      <c r="BR161" s="542">
        <v>34684.331200000001</v>
      </c>
      <c r="BS161" s="542">
        <v>8671.0828000000001</v>
      </c>
      <c r="BT161" s="542">
        <v>0</v>
      </c>
      <c r="BU161" s="542">
        <v>63062.420299999998</v>
      </c>
      <c r="BV161" s="542">
        <v>15765.605100000001</v>
      </c>
      <c r="BW161" s="542">
        <v>0</v>
      </c>
      <c r="BX161" s="542">
        <v>-28378</v>
      </c>
      <c r="BY161" s="542">
        <v>-7095</v>
      </c>
      <c r="BZ161" s="542">
        <v>0</v>
      </c>
      <c r="CA161" s="542">
        <v>174319.48699999999</v>
      </c>
      <c r="CB161" s="542">
        <v>43579.871700000003</v>
      </c>
      <c r="CC161" s="542">
        <v>0</v>
      </c>
      <c r="CD161" s="542">
        <v>303184.71299999999</v>
      </c>
      <c r="CE161" s="542">
        <v>75796.1783</v>
      </c>
      <c r="CF161" s="542">
        <v>0</v>
      </c>
      <c r="CG161" s="542">
        <v>-128865</v>
      </c>
      <c r="CH161" s="542">
        <v>-32216</v>
      </c>
      <c r="CI161" s="542">
        <v>0</v>
      </c>
      <c r="CJ161" s="542">
        <v>0</v>
      </c>
      <c r="CK161" s="542">
        <v>0</v>
      </c>
      <c r="CL161" s="542">
        <v>0</v>
      </c>
      <c r="CM161" s="542">
        <v>0</v>
      </c>
      <c r="CN161" s="542">
        <v>0</v>
      </c>
      <c r="CO161" s="542">
        <v>0</v>
      </c>
      <c r="CP161" s="542">
        <v>0</v>
      </c>
      <c r="CQ161" s="542">
        <v>0</v>
      </c>
      <c r="CR161" s="542">
        <v>0</v>
      </c>
      <c r="CS161" s="542">
        <v>0</v>
      </c>
      <c r="CT161" s="542">
        <v>0</v>
      </c>
      <c r="CU161" s="542">
        <v>0</v>
      </c>
      <c r="CV161" s="542">
        <v>167666.33499999999</v>
      </c>
      <c r="CW161" s="542">
        <v>41916.5838</v>
      </c>
      <c r="CX161" s="542">
        <v>0</v>
      </c>
      <c r="CY161" s="542">
        <v>175363</v>
      </c>
      <c r="CZ161" s="542">
        <v>43442</v>
      </c>
      <c r="DA161" s="542">
        <v>0</v>
      </c>
      <c r="DB161" s="542">
        <v>-7697</v>
      </c>
      <c r="DC161" s="542">
        <v>-1525</v>
      </c>
      <c r="DD161" s="542">
        <v>0</v>
      </c>
      <c r="DE161" s="153" t="s">
        <v>187</v>
      </c>
      <c r="DF161" s="103" t="s">
        <v>778</v>
      </c>
      <c r="DG161" s="104" t="s">
        <v>751</v>
      </c>
      <c r="DH161" s="547"/>
      <c r="DI161" s="547"/>
    </row>
    <row r="162" spans="1:113" x14ac:dyDescent="0.2">
      <c r="A162" s="93">
        <v>156</v>
      </c>
      <c r="B162" s="145" t="s">
        <v>190</v>
      </c>
      <c r="C162" s="141" t="s">
        <v>873</v>
      </c>
      <c r="D162" s="142" t="s">
        <v>868</v>
      </c>
      <c r="E162" s="149" t="s">
        <v>189</v>
      </c>
      <c r="F162" s="542">
        <v>-1795849</v>
      </c>
      <c r="G162" s="542">
        <v>-460756</v>
      </c>
      <c r="H162" s="542">
        <v>-2256605</v>
      </c>
      <c r="I162" s="542">
        <v>123047</v>
      </c>
      <c r="J162" s="542">
        <v>47968</v>
      </c>
      <c r="K162" s="542">
        <v>171015</v>
      </c>
      <c r="L162" s="542">
        <v>-1918896</v>
      </c>
      <c r="M162" s="542">
        <v>-508724</v>
      </c>
      <c r="N162" s="542">
        <v>-2427620</v>
      </c>
      <c r="O162" s="543">
        <v>0.5</v>
      </c>
      <c r="P162" s="543">
        <v>0.49</v>
      </c>
      <c r="Q162" s="543">
        <v>0</v>
      </c>
      <c r="R162" s="543">
        <v>0.01</v>
      </c>
      <c r="S162" s="542">
        <v>768610</v>
      </c>
      <c r="T162" s="542">
        <v>768610</v>
      </c>
      <c r="U162" s="542">
        <v>0</v>
      </c>
      <c r="V162" s="542">
        <v>0</v>
      </c>
      <c r="W162" s="542">
        <v>0</v>
      </c>
      <c r="X162" s="542">
        <v>0</v>
      </c>
      <c r="Y162" s="542">
        <v>0</v>
      </c>
      <c r="Z162" s="542">
        <v>0</v>
      </c>
      <c r="AA162" s="542">
        <v>0</v>
      </c>
      <c r="AB162" s="542">
        <v>0</v>
      </c>
      <c r="AC162" s="542">
        <v>0</v>
      </c>
      <c r="AD162" s="542">
        <v>0</v>
      </c>
      <c r="AE162" s="542">
        <v>258541.77</v>
      </c>
      <c r="AF162" s="542">
        <v>258541.77</v>
      </c>
      <c r="AG162" s="542">
        <v>0</v>
      </c>
      <c r="AH162" s="542">
        <v>0</v>
      </c>
      <c r="AI162" s="542">
        <v>0</v>
      </c>
      <c r="AJ162" s="542">
        <v>0</v>
      </c>
      <c r="AK162" s="542">
        <v>0</v>
      </c>
      <c r="AL162" s="542">
        <v>0</v>
      </c>
      <c r="AM162" s="542">
        <v>258542</v>
      </c>
      <c r="AN162" s="542">
        <v>258542</v>
      </c>
      <c r="AO162" s="542">
        <v>0</v>
      </c>
      <c r="AP162" s="542">
        <v>0</v>
      </c>
      <c r="AQ162" s="542">
        <v>2384921.5499999998</v>
      </c>
      <c r="AR162" s="542">
        <v>0</v>
      </c>
      <c r="AS162" s="542">
        <v>43076.13</v>
      </c>
      <c r="AT162" s="542">
        <v>1816863</v>
      </c>
      <c r="AU162" s="542">
        <v>0</v>
      </c>
      <c r="AV162" s="542">
        <v>37079</v>
      </c>
      <c r="AW162" s="542">
        <v>568059</v>
      </c>
      <c r="AX162" s="542">
        <v>0</v>
      </c>
      <c r="AY162" s="542">
        <v>5997</v>
      </c>
      <c r="AZ162" s="542">
        <v>9586.7999999999993</v>
      </c>
      <c r="BA162" s="542">
        <v>0</v>
      </c>
      <c r="BB162" s="542">
        <v>127.24</v>
      </c>
      <c r="BC162" s="542">
        <v>191249</v>
      </c>
      <c r="BD162" s="542">
        <v>0</v>
      </c>
      <c r="BE162" s="542">
        <v>3903</v>
      </c>
      <c r="BF162" s="542">
        <v>-181662</v>
      </c>
      <c r="BG162" s="542">
        <v>0</v>
      </c>
      <c r="BH162" s="542">
        <v>-3776</v>
      </c>
      <c r="BI162" s="542">
        <v>25241.42</v>
      </c>
      <c r="BJ162" s="542">
        <v>0</v>
      </c>
      <c r="BK162" s="542">
        <v>515.13</v>
      </c>
      <c r="BL162" s="542">
        <v>198081</v>
      </c>
      <c r="BM162" s="542">
        <v>0</v>
      </c>
      <c r="BN162" s="542">
        <v>4042</v>
      </c>
      <c r="BO162" s="542">
        <v>-172840</v>
      </c>
      <c r="BP162" s="542">
        <v>0</v>
      </c>
      <c r="BQ162" s="542">
        <v>-3527</v>
      </c>
      <c r="BR162" s="542">
        <v>9689.61</v>
      </c>
      <c r="BS162" s="542">
        <v>0</v>
      </c>
      <c r="BT162" s="542">
        <v>197.75</v>
      </c>
      <c r="BU162" s="542">
        <v>36808.839999999997</v>
      </c>
      <c r="BV162" s="542">
        <v>0</v>
      </c>
      <c r="BW162" s="542">
        <v>751.2</v>
      </c>
      <c r="BX162" s="542">
        <v>-27119</v>
      </c>
      <c r="BY162" s="542">
        <v>0</v>
      </c>
      <c r="BZ162" s="542">
        <v>-553</v>
      </c>
      <c r="CA162" s="542">
        <v>911329.77</v>
      </c>
      <c r="CB162" s="542">
        <v>0</v>
      </c>
      <c r="CC162" s="542">
        <v>15794.93</v>
      </c>
      <c r="CD162" s="542">
        <v>1139804.76</v>
      </c>
      <c r="CE162" s="542">
        <v>0</v>
      </c>
      <c r="CF162" s="542">
        <v>23261.32</v>
      </c>
      <c r="CG162" s="542">
        <v>-228475</v>
      </c>
      <c r="CH162" s="542">
        <v>0</v>
      </c>
      <c r="CI162" s="542">
        <v>-7466</v>
      </c>
      <c r="CJ162" s="542">
        <v>0</v>
      </c>
      <c r="CK162" s="542">
        <v>0</v>
      </c>
      <c r="CL162" s="542">
        <v>0</v>
      </c>
      <c r="CM162" s="542">
        <v>0</v>
      </c>
      <c r="CN162" s="542">
        <v>0</v>
      </c>
      <c r="CO162" s="542">
        <v>0</v>
      </c>
      <c r="CP162" s="542">
        <v>0</v>
      </c>
      <c r="CQ162" s="542">
        <v>0</v>
      </c>
      <c r="CR162" s="542">
        <v>0</v>
      </c>
      <c r="CS162" s="542">
        <v>0</v>
      </c>
      <c r="CT162" s="542">
        <v>0</v>
      </c>
      <c r="CU162" s="542">
        <v>0</v>
      </c>
      <c r="CV162" s="542">
        <v>933384.66</v>
      </c>
      <c r="CW162" s="542">
        <v>0</v>
      </c>
      <c r="CX162" s="542">
        <v>19048.669999999998</v>
      </c>
      <c r="CY162" s="542">
        <v>1000940</v>
      </c>
      <c r="CZ162" s="542">
        <v>0</v>
      </c>
      <c r="DA162" s="542">
        <v>20261</v>
      </c>
      <c r="DB162" s="542">
        <v>-67555</v>
      </c>
      <c r="DC162" s="542">
        <v>0</v>
      </c>
      <c r="DD162" s="542">
        <v>-1212</v>
      </c>
      <c r="DE162" s="153" t="s">
        <v>189</v>
      </c>
      <c r="DF162" s="103" t="s">
        <v>763</v>
      </c>
      <c r="DG162" s="104" t="s">
        <v>814</v>
      </c>
      <c r="DH162" s="549" t="s">
        <v>1197</v>
      </c>
      <c r="DI162" s="549" t="s">
        <v>1198</v>
      </c>
    </row>
    <row r="163" spans="1:113" x14ac:dyDescent="0.2">
      <c r="A163" s="93">
        <v>157</v>
      </c>
      <c r="B163" s="145" t="s">
        <v>192</v>
      </c>
      <c r="C163" s="141" t="s">
        <v>770</v>
      </c>
      <c r="D163" s="142" t="s">
        <v>870</v>
      </c>
      <c r="E163" s="149" t="s">
        <v>704</v>
      </c>
      <c r="F163" s="542">
        <v>-1385985</v>
      </c>
      <c r="G163" s="542">
        <v>0</v>
      </c>
      <c r="H163" s="542">
        <v>-1385985</v>
      </c>
      <c r="I163" s="542">
        <v>-207724</v>
      </c>
      <c r="J163" s="542">
        <v>0</v>
      </c>
      <c r="K163" s="542">
        <v>-207724</v>
      </c>
      <c r="L163" s="542">
        <v>-1178261</v>
      </c>
      <c r="M163" s="542">
        <v>0</v>
      </c>
      <c r="N163" s="542">
        <v>-1178261</v>
      </c>
      <c r="O163" s="543">
        <v>0.5</v>
      </c>
      <c r="P163" s="543">
        <v>0.49</v>
      </c>
      <c r="Q163" s="543">
        <v>0</v>
      </c>
      <c r="R163" s="543">
        <v>0.01</v>
      </c>
      <c r="S163" s="542">
        <v>259109</v>
      </c>
      <c r="T163" s="542">
        <v>259109</v>
      </c>
      <c r="U163" s="542">
        <v>0</v>
      </c>
      <c r="V163" s="542">
        <v>0</v>
      </c>
      <c r="W163" s="542">
        <v>0</v>
      </c>
      <c r="X163" s="542">
        <v>0</v>
      </c>
      <c r="Y163" s="542">
        <v>0</v>
      </c>
      <c r="Z163" s="542">
        <v>0</v>
      </c>
      <c r="AA163" s="542">
        <v>0</v>
      </c>
      <c r="AB163" s="542">
        <v>0</v>
      </c>
      <c r="AC163" s="542">
        <v>0</v>
      </c>
      <c r="AD163" s="542">
        <v>0</v>
      </c>
      <c r="AE163" s="542">
        <v>0</v>
      </c>
      <c r="AF163" s="542">
        <v>0</v>
      </c>
      <c r="AG163" s="542">
        <v>0</v>
      </c>
      <c r="AH163" s="542">
        <v>0</v>
      </c>
      <c r="AI163" s="542">
        <v>0</v>
      </c>
      <c r="AJ163" s="542">
        <v>0</v>
      </c>
      <c r="AK163" s="542">
        <v>0</v>
      </c>
      <c r="AL163" s="542">
        <v>0</v>
      </c>
      <c r="AM163" s="542">
        <v>0</v>
      </c>
      <c r="AN163" s="542">
        <v>0</v>
      </c>
      <c r="AO163" s="542">
        <v>0</v>
      </c>
      <c r="AP163" s="542">
        <v>0</v>
      </c>
      <c r="AQ163" s="542">
        <v>713460.86</v>
      </c>
      <c r="AR163" s="542">
        <v>0</v>
      </c>
      <c r="AS163" s="542">
        <v>14560.43</v>
      </c>
      <c r="AT163" s="542">
        <v>631919</v>
      </c>
      <c r="AU163" s="542">
        <v>0</v>
      </c>
      <c r="AV163" s="542">
        <v>12896</v>
      </c>
      <c r="AW163" s="542">
        <v>81542</v>
      </c>
      <c r="AX163" s="542">
        <v>0</v>
      </c>
      <c r="AY163" s="542">
        <v>1664</v>
      </c>
      <c r="AZ163" s="542">
        <v>2797.89</v>
      </c>
      <c r="BA163" s="542">
        <v>0</v>
      </c>
      <c r="BB163" s="542">
        <v>57.1</v>
      </c>
      <c r="BC163" s="542">
        <v>0</v>
      </c>
      <c r="BD163" s="542">
        <v>0</v>
      </c>
      <c r="BE163" s="542">
        <v>0</v>
      </c>
      <c r="BF163" s="542">
        <v>2798</v>
      </c>
      <c r="BG163" s="542">
        <v>0</v>
      </c>
      <c r="BH163" s="542">
        <v>57</v>
      </c>
      <c r="BI163" s="542">
        <v>352.58</v>
      </c>
      <c r="BJ163" s="542">
        <v>0</v>
      </c>
      <c r="BK163" s="542">
        <v>7.2</v>
      </c>
      <c r="BL163" s="542">
        <v>0</v>
      </c>
      <c r="BM163" s="542">
        <v>0</v>
      </c>
      <c r="BN163" s="542">
        <v>0</v>
      </c>
      <c r="BO163" s="542">
        <v>353</v>
      </c>
      <c r="BP163" s="542">
        <v>0</v>
      </c>
      <c r="BQ163" s="542">
        <v>7</v>
      </c>
      <c r="BR163" s="542">
        <v>1467.28</v>
      </c>
      <c r="BS163" s="542">
        <v>0</v>
      </c>
      <c r="BT163" s="542">
        <v>29.94</v>
      </c>
      <c r="BU163" s="542">
        <v>14938</v>
      </c>
      <c r="BV163" s="542">
        <v>0</v>
      </c>
      <c r="BW163" s="542">
        <v>305</v>
      </c>
      <c r="BX163" s="542">
        <v>-13471</v>
      </c>
      <c r="BY163" s="542">
        <v>0</v>
      </c>
      <c r="BZ163" s="542">
        <v>-275</v>
      </c>
      <c r="CA163" s="542">
        <v>402680.69</v>
      </c>
      <c r="CB163" s="542">
        <v>0</v>
      </c>
      <c r="CC163" s="542">
        <v>8217.9699999999993</v>
      </c>
      <c r="CD163" s="542">
        <v>509794</v>
      </c>
      <c r="CE163" s="542">
        <v>0</v>
      </c>
      <c r="CF163" s="542">
        <v>10404</v>
      </c>
      <c r="CG163" s="542">
        <v>-107113</v>
      </c>
      <c r="CH163" s="542">
        <v>0</v>
      </c>
      <c r="CI163" s="542">
        <v>-2186</v>
      </c>
      <c r="CJ163" s="542">
        <v>0</v>
      </c>
      <c r="CK163" s="542">
        <v>0</v>
      </c>
      <c r="CL163" s="542">
        <v>0</v>
      </c>
      <c r="CM163" s="542">
        <v>0</v>
      </c>
      <c r="CN163" s="542">
        <v>0</v>
      </c>
      <c r="CO163" s="542">
        <v>0</v>
      </c>
      <c r="CP163" s="542">
        <v>0</v>
      </c>
      <c r="CQ163" s="542">
        <v>0</v>
      </c>
      <c r="CR163" s="542">
        <v>0</v>
      </c>
      <c r="CS163" s="542">
        <v>0</v>
      </c>
      <c r="CT163" s="542">
        <v>0</v>
      </c>
      <c r="CU163" s="542">
        <v>0</v>
      </c>
      <c r="CV163" s="542">
        <v>305723.73</v>
      </c>
      <c r="CW163" s="542">
        <v>0</v>
      </c>
      <c r="CX163" s="542">
        <v>6239.26</v>
      </c>
      <c r="CY163" s="542">
        <v>315116</v>
      </c>
      <c r="CZ163" s="542">
        <v>0</v>
      </c>
      <c r="DA163" s="542">
        <v>6375</v>
      </c>
      <c r="DB163" s="542">
        <v>-9392</v>
      </c>
      <c r="DC163" s="542">
        <v>0</v>
      </c>
      <c r="DD163" s="542">
        <v>-136</v>
      </c>
      <c r="DE163" s="153" t="s">
        <v>704</v>
      </c>
      <c r="DF163" s="103" t="s">
        <v>770</v>
      </c>
      <c r="DG163" s="104" t="s">
        <v>772</v>
      </c>
      <c r="DH163" s="547"/>
      <c r="DI163" s="547"/>
    </row>
    <row r="164" spans="1:113" x14ac:dyDescent="0.2">
      <c r="A164" s="93">
        <v>158</v>
      </c>
      <c r="B164" s="145" t="s">
        <v>194</v>
      </c>
      <c r="C164" s="141" t="s">
        <v>866</v>
      </c>
      <c r="D164" s="142" t="s">
        <v>867</v>
      </c>
      <c r="E164" s="149" t="s">
        <v>193</v>
      </c>
      <c r="F164" s="542">
        <v>-304612</v>
      </c>
      <c r="G164" s="542">
        <v>0</v>
      </c>
      <c r="H164" s="542">
        <v>-304612</v>
      </c>
      <c r="I164" s="542">
        <v>-20373</v>
      </c>
      <c r="J164" s="542">
        <v>0</v>
      </c>
      <c r="K164" s="542">
        <v>-20373</v>
      </c>
      <c r="L164" s="542">
        <v>-284239</v>
      </c>
      <c r="M164" s="542">
        <v>0</v>
      </c>
      <c r="N164" s="542">
        <v>-284239</v>
      </c>
      <c r="O164" s="543">
        <v>0.5</v>
      </c>
      <c r="P164" s="543">
        <v>0.4</v>
      </c>
      <c r="Q164" s="543">
        <v>0.09</v>
      </c>
      <c r="R164" s="543">
        <v>0.01</v>
      </c>
      <c r="S164" s="542">
        <v>208056</v>
      </c>
      <c r="T164" s="542">
        <v>208056</v>
      </c>
      <c r="U164" s="542">
        <v>0</v>
      </c>
      <c r="V164" s="542">
        <v>0</v>
      </c>
      <c r="W164" s="542">
        <v>0</v>
      </c>
      <c r="X164" s="542">
        <v>0</v>
      </c>
      <c r="Y164" s="542">
        <v>0</v>
      </c>
      <c r="Z164" s="542">
        <v>0</v>
      </c>
      <c r="AA164" s="542">
        <v>0</v>
      </c>
      <c r="AB164" s="542">
        <v>0</v>
      </c>
      <c r="AC164" s="542">
        <v>0</v>
      </c>
      <c r="AD164" s="542">
        <v>0</v>
      </c>
      <c r="AE164" s="542">
        <v>0</v>
      </c>
      <c r="AF164" s="542">
        <v>0</v>
      </c>
      <c r="AG164" s="542">
        <v>0</v>
      </c>
      <c r="AH164" s="542">
        <v>0</v>
      </c>
      <c r="AI164" s="542">
        <v>0</v>
      </c>
      <c r="AJ164" s="542">
        <v>0</v>
      </c>
      <c r="AK164" s="542">
        <v>0</v>
      </c>
      <c r="AL164" s="542">
        <v>0</v>
      </c>
      <c r="AM164" s="542">
        <v>0</v>
      </c>
      <c r="AN164" s="542">
        <v>0</v>
      </c>
      <c r="AO164" s="542">
        <v>0</v>
      </c>
      <c r="AP164" s="542">
        <v>0</v>
      </c>
      <c r="AQ164" s="542">
        <v>499823.85</v>
      </c>
      <c r="AR164" s="542">
        <v>112460.36599999999</v>
      </c>
      <c r="AS164" s="542">
        <v>12495.5962</v>
      </c>
      <c r="AT164" s="542">
        <v>626794</v>
      </c>
      <c r="AU164" s="542">
        <v>141029</v>
      </c>
      <c r="AV164" s="542">
        <v>15670</v>
      </c>
      <c r="AW164" s="542">
        <v>-126970</v>
      </c>
      <c r="AX164" s="542">
        <v>-28569</v>
      </c>
      <c r="AY164" s="542">
        <v>-3174</v>
      </c>
      <c r="AZ164" s="542">
        <v>58.6157112</v>
      </c>
      <c r="BA164" s="542">
        <v>13.188535</v>
      </c>
      <c r="BB164" s="542">
        <v>1.46539278</v>
      </c>
      <c r="BC164" s="542">
        <v>40575</v>
      </c>
      <c r="BD164" s="542">
        <v>9129</v>
      </c>
      <c r="BE164" s="542">
        <v>1014</v>
      </c>
      <c r="BF164" s="542">
        <v>-40516</v>
      </c>
      <c r="BG164" s="542">
        <v>-9116</v>
      </c>
      <c r="BH164" s="542">
        <v>-1013</v>
      </c>
      <c r="BI164" s="542">
        <v>0</v>
      </c>
      <c r="BJ164" s="542">
        <v>0</v>
      </c>
      <c r="BK164" s="542">
        <v>0</v>
      </c>
      <c r="BL164" s="542">
        <v>3638</v>
      </c>
      <c r="BM164" s="542">
        <v>819</v>
      </c>
      <c r="BN164" s="542">
        <v>91</v>
      </c>
      <c r="BO164" s="542">
        <v>-3638</v>
      </c>
      <c r="BP164" s="542">
        <v>-819</v>
      </c>
      <c r="BQ164" s="542">
        <v>-91</v>
      </c>
      <c r="BR164" s="542">
        <v>4202.9486200000001</v>
      </c>
      <c r="BS164" s="542">
        <v>945.66343900000004</v>
      </c>
      <c r="BT164" s="542">
        <v>105.07371500000001</v>
      </c>
      <c r="BU164" s="542">
        <v>67736</v>
      </c>
      <c r="BV164" s="542">
        <v>15240</v>
      </c>
      <c r="BW164" s="542">
        <v>1693</v>
      </c>
      <c r="BX164" s="542">
        <v>-63533</v>
      </c>
      <c r="BY164" s="542">
        <v>-14294</v>
      </c>
      <c r="BZ164" s="542">
        <v>-1588</v>
      </c>
      <c r="CA164" s="542">
        <v>255203.10399999999</v>
      </c>
      <c r="CB164" s="542">
        <v>57420.698600000003</v>
      </c>
      <c r="CC164" s="542">
        <v>6380.07762</v>
      </c>
      <c r="CD164" s="542">
        <v>217727</v>
      </c>
      <c r="CE164" s="542">
        <v>48989</v>
      </c>
      <c r="CF164" s="542">
        <v>5443</v>
      </c>
      <c r="CG164" s="542">
        <v>37476</v>
      </c>
      <c r="CH164" s="542">
        <v>8432</v>
      </c>
      <c r="CI164" s="542">
        <v>937</v>
      </c>
      <c r="CJ164" s="542">
        <v>0</v>
      </c>
      <c r="CK164" s="542">
        <v>0</v>
      </c>
      <c r="CL164" s="542">
        <v>0</v>
      </c>
      <c r="CM164" s="542">
        <v>71580.293799999999</v>
      </c>
      <c r="CN164" s="542">
        <v>16105.5661</v>
      </c>
      <c r="CO164" s="542">
        <v>1789.5073400000001</v>
      </c>
      <c r="CP164" s="542">
        <v>12708</v>
      </c>
      <c r="CQ164" s="542">
        <v>2859.3314999999998</v>
      </c>
      <c r="CR164" s="542">
        <v>317.70350000000002</v>
      </c>
      <c r="CS164" s="542">
        <v>58872</v>
      </c>
      <c r="CT164" s="542">
        <v>13246</v>
      </c>
      <c r="CU164" s="542">
        <v>1472</v>
      </c>
      <c r="CV164" s="542">
        <v>238081.95300000001</v>
      </c>
      <c r="CW164" s="542">
        <v>53568.4395</v>
      </c>
      <c r="CX164" s="542">
        <v>5952.0488400000004</v>
      </c>
      <c r="CY164" s="542">
        <v>237628</v>
      </c>
      <c r="CZ164" s="542">
        <v>52969</v>
      </c>
      <c r="DA164" s="542">
        <v>5885</v>
      </c>
      <c r="DB164" s="542">
        <v>454</v>
      </c>
      <c r="DC164" s="542">
        <v>599</v>
      </c>
      <c r="DD164" s="542">
        <v>67</v>
      </c>
      <c r="DE164" s="153" t="s">
        <v>193</v>
      </c>
      <c r="DF164" s="103" t="s">
        <v>757</v>
      </c>
      <c r="DG164" s="104" t="s">
        <v>758</v>
      </c>
      <c r="DH164" s="547"/>
      <c r="DI164" s="547"/>
    </row>
    <row r="165" spans="1:113" x14ac:dyDescent="0.2">
      <c r="A165" s="93">
        <v>159</v>
      </c>
      <c r="B165" s="145" t="s">
        <v>196</v>
      </c>
      <c r="C165" s="141" t="s">
        <v>866</v>
      </c>
      <c r="D165" s="142" t="s">
        <v>870</v>
      </c>
      <c r="E165" s="149" t="s">
        <v>195</v>
      </c>
      <c r="F165" s="542">
        <v>-25461</v>
      </c>
      <c r="G165" s="542">
        <v>0</v>
      </c>
      <c r="H165" s="542">
        <v>-25461</v>
      </c>
      <c r="I165" s="542">
        <v>28187</v>
      </c>
      <c r="J165" s="542">
        <v>0</v>
      </c>
      <c r="K165" s="542">
        <v>28187</v>
      </c>
      <c r="L165" s="542">
        <v>-53648</v>
      </c>
      <c r="M165" s="542">
        <v>0</v>
      </c>
      <c r="N165" s="542">
        <v>-53648</v>
      </c>
      <c r="O165" s="543">
        <v>0.5</v>
      </c>
      <c r="P165" s="543">
        <v>0.4</v>
      </c>
      <c r="Q165" s="543">
        <v>0.09</v>
      </c>
      <c r="R165" s="543">
        <v>0.01</v>
      </c>
      <c r="S165" s="542">
        <v>92245</v>
      </c>
      <c r="T165" s="542">
        <v>92245</v>
      </c>
      <c r="U165" s="542">
        <v>0</v>
      </c>
      <c r="V165" s="542">
        <v>0</v>
      </c>
      <c r="W165" s="542">
        <v>0</v>
      </c>
      <c r="X165" s="542">
        <v>0</v>
      </c>
      <c r="Y165" s="542">
        <v>400899</v>
      </c>
      <c r="Z165" s="542">
        <v>0</v>
      </c>
      <c r="AA165" s="542">
        <v>399920</v>
      </c>
      <c r="AB165" s="542">
        <v>0</v>
      </c>
      <c r="AC165" s="542">
        <v>979</v>
      </c>
      <c r="AD165" s="542">
        <v>0</v>
      </c>
      <c r="AE165" s="542">
        <v>0</v>
      </c>
      <c r="AF165" s="542">
        <v>0</v>
      </c>
      <c r="AG165" s="542">
        <v>0</v>
      </c>
      <c r="AH165" s="542">
        <v>0</v>
      </c>
      <c r="AI165" s="542">
        <v>0</v>
      </c>
      <c r="AJ165" s="542">
        <v>0</v>
      </c>
      <c r="AK165" s="542">
        <v>0</v>
      </c>
      <c r="AL165" s="542">
        <v>0</v>
      </c>
      <c r="AM165" s="542">
        <v>0</v>
      </c>
      <c r="AN165" s="542">
        <v>0</v>
      </c>
      <c r="AO165" s="542">
        <v>0</v>
      </c>
      <c r="AP165" s="542">
        <v>0</v>
      </c>
      <c r="AQ165" s="542">
        <v>394306.67599999998</v>
      </c>
      <c r="AR165" s="542">
        <v>88719.002200000003</v>
      </c>
      <c r="AS165" s="542">
        <v>9857.6669199999997</v>
      </c>
      <c r="AT165" s="542">
        <v>341959</v>
      </c>
      <c r="AU165" s="542">
        <v>76941</v>
      </c>
      <c r="AV165" s="542">
        <v>8549</v>
      </c>
      <c r="AW165" s="542">
        <v>52348</v>
      </c>
      <c r="AX165" s="542">
        <v>11778</v>
      </c>
      <c r="AY165" s="542">
        <v>1309</v>
      </c>
      <c r="AZ165" s="542">
        <v>384.43821600000001</v>
      </c>
      <c r="BA165" s="542">
        <v>86.498598700000002</v>
      </c>
      <c r="BB165" s="542">
        <v>9.6109554100000008</v>
      </c>
      <c r="BC165" s="542">
        <v>6064</v>
      </c>
      <c r="BD165" s="542">
        <v>1364</v>
      </c>
      <c r="BE165" s="542">
        <v>152</v>
      </c>
      <c r="BF165" s="542">
        <v>-5680</v>
      </c>
      <c r="BG165" s="542">
        <v>-1278</v>
      </c>
      <c r="BH165" s="542">
        <v>-142</v>
      </c>
      <c r="BI165" s="542">
        <v>0</v>
      </c>
      <c r="BJ165" s="542">
        <v>0</v>
      </c>
      <c r="BK165" s="542">
        <v>0</v>
      </c>
      <c r="BL165" s="542">
        <v>0</v>
      </c>
      <c r="BM165" s="542">
        <v>0</v>
      </c>
      <c r="BN165" s="542">
        <v>0</v>
      </c>
      <c r="BO165" s="542">
        <v>0</v>
      </c>
      <c r="BP165" s="542">
        <v>0</v>
      </c>
      <c r="BQ165" s="542">
        <v>0</v>
      </c>
      <c r="BR165" s="542">
        <v>0</v>
      </c>
      <c r="BS165" s="542">
        <v>0</v>
      </c>
      <c r="BT165" s="542">
        <v>0</v>
      </c>
      <c r="BU165" s="542">
        <v>2086</v>
      </c>
      <c r="BV165" s="542">
        <v>469</v>
      </c>
      <c r="BW165" s="542">
        <v>52</v>
      </c>
      <c r="BX165" s="542">
        <v>-2086</v>
      </c>
      <c r="BY165" s="542">
        <v>-469</v>
      </c>
      <c r="BZ165" s="542">
        <v>-52</v>
      </c>
      <c r="CA165" s="542">
        <v>54062.2811</v>
      </c>
      <c r="CB165" s="542">
        <v>12164.013199999999</v>
      </c>
      <c r="CC165" s="542">
        <v>1351.55702</v>
      </c>
      <c r="CD165" s="542">
        <v>127349</v>
      </c>
      <c r="CE165" s="542">
        <v>28654</v>
      </c>
      <c r="CF165" s="542">
        <v>3184</v>
      </c>
      <c r="CG165" s="542">
        <v>-73287</v>
      </c>
      <c r="CH165" s="542">
        <v>-16490</v>
      </c>
      <c r="CI165" s="542">
        <v>-1832</v>
      </c>
      <c r="CJ165" s="542">
        <v>0</v>
      </c>
      <c r="CK165" s="542">
        <v>0</v>
      </c>
      <c r="CL165" s="542">
        <v>0</v>
      </c>
      <c r="CM165" s="542">
        <v>0</v>
      </c>
      <c r="CN165" s="542">
        <v>0</v>
      </c>
      <c r="CO165" s="542">
        <v>0</v>
      </c>
      <c r="CP165" s="542">
        <v>0</v>
      </c>
      <c r="CQ165" s="542">
        <v>0</v>
      </c>
      <c r="CR165" s="542">
        <v>0</v>
      </c>
      <c r="CS165" s="542">
        <v>0</v>
      </c>
      <c r="CT165" s="542">
        <v>0</v>
      </c>
      <c r="CU165" s="542">
        <v>0</v>
      </c>
      <c r="CV165" s="542">
        <v>57723.980799999998</v>
      </c>
      <c r="CW165" s="542">
        <v>12030.3343</v>
      </c>
      <c r="CX165" s="542">
        <v>1336.70382</v>
      </c>
      <c r="CY165" s="542">
        <v>60703</v>
      </c>
      <c r="CZ165" s="542">
        <v>12483</v>
      </c>
      <c r="DA165" s="542">
        <v>1387</v>
      </c>
      <c r="DB165" s="542">
        <v>-2979</v>
      </c>
      <c r="DC165" s="542">
        <v>-453</v>
      </c>
      <c r="DD165" s="542">
        <v>-50</v>
      </c>
      <c r="DE165" s="153" t="s">
        <v>195</v>
      </c>
      <c r="DF165" s="103" t="s">
        <v>765</v>
      </c>
      <c r="DG165" s="104" t="s">
        <v>766</v>
      </c>
      <c r="DH165" s="547"/>
      <c r="DI165" s="547"/>
    </row>
    <row r="166" spans="1:113" x14ac:dyDescent="0.2">
      <c r="A166" s="93">
        <v>160</v>
      </c>
      <c r="B166" s="145" t="s">
        <v>198</v>
      </c>
      <c r="C166" s="141" t="s">
        <v>866</v>
      </c>
      <c r="D166" s="142" t="s">
        <v>876</v>
      </c>
      <c r="E166" s="149" t="s">
        <v>885</v>
      </c>
      <c r="F166" s="542">
        <v>-97403</v>
      </c>
      <c r="G166" s="542">
        <v>0</v>
      </c>
      <c r="H166" s="542">
        <v>-97403</v>
      </c>
      <c r="I166" s="542">
        <v>47439</v>
      </c>
      <c r="J166" s="542">
        <v>0</v>
      </c>
      <c r="K166" s="542">
        <v>47439</v>
      </c>
      <c r="L166" s="542">
        <v>-144842</v>
      </c>
      <c r="M166" s="542">
        <v>0</v>
      </c>
      <c r="N166" s="542">
        <v>-144842</v>
      </c>
      <c r="O166" s="543">
        <v>0.5</v>
      </c>
      <c r="P166" s="543">
        <v>0.4</v>
      </c>
      <c r="Q166" s="543">
        <v>0.09</v>
      </c>
      <c r="R166" s="543">
        <v>0.01</v>
      </c>
      <c r="S166" s="542">
        <v>107874</v>
      </c>
      <c r="T166" s="542">
        <v>107874</v>
      </c>
      <c r="U166" s="542">
        <v>0</v>
      </c>
      <c r="V166" s="542">
        <v>0</v>
      </c>
      <c r="W166" s="542">
        <v>0</v>
      </c>
      <c r="X166" s="542">
        <v>0</v>
      </c>
      <c r="Y166" s="542">
        <v>0</v>
      </c>
      <c r="Z166" s="542">
        <v>0</v>
      </c>
      <c r="AA166" s="542">
        <v>0</v>
      </c>
      <c r="AB166" s="542">
        <v>0</v>
      </c>
      <c r="AC166" s="542">
        <v>0</v>
      </c>
      <c r="AD166" s="542">
        <v>0</v>
      </c>
      <c r="AE166" s="542">
        <v>0</v>
      </c>
      <c r="AF166" s="542">
        <v>0</v>
      </c>
      <c r="AG166" s="542">
        <v>0</v>
      </c>
      <c r="AH166" s="542">
        <v>0</v>
      </c>
      <c r="AI166" s="542">
        <v>0</v>
      </c>
      <c r="AJ166" s="542">
        <v>0</v>
      </c>
      <c r="AK166" s="542">
        <v>0</v>
      </c>
      <c r="AL166" s="542">
        <v>0</v>
      </c>
      <c r="AM166" s="542">
        <v>0</v>
      </c>
      <c r="AN166" s="542">
        <v>0</v>
      </c>
      <c r="AO166" s="542">
        <v>0</v>
      </c>
      <c r="AP166" s="542">
        <v>0</v>
      </c>
      <c r="AQ166" s="542">
        <v>423407.55800000002</v>
      </c>
      <c r="AR166" s="542">
        <v>95266.700599999996</v>
      </c>
      <c r="AS166" s="542">
        <v>10585.188899999999</v>
      </c>
      <c r="AT166" s="542">
        <v>384699</v>
      </c>
      <c r="AU166" s="542">
        <v>86558</v>
      </c>
      <c r="AV166" s="542">
        <v>9618</v>
      </c>
      <c r="AW166" s="542">
        <v>38709</v>
      </c>
      <c r="AX166" s="542">
        <v>8709</v>
      </c>
      <c r="AY166" s="542">
        <v>967</v>
      </c>
      <c r="AZ166" s="542">
        <v>93.785138000000003</v>
      </c>
      <c r="BA166" s="542">
        <v>21.101655999999998</v>
      </c>
      <c r="BB166" s="542">
        <v>2.3446284500000001</v>
      </c>
      <c r="BC166" s="542">
        <v>0</v>
      </c>
      <c r="BD166" s="542">
        <v>0</v>
      </c>
      <c r="BE166" s="542">
        <v>0</v>
      </c>
      <c r="BF166" s="542">
        <v>94</v>
      </c>
      <c r="BG166" s="542">
        <v>21</v>
      </c>
      <c r="BH166" s="542">
        <v>2</v>
      </c>
      <c r="BI166" s="542">
        <v>0</v>
      </c>
      <c r="BJ166" s="542">
        <v>0</v>
      </c>
      <c r="BK166" s="542">
        <v>0</v>
      </c>
      <c r="BL166" s="542">
        <v>0</v>
      </c>
      <c r="BM166" s="542">
        <v>0</v>
      </c>
      <c r="BN166" s="542">
        <v>0</v>
      </c>
      <c r="BO166" s="542">
        <v>0</v>
      </c>
      <c r="BP166" s="542">
        <v>0</v>
      </c>
      <c r="BQ166" s="542">
        <v>0</v>
      </c>
      <c r="BR166" s="542">
        <v>0</v>
      </c>
      <c r="BS166" s="542">
        <v>0</v>
      </c>
      <c r="BT166" s="542">
        <v>0</v>
      </c>
      <c r="BU166" s="542">
        <v>1727</v>
      </c>
      <c r="BV166" s="542">
        <v>388</v>
      </c>
      <c r="BW166" s="542">
        <v>43</v>
      </c>
      <c r="BX166" s="542">
        <v>-1727</v>
      </c>
      <c r="BY166" s="542">
        <v>-388</v>
      </c>
      <c r="BZ166" s="542">
        <v>-43</v>
      </c>
      <c r="CA166" s="542">
        <v>126862.186</v>
      </c>
      <c r="CB166" s="542">
        <v>28543.9918</v>
      </c>
      <c r="CC166" s="542">
        <v>3171.55465</v>
      </c>
      <c r="CD166" s="542">
        <v>134081</v>
      </c>
      <c r="CE166" s="542">
        <v>30168</v>
      </c>
      <c r="CF166" s="542">
        <v>3352</v>
      </c>
      <c r="CG166" s="542">
        <v>-7219</v>
      </c>
      <c r="CH166" s="542">
        <v>-1624</v>
      </c>
      <c r="CI166" s="542">
        <v>-180</v>
      </c>
      <c r="CJ166" s="542">
        <v>5546</v>
      </c>
      <c r="CK166" s="542">
        <v>1247.8499999999999</v>
      </c>
      <c r="CL166" s="542">
        <v>138.65</v>
      </c>
      <c r="CM166" s="542">
        <v>15835.135399999999</v>
      </c>
      <c r="CN166" s="542">
        <v>3562.9054700000002</v>
      </c>
      <c r="CO166" s="542">
        <v>395.87838599999998</v>
      </c>
      <c r="CP166" s="542">
        <v>10193</v>
      </c>
      <c r="CQ166" s="542">
        <v>2293.4699999999998</v>
      </c>
      <c r="CR166" s="542">
        <v>254.83</v>
      </c>
      <c r="CS166" s="542">
        <v>11188</v>
      </c>
      <c r="CT166" s="542">
        <v>2517</v>
      </c>
      <c r="CU166" s="542">
        <v>280</v>
      </c>
      <c r="CV166" s="542">
        <v>46564.5288</v>
      </c>
      <c r="CW166" s="542">
        <v>10477.018899999999</v>
      </c>
      <c r="CX166" s="542">
        <v>1164.11322</v>
      </c>
      <c r="CY166" s="542">
        <v>65240</v>
      </c>
      <c r="CZ166" s="542">
        <v>14421</v>
      </c>
      <c r="DA166" s="542">
        <v>1602</v>
      </c>
      <c r="DB166" s="542">
        <v>-18675</v>
      </c>
      <c r="DC166" s="542">
        <v>-3944</v>
      </c>
      <c r="DD166" s="542">
        <v>-438</v>
      </c>
      <c r="DE166" s="153" t="s">
        <v>197</v>
      </c>
      <c r="DF166" s="103" t="s">
        <v>786</v>
      </c>
      <c r="DG166" s="104" t="s">
        <v>787</v>
      </c>
      <c r="DH166" s="547"/>
      <c r="DI166" s="547"/>
    </row>
    <row r="167" spans="1:113" x14ac:dyDescent="0.2">
      <c r="A167" s="93">
        <v>161</v>
      </c>
      <c r="B167" s="145" t="s">
        <v>200</v>
      </c>
      <c r="C167" s="141" t="s">
        <v>873</v>
      </c>
      <c r="D167" s="142" t="s">
        <v>868</v>
      </c>
      <c r="E167" s="149" t="s">
        <v>199</v>
      </c>
      <c r="F167" s="542">
        <v>-1073783</v>
      </c>
      <c r="G167" s="542">
        <v>-31113</v>
      </c>
      <c r="H167" s="542">
        <v>-1104896</v>
      </c>
      <c r="I167" s="542">
        <v>467453</v>
      </c>
      <c r="J167" s="542">
        <v>233</v>
      </c>
      <c r="K167" s="542">
        <v>467686</v>
      </c>
      <c r="L167" s="542">
        <v>-1541236</v>
      </c>
      <c r="M167" s="542">
        <v>-31346</v>
      </c>
      <c r="N167" s="542">
        <v>-1572582</v>
      </c>
      <c r="O167" s="543">
        <v>0.5</v>
      </c>
      <c r="P167" s="543">
        <v>0.49</v>
      </c>
      <c r="Q167" s="543">
        <v>0</v>
      </c>
      <c r="R167" s="543">
        <v>0.01</v>
      </c>
      <c r="S167" s="542">
        <v>1109516</v>
      </c>
      <c r="T167" s="542">
        <v>1109516</v>
      </c>
      <c r="U167" s="542">
        <v>0</v>
      </c>
      <c r="V167" s="542">
        <v>0</v>
      </c>
      <c r="W167" s="542">
        <v>0</v>
      </c>
      <c r="X167" s="542">
        <v>0</v>
      </c>
      <c r="Y167" s="542">
        <v>0</v>
      </c>
      <c r="Z167" s="542">
        <v>0</v>
      </c>
      <c r="AA167" s="542">
        <v>0</v>
      </c>
      <c r="AB167" s="542">
        <v>0</v>
      </c>
      <c r="AC167" s="542">
        <v>0</v>
      </c>
      <c r="AD167" s="542">
        <v>0</v>
      </c>
      <c r="AE167" s="542">
        <v>604380.54</v>
      </c>
      <c r="AF167" s="542">
        <v>604380.54</v>
      </c>
      <c r="AG167" s="542">
        <v>0</v>
      </c>
      <c r="AH167" s="542">
        <v>0</v>
      </c>
      <c r="AI167" s="542">
        <v>0</v>
      </c>
      <c r="AJ167" s="542">
        <v>0</v>
      </c>
      <c r="AK167" s="542">
        <v>0</v>
      </c>
      <c r="AL167" s="542">
        <v>0</v>
      </c>
      <c r="AM167" s="542">
        <v>604381</v>
      </c>
      <c r="AN167" s="542">
        <v>604381</v>
      </c>
      <c r="AO167" s="542">
        <v>0</v>
      </c>
      <c r="AP167" s="542">
        <v>0</v>
      </c>
      <c r="AQ167" s="542">
        <v>2649707.11</v>
      </c>
      <c r="AR167" s="542">
        <v>0</v>
      </c>
      <c r="AS167" s="542">
        <v>53461.52</v>
      </c>
      <c r="AT167" s="542">
        <v>2256268</v>
      </c>
      <c r="AU167" s="542">
        <v>0</v>
      </c>
      <c r="AV167" s="542">
        <v>46046</v>
      </c>
      <c r="AW167" s="542">
        <v>393439</v>
      </c>
      <c r="AX167" s="542">
        <v>0</v>
      </c>
      <c r="AY167" s="542">
        <v>7416</v>
      </c>
      <c r="AZ167" s="542">
        <v>0</v>
      </c>
      <c r="BA167" s="542">
        <v>0</v>
      </c>
      <c r="BB167" s="542">
        <v>0</v>
      </c>
      <c r="BC167" s="542">
        <v>0</v>
      </c>
      <c r="BD167" s="542">
        <v>0</v>
      </c>
      <c r="BE167" s="542">
        <v>0</v>
      </c>
      <c r="BF167" s="542">
        <v>0</v>
      </c>
      <c r="BG167" s="542">
        <v>0</v>
      </c>
      <c r="BH167" s="542">
        <v>0</v>
      </c>
      <c r="BI167" s="542">
        <v>9360.2999999999993</v>
      </c>
      <c r="BJ167" s="542">
        <v>0</v>
      </c>
      <c r="BK167" s="542">
        <v>191.03</v>
      </c>
      <c r="BL167" s="542">
        <v>0</v>
      </c>
      <c r="BM167" s="542">
        <v>0</v>
      </c>
      <c r="BN167" s="542">
        <v>0</v>
      </c>
      <c r="BO167" s="542">
        <v>9360</v>
      </c>
      <c r="BP167" s="542">
        <v>0</v>
      </c>
      <c r="BQ167" s="542">
        <v>191</v>
      </c>
      <c r="BR167" s="542">
        <v>31817.7</v>
      </c>
      <c r="BS167" s="542">
        <v>0</v>
      </c>
      <c r="BT167" s="542">
        <v>649.34</v>
      </c>
      <c r="BU167" s="542">
        <v>0</v>
      </c>
      <c r="BV167" s="542">
        <v>0</v>
      </c>
      <c r="BW167" s="542">
        <v>0</v>
      </c>
      <c r="BX167" s="542">
        <v>31818</v>
      </c>
      <c r="BY167" s="542">
        <v>0</v>
      </c>
      <c r="BZ167" s="542">
        <v>649</v>
      </c>
      <c r="CA167" s="542">
        <v>620500.02</v>
      </c>
      <c r="CB167" s="542">
        <v>0</v>
      </c>
      <c r="CC167" s="542">
        <v>12642.64</v>
      </c>
      <c r="CD167" s="542">
        <v>1629017.98</v>
      </c>
      <c r="CE167" s="542">
        <v>0</v>
      </c>
      <c r="CF167" s="542">
        <v>33245.26</v>
      </c>
      <c r="CG167" s="542">
        <v>-1008518</v>
      </c>
      <c r="CH167" s="542">
        <v>0</v>
      </c>
      <c r="CI167" s="542">
        <v>-20603</v>
      </c>
      <c r="CJ167" s="542">
        <v>0</v>
      </c>
      <c r="CK167" s="542">
        <v>0</v>
      </c>
      <c r="CL167" s="542">
        <v>0</v>
      </c>
      <c r="CM167" s="542">
        <v>0</v>
      </c>
      <c r="CN167" s="542">
        <v>0</v>
      </c>
      <c r="CO167" s="542">
        <v>0</v>
      </c>
      <c r="CP167" s="542">
        <v>0</v>
      </c>
      <c r="CQ167" s="542">
        <v>0</v>
      </c>
      <c r="CR167" s="542">
        <v>0</v>
      </c>
      <c r="CS167" s="542">
        <v>0</v>
      </c>
      <c r="CT167" s="542">
        <v>0</v>
      </c>
      <c r="CU167" s="542">
        <v>0</v>
      </c>
      <c r="CV167" s="542">
        <v>1517919.41</v>
      </c>
      <c r="CW167" s="542">
        <v>0</v>
      </c>
      <c r="CX167" s="542">
        <v>30977.95</v>
      </c>
      <c r="CY167" s="542">
        <v>1623935</v>
      </c>
      <c r="CZ167" s="542">
        <v>0</v>
      </c>
      <c r="DA167" s="542">
        <v>32901</v>
      </c>
      <c r="DB167" s="542">
        <v>-106016</v>
      </c>
      <c r="DC167" s="542">
        <v>0</v>
      </c>
      <c r="DD167" s="542">
        <v>-1923</v>
      </c>
      <c r="DE167" s="153" t="s">
        <v>199</v>
      </c>
      <c r="DF167" s="103" t="s">
        <v>763</v>
      </c>
      <c r="DG167" s="104" t="s">
        <v>777</v>
      </c>
      <c r="DH167" s="549" t="s">
        <v>1199</v>
      </c>
      <c r="DI167" s="549"/>
    </row>
    <row r="168" spans="1:113" x14ac:dyDescent="0.2">
      <c r="A168" s="93">
        <v>162</v>
      </c>
      <c r="B168" s="145" t="s">
        <v>202</v>
      </c>
      <c r="C168" s="141" t="s">
        <v>866</v>
      </c>
      <c r="D168" s="142" t="s">
        <v>869</v>
      </c>
      <c r="E168" s="149" t="s">
        <v>201</v>
      </c>
      <c r="F168" s="542">
        <v>-524593</v>
      </c>
      <c r="G168" s="542">
        <v>0</v>
      </c>
      <c r="H168" s="542">
        <v>-524593</v>
      </c>
      <c r="I168" s="542">
        <v>-18723</v>
      </c>
      <c r="J168" s="542">
        <v>0</v>
      </c>
      <c r="K168" s="542">
        <v>-18723</v>
      </c>
      <c r="L168" s="542">
        <v>-505870</v>
      </c>
      <c r="M168" s="542">
        <v>0</v>
      </c>
      <c r="N168" s="542">
        <v>-505870</v>
      </c>
      <c r="O168" s="543">
        <v>0.5</v>
      </c>
      <c r="P168" s="543">
        <v>0.4</v>
      </c>
      <c r="Q168" s="543">
        <v>0.09</v>
      </c>
      <c r="R168" s="543">
        <v>0.01</v>
      </c>
      <c r="S168" s="542">
        <v>128485</v>
      </c>
      <c r="T168" s="542">
        <v>128485</v>
      </c>
      <c r="U168" s="542">
        <v>0</v>
      </c>
      <c r="V168" s="542">
        <v>0</v>
      </c>
      <c r="W168" s="542">
        <v>0</v>
      </c>
      <c r="X168" s="542">
        <v>0</v>
      </c>
      <c r="Y168" s="542">
        <v>0</v>
      </c>
      <c r="Z168" s="542">
        <v>0</v>
      </c>
      <c r="AA168" s="542">
        <v>0</v>
      </c>
      <c r="AB168" s="542">
        <v>0</v>
      </c>
      <c r="AC168" s="542">
        <v>0</v>
      </c>
      <c r="AD168" s="542">
        <v>0</v>
      </c>
      <c r="AE168" s="542">
        <v>0</v>
      </c>
      <c r="AF168" s="542">
        <v>0</v>
      </c>
      <c r="AG168" s="542">
        <v>0</v>
      </c>
      <c r="AH168" s="542">
        <v>0</v>
      </c>
      <c r="AI168" s="542">
        <v>0</v>
      </c>
      <c r="AJ168" s="542">
        <v>0</v>
      </c>
      <c r="AK168" s="542">
        <v>0</v>
      </c>
      <c r="AL168" s="542">
        <v>0</v>
      </c>
      <c r="AM168" s="542">
        <v>0</v>
      </c>
      <c r="AN168" s="542">
        <v>0</v>
      </c>
      <c r="AO168" s="542">
        <v>0</v>
      </c>
      <c r="AP168" s="542">
        <v>0</v>
      </c>
      <c r="AQ168" s="542">
        <v>373516.29</v>
      </c>
      <c r="AR168" s="542">
        <v>84041.165299999993</v>
      </c>
      <c r="AS168" s="542">
        <v>9337.90726</v>
      </c>
      <c r="AT168" s="542">
        <v>324847</v>
      </c>
      <c r="AU168" s="542">
        <v>73091</v>
      </c>
      <c r="AV168" s="542">
        <v>8121</v>
      </c>
      <c r="AW168" s="542">
        <v>48669</v>
      </c>
      <c r="AX168" s="542">
        <v>10950</v>
      </c>
      <c r="AY168" s="542">
        <v>1217</v>
      </c>
      <c r="AZ168" s="542">
        <v>2693.4929900000002</v>
      </c>
      <c r="BA168" s="542">
        <v>606.03592300000003</v>
      </c>
      <c r="BB168" s="542">
        <v>67.337324800000005</v>
      </c>
      <c r="BC168" s="542">
        <v>0</v>
      </c>
      <c r="BD168" s="542">
        <v>0</v>
      </c>
      <c r="BE168" s="542">
        <v>0</v>
      </c>
      <c r="BF168" s="542">
        <v>2693</v>
      </c>
      <c r="BG168" s="542">
        <v>606</v>
      </c>
      <c r="BH168" s="542">
        <v>67</v>
      </c>
      <c r="BI168" s="542">
        <v>11206.111199999999</v>
      </c>
      <c r="BJ168" s="542">
        <v>2521.3750300000002</v>
      </c>
      <c r="BK168" s="542">
        <v>280.152781</v>
      </c>
      <c r="BL168" s="542">
        <v>20212</v>
      </c>
      <c r="BM168" s="542">
        <v>4548</v>
      </c>
      <c r="BN168" s="542">
        <v>505</v>
      </c>
      <c r="BO168" s="542">
        <v>-9006</v>
      </c>
      <c r="BP168" s="542">
        <v>-2027</v>
      </c>
      <c r="BQ168" s="542">
        <v>-225</v>
      </c>
      <c r="BR168" s="542">
        <v>0</v>
      </c>
      <c r="BS168" s="542">
        <v>0</v>
      </c>
      <c r="BT168" s="542">
        <v>0</v>
      </c>
      <c r="BU168" s="542">
        <v>0</v>
      </c>
      <c r="BV168" s="542">
        <v>0</v>
      </c>
      <c r="BW168" s="542">
        <v>0</v>
      </c>
      <c r="BX168" s="542">
        <v>0</v>
      </c>
      <c r="BY168" s="542">
        <v>0</v>
      </c>
      <c r="BZ168" s="542">
        <v>0</v>
      </c>
      <c r="CA168" s="542">
        <v>91777.650899999993</v>
      </c>
      <c r="CB168" s="542">
        <v>20649.971399999999</v>
      </c>
      <c r="CC168" s="542">
        <v>2294.4412699999998</v>
      </c>
      <c r="CD168" s="542">
        <v>184740</v>
      </c>
      <c r="CE168" s="542">
        <v>41567</v>
      </c>
      <c r="CF168" s="542">
        <v>4619</v>
      </c>
      <c r="CG168" s="542">
        <v>-92962</v>
      </c>
      <c r="CH168" s="542">
        <v>-20917</v>
      </c>
      <c r="CI168" s="542">
        <v>-2325</v>
      </c>
      <c r="CJ168" s="542">
        <v>0</v>
      </c>
      <c r="CK168" s="542">
        <v>0</v>
      </c>
      <c r="CL168" s="542">
        <v>0</v>
      </c>
      <c r="CM168" s="542">
        <v>0</v>
      </c>
      <c r="CN168" s="542">
        <v>0</v>
      </c>
      <c r="CO168" s="542">
        <v>0</v>
      </c>
      <c r="CP168" s="542">
        <v>0</v>
      </c>
      <c r="CQ168" s="542">
        <v>0</v>
      </c>
      <c r="CR168" s="542">
        <v>0</v>
      </c>
      <c r="CS168" s="542">
        <v>0</v>
      </c>
      <c r="CT168" s="542">
        <v>0</v>
      </c>
      <c r="CU168" s="542">
        <v>0</v>
      </c>
      <c r="CV168" s="542">
        <v>109930.254</v>
      </c>
      <c r="CW168" s="542">
        <v>24734.3073</v>
      </c>
      <c r="CX168" s="542">
        <v>2748.2563599999999</v>
      </c>
      <c r="CY168" s="542">
        <v>123245</v>
      </c>
      <c r="CZ168" s="542">
        <v>27423</v>
      </c>
      <c r="DA168" s="542">
        <v>3047</v>
      </c>
      <c r="DB168" s="542">
        <v>-13315</v>
      </c>
      <c r="DC168" s="542">
        <v>-2689</v>
      </c>
      <c r="DD168" s="542">
        <v>-299</v>
      </c>
      <c r="DE168" s="153" t="s">
        <v>201</v>
      </c>
      <c r="DF168" s="103" t="s">
        <v>755</v>
      </c>
      <c r="DG168" s="104" t="s">
        <v>756</v>
      </c>
      <c r="DH168" s="547"/>
      <c r="DI168" s="547"/>
    </row>
    <row r="169" spans="1:113" x14ac:dyDescent="0.2">
      <c r="A169" s="93">
        <v>163</v>
      </c>
      <c r="B169" s="145" t="s">
        <v>204</v>
      </c>
      <c r="C169" s="141" t="s">
        <v>770</v>
      </c>
      <c r="D169" s="142" t="s">
        <v>867</v>
      </c>
      <c r="E169" s="149" t="s">
        <v>705</v>
      </c>
      <c r="F169" s="542">
        <v>-102992</v>
      </c>
      <c r="G169" s="542">
        <v>0</v>
      </c>
      <c r="H169" s="542">
        <v>-102992</v>
      </c>
      <c r="I169" s="542">
        <v>1013065</v>
      </c>
      <c r="J169" s="542">
        <v>0</v>
      </c>
      <c r="K169" s="542">
        <v>1013065</v>
      </c>
      <c r="L169" s="542">
        <v>-1116057</v>
      </c>
      <c r="M169" s="542">
        <v>0</v>
      </c>
      <c r="N169" s="542">
        <v>-1116057</v>
      </c>
      <c r="O169" s="543">
        <v>0.5</v>
      </c>
      <c r="P169" s="543">
        <v>0.49</v>
      </c>
      <c r="Q169" s="543">
        <v>0</v>
      </c>
      <c r="R169" s="543">
        <v>0.01</v>
      </c>
      <c r="S169" s="542">
        <v>288985</v>
      </c>
      <c r="T169" s="542">
        <v>288985</v>
      </c>
      <c r="U169" s="542">
        <v>0</v>
      </c>
      <c r="V169" s="542">
        <v>0</v>
      </c>
      <c r="W169" s="542">
        <v>0</v>
      </c>
      <c r="X169" s="542">
        <v>0</v>
      </c>
      <c r="Y169" s="542">
        <v>0</v>
      </c>
      <c r="Z169" s="542">
        <v>0</v>
      </c>
      <c r="AA169" s="542">
        <v>0</v>
      </c>
      <c r="AB169" s="542">
        <v>0</v>
      </c>
      <c r="AC169" s="542">
        <v>0</v>
      </c>
      <c r="AD169" s="542">
        <v>0</v>
      </c>
      <c r="AE169" s="542">
        <v>0</v>
      </c>
      <c r="AF169" s="542">
        <v>0</v>
      </c>
      <c r="AG169" s="542">
        <v>0</v>
      </c>
      <c r="AH169" s="542">
        <v>0</v>
      </c>
      <c r="AI169" s="542">
        <v>0</v>
      </c>
      <c r="AJ169" s="542">
        <v>0</v>
      </c>
      <c r="AK169" s="542">
        <v>0</v>
      </c>
      <c r="AL169" s="542">
        <v>0</v>
      </c>
      <c r="AM169" s="542">
        <v>0</v>
      </c>
      <c r="AN169" s="542">
        <v>0</v>
      </c>
      <c r="AO169" s="542">
        <v>0</v>
      </c>
      <c r="AP169" s="542">
        <v>0</v>
      </c>
      <c r="AQ169" s="542">
        <v>969897.84</v>
      </c>
      <c r="AR169" s="542">
        <v>0</v>
      </c>
      <c r="AS169" s="542">
        <v>19793.830000000002</v>
      </c>
      <c r="AT169" s="542">
        <v>897882</v>
      </c>
      <c r="AU169" s="542">
        <v>0</v>
      </c>
      <c r="AV169" s="542">
        <v>18324</v>
      </c>
      <c r="AW169" s="542">
        <v>72016</v>
      </c>
      <c r="AX169" s="542">
        <v>0</v>
      </c>
      <c r="AY169" s="542">
        <v>1470</v>
      </c>
      <c r="AZ169" s="542">
        <v>179.76</v>
      </c>
      <c r="BA169" s="542">
        <v>0</v>
      </c>
      <c r="BB169" s="542">
        <v>3.67</v>
      </c>
      <c r="BC169" s="542">
        <v>0</v>
      </c>
      <c r="BD169" s="542">
        <v>0</v>
      </c>
      <c r="BE169" s="542">
        <v>0</v>
      </c>
      <c r="BF169" s="542">
        <v>180</v>
      </c>
      <c r="BG169" s="542">
        <v>0</v>
      </c>
      <c r="BH169" s="542">
        <v>4</v>
      </c>
      <c r="BI169" s="542">
        <v>26524.49</v>
      </c>
      <c r="BJ169" s="542">
        <v>0</v>
      </c>
      <c r="BK169" s="542">
        <v>541.32000000000005</v>
      </c>
      <c r="BL169" s="542">
        <v>0</v>
      </c>
      <c r="BM169" s="542">
        <v>0</v>
      </c>
      <c r="BN169" s="542">
        <v>0</v>
      </c>
      <c r="BO169" s="542">
        <v>26524</v>
      </c>
      <c r="BP169" s="542">
        <v>0</v>
      </c>
      <c r="BQ169" s="542">
        <v>541</v>
      </c>
      <c r="BR169" s="542">
        <v>1867.41</v>
      </c>
      <c r="BS169" s="542">
        <v>0</v>
      </c>
      <c r="BT169" s="542">
        <v>38.11</v>
      </c>
      <c r="BU169" s="542">
        <v>315544</v>
      </c>
      <c r="BV169" s="542">
        <v>0</v>
      </c>
      <c r="BW169" s="542">
        <v>6440</v>
      </c>
      <c r="BX169" s="542">
        <v>-313677</v>
      </c>
      <c r="BY169" s="542">
        <v>0</v>
      </c>
      <c r="BZ169" s="542">
        <v>-6402</v>
      </c>
      <c r="CA169" s="542">
        <v>239386.94</v>
      </c>
      <c r="CB169" s="542">
        <v>0</v>
      </c>
      <c r="CC169" s="542">
        <v>4885.45</v>
      </c>
      <c r="CD169" s="542">
        <v>511246</v>
      </c>
      <c r="CE169" s="542">
        <v>0</v>
      </c>
      <c r="CF169" s="542">
        <v>10434</v>
      </c>
      <c r="CG169" s="542">
        <v>-271859</v>
      </c>
      <c r="CH169" s="542">
        <v>0</v>
      </c>
      <c r="CI169" s="542">
        <v>-5549</v>
      </c>
      <c r="CJ169" s="542">
        <v>0</v>
      </c>
      <c r="CK169" s="542">
        <v>0</v>
      </c>
      <c r="CL169" s="542">
        <v>0</v>
      </c>
      <c r="CM169" s="542">
        <v>0</v>
      </c>
      <c r="CN169" s="542">
        <v>0</v>
      </c>
      <c r="CO169" s="542">
        <v>0</v>
      </c>
      <c r="CP169" s="542">
        <v>0</v>
      </c>
      <c r="CQ169" s="542">
        <v>0</v>
      </c>
      <c r="CR169" s="542">
        <v>0</v>
      </c>
      <c r="CS169" s="542">
        <v>0</v>
      </c>
      <c r="CT169" s="542">
        <v>0</v>
      </c>
      <c r="CU169" s="542">
        <v>0</v>
      </c>
      <c r="CV169" s="542">
        <v>408723.3</v>
      </c>
      <c r="CW169" s="542">
        <v>0</v>
      </c>
      <c r="CX169" s="542">
        <v>8341.2900000000009</v>
      </c>
      <c r="CY169" s="542">
        <v>450338</v>
      </c>
      <c r="CZ169" s="542">
        <v>0</v>
      </c>
      <c r="DA169" s="542">
        <v>9128</v>
      </c>
      <c r="DB169" s="542">
        <v>-41615</v>
      </c>
      <c r="DC169" s="542">
        <v>0</v>
      </c>
      <c r="DD169" s="542">
        <v>-787</v>
      </c>
      <c r="DE169" s="153" t="s">
        <v>705</v>
      </c>
      <c r="DF169" s="103" t="s">
        <v>770</v>
      </c>
      <c r="DG169" s="104" t="s">
        <v>758</v>
      </c>
      <c r="DH169" s="547"/>
      <c r="DI169" s="547"/>
    </row>
    <row r="170" spans="1:113" ht="12.75" x14ac:dyDescent="0.2">
      <c r="A170" s="93">
        <v>164</v>
      </c>
      <c r="B170" s="145" t="s">
        <v>206</v>
      </c>
      <c r="C170" s="141" t="s">
        <v>866</v>
      </c>
      <c r="D170" s="142" t="s">
        <v>869</v>
      </c>
      <c r="E170" s="149" t="s">
        <v>205</v>
      </c>
      <c r="F170" s="542">
        <v>-10510</v>
      </c>
      <c r="G170" s="542">
        <v>0</v>
      </c>
      <c r="H170" s="542">
        <v>-10510</v>
      </c>
      <c r="I170" s="542">
        <v>40264</v>
      </c>
      <c r="J170" s="542">
        <v>0</v>
      </c>
      <c r="K170" s="542">
        <v>40264</v>
      </c>
      <c r="L170" s="542">
        <v>-50774</v>
      </c>
      <c r="M170" s="542">
        <v>0</v>
      </c>
      <c r="N170" s="542">
        <v>-50774</v>
      </c>
      <c r="O170" s="543">
        <v>0.5</v>
      </c>
      <c r="P170" s="543">
        <v>0.4</v>
      </c>
      <c r="Q170" s="543">
        <v>0.09</v>
      </c>
      <c r="R170" s="543">
        <v>0.01</v>
      </c>
      <c r="S170" s="542">
        <v>61448</v>
      </c>
      <c r="T170" s="542">
        <v>61448</v>
      </c>
      <c r="U170" s="542">
        <v>0</v>
      </c>
      <c r="V170" s="542">
        <v>0</v>
      </c>
      <c r="W170" s="542">
        <v>0</v>
      </c>
      <c r="X170" s="542">
        <v>0</v>
      </c>
      <c r="Y170" s="542">
        <v>0</v>
      </c>
      <c r="Z170" s="542">
        <v>0</v>
      </c>
      <c r="AA170" s="542">
        <v>0</v>
      </c>
      <c r="AB170" s="542">
        <v>0</v>
      </c>
      <c r="AC170" s="542">
        <v>0</v>
      </c>
      <c r="AD170" s="542">
        <v>0</v>
      </c>
      <c r="AE170" s="542">
        <v>0</v>
      </c>
      <c r="AF170" s="542">
        <v>0</v>
      </c>
      <c r="AG170" s="542">
        <v>0</v>
      </c>
      <c r="AH170" s="542">
        <v>0</v>
      </c>
      <c r="AI170" s="542">
        <v>0</v>
      </c>
      <c r="AJ170" s="542">
        <v>0</v>
      </c>
      <c r="AK170" s="542">
        <v>0</v>
      </c>
      <c r="AL170" s="542">
        <v>0</v>
      </c>
      <c r="AM170" s="542">
        <v>0</v>
      </c>
      <c r="AN170" s="542">
        <v>0</v>
      </c>
      <c r="AO170" s="542">
        <v>0</v>
      </c>
      <c r="AP170" s="542">
        <v>0</v>
      </c>
      <c r="AQ170" s="542">
        <v>229230.079</v>
      </c>
      <c r="AR170" s="542">
        <v>51576.767699999997</v>
      </c>
      <c r="AS170" s="542">
        <v>5730.7519700000003</v>
      </c>
      <c r="AT170" s="542">
        <v>241278</v>
      </c>
      <c r="AU170" s="542">
        <v>54287</v>
      </c>
      <c r="AV170" s="542">
        <v>6032</v>
      </c>
      <c r="AW170" s="542">
        <v>-12048</v>
      </c>
      <c r="AX170" s="542">
        <v>-2710</v>
      </c>
      <c r="AY170" s="542">
        <v>-301</v>
      </c>
      <c r="AZ170" s="542">
        <v>0</v>
      </c>
      <c r="BA170" s="542">
        <v>0</v>
      </c>
      <c r="BB170" s="542">
        <v>0</v>
      </c>
      <c r="BC170" s="542">
        <v>3670</v>
      </c>
      <c r="BD170" s="542">
        <v>826</v>
      </c>
      <c r="BE170" s="542">
        <v>92</v>
      </c>
      <c r="BF170" s="542">
        <v>-3670</v>
      </c>
      <c r="BG170" s="542">
        <v>-826</v>
      </c>
      <c r="BH170" s="542">
        <v>-92</v>
      </c>
      <c r="BI170" s="542">
        <v>0</v>
      </c>
      <c r="BJ170" s="542">
        <v>0</v>
      </c>
      <c r="BK170" s="542">
        <v>0</v>
      </c>
      <c r="BL170" s="542">
        <v>404</v>
      </c>
      <c r="BM170" s="542">
        <v>91</v>
      </c>
      <c r="BN170" s="542">
        <v>10</v>
      </c>
      <c r="BO170" s="542">
        <v>-404</v>
      </c>
      <c r="BP170" s="542">
        <v>-91</v>
      </c>
      <c r="BQ170" s="542">
        <v>-10</v>
      </c>
      <c r="BR170" s="542">
        <v>0</v>
      </c>
      <c r="BS170" s="542">
        <v>0</v>
      </c>
      <c r="BT170" s="542">
        <v>0</v>
      </c>
      <c r="BU170" s="542">
        <v>2384</v>
      </c>
      <c r="BV170" s="542">
        <v>537</v>
      </c>
      <c r="BW170" s="542">
        <v>60</v>
      </c>
      <c r="BX170" s="542">
        <v>-2384</v>
      </c>
      <c r="BY170" s="542">
        <v>-537</v>
      </c>
      <c r="BZ170" s="542">
        <v>-60</v>
      </c>
      <c r="CA170" s="542">
        <v>93598.780400000003</v>
      </c>
      <c r="CB170" s="542">
        <v>21059.725600000002</v>
      </c>
      <c r="CC170" s="542">
        <v>2339.9695099999999</v>
      </c>
      <c r="CD170" s="542">
        <v>121273</v>
      </c>
      <c r="CE170" s="542">
        <v>27287</v>
      </c>
      <c r="CF170" s="542">
        <v>3032</v>
      </c>
      <c r="CG170" s="542">
        <v>-27674</v>
      </c>
      <c r="CH170" s="542">
        <v>-6227</v>
      </c>
      <c r="CI170" s="542">
        <v>-692</v>
      </c>
      <c r="CJ170" s="542">
        <v>0</v>
      </c>
      <c r="CK170" s="542">
        <v>0</v>
      </c>
      <c r="CL170" s="542">
        <v>0</v>
      </c>
      <c r="CM170" s="542">
        <v>0</v>
      </c>
      <c r="CN170" s="542">
        <v>0</v>
      </c>
      <c r="CO170" s="542">
        <v>0</v>
      </c>
      <c r="CP170" s="542">
        <v>0</v>
      </c>
      <c r="CQ170" s="542">
        <v>0</v>
      </c>
      <c r="CR170" s="542">
        <v>0</v>
      </c>
      <c r="CS170" s="542">
        <v>0</v>
      </c>
      <c r="CT170" s="542">
        <v>0</v>
      </c>
      <c r="CU170" s="542">
        <v>0</v>
      </c>
      <c r="CV170" s="542">
        <v>54331.415200000003</v>
      </c>
      <c r="CW170" s="542">
        <v>12224.5684</v>
      </c>
      <c r="CX170" s="542">
        <v>1358.28538</v>
      </c>
      <c r="CY170" s="542">
        <v>53261</v>
      </c>
      <c r="CZ170" s="542">
        <v>11837</v>
      </c>
      <c r="DA170" s="542">
        <v>1315</v>
      </c>
      <c r="DB170" s="542">
        <v>1070</v>
      </c>
      <c r="DC170" s="542">
        <v>388</v>
      </c>
      <c r="DD170" s="542">
        <v>43</v>
      </c>
      <c r="DE170" s="153" t="s">
        <v>205</v>
      </c>
      <c r="DF170" s="103" t="s">
        <v>774</v>
      </c>
      <c r="DG170" s="104" t="s">
        <v>775</v>
      </c>
      <c r="DH170" s="548"/>
      <c r="DI170" s="548"/>
    </row>
    <row r="171" spans="1:113" x14ac:dyDescent="0.2">
      <c r="A171" s="93">
        <v>165</v>
      </c>
      <c r="B171" s="145" t="s">
        <v>208</v>
      </c>
      <c r="C171" s="141" t="s">
        <v>866</v>
      </c>
      <c r="D171" s="142" t="s">
        <v>875</v>
      </c>
      <c r="E171" s="149" t="s">
        <v>207</v>
      </c>
      <c r="F171" s="542">
        <v>-135762</v>
      </c>
      <c r="G171" s="542">
        <v>0</v>
      </c>
      <c r="H171" s="542">
        <v>-135762</v>
      </c>
      <c r="I171" s="542">
        <v>97322</v>
      </c>
      <c r="J171" s="542">
        <v>0</v>
      </c>
      <c r="K171" s="542">
        <v>97322</v>
      </c>
      <c r="L171" s="542">
        <v>-233084</v>
      </c>
      <c r="M171" s="542">
        <v>0</v>
      </c>
      <c r="N171" s="542">
        <v>-233084</v>
      </c>
      <c r="O171" s="543">
        <v>0.5</v>
      </c>
      <c r="P171" s="543">
        <v>0.4</v>
      </c>
      <c r="Q171" s="543">
        <v>0.09</v>
      </c>
      <c r="R171" s="543">
        <v>0.01</v>
      </c>
      <c r="S171" s="542">
        <v>164793</v>
      </c>
      <c r="T171" s="542">
        <v>164793</v>
      </c>
      <c r="U171" s="542">
        <v>0</v>
      </c>
      <c r="V171" s="542">
        <v>0</v>
      </c>
      <c r="W171" s="542">
        <v>0</v>
      </c>
      <c r="X171" s="542">
        <v>0</v>
      </c>
      <c r="Y171" s="542">
        <v>0</v>
      </c>
      <c r="Z171" s="542">
        <v>0</v>
      </c>
      <c r="AA171" s="542">
        <v>0</v>
      </c>
      <c r="AB171" s="542">
        <v>0</v>
      </c>
      <c r="AC171" s="542">
        <v>0</v>
      </c>
      <c r="AD171" s="542">
        <v>0</v>
      </c>
      <c r="AE171" s="542">
        <v>0</v>
      </c>
      <c r="AF171" s="542">
        <v>0</v>
      </c>
      <c r="AG171" s="542">
        <v>0</v>
      </c>
      <c r="AH171" s="542">
        <v>0</v>
      </c>
      <c r="AI171" s="542">
        <v>0</v>
      </c>
      <c r="AJ171" s="542">
        <v>0</v>
      </c>
      <c r="AK171" s="542">
        <v>0</v>
      </c>
      <c r="AL171" s="542">
        <v>0</v>
      </c>
      <c r="AM171" s="542">
        <v>0</v>
      </c>
      <c r="AN171" s="542">
        <v>0</v>
      </c>
      <c r="AO171" s="542">
        <v>0</v>
      </c>
      <c r="AP171" s="542">
        <v>0</v>
      </c>
      <c r="AQ171" s="542">
        <v>629280.89300000004</v>
      </c>
      <c r="AR171" s="542">
        <v>141588.201</v>
      </c>
      <c r="AS171" s="542">
        <v>15732.022300000001</v>
      </c>
      <c r="AT171" s="542">
        <v>580674</v>
      </c>
      <c r="AU171" s="542">
        <v>130652</v>
      </c>
      <c r="AV171" s="542">
        <v>14517</v>
      </c>
      <c r="AW171" s="542">
        <v>48607</v>
      </c>
      <c r="AX171" s="542">
        <v>10936</v>
      </c>
      <c r="AY171" s="542">
        <v>1215</v>
      </c>
      <c r="AZ171" s="542">
        <v>1127.03864</v>
      </c>
      <c r="BA171" s="542">
        <v>253.58369400000001</v>
      </c>
      <c r="BB171" s="542">
        <v>28.175965999999999</v>
      </c>
      <c r="BC171" s="542">
        <v>0</v>
      </c>
      <c r="BD171" s="542">
        <v>0</v>
      </c>
      <c r="BE171" s="542">
        <v>0</v>
      </c>
      <c r="BF171" s="542">
        <v>1127</v>
      </c>
      <c r="BG171" s="542">
        <v>254</v>
      </c>
      <c r="BH171" s="542">
        <v>28</v>
      </c>
      <c r="BI171" s="542">
        <v>300.35498899999999</v>
      </c>
      <c r="BJ171" s="542">
        <v>67.579872600000002</v>
      </c>
      <c r="BK171" s="542">
        <v>7.5088747299999996</v>
      </c>
      <c r="BL171" s="542">
        <v>0</v>
      </c>
      <c r="BM171" s="542">
        <v>0</v>
      </c>
      <c r="BN171" s="542">
        <v>0</v>
      </c>
      <c r="BO171" s="542">
        <v>300</v>
      </c>
      <c r="BP171" s="542">
        <v>68</v>
      </c>
      <c r="BQ171" s="542">
        <v>8</v>
      </c>
      <c r="BR171" s="542">
        <v>179.48535000000001</v>
      </c>
      <c r="BS171" s="542">
        <v>40.384203800000002</v>
      </c>
      <c r="BT171" s="542">
        <v>4.4871337499999999</v>
      </c>
      <c r="BU171" s="542">
        <v>0</v>
      </c>
      <c r="BV171" s="542">
        <v>0</v>
      </c>
      <c r="BW171" s="542">
        <v>0</v>
      </c>
      <c r="BX171" s="542">
        <v>179</v>
      </c>
      <c r="BY171" s="542">
        <v>40</v>
      </c>
      <c r="BZ171" s="542">
        <v>4</v>
      </c>
      <c r="CA171" s="542">
        <v>190351.08600000001</v>
      </c>
      <c r="CB171" s="542">
        <v>42828.994299999998</v>
      </c>
      <c r="CC171" s="542">
        <v>4758.7771499999999</v>
      </c>
      <c r="CD171" s="542">
        <v>221149.802</v>
      </c>
      <c r="CE171" s="542">
        <v>49758.705399999999</v>
      </c>
      <c r="CF171" s="542">
        <v>5528.7450500000004</v>
      </c>
      <c r="CG171" s="542">
        <v>-30799</v>
      </c>
      <c r="CH171" s="542">
        <v>-6930</v>
      </c>
      <c r="CI171" s="542">
        <v>-770</v>
      </c>
      <c r="CJ171" s="542">
        <v>0</v>
      </c>
      <c r="CK171" s="542">
        <v>0</v>
      </c>
      <c r="CL171" s="542">
        <v>0</v>
      </c>
      <c r="CM171" s="542">
        <v>0</v>
      </c>
      <c r="CN171" s="542">
        <v>0</v>
      </c>
      <c r="CO171" s="542">
        <v>0</v>
      </c>
      <c r="CP171" s="542">
        <v>0</v>
      </c>
      <c r="CQ171" s="542">
        <v>0</v>
      </c>
      <c r="CR171" s="542">
        <v>0</v>
      </c>
      <c r="CS171" s="542">
        <v>0</v>
      </c>
      <c r="CT171" s="542">
        <v>0</v>
      </c>
      <c r="CU171" s="542">
        <v>0</v>
      </c>
      <c r="CV171" s="542">
        <v>135248.976</v>
      </c>
      <c r="CW171" s="542">
        <v>30431.019700000001</v>
      </c>
      <c r="CX171" s="542">
        <v>3381.2244099999998</v>
      </c>
      <c r="CY171" s="542">
        <v>141948</v>
      </c>
      <c r="CZ171" s="542">
        <v>31545</v>
      </c>
      <c r="DA171" s="542">
        <v>3505</v>
      </c>
      <c r="DB171" s="542">
        <v>-6699</v>
      </c>
      <c r="DC171" s="542">
        <v>-1114</v>
      </c>
      <c r="DD171" s="542">
        <v>-124</v>
      </c>
      <c r="DE171" s="153" t="s">
        <v>207</v>
      </c>
      <c r="DF171" s="103" t="s">
        <v>815</v>
      </c>
      <c r="DG171" s="104" t="s">
        <v>804</v>
      </c>
      <c r="DH171" s="547"/>
      <c r="DI171" s="547"/>
    </row>
    <row r="172" spans="1:113" x14ac:dyDescent="0.2">
      <c r="A172" s="93">
        <v>166</v>
      </c>
      <c r="B172" s="145" t="s">
        <v>210</v>
      </c>
      <c r="C172" s="141" t="s">
        <v>871</v>
      </c>
      <c r="D172" s="142" t="s">
        <v>872</v>
      </c>
      <c r="E172" s="149" t="s">
        <v>209</v>
      </c>
      <c r="F172" s="542">
        <v>-271108</v>
      </c>
      <c r="G172" s="542">
        <v>0</v>
      </c>
      <c r="H172" s="542">
        <v>-271108</v>
      </c>
      <c r="I172" s="542">
        <v>35683</v>
      </c>
      <c r="J172" s="542">
        <v>0</v>
      </c>
      <c r="K172" s="542">
        <v>35683</v>
      </c>
      <c r="L172" s="542">
        <v>-306791</v>
      </c>
      <c r="M172" s="542">
        <v>0</v>
      </c>
      <c r="N172" s="542">
        <v>-306791</v>
      </c>
      <c r="O172" s="543">
        <v>0.5</v>
      </c>
      <c r="P172" s="543">
        <v>0.3</v>
      </c>
      <c r="Q172" s="543">
        <v>0.2</v>
      </c>
      <c r="R172" s="543">
        <v>0</v>
      </c>
      <c r="S172" s="542">
        <v>318855</v>
      </c>
      <c r="T172" s="542">
        <v>280951</v>
      </c>
      <c r="U172" s="542">
        <v>37904</v>
      </c>
      <c r="V172" s="542">
        <v>0</v>
      </c>
      <c r="W172" s="542">
        <v>0</v>
      </c>
      <c r="X172" s="542">
        <v>0</v>
      </c>
      <c r="Y172" s="542">
        <v>0</v>
      </c>
      <c r="Z172" s="542">
        <v>0</v>
      </c>
      <c r="AA172" s="542">
        <v>0</v>
      </c>
      <c r="AB172" s="542">
        <v>0</v>
      </c>
      <c r="AC172" s="542">
        <v>0</v>
      </c>
      <c r="AD172" s="542">
        <v>0</v>
      </c>
      <c r="AE172" s="542">
        <v>0</v>
      </c>
      <c r="AF172" s="542">
        <v>0</v>
      </c>
      <c r="AG172" s="542">
        <v>0</v>
      </c>
      <c r="AH172" s="542">
        <v>0</v>
      </c>
      <c r="AI172" s="542">
        <v>0</v>
      </c>
      <c r="AJ172" s="542">
        <v>0</v>
      </c>
      <c r="AK172" s="542">
        <v>0</v>
      </c>
      <c r="AL172" s="542">
        <v>0</v>
      </c>
      <c r="AM172" s="542">
        <v>0</v>
      </c>
      <c r="AN172" s="542">
        <v>0</v>
      </c>
      <c r="AO172" s="542">
        <v>0</v>
      </c>
      <c r="AP172" s="542">
        <v>0</v>
      </c>
      <c r="AQ172" s="542">
        <v>435178</v>
      </c>
      <c r="AR172" s="542">
        <v>290118</v>
      </c>
      <c r="AS172" s="542">
        <v>0</v>
      </c>
      <c r="AT172" s="542">
        <v>400119</v>
      </c>
      <c r="AU172" s="542">
        <v>266746</v>
      </c>
      <c r="AV172" s="542">
        <v>0</v>
      </c>
      <c r="AW172" s="542">
        <v>35059</v>
      </c>
      <c r="AX172" s="542">
        <v>23372</v>
      </c>
      <c r="AY172" s="542">
        <v>0</v>
      </c>
      <c r="AZ172" s="542">
        <v>0</v>
      </c>
      <c r="BA172" s="542">
        <v>0</v>
      </c>
      <c r="BB172" s="542">
        <v>0</v>
      </c>
      <c r="BC172" s="542">
        <v>16331</v>
      </c>
      <c r="BD172" s="542">
        <v>10888</v>
      </c>
      <c r="BE172" s="542">
        <v>0</v>
      </c>
      <c r="BF172" s="542">
        <v>-16331</v>
      </c>
      <c r="BG172" s="542">
        <v>-10888</v>
      </c>
      <c r="BH172" s="542">
        <v>0</v>
      </c>
      <c r="BI172" s="542">
        <v>0</v>
      </c>
      <c r="BJ172" s="542">
        <v>0</v>
      </c>
      <c r="BK172" s="542">
        <v>0</v>
      </c>
      <c r="BL172" s="542">
        <v>0</v>
      </c>
      <c r="BM172" s="542">
        <v>0</v>
      </c>
      <c r="BN172" s="542">
        <v>0</v>
      </c>
      <c r="BO172" s="542">
        <v>0</v>
      </c>
      <c r="BP172" s="542">
        <v>0</v>
      </c>
      <c r="BQ172" s="542">
        <v>0</v>
      </c>
      <c r="BR172" s="542">
        <v>1300.0560499999999</v>
      </c>
      <c r="BS172" s="542">
        <v>866.70403399999998</v>
      </c>
      <c r="BT172" s="542">
        <v>0</v>
      </c>
      <c r="BU172" s="542">
        <v>31363</v>
      </c>
      <c r="BV172" s="542">
        <v>20909</v>
      </c>
      <c r="BW172" s="542">
        <v>0</v>
      </c>
      <c r="BX172" s="542">
        <v>-30063</v>
      </c>
      <c r="BY172" s="542">
        <v>-20042</v>
      </c>
      <c r="BZ172" s="542">
        <v>0</v>
      </c>
      <c r="CA172" s="542">
        <v>231370.86600000001</v>
      </c>
      <c r="CB172" s="542">
        <v>154247.24400000001</v>
      </c>
      <c r="CC172" s="542">
        <v>0</v>
      </c>
      <c r="CD172" s="542">
        <v>398385</v>
      </c>
      <c r="CE172" s="542">
        <v>265590</v>
      </c>
      <c r="CF172" s="542">
        <v>0</v>
      </c>
      <c r="CG172" s="542">
        <v>-167014</v>
      </c>
      <c r="CH172" s="542">
        <v>-111343</v>
      </c>
      <c r="CI172" s="542">
        <v>0</v>
      </c>
      <c r="CJ172" s="542">
        <v>0</v>
      </c>
      <c r="CK172" s="542">
        <v>0</v>
      </c>
      <c r="CL172" s="542">
        <v>0</v>
      </c>
      <c r="CM172" s="542">
        <v>0</v>
      </c>
      <c r="CN172" s="542">
        <v>0</v>
      </c>
      <c r="CO172" s="542">
        <v>0</v>
      </c>
      <c r="CP172" s="542">
        <v>0</v>
      </c>
      <c r="CQ172" s="542">
        <v>0</v>
      </c>
      <c r="CR172" s="542">
        <v>0</v>
      </c>
      <c r="CS172" s="542">
        <v>0</v>
      </c>
      <c r="CT172" s="542">
        <v>0</v>
      </c>
      <c r="CU172" s="542">
        <v>0</v>
      </c>
      <c r="CV172" s="542">
        <v>252450.73199999999</v>
      </c>
      <c r="CW172" s="542">
        <v>168300.48800000001</v>
      </c>
      <c r="CX172" s="542">
        <v>0</v>
      </c>
      <c r="CY172" s="542">
        <v>271332</v>
      </c>
      <c r="CZ172" s="542">
        <v>178900</v>
      </c>
      <c r="DA172" s="542">
        <v>0</v>
      </c>
      <c r="DB172" s="542">
        <v>-18881</v>
      </c>
      <c r="DC172" s="542">
        <v>-10600</v>
      </c>
      <c r="DD172" s="542">
        <v>0</v>
      </c>
      <c r="DE172" s="153" t="s">
        <v>209</v>
      </c>
      <c r="DF172" s="103" t="s">
        <v>762</v>
      </c>
      <c r="DG172" s="103" t="s">
        <v>750</v>
      </c>
      <c r="DH172" s="547"/>
      <c r="DI172" s="547"/>
    </row>
    <row r="173" spans="1:113" x14ac:dyDescent="0.2">
      <c r="A173" s="93">
        <v>167</v>
      </c>
      <c r="B173" s="145" t="s">
        <v>212</v>
      </c>
      <c r="C173" s="141" t="s">
        <v>866</v>
      </c>
      <c r="D173" s="142" t="s">
        <v>875</v>
      </c>
      <c r="E173" s="149" t="s">
        <v>211</v>
      </c>
      <c r="F173" s="542">
        <v>5773</v>
      </c>
      <c r="G173" s="542">
        <v>0</v>
      </c>
      <c r="H173" s="542">
        <v>5773</v>
      </c>
      <c r="I173" s="542">
        <v>84370</v>
      </c>
      <c r="J173" s="542">
        <v>0</v>
      </c>
      <c r="K173" s="542">
        <v>84370</v>
      </c>
      <c r="L173" s="542">
        <v>-78597</v>
      </c>
      <c r="M173" s="542">
        <v>0</v>
      </c>
      <c r="N173" s="542">
        <v>-78597</v>
      </c>
      <c r="O173" s="543">
        <v>0.5</v>
      </c>
      <c r="P173" s="543">
        <v>0.4</v>
      </c>
      <c r="Q173" s="543">
        <v>0.09</v>
      </c>
      <c r="R173" s="543">
        <v>0.01</v>
      </c>
      <c r="S173" s="542">
        <v>106197</v>
      </c>
      <c r="T173" s="542">
        <v>106197</v>
      </c>
      <c r="U173" s="542">
        <v>0</v>
      </c>
      <c r="V173" s="542">
        <v>0</v>
      </c>
      <c r="W173" s="542">
        <v>0</v>
      </c>
      <c r="X173" s="542">
        <v>0</v>
      </c>
      <c r="Y173" s="542">
        <v>68497</v>
      </c>
      <c r="Z173" s="542">
        <v>0</v>
      </c>
      <c r="AA173" s="542">
        <v>42000</v>
      </c>
      <c r="AB173" s="542">
        <v>0</v>
      </c>
      <c r="AC173" s="542">
        <v>26497</v>
      </c>
      <c r="AD173" s="542">
        <v>0</v>
      </c>
      <c r="AE173" s="542">
        <v>0</v>
      </c>
      <c r="AF173" s="542">
        <v>0</v>
      </c>
      <c r="AG173" s="542">
        <v>0</v>
      </c>
      <c r="AH173" s="542">
        <v>0</v>
      </c>
      <c r="AI173" s="542">
        <v>0</v>
      </c>
      <c r="AJ173" s="542">
        <v>0</v>
      </c>
      <c r="AK173" s="542">
        <v>0</v>
      </c>
      <c r="AL173" s="542">
        <v>0</v>
      </c>
      <c r="AM173" s="542">
        <v>0</v>
      </c>
      <c r="AN173" s="542">
        <v>0</v>
      </c>
      <c r="AO173" s="542">
        <v>0</v>
      </c>
      <c r="AP173" s="542">
        <v>0</v>
      </c>
      <c r="AQ173" s="542">
        <v>413724.402</v>
      </c>
      <c r="AR173" s="542">
        <v>93087.9905</v>
      </c>
      <c r="AS173" s="542">
        <v>10343.11</v>
      </c>
      <c r="AT173" s="542">
        <v>393430</v>
      </c>
      <c r="AU173" s="542">
        <v>88522</v>
      </c>
      <c r="AV173" s="542">
        <v>9836</v>
      </c>
      <c r="AW173" s="542">
        <v>20294</v>
      </c>
      <c r="AX173" s="542">
        <v>4566</v>
      </c>
      <c r="AY173" s="542">
        <v>507</v>
      </c>
      <c r="AZ173" s="542">
        <v>6901.2925599999999</v>
      </c>
      <c r="BA173" s="542">
        <v>1552.7908199999999</v>
      </c>
      <c r="BB173" s="542">
        <v>172.53231400000001</v>
      </c>
      <c r="BC173" s="542">
        <v>1617</v>
      </c>
      <c r="BD173" s="542">
        <v>364</v>
      </c>
      <c r="BE173" s="542">
        <v>40</v>
      </c>
      <c r="BF173" s="542">
        <v>5284</v>
      </c>
      <c r="BG173" s="542">
        <v>1189</v>
      </c>
      <c r="BH173" s="542">
        <v>133</v>
      </c>
      <c r="BI173" s="542">
        <v>7460.3651799999998</v>
      </c>
      <c r="BJ173" s="542">
        <v>1678.5821599999999</v>
      </c>
      <c r="BK173" s="542">
        <v>186.509129</v>
      </c>
      <c r="BL173" s="542">
        <v>4042</v>
      </c>
      <c r="BM173" s="542">
        <v>910</v>
      </c>
      <c r="BN173" s="542">
        <v>101</v>
      </c>
      <c r="BO173" s="542">
        <v>3418</v>
      </c>
      <c r="BP173" s="542">
        <v>769</v>
      </c>
      <c r="BQ173" s="542">
        <v>86</v>
      </c>
      <c r="BR173" s="542">
        <v>3160.8016899999998</v>
      </c>
      <c r="BS173" s="542">
        <v>711.18038200000001</v>
      </c>
      <c r="BT173" s="542">
        <v>79.020042399999994</v>
      </c>
      <c r="BU173" s="542">
        <v>6064</v>
      </c>
      <c r="BV173" s="542">
        <v>1364</v>
      </c>
      <c r="BW173" s="542">
        <v>152</v>
      </c>
      <c r="BX173" s="542">
        <v>-2903</v>
      </c>
      <c r="BY173" s="542">
        <v>-653</v>
      </c>
      <c r="BZ173" s="542">
        <v>-73</v>
      </c>
      <c r="CA173" s="542">
        <v>78435.502299999993</v>
      </c>
      <c r="CB173" s="542">
        <v>17647.988000000001</v>
      </c>
      <c r="CC173" s="542">
        <v>1960.8875499999999</v>
      </c>
      <c r="CD173" s="542">
        <v>121273</v>
      </c>
      <c r="CE173" s="542">
        <v>27287</v>
      </c>
      <c r="CF173" s="542">
        <v>3032</v>
      </c>
      <c r="CG173" s="542">
        <v>-42837</v>
      </c>
      <c r="CH173" s="542">
        <v>-9639</v>
      </c>
      <c r="CI173" s="542">
        <v>-1071</v>
      </c>
      <c r="CJ173" s="542">
        <v>0</v>
      </c>
      <c r="CK173" s="542">
        <v>0</v>
      </c>
      <c r="CL173" s="542">
        <v>0</v>
      </c>
      <c r="CM173" s="542">
        <v>0</v>
      </c>
      <c r="CN173" s="542">
        <v>0</v>
      </c>
      <c r="CO173" s="542">
        <v>0</v>
      </c>
      <c r="CP173" s="542">
        <v>0</v>
      </c>
      <c r="CQ173" s="542">
        <v>0</v>
      </c>
      <c r="CR173" s="542">
        <v>0</v>
      </c>
      <c r="CS173" s="542">
        <v>0</v>
      </c>
      <c r="CT173" s="542">
        <v>0</v>
      </c>
      <c r="CU173" s="542">
        <v>0</v>
      </c>
      <c r="CV173" s="542">
        <v>62098.613499999999</v>
      </c>
      <c r="CW173" s="542">
        <v>13808.5805</v>
      </c>
      <c r="CX173" s="542">
        <v>1534.28673</v>
      </c>
      <c r="CY173" s="542">
        <v>63078</v>
      </c>
      <c r="CZ173" s="542">
        <v>13838</v>
      </c>
      <c r="DA173" s="542">
        <v>1538</v>
      </c>
      <c r="DB173" s="542">
        <v>-979</v>
      </c>
      <c r="DC173" s="542">
        <v>-29</v>
      </c>
      <c r="DD173" s="542">
        <v>-4</v>
      </c>
      <c r="DE173" s="153" t="s">
        <v>211</v>
      </c>
      <c r="DF173" s="103" t="s">
        <v>803</v>
      </c>
      <c r="DG173" s="104" t="s">
        <v>804</v>
      </c>
      <c r="DH173" s="547"/>
      <c r="DI173" s="547"/>
    </row>
    <row r="174" spans="1:113" x14ac:dyDescent="0.2">
      <c r="A174" s="93">
        <v>168</v>
      </c>
      <c r="B174" s="145" t="s">
        <v>214</v>
      </c>
      <c r="C174" s="141" t="s">
        <v>866</v>
      </c>
      <c r="D174" s="142" t="s">
        <v>870</v>
      </c>
      <c r="E174" s="149" t="s">
        <v>213</v>
      </c>
      <c r="F174" s="542">
        <v>-29903</v>
      </c>
      <c r="G174" s="542">
        <v>0</v>
      </c>
      <c r="H174" s="542">
        <v>-29903</v>
      </c>
      <c r="I174" s="542">
        <v>33821</v>
      </c>
      <c r="J174" s="542">
        <v>0</v>
      </c>
      <c r="K174" s="542">
        <v>33821</v>
      </c>
      <c r="L174" s="542">
        <v>-63724</v>
      </c>
      <c r="M174" s="542">
        <v>0</v>
      </c>
      <c r="N174" s="542">
        <v>-63724</v>
      </c>
      <c r="O174" s="543">
        <v>0.5</v>
      </c>
      <c r="P174" s="543">
        <v>0.4</v>
      </c>
      <c r="Q174" s="543">
        <v>0.1</v>
      </c>
      <c r="R174" s="543">
        <v>0</v>
      </c>
      <c r="S174" s="542">
        <v>128904</v>
      </c>
      <c r="T174" s="542">
        <v>128904</v>
      </c>
      <c r="U174" s="542">
        <v>0</v>
      </c>
      <c r="V174" s="542">
        <v>0</v>
      </c>
      <c r="W174" s="542">
        <v>0</v>
      </c>
      <c r="X174" s="542">
        <v>0</v>
      </c>
      <c r="Y174" s="542">
        <v>52775</v>
      </c>
      <c r="Z174" s="542">
        <v>0</v>
      </c>
      <c r="AA174" s="542">
        <v>51092</v>
      </c>
      <c r="AB174" s="542">
        <v>0</v>
      </c>
      <c r="AC174" s="542">
        <v>1683</v>
      </c>
      <c r="AD174" s="542">
        <v>0</v>
      </c>
      <c r="AE174" s="542">
        <v>0</v>
      </c>
      <c r="AF174" s="542">
        <v>0</v>
      </c>
      <c r="AG174" s="542">
        <v>0</v>
      </c>
      <c r="AH174" s="542">
        <v>0</v>
      </c>
      <c r="AI174" s="542">
        <v>0</v>
      </c>
      <c r="AJ174" s="542">
        <v>0</v>
      </c>
      <c r="AK174" s="542">
        <v>0</v>
      </c>
      <c r="AL174" s="542">
        <v>0</v>
      </c>
      <c r="AM174" s="542">
        <v>0</v>
      </c>
      <c r="AN174" s="542">
        <v>0</v>
      </c>
      <c r="AO174" s="542">
        <v>0</v>
      </c>
      <c r="AP174" s="542">
        <v>0</v>
      </c>
      <c r="AQ174" s="542">
        <v>398916.701</v>
      </c>
      <c r="AR174" s="542">
        <v>99729.175300000003</v>
      </c>
      <c r="AS174" s="542">
        <v>0</v>
      </c>
      <c r="AT174" s="542">
        <v>360202</v>
      </c>
      <c r="AU174" s="542">
        <v>90051</v>
      </c>
      <c r="AV174" s="542">
        <v>0</v>
      </c>
      <c r="AW174" s="542">
        <v>38715</v>
      </c>
      <c r="AX174" s="542">
        <v>9678</v>
      </c>
      <c r="AY174" s="542">
        <v>0</v>
      </c>
      <c r="AZ174" s="542">
        <v>1715.2169799999999</v>
      </c>
      <c r="BA174" s="542">
        <v>428.80424599999998</v>
      </c>
      <c r="BB174" s="542">
        <v>0</v>
      </c>
      <c r="BC174" s="542">
        <v>7277</v>
      </c>
      <c r="BD174" s="542">
        <v>1819</v>
      </c>
      <c r="BE174" s="542">
        <v>0</v>
      </c>
      <c r="BF174" s="542">
        <v>-5562</v>
      </c>
      <c r="BG174" s="542">
        <v>-1390</v>
      </c>
      <c r="BH174" s="542">
        <v>0</v>
      </c>
      <c r="BI174" s="542">
        <v>0</v>
      </c>
      <c r="BJ174" s="542">
        <v>0</v>
      </c>
      <c r="BK174" s="542">
        <v>0</v>
      </c>
      <c r="BL174" s="542">
        <v>0</v>
      </c>
      <c r="BM174" s="542">
        <v>0</v>
      </c>
      <c r="BN174" s="542">
        <v>0</v>
      </c>
      <c r="BO174" s="542">
        <v>0</v>
      </c>
      <c r="BP174" s="542">
        <v>0</v>
      </c>
      <c r="BQ174" s="542">
        <v>0</v>
      </c>
      <c r="BR174" s="542">
        <v>72.360084900000004</v>
      </c>
      <c r="BS174" s="542">
        <v>18.090021199999999</v>
      </c>
      <c r="BT174" s="542">
        <v>0</v>
      </c>
      <c r="BU174" s="542">
        <v>4931</v>
      </c>
      <c r="BV174" s="542">
        <v>1233</v>
      </c>
      <c r="BW174" s="542">
        <v>0</v>
      </c>
      <c r="BX174" s="542">
        <v>-4859</v>
      </c>
      <c r="BY174" s="542">
        <v>-1215</v>
      </c>
      <c r="BZ174" s="542">
        <v>0</v>
      </c>
      <c r="CA174" s="542">
        <v>59839.769</v>
      </c>
      <c r="CB174" s="542">
        <v>14959.9422</v>
      </c>
      <c r="CC174" s="542">
        <v>0</v>
      </c>
      <c r="CD174" s="542">
        <v>40425</v>
      </c>
      <c r="CE174" s="542">
        <v>10106</v>
      </c>
      <c r="CF174" s="542">
        <v>0</v>
      </c>
      <c r="CG174" s="542">
        <v>19415</v>
      </c>
      <c r="CH174" s="542">
        <v>4854</v>
      </c>
      <c r="CI174" s="542">
        <v>0</v>
      </c>
      <c r="CJ174" s="542">
        <v>0</v>
      </c>
      <c r="CK174" s="542">
        <v>0</v>
      </c>
      <c r="CL174" s="542">
        <v>0</v>
      </c>
      <c r="CM174" s="542">
        <v>0</v>
      </c>
      <c r="CN174" s="542">
        <v>0</v>
      </c>
      <c r="CO174" s="542">
        <v>0</v>
      </c>
      <c r="CP174" s="542">
        <v>0</v>
      </c>
      <c r="CQ174" s="542">
        <v>0</v>
      </c>
      <c r="CR174" s="542">
        <v>0</v>
      </c>
      <c r="CS174" s="542">
        <v>0</v>
      </c>
      <c r="CT174" s="542">
        <v>0</v>
      </c>
      <c r="CU174" s="542">
        <v>0</v>
      </c>
      <c r="CV174" s="542">
        <v>87628.120999999999</v>
      </c>
      <c r="CW174" s="542">
        <v>21766.9692</v>
      </c>
      <c r="CX174" s="542">
        <v>0</v>
      </c>
      <c r="CY174" s="542">
        <v>92680</v>
      </c>
      <c r="CZ174" s="542">
        <v>22692</v>
      </c>
      <c r="DA174" s="542">
        <v>0</v>
      </c>
      <c r="DB174" s="542">
        <v>-5052</v>
      </c>
      <c r="DC174" s="542">
        <v>-925</v>
      </c>
      <c r="DD174" s="542">
        <v>0</v>
      </c>
      <c r="DE174" s="153" t="s">
        <v>213</v>
      </c>
      <c r="DF174" s="103" t="s">
        <v>761</v>
      </c>
      <c r="DG174" s="104" t="s">
        <v>751</v>
      </c>
      <c r="DH174" s="547"/>
      <c r="DI174" s="547"/>
    </row>
    <row r="175" spans="1:113" x14ac:dyDescent="0.2">
      <c r="A175" s="93">
        <v>169</v>
      </c>
      <c r="B175" s="145" t="s">
        <v>216</v>
      </c>
      <c r="C175" s="141" t="s">
        <v>866</v>
      </c>
      <c r="D175" s="142" t="s">
        <v>867</v>
      </c>
      <c r="E175" s="149" t="s">
        <v>215</v>
      </c>
      <c r="F175" s="542">
        <v>-44463</v>
      </c>
      <c r="G175" s="542">
        <v>0</v>
      </c>
      <c r="H175" s="542">
        <v>-44463</v>
      </c>
      <c r="I175" s="542">
        <v>47971</v>
      </c>
      <c r="J175" s="542">
        <v>0</v>
      </c>
      <c r="K175" s="542">
        <v>47971</v>
      </c>
      <c r="L175" s="542">
        <v>-92434</v>
      </c>
      <c r="M175" s="542">
        <v>0</v>
      </c>
      <c r="N175" s="542">
        <v>-92434</v>
      </c>
      <c r="O175" s="543">
        <v>0.5</v>
      </c>
      <c r="P175" s="543">
        <v>0.4</v>
      </c>
      <c r="Q175" s="543">
        <v>0.1</v>
      </c>
      <c r="R175" s="543">
        <v>0</v>
      </c>
      <c r="S175" s="542">
        <v>171742</v>
      </c>
      <c r="T175" s="542">
        <v>171742</v>
      </c>
      <c r="U175" s="542">
        <v>0</v>
      </c>
      <c r="V175" s="542">
        <v>0</v>
      </c>
      <c r="W175" s="542">
        <v>0</v>
      </c>
      <c r="X175" s="542">
        <v>0</v>
      </c>
      <c r="Y175" s="542">
        <v>0</v>
      </c>
      <c r="Z175" s="542">
        <v>0</v>
      </c>
      <c r="AA175" s="542">
        <v>0</v>
      </c>
      <c r="AB175" s="542">
        <v>0</v>
      </c>
      <c r="AC175" s="542">
        <v>0</v>
      </c>
      <c r="AD175" s="542">
        <v>0</v>
      </c>
      <c r="AE175" s="542">
        <v>0</v>
      </c>
      <c r="AF175" s="542">
        <v>0</v>
      </c>
      <c r="AG175" s="542">
        <v>0</v>
      </c>
      <c r="AH175" s="542">
        <v>0</v>
      </c>
      <c r="AI175" s="542">
        <v>0</v>
      </c>
      <c r="AJ175" s="542">
        <v>0</v>
      </c>
      <c r="AK175" s="542">
        <v>0</v>
      </c>
      <c r="AL175" s="542">
        <v>0</v>
      </c>
      <c r="AM175" s="542">
        <v>0</v>
      </c>
      <c r="AN175" s="542">
        <v>0</v>
      </c>
      <c r="AO175" s="542">
        <v>0</v>
      </c>
      <c r="AP175" s="542">
        <v>0</v>
      </c>
      <c r="AQ175" s="542">
        <v>516909.11700000003</v>
      </c>
      <c r="AR175" s="542">
        <v>129227.27899999999</v>
      </c>
      <c r="AS175" s="542">
        <v>0</v>
      </c>
      <c r="AT175" s="542">
        <v>429034</v>
      </c>
      <c r="AU175" s="542">
        <v>107259</v>
      </c>
      <c r="AV175" s="542">
        <v>0</v>
      </c>
      <c r="AW175" s="542">
        <v>87875</v>
      </c>
      <c r="AX175" s="542">
        <v>21968</v>
      </c>
      <c r="AY175" s="542">
        <v>0</v>
      </c>
      <c r="AZ175" s="542">
        <v>0</v>
      </c>
      <c r="BA175" s="542">
        <v>0</v>
      </c>
      <c r="BB175" s="542">
        <v>0</v>
      </c>
      <c r="BC175" s="542">
        <v>8562</v>
      </c>
      <c r="BD175" s="542">
        <v>2140</v>
      </c>
      <c r="BE175" s="542">
        <v>0</v>
      </c>
      <c r="BF175" s="542">
        <v>-8562</v>
      </c>
      <c r="BG175" s="542">
        <v>-2140</v>
      </c>
      <c r="BH175" s="542">
        <v>0</v>
      </c>
      <c r="BI175" s="542">
        <v>607.98641099999998</v>
      </c>
      <c r="BJ175" s="542">
        <v>151.99660299999999</v>
      </c>
      <c r="BK175" s="542">
        <v>0</v>
      </c>
      <c r="BL175" s="542">
        <v>4807</v>
      </c>
      <c r="BM175" s="542">
        <v>1202</v>
      </c>
      <c r="BN175" s="542">
        <v>0</v>
      </c>
      <c r="BO175" s="542">
        <v>-4199</v>
      </c>
      <c r="BP175" s="542">
        <v>-1050</v>
      </c>
      <c r="BQ175" s="542">
        <v>0</v>
      </c>
      <c r="BR175" s="542">
        <v>0</v>
      </c>
      <c r="BS175" s="542">
        <v>0</v>
      </c>
      <c r="BT175" s="542">
        <v>0</v>
      </c>
      <c r="BU175" s="542">
        <v>4923</v>
      </c>
      <c r="BV175" s="542">
        <v>1231</v>
      </c>
      <c r="BW175" s="542">
        <v>0</v>
      </c>
      <c r="BX175" s="542">
        <v>-4923</v>
      </c>
      <c r="BY175" s="542">
        <v>-1231</v>
      </c>
      <c r="BZ175" s="542">
        <v>0</v>
      </c>
      <c r="CA175" s="542">
        <v>215813.75099999999</v>
      </c>
      <c r="CB175" s="542">
        <v>53953.437700000002</v>
      </c>
      <c r="CC175" s="542">
        <v>0</v>
      </c>
      <c r="CD175" s="542">
        <v>330058</v>
      </c>
      <c r="CE175" s="542">
        <v>82515</v>
      </c>
      <c r="CF175" s="542">
        <v>0</v>
      </c>
      <c r="CG175" s="542">
        <v>-114244</v>
      </c>
      <c r="CH175" s="542">
        <v>-28562</v>
      </c>
      <c r="CI175" s="542">
        <v>0</v>
      </c>
      <c r="CJ175" s="542">
        <v>0</v>
      </c>
      <c r="CK175" s="542">
        <v>0</v>
      </c>
      <c r="CL175" s="542">
        <v>0</v>
      </c>
      <c r="CM175" s="542">
        <v>1410.4152799999999</v>
      </c>
      <c r="CN175" s="542">
        <v>352.60382099999998</v>
      </c>
      <c r="CO175" s="542">
        <v>0</v>
      </c>
      <c r="CP175" s="542">
        <v>0</v>
      </c>
      <c r="CQ175" s="542">
        <v>0</v>
      </c>
      <c r="CR175" s="542">
        <v>0</v>
      </c>
      <c r="CS175" s="542">
        <v>1410</v>
      </c>
      <c r="CT175" s="542">
        <v>353</v>
      </c>
      <c r="CU175" s="542">
        <v>0</v>
      </c>
      <c r="CV175" s="542">
        <v>174591.92300000001</v>
      </c>
      <c r="CW175" s="542">
        <v>43647.980799999998</v>
      </c>
      <c r="CX175" s="542">
        <v>0</v>
      </c>
      <c r="CY175" s="542">
        <v>178996</v>
      </c>
      <c r="CZ175" s="542">
        <v>44293</v>
      </c>
      <c r="DA175" s="542">
        <v>0</v>
      </c>
      <c r="DB175" s="542">
        <v>-4404</v>
      </c>
      <c r="DC175" s="542">
        <v>-645</v>
      </c>
      <c r="DD175" s="542">
        <v>0</v>
      </c>
      <c r="DE175" s="153" t="s">
        <v>215</v>
      </c>
      <c r="DF175" s="103" t="s">
        <v>749</v>
      </c>
      <c r="DG175" s="104" t="s">
        <v>751</v>
      </c>
      <c r="DH175" s="547"/>
      <c r="DI175" s="547"/>
    </row>
    <row r="176" spans="1:113" x14ac:dyDescent="0.2">
      <c r="A176" s="93">
        <v>170</v>
      </c>
      <c r="B176" s="145" t="s">
        <v>218</v>
      </c>
      <c r="C176" s="141" t="s">
        <v>770</v>
      </c>
      <c r="D176" s="142" t="s">
        <v>878</v>
      </c>
      <c r="E176" s="149" t="s">
        <v>706</v>
      </c>
      <c r="F176" s="542">
        <v>-386408</v>
      </c>
      <c r="G176" s="542">
        <v>0</v>
      </c>
      <c r="H176" s="542">
        <v>-386408</v>
      </c>
      <c r="I176" s="542">
        <v>3093</v>
      </c>
      <c r="J176" s="542">
        <v>0</v>
      </c>
      <c r="K176" s="542">
        <v>3093</v>
      </c>
      <c r="L176" s="542">
        <v>-389501</v>
      </c>
      <c r="M176" s="542">
        <v>0</v>
      </c>
      <c r="N176" s="542">
        <v>-389501</v>
      </c>
      <c r="O176" s="543">
        <v>0.5</v>
      </c>
      <c r="P176" s="543">
        <v>0.49</v>
      </c>
      <c r="Q176" s="543">
        <v>0</v>
      </c>
      <c r="R176" s="543">
        <v>0.01</v>
      </c>
      <c r="S176" s="542">
        <v>177799</v>
      </c>
      <c r="T176" s="542">
        <v>177799</v>
      </c>
      <c r="U176" s="542">
        <v>0</v>
      </c>
      <c r="V176" s="542">
        <v>0</v>
      </c>
      <c r="W176" s="542">
        <v>0</v>
      </c>
      <c r="X176" s="542">
        <v>0</v>
      </c>
      <c r="Y176" s="542">
        <v>0</v>
      </c>
      <c r="Z176" s="542">
        <v>0</v>
      </c>
      <c r="AA176" s="542">
        <v>0</v>
      </c>
      <c r="AB176" s="542">
        <v>0</v>
      </c>
      <c r="AC176" s="542">
        <v>0</v>
      </c>
      <c r="AD176" s="542">
        <v>0</v>
      </c>
      <c r="AE176" s="542">
        <v>0</v>
      </c>
      <c r="AF176" s="542">
        <v>0</v>
      </c>
      <c r="AG176" s="542">
        <v>0</v>
      </c>
      <c r="AH176" s="542">
        <v>0</v>
      </c>
      <c r="AI176" s="542">
        <v>0</v>
      </c>
      <c r="AJ176" s="542">
        <v>0</v>
      </c>
      <c r="AK176" s="542">
        <v>0</v>
      </c>
      <c r="AL176" s="542">
        <v>0</v>
      </c>
      <c r="AM176" s="542">
        <v>0</v>
      </c>
      <c r="AN176" s="542">
        <v>0</v>
      </c>
      <c r="AO176" s="542">
        <v>0</v>
      </c>
      <c r="AP176" s="542">
        <v>0</v>
      </c>
      <c r="AQ176" s="542">
        <v>616223.79</v>
      </c>
      <c r="AR176" s="542">
        <v>0</v>
      </c>
      <c r="AS176" s="542">
        <v>12576</v>
      </c>
      <c r="AT176" s="542">
        <v>594242</v>
      </c>
      <c r="AU176" s="542">
        <v>0</v>
      </c>
      <c r="AV176" s="542">
        <v>12127</v>
      </c>
      <c r="AW176" s="542">
        <v>21982</v>
      </c>
      <c r="AX176" s="542">
        <v>0</v>
      </c>
      <c r="AY176" s="542">
        <v>449</v>
      </c>
      <c r="AZ176" s="542">
        <v>0</v>
      </c>
      <c r="BA176" s="542">
        <v>0</v>
      </c>
      <c r="BB176" s="542">
        <v>0</v>
      </c>
      <c r="BC176" s="542">
        <v>0</v>
      </c>
      <c r="BD176" s="542">
        <v>0</v>
      </c>
      <c r="BE176" s="542">
        <v>0</v>
      </c>
      <c r="BF176" s="542">
        <v>0</v>
      </c>
      <c r="BG176" s="542">
        <v>0</v>
      </c>
      <c r="BH176" s="542">
        <v>0</v>
      </c>
      <c r="BI176" s="542">
        <v>-636.83000000000004</v>
      </c>
      <c r="BJ176" s="542">
        <v>0</v>
      </c>
      <c r="BK176" s="542">
        <v>-13</v>
      </c>
      <c r="BL176" s="542">
        <v>8</v>
      </c>
      <c r="BM176" s="542">
        <v>0</v>
      </c>
      <c r="BN176" s="542">
        <v>0</v>
      </c>
      <c r="BO176" s="542">
        <v>-645</v>
      </c>
      <c r="BP176" s="542">
        <v>0</v>
      </c>
      <c r="BQ176" s="542">
        <v>-13</v>
      </c>
      <c r="BR176" s="542">
        <v>11610.99</v>
      </c>
      <c r="BS176" s="542">
        <v>0</v>
      </c>
      <c r="BT176" s="542">
        <v>236.96</v>
      </c>
      <c r="BU176" s="542">
        <v>45927.19</v>
      </c>
      <c r="BV176" s="542">
        <v>0</v>
      </c>
      <c r="BW176" s="542">
        <v>937.29</v>
      </c>
      <c r="BX176" s="542">
        <v>-34316</v>
      </c>
      <c r="BY176" s="542">
        <v>0</v>
      </c>
      <c r="BZ176" s="542">
        <v>-700</v>
      </c>
      <c r="CA176" s="542">
        <v>167548.03</v>
      </c>
      <c r="CB176" s="542">
        <v>0</v>
      </c>
      <c r="CC176" s="542">
        <v>3419.35</v>
      </c>
      <c r="CD176" s="542">
        <v>198080.68</v>
      </c>
      <c r="CE176" s="542">
        <v>0</v>
      </c>
      <c r="CF176" s="542">
        <v>4042.46</v>
      </c>
      <c r="CG176" s="542">
        <v>-30533</v>
      </c>
      <c r="CH176" s="542">
        <v>0</v>
      </c>
      <c r="CI176" s="542">
        <v>-623</v>
      </c>
      <c r="CJ176" s="542">
        <v>0</v>
      </c>
      <c r="CK176" s="542">
        <v>0</v>
      </c>
      <c r="CL176" s="542">
        <v>0</v>
      </c>
      <c r="CM176" s="542">
        <v>0</v>
      </c>
      <c r="CN176" s="542">
        <v>0</v>
      </c>
      <c r="CO176" s="542">
        <v>0</v>
      </c>
      <c r="CP176" s="542">
        <v>0</v>
      </c>
      <c r="CQ176" s="542">
        <v>0</v>
      </c>
      <c r="CR176" s="542">
        <v>0</v>
      </c>
      <c r="CS176" s="542">
        <v>0</v>
      </c>
      <c r="CT176" s="542">
        <v>0</v>
      </c>
      <c r="CU176" s="542">
        <v>0</v>
      </c>
      <c r="CV176" s="542">
        <v>204012</v>
      </c>
      <c r="CW176" s="542">
        <v>0</v>
      </c>
      <c r="CX176" s="542">
        <v>4163.51</v>
      </c>
      <c r="CY176" s="542">
        <v>203556</v>
      </c>
      <c r="CZ176" s="542">
        <v>0</v>
      </c>
      <c r="DA176" s="542">
        <v>4116</v>
      </c>
      <c r="DB176" s="542">
        <v>456</v>
      </c>
      <c r="DC176" s="542">
        <v>0</v>
      </c>
      <c r="DD176" s="542">
        <v>48</v>
      </c>
      <c r="DE176" s="153" t="s">
        <v>706</v>
      </c>
      <c r="DF176" s="103" t="s">
        <v>770</v>
      </c>
      <c r="DG176" s="104" t="s">
        <v>809</v>
      </c>
      <c r="DH176" s="549" t="s">
        <v>1192</v>
      </c>
      <c r="DI176" s="549"/>
    </row>
    <row r="177" spans="1:113" x14ac:dyDescent="0.2">
      <c r="A177" s="93">
        <v>171</v>
      </c>
      <c r="B177" s="145" t="s">
        <v>220</v>
      </c>
      <c r="C177" s="141" t="s">
        <v>770</v>
      </c>
      <c r="D177" s="142" t="s">
        <v>867</v>
      </c>
      <c r="E177" s="149" t="s">
        <v>707</v>
      </c>
      <c r="F177" s="542">
        <v>-1922297</v>
      </c>
      <c r="G177" s="542">
        <v>0</v>
      </c>
      <c r="H177" s="542">
        <v>-1922297</v>
      </c>
      <c r="I177" s="542">
        <v>-1041000</v>
      </c>
      <c r="J177" s="542">
        <v>0</v>
      </c>
      <c r="K177" s="542">
        <v>-1041000</v>
      </c>
      <c r="L177" s="542">
        <v>-881297</v>
      </c>
      <c r="M177" s="542">
        <v>0</v>
      </c>
      <c r="N177" s="542">
        <v>-881297</v>
      </c>
      <c r="O177" s="543">
        <v>0.5</v>
      </c>
      <c r="P177" s="543">
        <v>0.49</v>
      </c>
      <c r="Q177" s="543">
        <v>0</v>
      </c>
      <c r="R177" s="543">
        <v>0.01</v>
      </c>
      <c r="S177" s="542">
        <v>374347</v>
      </c>
      <c r="T177" s="542">
        <v>374347</v>
      </c>
      <c r="U177" s="542">
        <v>0</v>
      </c>
      <c r="V177" s="542">
        <v>0</v>
      </c>
      <c r="W177" s="542">
        <v>0</v>
      </c>
      <c r="X177" s="542">
        <v>0</v>
      </c>
      <c r="Y177" s="542">
        <v>0</v>
      </c>
      <c r="Z177" s="542">
        <v>0</v>
      </c>
      <c r="AA177" s="542">
        <v>0</v>
      </c>
      <c r="AB177" s="542">
        <v>0</v>
      </c>
      <c r="AC177" s="542">
        <v>0</v>
      </c>
      <c r="AD177" s="542">
        <v>0</v>
      </c>
      <c r="AE177" s="542">
        <v>0</v>
      </c>
      <c r="AF177" s="542">
        <v>0</v>
      </c>
      <c r="AG177" s="542">
        <v>0</v>
      </c>
      <c r="AH177" s="542">
        <v>0</v>
      </c>
      <c r="AI177" s="542">
        <v>0</v>
      </c>
      <c r="AJ177" s="542">
        <v>0</v>
      </c>
      <c r="AK177" s="542">
        <v>0</v>
      </c>
      <c r="AL177" s="542">
        <v>0</v>
      </c>
      <c r="AM177" s="542">
        <v>0</v>
      </c>
      <c r="AN177" s="542">
        <v>0</v>
      </c>
      <c r="AO177" s="542">
        <v>0</v>
      </c>
      <c r="AP177" s="542">
        <v>0</v>
      </c>
      <c r="AQ177" s="542">
        <v>847140.8</v>
      </c>
      <c r="AR177" s="542">
        <v>0</v>
      </c>
      <c r="AS177" s="542">
        <v>17288.59</v>
      </c>
      <c r="AT177" s="542">
        <v>757659</v>
      </c>
      <c r="AU177" s="542">
        <v>0</v>
      </c>
      <c r="AV177" s="542">
        <v>15462</v>
      </c>
      <c r="AW177" s="542">
        <v>89482</v>
      </c>
      <c r="AX177" s="542">
        <v>0</v>
      </c>
      <c r="AY177" s="542">
        <v>1827</v>
      </c>
      <c r="AZ177" s="542">
        <v>7442.39</v>
      </c>
      <c r="BA177" s="542">
        <v>0</v>
      </c>
      <c r="BB177" s="542">
        <v>151.88999999999999</v>
      </c>
      <c r="BC177" s="542">
        <v>74280</v>
      </c>
      <c r="BD177" s="542">
        <v>0</v>
      </c>
      <c r="BE177" s="542">
        <v>1516</v>
      </c>
      <c r="BF177" s="542">
        <v>-66838</v>
      </c>
      <c r="BG177" s="542">
        <v>0</v>
      </c>
      <c r="BH177" s="542">
        <v>-1364</v>
      </c>
      <c r="BI177" s="542">
        <v>0</v>
      </c>
      <c r="BJ177" s="542">
        <v>0</v>
      </c>
      <c r="BK177" s="542">
        <v>0</v>
      </c>
      <c r="BL177" s="542">
        <v>49520</v>
      </c>
      <c r="BM177" s="542">
        <v>0</v>
      </c>
      <c r="BN177" s="542">
        <v>1011</v>
      </c>
      <c r="BO177" s="542">
        <v>-49520</v>
      </c>
      <c r="BP177" s="542">
        <v>0</v>
      </c>
      <c r="BQ177" s="542">
        <v>-1011</v>
      </c>
      <c r="BR177" s="542">
        <v>5374.42</v>
      </c>
      <c r="BS177" s="542">
        <v>0</v>
      </c>
      <c r="BT177" s="542">
        <v>109.68</v>
      </c>
      <c r="BU177" s="542">
        <v>247601</v>
      </c>
      <c r="BV177" s="542">
        <v>0</v>
      </c>
      <c r="BW177" s="542">
        <v>5053</v>
      </c>
      <c r="BX177" s="542">
        <v>-242227</v>
      </c>
      <c r="BY177" s="542">
        <v>0</v>
      </c>
      <c r="BZ177" s="542">
        <v>-4943</v>
      </c>
      <c r="CA177" s="542">
        <v>351703.64</v>
      </c>
      <c r="CB177" s="542">
        <v>0</v>
      </c>
      <c r="CC177" s="542">
        <v>7177.63</v>
      </c>
      <c r="CD177" s="542">
        <v>834415</v>
      </c>
      <c r="CE177" s="542">
        <v>0</v>
      </c>
      <c r="CF177" s="542">
        <v>17029</v>
      </c>
      <c r="CG177" s="542">
        <v>-482711</v>
      </c>
      <c r="CH177" s="542">
        <v>0</v>
      </c>
      <c r="CI177" s="542">
        <v>-9851</v>
      </c>
      <c r="CJ177" s="542">
        <v>0</v>
      </c>
      <c r="CK177" s="542">
        <v>0</v>
      </c>
      <c r="CL177" s="542">
        <v>0</v>
      </c>
      <c r="CM177" s="542">
        <v>0</v>
      </c>
      <c r="CN177" s="542">
        <v>0</v>
      </c>
      <c r="CO177" s="542">
        <v>0</v>
      </c>
      <c r="CP177" s="542">
        <v>0</v>
      </c>
      <c r="CQ177" s="542">
        <v>0</v>
      </c>
      <c r="CR177" s="542">
        <v>0</v>
      </c>
      <c r="CS177" s="542">
        <v>0</v>
      </c>
      <c r="CT177" s="542">
        <v>0</v>
      </c>
      <c r="CU177" s="542">
        <v>0</v>
      </c>
      <c r="CV177" s="542">
        <v>746333.09</v>
      </c>
      <c r="CW177" s="542">
        <v>0</v>
      </c>
      <c r="CX177" s="542">
        <v>15231.29</v>
      </c>
      <c r="CY177" s="542">
        <v>738321</v>
      </c>
      <c r="CZ177" s="542">
        <v>0</v>
      </c>
      <c r="DA177" s="542">
        <v>14987</v>
      </c>
      <c r="DB177" s="542">
        <v>8012</v>
      </c>
      <c r="DC177" s="542">
        <v>0</v>
      </c>
      <c r="DD177" s="542">
        <v>244</v>
      </c>
      <c r="DE177" s="153" t="s">
        <v>707</v>
      </c>
      <c r="DF177" s="103" t="s">
        <v>770</v>
      </c>
      <c r="DG177" s="104" t="s">
        <v>760</v>
      </c>
      <c r="DH177" s="547"/>
      <c r="DI177" s="547"/>
    </row>
    <row r="178" spans="1:113" x14ac:dyDescent="0.2">
      <c r="A178" s="93">
        <v>172</v>
      </c>
      <c r="B178" s="145" t="s">
        <v>222</v>
      </c>
      <c r="C178" s="141" t="s">
        <v>866</v>
      </c>
      <c r="D178" s="142" t="s">
        <v>867</v>
      </c>
      <c r="E178" s="149" t="s">
        <v>221</v>
      </c>
      <c r="F178" s="542">
        <v>-60807</v>
      </c>
      <c r="G178" s="542">
        <v>0</v>
      </c>
      <c r="H178" s="542">
        <v>-60807</v>
      </c>
      <c r="I178" s="542">
        <v>10513</v>
      </c>
      <c r="J178" s="542">
        <v>0</v>
      </c>
      <c r="K178" s="542">
        <v>10513</v>
      </c>
      <c r="L178" s="542">
        <v>-71320</v>
      </c>
      <c r="M178" s="542">
        <v>0</v>
      </c>
      <c r="N178" s="542">
        <v>-71320</v>
      </c>
      <c r="O178" s="543">
        <v>0.5</v>
      </c>
      <c r="P178" s="543">
        <v>0.4</v>
      </c>
      <c r="Q178" s="543">
        <v>0.1</v>
      </c>
      <c r="R178" s="543">
        <v>0</v>
      </c>
      <c r="S178" s="542">
        <v>151470</v>
      </c>
      <c r="T178" s="542">
        <v>151470</v>
      </c>
      <c r="U178" s="542">
        <v>0</v>
      </c>
      <c r="V178" s="542">
        <v>0</v>
      </c>
      <c r="W178" s="542">
        <v>0</v>
      </c>
      <c r="X178" s="542">
        <v>0</v>
      </c>
      <c r="Y178" s="542">
        <v>0</v>
      </c>
      <c r="Z178" s="542">
        <v>0</v>
      </c>
      <c r="AA178" s="542">
        <v>0</v>
      </c>
      <c r="AB178" s="542">
        <v>0</v>
      </c>
      <c r="AC178" s="542">
        <v>0</v>
      </c>
      <c r="AD178" s="542">
        <v>0</v>
      </c>
      <c r="AE178" s="542">
        <v>0</v>
      </c>
      <c r="AF178" s="542">
        <v>0</v>
      </c>
      <c r="AG178" s="542">
        <v>0</v>
      </c>
      <c r="AH178" s="542">
        <v>0</v>
      </c>
      <c r="AI178" s="542">
        <v>0</v>
      </c>
      <c r="AJ178" s="542">
        <v>0</v>
      </c>
      <c r="AK178" s="542">
        <v>0</v>
      </c>
      <c r="AL178" s="542">
        <v>0</v>
      </c>
      <c r="AM178" s="542">
        <v>0</v>
      </c>
      <c r="AN178" s="542">
        <v>0</v>
      </c>
      <c r="AO178" s="542">
        <v>0</v>
      </c>
      <c r="AP178" s="542">
        <v>0</v>
      </c>
      <c r="AQ178" s="542">
        <v>378848.29800000001</v>
      </c>
      <c r="AR178" s="542">
        <v>94712.074699999997</v>
      </c>
      <c r="AS178" s="542">
        <v>0</v>
      </c>
      <c r="AT178" s="542">
        <v>341038</v>
      </c>
      <c r="AU178" s="542">
        <v>85259</v>
      </c>
      <c r="AV178" s="542">
        <v>0</v>
      </c>
      <c r="AW178" s="542">
        <v>37810</v>
      </c>
      <c r="AX178" s="542">
        <v>9453</v>
      </c>
      <c r="AY178" s="542">
        <v>0</v>
      </c>
      <c r="AZ178" s="542">
        <v>2596.8781300000001</v>
      </c>
      <c r="BA178" s="542">
        <v>649.21953199999996</v>
      </c>
      <c r="BB178" s="542">
        <v>0</v>
      </c>
      <c r="BC178" s="542">
        <v>0</v>
      </c>
      <c r="BD178" s="542">
        <v>0</v>
      </c>
      <c r="BE178" s="542">
        <v>0</v>
      </c>
      <c r="BF178" s="542">
        <v>2597</v>
      </c>
      <c r="BG178" s="542">
        <v>649</v>
      </c>
      <c r="BH178" s="542">
        <v>0</v>
      </c>
      <c r="BI178" s="542">
        <v>0</v>
      </c>
      <c r="BJ178" s="542">
        <v>0</v>
      </c>
      <c r="BK178" s="542">
        <v>0</v>
      </c>
      <c r="BL178" s="542">
        <v>121274</v>
      </c>
      <c r="BM178" s="542">
        <v>30318</v>
      </c>
      <c r="BN178" s="542">
        <v>0</v>
      </c>
      <c r="BO178" s="542">
        <v>-121274</v>
      </c>
      <c r="BP178" s="542">
        <v>-30318</v>
      </c>
      <c r="BQ178" s="542">
        <v>0</v>
      </c>
      <c r="BR178" s="542">
        <v>1838.1078500000001</v>
      </c>
      <c r="BS178" s="542">
        <v>459.52696300000002</v>
      </c>
      <c r="BT178" s="542">
        <v>0</v>
      </c>
      <c r="BU178" s="542">
        <v>16169.8513</v>
      </c>
      <c r="BV178" s="542">
        <v>4042.4628400000001</v>
      </c>
      <c r="BW178" s="542">
        <v>0</v>
      </c>
      <c r="BX178" s="542">
        <v>-14332</v>
      </c>
      <c r="BY178" s="542">
        <v>-3583</v>
      </c>
      <c r="BZ178" s="542">
        <v>0</v>
      </c>
      <c r="CA178" s="542">
        <v>126111.5</v>
      </c>
      <c r="CB178" s="542">
        <v>31527.875100000001</v>
      </c>
      <c r="CC178" s="542">
        <v>0</v>
      </c>
      <c r="CD178" s="542">
        <v>199293.41800000001</v>
      </c>
      <c r="CE178" s="542">
        <v>49823.354500000001</v>
      </c>
      <c r="CF178" s="542">
        <v>0</v>
      </c>
      <c r="CG178" s="542">
        <v>-73182</v>
      </c>
      <c r="CH178" s="542">
        <v>-18295</v>
      </c>
      <c r="CI178" s="542">
        <v>0</v>
      </c>
      <c r="CJ178" s="542">
        <v>0</v>
      </c>
      <c r="CK178" s="542">
        <v>0</v>
      </c>
      <c r="CL178" s="542">
        <v>0</v>
      </c>
      <c r="CM178" s="542">
        <v>55326.763400000003</v>
      </c>
      <c r="CN178" s="542">
        <v>13831.6908</v>
      </c>
      <c r="CO178" s="542">
        <v>0</v>
      </c>
      <c r="CP178" s="542">
        <v>8819</v>
      </c>
      <c r="CQ178" s="542">
        <v>2204.768</v>
      </c>
      <c r="CR178" s="542">
        <v>0</v>
      </c>
      <c r="CS178" s="542">
        <v>46508</v>
      </c>
      <c r="CT178" s="542">
        <v>11627</v>
      </c>
      <c r="CU178" s="542">
        <v>0</v>
      </c>
      <c r="CV178" s="542">
        <v>144865.18400000001</v>
      </c>
      <c r="CW178" s="542">
        <v>36216.2961</v>
      </c>
      <c r="CX178" s="542">
        <v>0</v>
      </c>
      <c r="CY178" s="542">
        <v>152633</v>
      </c>
      <c r="CZ178" s="542">
        <v>37756</v>
      </c>
      <c r="DA178" s="542">
        <v>0</v>
      </c>
      <c r="DB178" s="542">
        <v>-7768</v>
      </c>
      <c r="DC178" s="542">
        <v>-1540</v>
      </c>
      <c r="DD178" s="542">
        <v>0</v>
      </c>
      <c r="DE178" s="153" t="s">
        <v>221</v>
      </c>
      <c r="DF178" s="103" t="s">
        <v>807</v>
      </c>
      <c r="DG178" s="104" t="s">
        <v>751</v>
      </c>
      <c r="DH178" s="547"/>
      <c r="DI178" s="547"/>
    </row>
    <row r="179" spans="1:113" x14ac:dyDescent="0.2">
      <c r="A179" s="93">
        <v>173</v>
      </c>
      <c r="B179" s="145" t="s">
        <v>224</v>
      </c>
      <c r="C179" s="141" t="s">
        <v>866</v>
      </c>
      <c r="D179" s="142" t="s">
        <v>867</v>
      </c>
      <c r="E179" s="149" t="s">
        <v>223</v>
      </c>
      <c r="F179" s="542">
        <v>305819</v>
      </c>
      <c r="G179" s="542">
        <v>0</v>
      </c>
      <c r="H179" s="542">
        <v>305819</v>
      </c>
      <c r="I179" s="542">
        <v>274700</v>
      </c>
      <c r="J179" s="542">
        <v>0</v>
      </c>
      <c r="K179" s="542">
        <v>274700</v>
      </c>
      <c r="L179" s="542">
        <v>31119</v>
      </c>
      <c r="M179" s="542">
        <v>0</v>
      </c>
      <c r="N179" s="542">
        <v>31119</v>
      </c>
      <c r="O179" s="543">
        <v>0.5</v>
      </c>
      <c r="P179" s="543">
        <v>0.4</v>
      </c>
      <c r="Q179" s="543">
        <v>0.09</v>
      </c>
      <c r="R179" s="543">
        <v>0.01</v>
      </c>
      <c r="S179" s="542">
        <v>285799</v>
      </c>
      <c r="T179" s="542">
        <v>285799</v>
      </c>
      <c r="U179" s="542">
        <v>0</v>
      </c>
      <c r="V179" s="542">
        <v>0</v>
      </c>
      <c r="W179" s="542">
        <v>0</v>
      </c>
      <c r="X179" s="542">
        <v>0</v>
      </c>
      <c r="Y179" s="542">
        <v>19336</v>
      </c>
      <c r="Z179" s="542">
        <v>0</v>
      </c>
      <c r="AA179" s="542">
        <v>10000</v>
      </c>
      <c r="AB179" s="542">
        <v>0</v>
      </c>
      <c r="AC179" s="542">
        <v>9336</v>
      </c>
      <c r="AD179" s="542">
        <v>0</v>
      </c>
      <c r="AE179" s="542">
        <v>0</v>
      </c>
      <c r="AF179" s="542">
        <v>0</v>
      </c>
      <c r="AG179" s="542">
        <v>0</v>
      </c>
      <c r="AH179" s="542">
        <v>0</v>
      </c>
      <c r="AI179" s="542">
        <v>0</v>
      </c>
      <c r="AJ179" s="542">
        <v>0</v>
      </c>
      <c r="AK179" s="542">
        <v>0</v>
      </c>
      <c r="AL179" s="542">
        <v>0</v>
      </c>
      <c r="AM179" s="542">
        <v>0</v>
      </c>
      <c r="AN179" s="542">
        <v>0</v>
      </c>
      <c r="AO179" s="542">
        <v>0</v>
      </c>
      <c r="AP179" s="542">
        <v>0</v>
      </c>
      <c r="AQ179" s="542">
        <v>868190.57</v>
      </c>
      <c r="AR179" s="542">
        <v>195342.878</v>
      </c>
      <c r="AS179" s="542">
        <v>21704.764200000001</v>
      </c>
      <c r="AT179" s="542">
        <v>816025</v>
      </c>
      <c r="AU179" s="542">
        <v>183606</v>
      </c>
      <c r="AV179" s="542">
        <v>20401</v>
      </c>
      <c r="AW179" s="542">
        <v>52166</v>
      </c>
      <c r="AX179" s="542">
        <v>11737</v>
      </c>
      <c r="AY179" s="542">
        <v>1304</v>
      </c>
      <c r="AZ179" s="542">
        <v>292.02347300000002</v>
      </c>
      <c r="BA179" s="542">
        <v>65.705281499999998</v>
      </c>
      <c r="BB179" s="542">
        <v>7.3005868300000003</v>
      </c>
      <c r="BC179" s="542">
        <v>12127</v>
      </c>
      <c r="BD179" s="542">
        <v>2729</v>
      </c>
      <c r="BE179" s="542">
        <v>303</v>
      </c>
      <c r="BF179" s="542">
        <v>-11835</v>
      </c>
      <c r="BG179" s="542">
        <v>-2663</v>
      </c>
      <c r="BH179" s="542">
        <v>-296</v>
      </c>
      <c r="BI179" s="542">
        <v>0</v>
      </c>
      <c r="BJ179" s="542">
        <v>0</v>
      </c>
      <c r="BK179" s="542">
        <v>0</v>
      </c>
      <c r="BL179" s="542">
        <v>40424</v>
      </c>
      <c r="BM179" s="542">
        <v>9096</v>
      </c>
      <c r="BN179" s="542">
        <v>1011</v>
      </c>
      <c r="BO179" s="542">
        <v>-40424</v>
      </c>
      <c r="BP179" s="542">
        <v>-9096</v>
      </c>
      <c r="BQ179" s="542">
        <v>-1011</v>
      </c>
      <c r="BR179" s="542">
        <v>12939.923500000001</v>
      </c>
      <c r="BS179" s="542">
        <v>2911.4828000000002</v>
      </c>
      <c r="BT179" s="542">
        <v>323.49808899999999</v>
      </c>
      <c r="BU179" s="542">
        <v>39620</v>
      </c>
      <c r="BV179" s="542">
        <v>8914</v>
      </c>
      <c r="BW179" s="542">
        <v>990</v>
      </c>
      <c r="BX179" s="542">
        <v>-26680</v>
      </c>
      <c r="BY179" s="542">
        <v>-6003</v>
      </c>
      <c r="BZ179" s="542">
        <v>-667</v>
      </c>
      <c r="CA179" s="542">
        <v>329187.451</v>
      </c>
      <c r="CB179" s="542">
        <v>74067.176500000001</v>
      </c>
      <c r="CC179" s="542">
        <v>8229.6862799999999</v>
      </c>
      <c r="CD179" s="542">
        <v>470068</v>
      </c>
      <c r="CE179" s="542">
        <v>105765</v>
      </c>
      <c r="CF179" s="542">
        <v>11752</v>
      </c>
      <c r="CG179" s="542">
        <v>-140881</v>
      </c>
      <c r="CH179" s="542">
        <v>-31698</v>
      </c>
      <c r="CI179" s="542">
        <v>-3522</v>
      </c>
      <c r="CJ179" s="542">
        <v>5880.4</v>
      </c>
      <c r="CK179" s="542">
        <v>1323.09</v>
      </c>
      <c r="CL179" s="542">
        <v>147.01</v>
      </c>
      <c r="CM179" s="542">
        <v>12490.805899999999</v>
      </c>
      <c r="CN179" s="542">
        <v>2810.4313299999999</v>
      </c>
      <c r="CO179" s="542">
        <v>312.27014800000001</v>
      </c>
      <c r="CP179" s="542">
        <v>10870</v>
      </c>
      <c r="CQ179" s="542">
        <v>2445.8229000000001</v>
      </c>
      <c r="CR179" s="542">
        <v>271.75810000000001</v>
      </c>
      <c r="CS179" s="542">
        <v>7501</v>
      </c>
      <c r="CT179" s="542">
        <v>1688</v>
      </c>
      <c r="CU179" s="542">
        <v>188</v>
      </c>
      <c r="CV179" s="542">
        <v>262171.97399999999</v>
      </c>
      <c r="CW179" s="542">
        <v>58942.5095</v>
      </c>
      <c r="CX179" s="542">
        <v>6549.1677200000004</v>
      </c>
      <c r="CY179" s="542">
        <v>263754</v>
      </c>
      <c r="CZ179" s="542">
        <v>58638</v>
      </c>
      <c r="DA179" s="542">
        <v>6515</v>
      </c>
      <c r="DB179" s="542">
        <v>-1582</v>
      </c>
      <c r="DC179" s="542">
        <v>305</v>
      </c>
      <c r="DD179" s="542">
        <v>34</v>
      </c>
      <c r="DE179" s="153" t="s">
        <v>223</v>
      </c>
      <c r="DF179" s="103" t="s">
        <v>767</v>
      </c>
      <c r="DG179" s="104" t="s">
        <v>768</v>
      </c>
      <c r="DH179" s="547"/>
      <c r="DI179" s="547"/>
    </row>
    <row r="180" spans="1:113" x14ac:dyDescent="0.2">
      <c r="A180" s="93">
        <v>174</v>
      </c>
      <c r="B180" s="145" t="s">
        <v>226</v>
      </c>
      <c r="C180" s="141" t="s">
        <v>866</v>
      </c>
      <c r="D180" s="142" t="s">
        <v>869</v>
      </c>
      <c r="E180" s="149" t="s">
        <v>708</v>
      </c>
      <c r="F180" s="542">
        <v>-385665</v>
      </c>
      <c r="G180" s="542">
        <v>0</v>
      </c>
      <c r="H180" s="542">
        <v>-385665</v>
      </c>
      <c r="I180" s="542">
        <v>4319</v>
      </c>
      <c r="J180" s="542">
        <v>0</v>
      </c>
      <c r="K180" s="542">
        <v>4319</v>
      </c>
      <c r="L180" s="542">
        <v>-389984</v>
      </c>
      <c r="M180" s="542">
        <v>0</v>
      </c>
      <c r="N180" s="542">
        <v>-389984</v>
      </c>
      <c r="O180" s="543">
        <v>0.5</v>
      </c>
      <c r="P180" s="543">
        <v>0.4</v>
      </c>
      <c r="Q180" s="543">
        <v>0.09</v>
      </c>
      <c r="R180" s="543">
        <v>0.01</v>
      </c>
      <c r="S180" s="542">
        <v>164612</v>
      </c>
      <c r="T180" s="542">
        <v>164612</v>
      </c>
      <c r="U180" s="542">
        <v>0</v>
      </c>
      <c r="V180" s="542">
        <v>0</v>
      </c>
      <c r="W180" s="542">
        <v>0</v>
      </c>
      <c r="X180" s="542">
        <v>0</v>
      </c>
      <c r="Y180" s="542">
        <v>0</v>
      </c>
      <c r="Z180" s="542">
        <v>0</v>
      </c>
      <c r="AA180" s="542">
        <v>0</v>
      </c>
      <c r="AB180" s="542">
        <v>0</v>
      </c>
      <c r="AC180" s="542">
        <v>0</v>
      </c>
      <c r="AD180" s="542">
        <v>0</v>
      </c>
      <c r="AE180" s="542">
        <v>0</v>
      </c>
      <c r="AF180" s="542">
        <v>0</v>
      </c>
      <c r="AG180" s="542">
        <v>0</v>
      </c>
      <c r="AH180" s="542">
        <v>0</v>
      </c>
      <c r="AI180" s="542">
        <v>0</v>
      </c>
      <c r="AJ180" s="542">
        <v>0</v>
      </c>
      <c r="AK180" s="542">
        <v>0</v>
      </c>
      <c r="AL180" s="542">
        <v>0</v>
      </c>
      <c r="AM180" s="542">
        <v>0</v>
      </c>
      <c r="AN180" s="542">
        <v>0</v>
      </c>
      <c r="AO180" s="542">
        <v>0</v>
      </c>
      <c r="AP180" s="542">
        <v>0</v>
      </c>
      <c r="AQ180" s="542">
        <v>521827.58199999999</v>
      </c>
      <c r="AR180" s="542">
        <v>117411.20600000001</v>
      </c>
      <c r="AS180" s="542">
        <v>13045.6895</v>
      </c>
      <c r="AT180" s="542">
        <v>461412</v>
      </c>
      <c r="AU180" s="542">
        <v>103818</v>
      </c>
      <c r="AV180" s="542">
        <v>11535</v>
      </c>
      <c r="AW180" s="542">
        <v>60416</v>
      </c>
      <c r="AX180" s="542">
        <v>13593</v>
      </c>
      <c r="AY180" s="542">
        <v>1511</v>
      </c>
      <c r="AZ180" s="542">
        <v>0</v>
      </c>
      <c r="BA180" s="542">
        <v>0</v>
      </c>
      <c r="BB180" s="542">
        <v>0</v>
      </c>
      <c r="BC180" s="542">
        <v>0</v>
      </c>
      <c r="BD180" s="542">
        <v>0</v>
      </c>
      <c r="BE180" s="542">
        <v>0</v>
      </c>
      <c r="BF180" s="542">
        <v>0</v>
      </c>
      <c r="BG180" s="542">
        <v>0</v>
      </c>
      <c r="BH180" s="542">
        <v>0</v>
      </c>
      <c r="BI180" s="542">
        <v>0</v>
      </c>
      <c r="BJ180" s="542">
        <v>0</v>
      </c>
      <c r="BK180" s="542">
        <v>0</v>
      </c>
      <c r="BL180" s="542">
        <v>0</v>
      </c>
      <c r="BM180" s="542">
        <v>0</v>
      </c>
      <c r="BN180" s="542">
        <v>0</v>
      </c>
      <c r="BO180" s="542">
        <v>0</v>
      </c>
      <c r="BP180" s="542">
        <v>0</v>
      </c>
      <c r="BQ180" s="542">
        <v>0</v>
      </c>
      <c r="BR180" s="542">
        <v>0</v>
      </c>
      <c r="BS180" s="542">
        <v>0</v>
      </c>
      <c r="BT180" s="542">
        <v>0</v>
      </c>
      <c r="BU180" s="542">
        <v>24254.776999999998</v>
      </c>
      <c r="BV180" s="542">
        <v>5457.3248400000002</v>
      </c>
      <c r="BW180" s="542">
        <v>606.36942599999998</v>
      </c>
      <c r="BX180" s="542">
        <v>-24255</v>
      </c>
      <c r="BY180" s="542">
        <v>-5457</v>
      </c>
      <c r="BZ180" s="542">
        <v>-606</v>
      </c>
      <c r="CA180" s="542">
        <v>108377.62</v>
      </c>
      <c r="CB180" s="542">
        <v>24384.964499999998</v>
      </c>
      <c r="CC180" s="542">
        <v>2709.4405099999999</v>
      </c>
      <c r="CD180" s="542">
        <v>202123.14199999999</v>
      </c>
      <c r="CE180" s="542">
        <v>45477.707000000002</v>
      </c>
      <c r="CF180" s="542">
        <v>5053.0785500000002</v>
      </c>
      <c r="CG180" s="542">
        <v>-93746</v>
      </c>
      <c r="CH180" s="542">
        <v>-21093</v>
      </c>
      <c r="CI180" s="542">
        <v>-2344</v>
      </c>
      <c r="CJ180" s="542">
        <v>0</v>
      </c>
      <c r="CK180" s="542">
        <v>0</v>
      </c>
      <c r="CL180" s="542">
        <v>0</v>
      </c>
      <c r="CM180" s="542">
        <v>0</v>
      </c>
      <c r="CN180" s="542">
        <v>0</v>
      </c>
      <c r="CO180" s="542">
        <v>0</v>
      </c>
      <c r="CP180" s="542">
        <v>0</v>
      </c>
      <c r="CQ180" s="542">
        <v>0</v>
      </c>
      <c r="CR180" s="542">
        <v>0</v>
      </c>
      <c r="CS180" s="542">
        <v>0</v>
      </c>
      <c r="CT180" s="542">
        <v>0</v>
      </c>
      <c r="CU180" s="542">
        <v>0</v>
      </c>
      <c r="CV180" s="542">
        <v>157320.98499999999</v>
      </c>
      <c r="CW180" s="542">
        <v>35397.221599999997</v>
      </c>
      <c r="CX180" s="542">
        <v>3933.0246200000001</v>
      </c>
      <c r="CY180" s="542">
        <v>164678</v>
      </c>
      <c r="CZ180" s="542">
        <v>36659</v>
      </c>
      <c r="DA180" s="542">
        <v>4073</v>
      </c>
      <c r="DB180" s="542">
        <v>-7357</v>
      </c>
      <c r="DC180" s="542">
        <v>-1262</v>
      </c>
      <c r="DD180" s="542">
        <v>-140</v>
      </c>
      <c r="DE180" s="153" t="s">
        <v>708</v>
      </c>
      <c r="DF180" s="103" t="s">
        <v>755</v>
      </c>
      <c r="DG180" s="104" t="s">
        <v>756</v>
      </c>
      <c r="DH180" s="547"/>
      <c r="DI180" s="547"/>
    </row>
    <row r="181" spans="1:113" x14ac:dyDescent="0.2">
      <c r="A181" s="93">
        <v>175</v>
      </c>
      <c r="B181" s="145" t="s">
        <v>228</v>
      </c>
      <c r="C181" s="141" t="s">
        <v>873</v>
      </c>
      <c r="D181" s="142" t="s">
        <v>878</v>
      </c>
      <c r="E181" s="149" t="s">
        <v>886</v>
      </c>
      <c r="F181" s="542">
        <v>-910361</v>
      </c>
      <c r="G181" s="542">
        <v>3721</v>
      </c>
      <c r="H181" s="542">
        <v>-906640</v>
      </c>
      <c r="I181" s="542">
        <v>109438</v>
      </c>
      <c r="J181" s="542">
        <v>-82</v>
      </c>
      <c r="K181" s="542">
        <v>109356</v>
      </c>
      <c r="L181" s="542">
        <v>-1019799</v>
      </c>
      <c r="M181" s="542">
        <v>3803</v>
      </c>
      <c r="N181" s="542">
        <v>-1015996</v>
      </c>
      <c r="O181" s="543">
        <v>0.5</v>
      </c>
      <c r="P181" s="543">
        <v>0.49</v>
      </c>
      <c r="Q181" s="543">
        <v>0</v>
      </c>
      <c r="R181" s="543">
        <v>0.01</v>
      </c>
      <c r="S181" s="542">
        <v>464180</v>
      </c>
      <c r="T181" s="542">
        <v>464180</v>
      </c>
      <c r="U181" s="542">
        <v>0</v>
      </c>
      <c r="V181" s="542">
        <v>650878</v>
      </c>
      <c r="W181" s="542">
        <v>1429402</v>
      </c>
      <c r="X181" s="542">
        <v>-778524</v>
      </c>
      <c r="Y181" s="542">
        <v>0</v>
      </c>
      <c r="Z181" s="542">
        <v>0</v>
      </c>
      <c r="AA181" s="542">
        <v>0</v>
      </c>
      <c r="AB181" s="542">
        <v>0</v>
      </c>
      <c r="AC181" s="542">
        <v>0</v>
      </c>
      <c r="AD181" s="542">
        <v>0</v>
      </c>
      <c r="AE181" s="542">
        <v>0</v>
      </c>
      <c r="AF181" s="542">
        <v>0</v>
      </c>
      <c r="AG181" s="542">
        <v>0</v>
      </c>
      <c r="AH181" s="542">
        <v>0</v>
      </c>
      <c r="AI181" s="542">
        <v>0</v>
      </c>
      <c r="AJ181" s="542">
        <v>0</v>
      </c>
      <c r="AK181" s="542">
        <v>0</v>
      </c>
      <c r="AL181" s="542">
        <v>0</v>
      </c>
      <c r="AM181" s="542">
        <v>0</v>
      </c>
      <c r="AN181" s="542">
        <v>0</v>
      </c>
      <c r="AO181" s="542">
        <v>0</v>
      </c>
      <c r="AP181" s="542">
        <v>0</v>
      </c>
      <c r="AQ181" s="542">
        <v>1223935.07</v>
      </c>
      <c r="AR181" s="542">
        <v>0</v>
      </c>
      <c r="AS181" s="542">
        <v>24774.89</v>
      </c>
      <c r="AT181" s="542">
        <v>1095757</v>
      </c>
      <c r="AU181" s="542">
        <v>0</v>
      </c>
      <c r="AV181" s="542">
        <v>22362</v>
      </c>
      <c r="AW181" s="542">
        <v>128178</v>
      </c>
      <c r="AX181" s="542">
        <v>0</v>
      </c>
      <c r="AY181" s="542">
        <v>2413</v>
      </c>
      <c r="AZ181" s="542">
        <v>0</v>
      </c>
      <c r="BA181" s="542">
        <v>0</v>
      </c>
      <c r="BB181" s="542">
        <v>0</v>
      </c>
      <c r="BC181" s="542">
        <v>49520</v>
      </c>
      <c r="BD181" s="542">
        <v>0</v>
      </c>
      <c r="BE181" s="542">
        <v>1011</v>
      </c>
      <c r="BF181" s="542">
        <v>-49520</v>
      </c>
      <c r="BG181" s="542">
        <v>0</v>
      </c>
      <c r="BH181" s="542">
        <v>-1011</v>
      </c>
      <c r="BI181" s="542">
        <v>0</v>
      </c>
      <c r="BJ181" s="542">
        <v>0</v>
      </c>
      <c r="BK181" s="542">
        <v>0</v>
      </c>
      <c r="BL181" s="542">
        <v>338172</v>
      </c>
      <c r="BM181" s="542">
        <v>0</v>
      </c>
      <c r="BN181" s="542">
        <v>6901</v>
      </c>
      <c r="BO181" s="542">
        <v>-338172</v>
      </c>
      <c r="BP181" s="542">
        <v>0</v>
      </c>
      <c r="BQ181" s="542">
        <v>-6901</v>
      </c>
      <c r="BR181" s="542">
        <v>0</v>
      </c>
      <c r="BS181" s="542">
        <v>0</v>
      </c>
      <c r="BT181" s="542">
        <v>0</v>
      </c>
      <c r="BU181" s="542">
        <v>328286.03999999998</v>
      </c>
      <c r="BV181" s="542">
        <v>0</v>
      </c>
      <c r="BW181" s="542">
        <v>6699.72</v>
      </c>
      <c r="BX181" s="542">
        <v>-328286</v>
      </c>
      <c r="BY181" s="542">
        <v>0</v>
      </c>
      <c r="BZ181" s="542">
        <v>-6700</v>
      </c>
      <c r="CA181" s="542">
        <v>329167.23</v>
      </c>
      <c r="CB181" s="542">
        <v>0</v>
      </c>
      <c r="CC181" s="542">
        <v>6514.34</v>
      </c>
      <c r="CD181" s="542">
        <v>600178.02</v>
      </c>
      <c r="CE181" s="542">
        <v>0</v>
      </c>
      <c r="CF181" s="542">
        <v>12248.53</v>
      </c>
      <c r="CG181" s="542">
        <v>-271011</v>
      </c>
      <c r="CH181" s="542">
        <v>0</v>
      </c>
      <c r="CI181" s="542">
        <v>-5734</v>
      </c>
      <c r="CJ181" s="542">
        <v>0</v>
      </c>
      <c r="CK181" s="542">
        <v>0</v>
      </c>
      <c r="CL181" s="542">
        <v>0</v>
      </c>
      <c r="CM181" s="542">
        <v>0</v>
      </c>
      <c r="CN181" s="542">
        <v>0</v>
      </c>
      <c r="CO181" s="542">
        <v>0</v>
      </c>
      <c r="CP181" s="542">
        <v>0</v>
      </c>
      <c r="CQ181" s="542">
        <v>0</v>
      </c>
      <c r="CR181" s="542">
        <v>0</v>
      </c>
      <c r="CS181" s="542">
        <v>0</v>
      </c>
      <c r="CT181" s="542">
        <v>0</v>
      </c>
      <c r="CU181" s="542">
        <v>0</v>
      </c>
      <c r="CV181" s="542">
        <v>751745.51</v>
      </c>
      <c r="CW181" s="542">
        <v>0</v>
      </c>
      <c r="CX181" s="542">
        <v>15200.73</v>
      </c>
      <c r="CY181" s="542">
        <v>794904</v>
      </c>
      <c r="CZ181" s="542">
        <v>0</v>
      </c>
      <c r="DA181" s="542">
        <v>15812</v>
      </c>
      <c r="DB181" s="542">
        <v>-43158</v>
      </c>
      <c r="DC181" s="542">
        <v>0</v>
      </c>
      <c r="DD181" s="542">
        <v>-611</v>
      </c>
      <c r="DE181" s="153" t="s">
        <v>886</v>
      </c>
      <c r="DF181" s="103" t="s">
        <v>763</v>
      </c>
      <c r="DG181" s="104" t="s">
        <v>808</v>
      </c>
      <c r="DH181" s="547"/>
      <c r="DI181" s="547"/>
    </row>
    <row r="182" spans="1:113" x14ac:dyDescent="0.2">
      <c r="A182" s="93">
        <v>176</v>
      </c>
      <c r="B182" s="145" t="s">
        <v>230</v>
      </c>
      <c r="C182" s="141" t="s">
        <v>866</v>
      </c>
      <c r="D182" s="142" t="s">
        <v>876</v>
      </c>
      <c r="E182" s="149" t="s">
        <v>229</v>
      </c>
      <c r="F182" s="542">
        <v>-131247</v>
      </c>
      <c r="G182" s="542">
        <v>0</v>
      </c>
      <c r="H182" s="542">
        <v>-131247</v>
      </c>
      <c r="I182" s="542">
        <v>20057</v>
      </c>
      <c r="J182" s="542">
        <v>0</v>
      </c>
      <c r="K182" s="542">
        <v>20057</v>
      </c>
      <c r="L182" s="542">
        <v>-151304</v>
      </c>
      <c r="M182" s="542">
        <v>0</v>
      </c>
      <c r="N182" s="542">
        <v>-151304</v>
      </c>
      <c r="O182" s="543">
        <v>0.5</v>
      </c>
      <c r="P182" s="543">
        <v>0.4</v>
      </c>
      <c r="Q182" s="543">
        <v>0.09</v>
      </c>
      <c r="R182" s="543">
        <v>0.01</v>
      </c>
      <c r="S182" s="542">
        <v>141625</v>
      </c>
      <c r="T182" s="542">
        <v>141625</v>
      </c>
      <c r="U182" s="542">
        <v>0</v>
      </c>
      <c r="V182" s="542">
        <v>0</v>
      </c>
      <c r="W182" s="542">
        <v>0</v>
      </c>
      <c r="X182" s="542">
        <v>0</v>
      </c>
      <c r="Y182" s="542">
        <v>0</v>
      </c>
      <c r="Z182" s="542">
        <v>0</v>
      </c>
      <c r="AA182" s="542">
        <v>0</v>
      </c>
      <c r="AB182" s="542">
        <v>0</v>
      </c>
      <c r="AC182" s="542">
        <v>0</v>
      </c>
      <c r="AD182" s="542">
        <v>0</v>
      </c>
      <c r="AE182" s="542">
        <v>0</v>
      </c>
      <c r="AF182" s="542">
        <v>0</v>
      </c>
      <c r="AG182" s="542">
        <v>0</v>
      </c>
      <c r="AH182" s="542">
        <v>0</v>
      </c>
      <c r="AI182" s="542">
        <v>0</v>
      </c>
      <c r="AJ182" s="542">
        <v>0</v>
      </c>
      <c r="AK182" s="542">
        <v>0</v>
      </c>
      <c r="AL182" s="542">
        <v>0</v>
      </c>
      <c r="AM182" s="542">
        <v>0</v>
      </c>
      <c r="AN182" s="542">
        <v>0</v>
      </c>
      <c r="AO182" s="542">
        <v>0</v>
      </c>
      <c r="AP182" s="542">
        <v>0</v>
      </c>
      <c r="AQ182" s="542">
        <v>477881.96799999999</v>
      </c>
      <c r="AR182" s="542">
        <v>107523.442</v>
      </c>
      <c r="AS182" s="542">
        <v>11947.049199999999</v>
      </c>
      <c r="AT182" s="542">
        <v>417486</v>
      </c>
      <c r="AU182" s="542">
        <v>93934</v>
      </c>
      <c r="AV182" s="542">
        <v>10437</v>
      </c>
      <c r="AW182" s="542">
        <v>60396</v>
      </c>
      <c r="AX182" s="542">
        <v>13589</v>
      </c>
      <c r="AY182" s="542">
        <v>1510</v>
      </c>
      <c r="AZ182" s="542">
        <v>0</v>
      </c>
      <c r="BA182" s="542">
        <v>0</v>
      </c>
      <c r="BB182" s="542">
        <v>0</v>
      </c>
      <c r="BC182" s="542">
        <v>3581</v>
      </c>
      <c r="BD182" s="542">
        <v>806</v>
      </c>
      <c r="BE182" s="542">
        <v>90</v>
      </c>
      <c r="BF182" s="542">
        <v>-3581</v>
      </c>
      <c r="BG182" s="542">
        <v>-806</v>
      </c>
      <c r="BH182" s="542">
        <v>-90</v>
      </c>
      <c r="BI182" s="542">
        <v>0</v>
      </c>
      <c r="BJ182" s="542">
        <v>0</v>
      </c>
      <c r="BK182" s="542">
        <v>0</v>
      </c>
      <c r="BL182" s="542">
        <v>0</v>
      </c>
      <c r="BM182" s="542">
        <v>0</v>
      </c>
      <c r="BN182" s="542">
        <v>0</v>
      </c>
      <c r="BO182" s="542">
        <v>0</v>
      </c>
      <c r="BP182" s="542">
        <v>0</v>
      </c>
      <c r="BQ182" s="542">
        <v>0</v>
      </c>
      <c r="BR182" s="542">
        <v>1305.71549</v>
      </c>
      <c r="BS182" s="542">
        <v>293.78598699999998</v>
      </c>
      <c r="BT182" s="542">
        <v>32.642887399999999</v>
      </c>
      <c r="BU182" s="542">
        <v>6467.9405500000003</v>
      </c>
      <c r="BV182" s="542">
        <v>1455.2866200000001</v>
      </c>
      <c r="BW182" s="542">
        <v>161.69851299999999</v>
      </c>
      <c r="BX182" s="542">
        <v>-5162</v>
      </c>
      <c r="BY182" s="542">
        <v>-1162</v>
      </c>
      <c r="BZ182" s="542">
        <v>-129</v>
      </c>
      <c r="CA182" s="542">
        <v>217696.73</v>
      </c>
      <c r="CB182" s="542">
        <v>48981.764300000003</v>
      </c>
      <c r="CC182" s="542">
        <v>5442.4182499999997</v>
      </c>
      <c r="CD182" s="542">
        <v>181910.82800000001</v>
      </c>
      <c r="CE182" s="542">
        <v>40929.936300000001</v>
      </c>
      <c r="CF182" s="542">
        <v>4547.7707</v>
      </c>
      <c r="CG182" s="542">
        <v>35786</v>
      </c>
      <c r="CH182" s="542">
        <v>8052</v>
      </c>
      <c r="CI182" s="542">
        <v>895</v>
      </c>
      <c r="CJ182" s="542">
        <v>0</v>
      </c>
      <c r="CK182" s="542">
        <v>0</v>
      </c>
      <c r="CL182" s="542">
        <v>0</v>
      </c>
      <c r="CM182" s="542">
        <v>0</v>
      </c>
      <c r="CN182" s="542">
        <v>0</v>
      </c>
      <c r="CO182" s="542">
        <v>0</v>
      </c>
      <c r="CP182" s="542">
        <v>0</v>
      </c>
      <c r="CQ182" s="542">
        <v>0</v>
      </c>
      <c r="CR182" s="542">
        <v>0</v>
      </c>
      <c r="CS182" s="542">
        <v>0</v>
      </c>
      <c r="CT182" s="542">
        <v>0</v>
      </c>
      <c r="CU182" s="542">
        <v>0</v>
      </c>
      <c r="CV182" s="542">
        <v>134672.49600000001</v>
      </c>
      <c r="CW182" s="542">
        <v>30301.311699999998</v>
      </c>
      <c r="CX182" s="542">
        <v>3366.8124200000002</v>
      </c>
      <c r="CY182" s="542">
        <v>139876</v>
      </c>
      <c r="CZ182" s="542">
        <v>31134</v>
      </c>
      <c r="DA182" s="542">
        <v>3459</v>
      </c>
      <c r="DB182" s="542">
        <v>-5204</v>
      </c>
      <c r="DC182" s="542">
        <v>-833</v>
      </c>
      <c r="DD182" s="542">
        <v>-92</v>
      </c>
      <c r="DE182" s="153" t="s">
        <v>229</v>
      </c>
      <c r="DF182" s="103" t="s">
        <v>792</v>
      </c>
      <c r="DG182" s="104" t="s">
        <v>793</v>
      </c>
      <c r="DH182" s="549" t="s">
        <v>1200</v>
      </c>
      <c r="DI182" s="549" t="s">
        <v>1189</v>
      </c>
    </row>
    <row r="183" spans="1:113" x14ac:dyDescent="0.2">
      <c r="A183" s="93">
        <v>177</v>
      </c>
      <c r="B183" s="145" t="s">
        <v>232</v>
      </c>
      <c r="C183" s="141" t="s">
        <v>871</v>
      </c>
      <c r="D183" s="142" t="s">
        <v>872</v>
      </c>
      <c r="E183" s="149" t="s">
        <v>231</v>
      </c>
      <c r="F183" s="542">
        <v>232880</v>
      </c>
      <c r="G183" s="542">
        <v>285</v>
      </c>
      <c r="H183" s="542">
        <v>233165</v>
      </c>
      <c r="I183" s="542">
        <v>523830</v>
      </c>
      <c r="J183" s="542">
        <v>278</v>
      </c>
      <c r="K183" s="542">
        <v>524108</v>
      </c>
      <c r="L183" s="542">
        <v>-290950</v>
      </c>
      <c r="M183" s="542">
        <v>7</v>
      </c>
      <c r="N183" s="542">
        <v>-290943</v>
      </c>
      <c r="O183" s="543">
        <v>0.5</v>
      </c>
      <c r="P183" s="543">
        <v>0.3</v>
      </c>
      <c r="Q183" s="543">
        <v>0.2</v>
      </c>
      <c r="R183" s="543">
        <v>0</v>
      </c>
      <c r="S183" s="542">
        <v>376969</v>
      </c>
      <c r="T183" s="542">
        <v>376969</v>
      </c>
      <c r="U183" s="542">
        <v>0</v>
      </c>
      <c r="V183" s="542">
        <v>0</v>
      </c>
      <c r="W183" s="542">
        <v>309030.5</v>
      </c>
      <c r="X183" s="542">
        <v>-309030.5</v>
      </c>
      <c r="Y183" s="542">
        <v>0</v>
      </c>
      <c r="Z183" s="542">
        <v>0</v>
      </c>
      <c r="AA183" s="542">
        <v>0</v>
      </c>
      <c r="AB183" s="542">
        <v>0</v>
      </c>
      <c r="AC183" s="542">
        <v>0</v>
      </c>
      <c r="AD183" s="542">
        <v>0</v>
      </c>
      <c r="AE183" s="542">
        <v>302197.34000000003</v>
      </c>
      <c r="AF183" s="542">
        <v>302197.34000000003</v>
      </c>
      <c r="AG183" s="542">
        <v>0</v>
      </c>
      <c r="AH183" s="542">
        <v>0</v>
      </c>
      <c r="AI183" s="542">
        <v>0</v>
      </c>
      <c r="AJ183" s="542">
        <v>0</v>
      </c>
      <c r="AK183" s="542">
        <v>0</v>
      </c>
      <c r="AL183" s="542">
        <v>0</v>
      </c>
      <c r="AM183" s="542">
        <v>302197</v>
      </c>
      <c r="AN183" s="542">
        <v>302197</v>
      </c>
      <c r="AO183" s="542">
        <v>0</v>
      </c>
      <c r="AP183" s="542">
        <v>0</v>
      </c>
      <c r="AQ183" s="542">
        <v>688409.27</v>
      </c>
      <c r="AR183" s="542">
        <v>457423</v>
      </c>
      <c r="AS183" s="542">
        <v>0</v>
      </c>
      <c r="AT183" s="542">
        <v>548641</v>
      </c>
      <c r="AU183" s="542">
        <v>365761</v>
      </c>
      <c r="AV183" s="542">
        <v>0</v>
      </c>
      <c r="AW183" s="542">
        <v>139768</v>
      </c>
      <c r="AX183" s="542">
        <v>91662</v>
      </c>
      <c r="AY183" s="542">
        <v>0</v>
      </c>
      <c r="AZ183" s="542">
        <v>0</v>
      </c>
      <c r="BA183" s="542">
        <v>0</v>
      </c>
      <c r="BB183" s="542">
        <v>0</v>
      </c>
      <c r="BC183" s="542">
        <v>172209</v>
      </c>
      <c r="BD183" s="542">
        <v>114806</v>
      </c>
      <c r="BE183" s="542">
        <v>0</v>
      </c>
      <c r="BF183" s="542">
        <v>-172209</v>
      </c>
      <c r="BG183" s="542">
        <v>-114806</v>
      </c>
      <c r="BH183" s="542">
        <v>0</v>
      </c>
      <c r="BI183" s="542">
        <v>0</v>
      </c>
      <c r="BJ183" s="542">
        <v>0</v>
      </c>
      <c r="BK183" s="542">
        <v>0</v>
      </c>
      <c r="BL183" s="542">
        <v>0</v>
      </c>
      <c r="BM183" s="542">
        <v>0</v>
      </c>
      <c r="BN183" s="542">
        <v>0</v>
      </c>
      <c r="BO183" s="542">
        <v>0</v>
      </c>
      <c r="BP183" s="542">
        <v>0</v>
      </c>
      <c r="BQ183" s="542">
        <v>0</v>
      </c>
      <c r="BR183" s="542">
        <v>0</v>
      </c>
      <c r="BS183" s="542">
        <v>0</v>
      </c>
      <c r="BT183" s="542">
        <v>0</v>
      </c>
      <c r="BU183" s="542">
        <v>0</v>
      </c>
      <c r="BV183" s="542">
        <v>0</v>
      </c>
      <c r="BW183" s="542">
        <v>0</v>
      </c>
      <c r="BX183" s="542">
        <v>0</v>
      </c>
      <c r="BY183" s="542">
        <v>0</v>
      </c>
      <c r="BZ183" s="542">
        <v>0</v>
      </c>
      <c r="CA183" s="542">
        <v>313649.44</v>
      </c>
      <c r="CB183" s="542">
        <v>209099.62</v>
      </c>
      <c r="CC183" s="542">
        <v>0</v>
      </c>
      <c r="CD183" s="542">
        <v>836183.44</v>
      </c>
      <c r="CE183" s="542">
        <v>557455.63</v>
      </c>
      <c r="CF183" s="542">
        <v>0</v>
      </c>
      <c r="CG183" s="542">
        <v>-522534</v>
      </c>
      <c r="CH183" s="542">
        <v>-348356</v>
      </c>
      <c r="CI183" s="542">
        <v>0</v>
      </c>
      <c r="CJ183" s="542">
        <v>0</v>
      </c>
      <c r="CK183" s="542">
        <v>0</v>
      </c>
      <c r="CL183" s="542">
        <v>0</v>
      </c>
      <c r="CM183" s="542">
        <v>0</v>
      </c>
      <c r="CN183" s="542">
        <v>0</v>
      </c>
      <c r="CO183" s="542">
        <v>0</v>
      </c>
      <c r="CP183" s="542">
        <v>0</v>
      </c>
      <c r="CQ183" s="542">
        <v>0</v>
      </c>
      <c r="CR183" s="542">
        <v>0</v>
      </c>
      <c r="CS183" s="542">
        <v>0</v>
      </c>
      <c r="CT183" s="542">
        <v>0</v>
      </c>
      <c r="CU183" s="542">
        <v>0</v>
      </c>
      <c r="CV183" s="542">
        <v>370062.37</v>
      </c>
      <c r="CW183" s="542">
        <v>246708.24</v>
      </c>
      <c r="CX183" s="542">
        <v>0</v>
      </c>
      <c r="CY183" s="542">
        <v>418897</v>
      </c>
      <c r="CZ183" s="542">
        <v>274409</v>
      </c>
      <c r="DA183" s="542">
        <v>0</v>
      </c>
      <c r="DB183" s="542">
        <v>-48835</v>
      </c>
      <c r="DC183" s="542">
        <v>-27701</v>
      </c>
      <c r="DD183" s="542">
        <v>0</v>
      </c>
      <c r="DE183" s="153" t="s">
        <v>231</v>
      </c>
      <c r="DF183" s="103" t="s">
        <v>762</v>
      </c>
      <c r="DG183" s="103" t="s">
        <v>750</v>
      </c>
      <c r="DH183" s="549" t="s">
        <v>1201</v>
      </c>
      <c r="DI183" s="549"/>
    </row>
    <row r="184" spans="1:113" x14ac:dyDescent="0.2">
      <c r="A184" s="93">
        <v>178</v>
      </c>
      <c r="B184" s="145" t="s">
        <v>234</v>
      </c>
      <c r="C184" s="141" t="s">
        <v>866</v>
      </c>
      <c r="D184" s="142" t="s">
        <v>875</v>
      </c>
      <c r="E184" s="149" t="s">
        <v>233</v>
      </c>
      <c r="F184" s="542">
        <v>115768</v>
      </c>
      <c r="G184" s="542">
        <v>0</v>
      </c>
      <c r="H184" s="542">
        <v>115768</v>
      </c>
      <c r="I184" s="542">
        <v>115222</v>
      </c>
      <c r="J184" s="542">
        <v>0</v>
      </c>
      <c r="K184" s="542">
        <v>115222</v>
      </c>
      <c r="L184" s="542">
        <v>546</v>
      </c>
      <c r="M184" s="542">
        <v>0</v>
      </c>
      <c r="N184" s="542">
        <v>546</v>
      </c>
      <c r="O184" s="543">
        <v>0.5</v>
      </c>
      <c r="P184" s="543">
        <v>0.4</v>
      </c>
      <c r="Q184" s="543">
        <v>0.09</v>
      </c>
      <c r="R184" s="543">
        <v>0.01</v>
      </c>
      <c r="S184" s="542">
        <v>201488</v>
      </c>
      <c r="T184" s="542">
        <v>201488</v>
      </c>
      <c r="U184" s="542">
        <v>0</v>
      </c>
      <c r="V184" s="542">
        <v>0</v>
      </c>
      <c r="W184" s="542">
        <v>0</v>
      </c>
      <c r="X184" s="542">
        <v>0</v>
      </c>
      <c r="Y184" s="542">
        <v>22088</v>
      </c>
      <c r="Z184" s="542">
        <v>0</v>
      </c>
      <c r="AA184" s="542">
        <v>25000</v>
      </c>
      <c r="AB184" s="542">
        <v>0</v>
      </c>
      <c r="AC184" s="542">
        <v>-2912</v>
      </c>
      <c r="AD184" s="542">
        <v>0</v>
      </c>
      <c r="AE184" s="542">
        <v>0</v>
      </c>
      <c r="AF184" s="542">
        <v>0</v>
      </c>
      <c r="AG184" s="542">
        <v>0</v>
      </c>
      <c r="AH184" s="542">
        <v>0</v>
      </c>
      <c r="AI184" s="542">
        <v>0</v>
      </c>
      <c r="AJ184" s="542">
        <v>0</v>
      </c>
      <c r="AK184" s="542">
        <v>0</v>
      </c>
      <c r="AL184" s="542">
        <v>0</v>
      </c>
      <c r="AM184" s="542">
        <v>0</v>
      </c>
      <c r="AN184" s="542">
        <v>0</v>
      </c>
      <c r="AO184" s="542">
        <v>0</v>
      </c>
      <c r="AP184" s="542">
        <v>0</v>
      </c>
      <c r="AQ184" s="542">
        <v>900317.71799999999</v>
      </c>
      <c r="AR184" s="542">
        <v>202571.486</v>
      </c>
      <c r="AS184" s="542">
        <v>22507.942899999998</v>
      </c>
      <c r="AT184" s="542">
        <v>758282</v>
      </c>
      <c r="AU184" s="542">
        <v>170614</v>
      </c>
      <c r="AV184" s="542">
        <v>18957</v>
      </c>
      <c r="AW184" s="542">
        <v>142036</v>
      </c>
      <c r="AX184" s="542">
        <v>31957</v>
      </c>
      <c r="AY184" s="542">
        <v>3551</v>
      </c>
      <c r="AZ184" s="542">
        <v>4681.1719700000003</v>
      </c>
      <c r="BA184" s="542">
        <v>1053.26369</v>
      </c>
      <c r="BB184" s="542">
        <v>117.02929899999999</v>
      </c>
      <c r="BC184" s="542">
        <v>14957</v>
      </c>
      <c r="BD184" s="542">
        <v>3365</v>
      </c>
      <c r="BE184" s="542">
        <v>374</v>
      </c>
      <c r="BF184" s="542">
        <v>-10276</v>
      </c>
      <c r="BG184" s="542">
        <v>-2312</v>
      </c>
      <c r="BH184" s="542">
        <v>-257</v>
      </c>
      <c r="BI184" s="542">
        <v>0</v>
      </c>
      <c r="BJ184" s="542">
        <v>0</v>
      </c>
      <c r="BK184" s="542">
        <v>0</v>
      </c>
      <c r="BL184" s="542">
        <v>0</v>
      </c>
      <c r="BM184" s="542">
        <v>0</v>
      </c>
      <c r="BN184" s="542">
        <v>0</v>
      </c>
      <c r="BO184" s="542">
        <v>0</v>
      </c>
      <c r="BP184" s="542">
        <v>0</v>
      </c>
      <c r="BQ184" s="542">
        <v>0</v>
      </c>
      <c r="BR184" s="542">
        <v>4741.0004200000003</v>
      </c>
      <c r="BS184" s="542">
        <v>1066.7250899999999</v>
      </c>
      <c r="BT184" s="542">
        <v>118.52500999999999</v>
      </c>
      <c r="BU184" s="542">
        <v>0</v>
      </c>
      <c r="BV184" s="542">
        <v>0</v>
      </c>
      <c r="BW184" s="542">
        <v>0</v>
      </c>
      <c r="BX184" s="542">
        <v>4741</v>
      </c>
      <c r="BY184" s="542">
        <v>1067</v>
      </c>
      <c r="BZ184" s="542">
        <v>119</v>
      </c>
      <c r="CA184" s="542">
        <v>234288.21</v>
      </c>
      <c r="CB184" s="542">
        <v>52714.847300000001</v>
      </c>
      <c r="CC184" s="542">
        <v>5857.2052599999997</v>
      </c>
      <c r="CD184" s="542">
        <v>299984</v>
      </c>
      <c r="CE184" s="542">
        <v>67497</v>
      </c>
      <c r="CF184" s="542">
        <v>7500</v>
      </c>
      <c r="CG184" s="542">
        <v>-65696</v>
      </c>
      <c r="CH184" s="542">
        <v>-14782</v>
      </c>
      <c r="CI184" s="542">
        <v>-1643</v>
      </c>
      <c r="CJ184" s="542">
        <v>0</v>
      </c>
      <c r="CK184" s="542">
        <v>0</v>
      </c>
      <c r="CL184" s="542">
        <v>0</v>
      </c>
      <c r="CM184" s="542">
        <v>6516.4501</v>
      </c>
      <c r="CN184" s="542">
        <v>1466.20127</v>
      </c>
      <c r="CO184" s="542">
        <v>162.91125199999999</v>
      </c>
      <c r="CP184" s="542">
        <v>0</v>
      </c>
      <c r="CQ184" s="542">
        <v>0</v>
      </c>
      <c r="CR184" s="542">
        <v>0</v>
      </c>
      <c r="CS184" s="542">
        <v>6516</v>
      </c>
      <c r="CT184" s="542">
        <v>1466</v>
      </c>
      <c r="CU184" s="542">
        <v>163</v>
      </c>
      <c r="CV184" s="542">
        <v>133469.31200000001</v>
      </c>
      <c r="CW184" s="542">
        <v>29977.837200000002</v>
      </c>
      <c r="CX184" s="542">
        <v>3330.8708000000001</v>
      </c>
      <c r="CY184" s="542">
        <v>136328</v>
      </c>
      <c r="CZ184" s="542">
        <v>30133</v>
      </c>
      <c r="DA184" s="542">
        <v>3348</v>
      </c>
      <c r="DB184" s="542">
        <v>-2859</v>
      </c>
      <c r="DC184" s="542">
        <v>-155</v>
      </c>
      <c r="DD184" s="542">
        <v>-17</v>
      </c>
      <c r="DE184" s="153" t="s">
        <v>233</v>
      </c>
      <c r="DF184" s="103" t="s">
        <v>803</v>
      </c>
      <c r="DG184" s="104" t="s">
        <v>804</v>
      </c>
      <c r="DH184" s="547"/>
      <c r="DI184" s="547"/>
    </row>
    <row r="185" spans="1:113" x14ac:dyDescent="0.2">
      <c r="A185" s="93">
        <v>179</v>
      </c>
      <c r="B185" s="145" t="s">
        <v>236</v>
      </c>
      <c r="C185" s="141" t="s">
        <v>866</v>
      </c>
      <c r="D185" s="142" t="s">
        <v>875</v>
      </c>
      <c r="E185" s="149" t="s">
        <v>235</v>
      </c>
      <c r="F185" s="542">
        <v>101291</v>
      </c>
      <c r="G185" s="542">
        <v>0</v>
      </c>
      <c r="H185" s="542">
        <v>101291</v>
      </c>
      <c r="I185" s="542">
        <v>61452</v>
      </c>
      <c r="J185" s="542">
        <v>0</v>
      </c>
      <c r="K185" s="542">
        <v>61452</v>
      </c>
      <c r="L185" s="542">
        <v>39839</v>
      </c>
      <c r="M185" s="542">
        <v>0</v>
      </c>
      <c r="N185" s="542">
        <v>39839</v>
      </c>
      <c r="O185" s="543">
        <v>0.5</v>
      </c>
      <c r="P185" s="543">
        <v>0.4</v>
      </c>
      <c r="Q185" s="543">
        <v>0.09</v>
      </c>
      <c r="R185" s="543">
        <v>0.01</v>
      </c>
      <c r="S185" s="542">
        <v>92308</v>
      </c>
      <c r="T185" s="542">
        <v>92308</v>
      </c>
      <c r="U185" s="542">
        <v>0</v>
      </c>
      <c r="V185" s="542">
        <v>0</v>
      </c>
      <c r="W185" s="542">
        <v>0</v>
      </c>
      <c r="X185" s="542">
        <v>0</v>
      </c>
      <c r="Y185" s="542">
        <v>25348</v>
      </c>
      <c r="Z185" s="542">
        <v>0</v>
      </c>
      <c r="AA185" s="542">
        <v>0</v>
      </c>
      <c r="AB185" s="542">
        <v>0</v>
      </c>
      <c r="AC185" s="542">
        <v>25348</v>
      </c>
      <c r="AD185" s="542">
        <v>0</v>
      </c>
      <c r="AE185" s="542">
        <v>0</v>
      </c>
      <c r="AF185" s="542">
        <v>0</v>
      </c>
      <c r="AG185" s="542">
        <v>0</v>
      </c>
      <c r="AH185" s="542">
        <v>0</v>
      </c>
      <c r="AI185" s="542">
        <v>0</v>
      </c>
      <c r="AJ185" s="542">
        <v>0</v>
      </c>
      <c r="AK185" s="542">
        <v>0</v>
      </c>
      <c r="AL185" s="542">
        <v>0</v>
      </c>
      <c r="AM185" s="542">
        <v>0</v>
      </c>
      <c r="AN185" s="542">
        <v>0</v>
      </c>
      <c r="AO185" s="542">
        <v>0</v>
      </c>
      <c r="AP185" s="542">
        <v>0</v>
      </c>
      <c r="AQ185" s="542">
        <v>358457.30699999997</v>
      </c>
      <c r="AR185" s="542">
        <v>80652.894199999995</v>
      </c>
      <c r="AS185" s="542">
        <v>8961.4326899999996</v>
      </c>
      <c r="AT185" s="542">
        <v>336727</v>
      </c>
      <c r="AU185" s="542">
        <v>75764</v>
      </c>
      <c r="AV185" s="542">
        <v>8418</v>
      </c>
      <c r="AW185" s="542">
        <v>21730</v>
      </c>
      <c r="AX185" s="542">
        <v>4889</v>
      </c>
      <c r="AY185" s="542">
        <v>543</v>
      </c>
      <c r="AZ185" s="542">
        <v>409.905732</v>
      </c>
      <c r="BA185" s="542">
        <v>92.228789800000001</v>
      </c>
      <c r="BB185" s="542">
        <v>10.2476433</v>
      </c>
      <c r="BC185" s="542">
        <v>0</v>
      </c>
      <c r="BD185" s="542">
        <v>0</v>
      </c>
      <c r="BE185" s="542">
        <v>0</v>
      </c>
      <c r="BF185" s="542">
        <v>410</v>
      </c>
      <c r="BG185" s="542">
        <v>92</v>
      </c>
      <c r="BH185" s="542">
        <v>10</v>
      </c>
      <c r="BI185" s="542">
        <v>0</v>
      </c>
      <c r="BJ185" s="542">
        <v>0</v>
      </c>
      <c r="BK185" s="542">
        <v>0</v>
      </c>
      <c r="BL185" s="542">
        <v>0</v>
      </c>
      <c r="BM185" s="542">
        <v>0</v>
      </c>
      <c r="BN185" s="542">
        <v>0</v>
      </c>
      <c r="BO185" s="542">
        <v>0</v>
      </c>
      <c r="BP185" s="542">
        <v>0</v>
      </c>
      <c r="BQ185" s="542">
        <v>0</v>
      </c>
      <c r="BR185" s="542">
        <v>0</v>
      </c>
      <c r="BS185" s="542">
        <v>0</v>
      </c>
      <c r="BT185" s="542">
        <v>0</v>
      </c>
      <c r="BU185" s="542">
        <v>6876</v>
      </c>
      <c r="BV185" s="542">
        <v>1547</v>
      </c>
      <c r="BW185" s="542">
        <v>172</v>
      </c>
      <c r="BX185" s="542">
        <v>-6876</v>
      </c>
      <c r="BY185" s="542">
        <v>-1547</v>
      </c>
      <c r="BZ185" s="542">
        <v>-172</v>
      </c>
      <c r="CA185" s="542">
        <v>134332.253</v>
      </c>
      <c r="CB185" s="542">
        <v>30224.7569</v>
      </c>
      <c r="CC185" s="542">
        <v>3358.3063200000001</v>
      </c>
      <c r="CD185" s="542">
        <v>162702</v>
      </c>
      <c r="CE185" s="542">
        <v>36608</v>
      </c>
      <c r="CF185" s="542">
        <v>4068</v>
      </c>
      <c r="CG185" s="542">
        <v>-28370</v>
      </c>
      <c r="CH185" s="542">
        <v>-6383</v>
      </c>
      <c r="CI185" s="542">
        <v>-710</v>
      </c>
      <c r="CJ185" s="542">
        <v>0</v>
      </c>
      <c r="CK185" s="542">
        <v>0</v>
      </c>
      <c r="CL185" s="542">
        <v>0</v>
      </c>
      <c r="CM185" s="542">
        <v>2691.4717599999999</v>
      </c>
      <c r="CN185" s="542">
        <v>605.58114599999999</v>
      </c>
      <c r="CO185" s="542">
        <v>67.286794</v>
      </c>
      <c r="CP185" s="542">
        <v>0</v>
      </c>
      <c r="CQ185" s="542">
        <v>0</v>
      </c>
      <c r="CR185" s="542">
        <v>0</v>
      </c>
      <c r="CS185" s="542">
        <v>2691</v>
      </c>
      <c r="CT185" s="542">
        <v>606</v>
      </c>
      <c r="CU185" s="542">
        <v>67</v>
      </c>
      <c r="CV185" s="542">
        <v>54568.428800000002</v>
      </c>
      <c r="CW185" s="542">
        <v>12217.3519</v>
      </c>
      <c r="CX185" s="542">
        <v>1357.4835399999999</v>
      </c>
      <c r="CY185" s="542">
        <v>56385</v>
      </c>
      <c r="CZ185" s="542">
        <v>12466</v>
      </c>
      <c r="DA185" s="542">
        <v>1385</v>
      </c>
      <c r="DB185" s="542">
        <v>-1817</v>
      </c>
      <c r="DC185" s="542">
        <v>-249</v>
      </c>
      <c r="DD185" s="542">
        <v>-28</v>
      </c>
      <c r="DE185" s="153" t="s">
        <v>235</v>
      </c>
      <c r="DF185" s="103" t="s">
        <v>797</v>
      </c>
      <c r="DG185" s="104" t="s">
        <v>779</v>
      </c>
      <c r="DH185" s="547"/>
      <c r="DI185" s="547"/>
    </row>
    <row r="186" spans="1:113" x14ac:dyDescent="0.2">
      <c r="A186" s="93">
        <v>180</v>
      </c>
      <c r="B186" s="145" t="s">
        <v>238</v>
      </c>
      <c r="C186" s="141" t="s">
        <v>866</v>
      </c>
      <c r="D186" s="142" t="s">
        <v>869</v>
      </c>
      <c r="E186" s="149" t="s">
        <v>237</v>
      </c>
      <c r="F186" s="542">
        <v>41949</v>
      </c>
      <c r="G186" s="542">
        <v>0</v>
      </c>
      <c r="H186" s="542">
        <v>41949</v>
      </c>
      <c r="I186" s="542">
        <v>36051</v>
      </c>
      <c r="J186" s="542">
        <v>0</v>
      </c>
      <c r="K186" s="542">
        <v>36051</v>
      </c>
      <c r="L186" s="542">
        <v>5898</v>
      </c>
      <c r="M186" s="542">
        <v>0</v>
      </c>
      <c r="N186" s="542">
        <v>5898</v>
      </c>
      <c r="O186" s="543">
        <v>0.5</v>
      </c>
      <c r="P186" s="543">
        <v>0.4</v>
      </c>
      <c r="Q186" s="543">
        <v>0.09</v>
      </c>
      <c r="R186" s="543">
        <v>0.01</v>
      </c>
      <c r="S186" s="542">
        <v>97897</v>
      </c>
      <c r="T186" s="542">
        <v>97897</v>
      </c>
      <c r="U186" s="542">
        <v>0</v>
      </c>
      <c r="V186" s="542">
        <v>0</v>
      </c>
      <c r="W186" s="542">
        <v>0</v>
      </c>
      <c r="X186" s="542">
        <v>0</v>
      </c>
      <c r="Y186" s="542">
        <v>0</v>
      </c>
      <c r="Z186" s="542">
        <v>0</v>
      </c>
      <c r="AA186" s="542">
        <v>0</v>
      </c>
      <c r="AB186" s="542">
        <v>0</v>
      </c>
      <c r="AC186" s="542">
        <v>0</v>
      </c>
      <c r="AD186" s="542">
        <v>0</v>
      </c>
      <c r="AE186" s="542">
        <v>0</v>
      </c>
      <c r="AF186" s="542">
        <v>0</v>
      </c>
      <c r="AG186" s="542">
        <v>0</v>
      </c>
      <c r="AH186" s="542">
        <v>0</v>
      </c>
      <c r="AI186" s="542">
        <v>0</v>
      </c>
      <c r="AJ186" s="542">
        <v>0</v>
      </c>
      <c r="AK186" s="542">
        <v>0</v>
      </c>
      <c r="AL186" s="542">
        <v>0</v>
      </c>
      <c r="AM186" s="542">
        <v>0</v>
      </c>
      <c r="AN186" s="542">
        <v>0</v>
      </c>
      <c r="AO186" s="542">
        <v>0</v>
      </c>
      <c r="AP186" s="542">
        <v>0</v>
      </c>
      <c r="AQ186" s="542">
        <v>343326.97499999998</v>
      </c>
      <c r="AR186" s="542">
        <v>77248.569499999998</v>
      </c>
      <c r="AS186" s="542">
        <v>8583.1743900000001</v>
      </c>
      <c r="AT186" s="542">
        <v>322260</v>
      </c>
      <c r="AU186" s="542">
        <v>72508</v>
      </c>
      <c r="AV186" s="542">
        <v>8056</v>
      </c>
      <c r="AW186" s="542">
        <v>21067</v>
      </c>
      <c r="AX186" s="542">
        <v>4741</v>
      </c>
      <c r="AY186" s="542">
        <v>527</v>
      </c>
      <c r="AZ186" s="542">
        <v>0</v>
      </c>
      <c r="BA186" s="542">
        <v>0</v>
      </c>
      <c r="BB186" s="542">
        <v>0</v>
      </c>
      <c r="BC186" s="542">
        <v>0</v>
      </c>
      <c r="BD186" s="542">
        <v>0</v>
      </c>
      <c r="BE186" s="542">
        <v>0</v>
      </c>
      <c r="BF186" s="542">
        <v>0</v>
      </c>
      <c r="BG186" s="542">
        <v>0</v>
      </c>
      <c r="BH186" s="542">
        <v>0</v>
      </c>
      <c r="BI186" s="542">
        <v>0</v>
      </c>
      <c r="BJ186" s="542">
        <v>0</v>
      </c>
      <c r="BK186" s="542">
        <v>0</v>
      </c>
      <c r="BL186" s="542">
        <v>0</v>
      </c>
      <c r="BM186" s="542">
        <v>0</v>
      </c>
      <c r="BN186" s="542">
        <v>0</v>
      </c>
      <c r="BO186" s="542">
        <v>0</v>
      </c>
      <c r="BP186" s="542">
        <v>0</v>
      </c>
      <c r="BQ186" s="542">
        <v>0</v>
      </c>
      <c r="BR186" s="542">
        <v>0</v>
      </c>
      <c r="BS186" s="542">
        <v>0</v>
      </c>
      <c r="BT186" s="542">
        <v>0</v>
      </c>
      <c r="BU186" s="542">
        <v>0</v>
      </c>
      <c r="BV186" s="542">
        <v>0</v>
      </c>
      <c r="BW186" s="542">
        <v>0</v>
      </c>
      <c r="BX186" s="542">
        <v>0</v>
      </c>
      <c r="BY186" s="542">
        <v>0</v>
      </c>
      <c r="BZ186" s="542">
        <v>0</v>
      </c>
      <c r="CA186" s="542">
        <v>97385.759600000005</v>
      </c>
      <c r="CB186" s="542">
        <v>21911.795900000001</v>
      </c>
      <c r="CC186" s="542">
        <v>2434.64399</v>
      </c>
      <c r="CD186" s="542">
        <v>109509</v>
      </c>
      <c r="CE186" s="542">
        <v>24640</v>
      </c>
      <c r="CF186" s="542">
        <v>2738</v>
      </c>
      <c r="CG186" s="542">
        <v>-12123</v>
      </c>
      <c r="CH186" s="542">
        <v>-2728</v>
      </c>
      <c r="CI186" s="542">
        <v>-303</v>
      </c>
      <c r="CJ186" s="542">
        <v>0</v>
      </c>
      <c r="CK186" s="542">
        <v>0</v>
      </c>
      <c r="CL186" s="542">
        <v>0</v>
      </c>
      <c r="CM186" s="542">
        <v>0</v>
      </c>
      <c r="CN186" s="542">
        <v>0</v>
      </c>
      <c r="CO186" s="542">
        <v>0</v>
      </c>
      <c r="CP186" s="542">
        <v>0</v>
      </c>
      <c r="CQ186" s="542">
        <v>0</v>
      </c>
      <c r="CR186" s="542">
        <v>0</v>
      </c>
      <c r="CS186" s="542">
        <v>0</v>
      </c>
      <c r="CT186" s="542">
        <v>0</v>
      </c>
      <c r="CU186" s="542">
        <v>0</v>
      </c>
      <c r="CV186" s="542">
        <v>65474.114600000001</v>
      </c>
      <c r="CW186" s="542">
        <v>14731.675800000001</v>
      </c>
      <c r="CX186" s="542">
        <v>1636.85286</v>
      </c>
      <c r="CY186" s="542">
        <v>66156</v>
      </c>
      <c r="CZ186" s="542">
        <v>14651</v>
      </c>
      <c r="DA186" s="542">
        <v>1628</v>
      </c>
      <c r="DB186" s="542">
        <v>-682</v>
      </c>
      <c r="DC186" s="542">
        <v>81</v>
      </c>
      <c r="DD186" s="542">
        <v>9</v>
      </c>
      <c r="DE186" s="153" t="s">
        <v>237</v>
      </c>
      <c r="DF186" s="103" t="s">
        <v>753</v>
      </c>
      <c r="DG186" s="104" t="s">
        <v>754</v>
      </c>
      <c r="DH186" s="547"/>
      <c r="DI186" s="547"/>
    </row>
    <row r="187" spans="1:113" x14ac:dyDescent="0.2">
      <c r="A187" s="93">
        <v>181</v>
      </c>
      <c r="B187" s="145" t="s">
        <v>240</v>
      </c>
      <c r="C187" s="141" t="s">
        <v>770</v>
      </c>
      <c r="D187" s="142" t="s">
        <v>874</v>
      </c>
      <c r="E187" s="149" t="s">
        <v>709</v>
      </c>
      <c r="F187" s="542">
        <v>-931969</v>
      </c>
      <c r="G187" s="542">
        <v>0</v>
      </c>
      <c r="H187" s="542">
        <v>-931969</v>
      </c>
      <c r="I187" s="542">
        <v>-17659</v>
      </c>
      <c r="J187" s="542">
        <v>0</v>
      </c>
      <c r="K187" s="542">
        <v>-17659</v>
      </c>
      <c r="L187" s="542">
        <v>-914310</v>
      </c>
      <c r="M187" s="542">
        <v>0</v>
      </c>
      <c r="N187" s="542">
        <v>-914310</v>
      </c>
      <c r="O187" s="543">
        <v>0.5</v>
      </c>
      <c r="P187" s="543">
        <v>0.49</v>
      </c>
      <c r="Q187" s="543">
        <v>0</v>
      </c>
      <c r="R187" s="543">
        <v>0.01</v>
      </c>
      <c r="S187" s="542">
        <v>239474</v>
      </c>
      <c r="T187" s="542">
        <v>239474</v>
      </c>
      <c r="U187" s="542">
        <v>0</v>
      </c>
      <c r="V187" s="542">
        <v>0</v>
      </c>
      <c r="W187" s="542">
        <v>0</v>
      </c>
      <c r="X187" s="542">
        <v>0</v>
      </c>
      <c r="Y187" s="542">
        <v>0</v>
      </c>
      <c r="Z187" s="542">
        <v>0</v>
      </c>
      <c r="AA187" s="542">
        <v>0</v>
      </c>
      <c r="AB187" s="542">
        <v>0</v>
      </c>
      <c r="AC187" s="542">
        <v>0</v>
      </c>
      <c r="AD187" s="542">
        <v>0</v>
      </c>
      <c r="AE187" s="542">
        <v>87628.47</v>
      </c>
      <c r="AF187" s="542">
        <v>87628.47</v>
      </c>
      <c r="AG187" s="542">
        <v>0</v>
      </c>
      <c r="AH187" s="542">
        <v>0</v>
      </c>
      <c r="AI187" s="542">
        <v>0</v>
      </c>
      <c r="AJ187" s="542">
        <v>0</v>
      </c>
      <c r="AK187" s="542">
        <v>0</v>
      </c>
      <c r="AL187" s="542">
        <v>0</v>
      </c>
      <c r="AM187" s="542">
        <v>87628</v>
      </c>
      <c r="AN187" s="542">
        <v>87628</v>
      </c>
      <c r="AO187" s="542">
        <v>0</v>
      </c>
      <c r="AP187" s="542">
        <v>0</v>
      </c>
      <c r="AQ187" s="542">
        <v>848027.21</v>
      </c>
      <c r="AR187" s="542">
        <v>0</v>
      </c>
      <c r="AS187" s="542">
        <v>17306.68</v>
      </c>
      <c r="AT187" s="542">
        <v>764839</v>
      </c>
      <c r="AU187" s="542">
        <v>0</v>
      </c>
      <c r="AV187" s="542">
        <v>15609</v>
      </c>
      <c r="AW187" s="542">
        <v>83188</v>
      </c>
      <c r="AX187" s="542">
        <v>0</v>
      </c>
      <c r="AY187" s="542">
        <v>1698</v>
      </c>
      <c r="AZ187" s="542">
        <v>4429.58</v>
      </c>
      <c r="BA187" s="542">
        <v>0</v>
      </c>
      <c r="BB187" s="542">
        <v>90.4</v>
      </c>
      <c r="BC187" s="542">
        <v>14361</v>
      </c>
      <c r="BD187" s="542">
        <v>0</v>
      </c>
      <c r="BE187" s="542">
        <v>293</v>
      </c>
      <c r="BF187" s="542">
        <v>-9931</v>
      </c>
      <c r="BG187" s="542">
        <v>0</v>
      </c>
      <c r="BH187" s="542">
        <v>-203</v>
      </c>
      <c r="BI187" s="542">
        <v>911.17</v>
      </c>
      <c r="BJ187" s="542">
        <v>0</v>
      </c>
      <c r="BK187" s="542">
        <v>18.600000000000001</v>
      </c>
      <c r="BL187" s="542">
        <v>0</v>
      </c>
      <c r="BM187" s="542">
        <v>0</v>
      </c>
      <c r="BN187" s="542">
        <v>0</v>
      </c>
      <c r="BO187" s="542">
        <v>911</v>
      </c>
      <c r="BP187" s="542">
        <v>0</v>
      </c>
      <c r="BQ187" s="542">
        <v>19</v>
      </c>
      <c r="BR187" s="542">
        <v>174.81</v>
      </c>
      <c r="BS187" s="542">
        <v>0</v>
      </c>
      <c r="BT187" s="542">
        <v>3.57</v>
      </c>
      <c r="BU187" s="542">
        <v>34168.92</v>
      </c>
      <c r="BV187" s="542">
        <v>0</v>
      </c>
      <c r="BW187" s="542">
        <v>697.32</v>
      </c>
      <c r="BX187" s="542">
        <v>-33994</v>
      </c>
      <c r="BY187" s="542">
        <v>0</v>
      </c>
      <c r="BZ187" s="542">
        <v>-694</v>
      </c>
      <c r="CA187" s="542">
        <v>229157.06</v>
      </c>
      <c r="CB187" s="542">
        <v>0</v>
      </c>
      <c r="CC187" s="542">
        <v>4676.67</v>
      </c>
      <c r="CD187" s="542">
        <v>359516.43</v>
      </c>
      <c r="CE187" s="542">
        <v>0</v>
      </c>
      <c r="CF187" s="542">
        <v>7337.07</v>
      </c>
      <c r="CG187" s="542">
        <v>-130359</v>
      </c>
      <c r="CH187" s="542">
        <v>0</v>
      </c>
      <c r="CI187" s="542">
        <v>-2660</v>
      </c>
      <c r="CJ187" s="542">
        <v>449786.68</v>
      </c>
      <c r="CK187" s="542">
        <v>0</v>
      </c>
      <c r="CL187" s="542">
        <v>9179.32</v>
      </c>
      <c r="CM187" s="542">
        <v>339891.59</v>
      </c>
      <c r="CN187" s="542">
        <v>0</v>
      </c>
      <c r="CO187" s="542">
        <v>6936.56</v>
      </c>
      <c r="CP187" s="542">
        <v>449787</v>
      </c>
      <c r="CQ187" s="542">
        <v>0</v>
      </c>
      <c r="CR187" s="542">
        <v>9179.32</v>
      </c>
      <c r="CS187" s="542">
        <v>339891</v>
      </c>
      <c r="CT187" s="542">
        <v>0</v>
      </c>
      <c r="CU187" s="542">
        <v>6937</v>
      </c>
      <c r="CV187" s="542">
        <v>265836.14</v>
      </c>
      <c r="CW187" s="542">
        <v>0</v>
      </c>
      <c r="CX187" s="542">
        <v>5425.23</v>
      </c>
      <c r="CY187" s="542">
        <v>343552</v>
      </c>
      <c r="CZ187" s="542">
        <v>0</v>
      </c>
      <c r="DA187" s="542">
        <v>6959</v>
      </c>
      <c r="DB187" s="542">
        <v>-77716</v>
      </c>
      <c r="DC187" s="542">
        <v>0</v>
      </c>
      <c r="DD187" s="542">
        <v>-1534</v>
      </c>
      <c r="DE187" s="153" t="s">
        <v>709</v>
      </c>
      <c r="DF187" s="103" t="s">
        <v>770</v>
      </c>
      <c r="DG187" s="104" t="s">
        <v>805</v>
      </c>
      <c r="DH187" s="549" t="s">
        <v>1185</v>
      </c>
      <c r="DI187" s="549" t="s">
        <v>1186</v>
      </c>
    </row>
    <row r="188" spans="1:113" x14ac:dyDescent="0.2">
      <c r="A188" s="93">
        <v>182</v>
      </c>
      <c r="B188" s="145" t="s">
        <v>242</v>
      </c>
      <c r="C188" s="141" t="s">
        <v>866</v>
      </c>
      <c r="D188" s="142" t="s">
        <v>870</v>
      </c>
      <c r="E188" s="149" t="s">
        <v>241</v>
      </c>
      <c r="F188" s="542">
        <v>-70503</v>
      </c>
      <c r="G188" s="542">
        <v>0</v>
      </c>
      <c r="H188" s="542">
        <v>-70503</v>
      </c>
      <c r="I188" s="542">
        <v>77000</v>
      </c>
      <c r="J188" s="542">
        <v>0</v>
      </c>
      <c r="K188" s="542">
        <v>77000</v>
      </c>
      <c r="L188" s="542">
        <v>-147503</v>
      </c>
      <c r="M188" s="542">
        <v>0</v>
      </c>
      <c r="N188" s="542">
        <v>-147503</v>
      </c>
      <c r="O188" s="543">
        <v>0.5</v>
      </c>
      <c r="P188" s="543">
        <v>0.4</v>
      </c>
      <c r="Q188" s="543">
        <v>0.1</v>
      </c>
      <c r="R188" s="543">
        <v>0</v>
      </c>
      <c r="S188" s="542">
        <v>180795</v>
      </c>
      <c r="T188" s="542">
        <v>180795</v>
      </c>
      <c r="U188" s="542">
        <v>0</v>
      </c>
      <c r="V188" s="542">
        <v>0</v>
      </c>
      <c r="W188" s="542">
        <v>0</v>
      </c>
      <c r="X188" s="542">
        <v>0</v>
      </c>
      <c r="Y188" s="542">
        <v>0</v>
      </c>
      <c r="Z188" s="542">
        <v>0</v>
      </c>
      <c r="AA188" s="542">
        <v>0</v>
      </c>
      <c r="AB188" s="542">
        <v>0</v>
      </c>
      <c r="AC188" s="542">
        <v>0</v>
      </c>
      <c r="AD188" s="542">
        <v>0</v>
      </c>
      <c r="AE188" s="542">
        <v>0</v>
      </c>
      <c r="AF188" s="542">
        <v>0</v>
      </c>
      <c r="AG188" s="542">
        <v>0</v>
      </c>
      <c r="AH188" s="542">
        <v>0</v>
      </c>
      <c r="AI188" s="542">
        <v>0</v>
      </c>
      <c r="AJ188" s="542">
        <v>0</v>
      </c>
      <c r="AK188" s="542">
        <v>0</v>
      </c>
      <c r="AL188" s="542">
        <v>0</v>
      </c>
      <c r="AM188" s="542">
        <v>0</v>
      </c>
      <c r="AN188" s="542">
        <v>0</v>
      </c>
      <c r="AO188" s="542">
        <v>0</v>
      </c>
      <c r="AP188" s="542">
        <v>0</v>
      </c>
      <c r="AQ188" s="542">
        <v>507125.75099999999</v>
      </c>
      <c r="AR188" s="542">
        <v>126781.43700000001</v>
      </c>
      <c r="AS188" s="542">
        <v>0</v>
      </c>
      <c r="AT188" s="542">
        <v>478603</v>
      </c>
      <c r="AU188" s="542">
        <v>119651</v>
      </c>
      <c r="AV188" s="542">
        <v>0</v>
      </c>
      <c r="AW188" s="542">
        <v>28523</v>
      </c>
      <c r="AX188" s="542">
        <v>7130</v>
      </c>
      <c r="AY188" s="542">
        <v>0</v>
      </c>
      <c r="AZ188" s="542">
        <v>0</v>
      </c>
      <c r="BA188" s="542">
        <v>0</v>
      </c>
      <c r="BB188" s="542">
        <v>0</v>
      </c>
      <c r="BC188" s="542">
        <v>0</v>
      </c>
      <c r="BD188" s="542">
        <v>0</v>
      </c>
      <c r="BE188" s="542">
        <v>0</v>
      </c>
      <c r="BF188" s="542">
        <v>0</v>
      </c>
      <c r="BG188" s="542">
        <v>0</v>
      </c>
      <c r="BH188" s="542">
        <v>0</v>
      </c>
      <c r="BI188" s="542">
        <v>0</v>
      </c>
      <c r="BJ188" s="542">
        <v>0</v>
      </c>
      <c r="BK188" s="542">
        <v>0</v>
      </c>
      <c r="BL188" s="542">
        <v>0</v>
      </c>
      <c r="BM188" s="542">
        <v>0</v>
      </c>
      <c r="BN188" s="542">
        <v>0</v>
      </c>
      <c r="BO188" s="542">
        <v>0</v>
      </c>
      <c r="BP188" s="542">
        <v>0</v>
      </c>
      <c r="BQ188" s="542">
        <v>0</v>
      </c>
      <c r="BR188" s="542">
        <v>0</v>
      </c>
      <c r="BS188" s="542">
        <v>0</v>
      </c>
      <c r="BT188" s="542">
        <v>0</v>
      </c>
      <c r="BU188" s="542">
        <v>20212</v>
      </c>
      <c r="BV188" s="542">
        <v>5053</v>
      </c>
      <c r="BW188" s="542">
        <v>0</v>
      </c>
      <c r="BX188" s="542">
        <v>-20212</v>
      </c>
      <c r="BY188" s="542">
        <v>-5053</v>
      </c>
      <c r="BZ188" s="542">
        <v>0</v>
      </c>
      <c r="CA188" s="542">
        <v>191168.06700000001</v>
      </c>
      <c r="CB188" s="542">
        <v>47792.016900000002</v>
      </c>
      <c r="CC188" s="542">
        <v>0</v>
      </c>
      <c r="CD188" s="542">
        <v>242548</v>
      </c>
      <c r="CE188" s="542">
        <v>60637</v>
      </c>
      <c r="CF188" s="542">
        <v>0</v>
      </c>
      <c r="CG188" s="542">
        <v>-51380</v>
      </c>
      <c r="CH188" s="542">
        <v>-12845</v>
      </c>
      <c r="CI188" s="542">
        <v>0</v>
      </c>
      <c r="CJ188" s="542">
        <v>0</v>
      </c>
      <c r="CK188" s="542">
        <v>0</v>
      </c>
      <c r="CL188" s="542">
        <v>0</v>
      </c>
      <c r="CM188" s="542">
        <v>1330.3745200000001</v>
      </c>
      <c r="CN188" s="542">
        <v>332.59363000000002</v>
      </c>
      <c r="CO188" s="542">
        <v>0</v>
      </c>
      <c r="CP188" s="542">
        <v>436</v>
      </c>
      <c r="CQ188" s="542">
        <v>109</v>
      </c>
      <c r="CR188" s="542">
        <v>0</v>
      </c>
      <c r="CS188" s="542">
        <v>894</v>
      </c>
      <c r="CT188" s="542">
        <v>224</v>
      </c>
      <c r="CU188" s="542">
        <v>0</v>
      </c>
      <c r="CV188" s="542">
        <v>154588.823</v>
      </c>
      <c r="CW188" s="542">
        <v>38647.205900000001</v>
      </c>
      <c r="CX188" s="542">
        <v>0</v>
      </c>
      <c r="CY188" s="542">
        <v>161425</v>
      </c>
      <c r="CZ188" s="542">
        <v>39877</v>
      </c>
      <c r="DA188" s="542">
        <v>0</v>
      </c>
      <c r="DB188" s="542">
        <v>-6836</v>
      </c>
      <c r="DC188" s="542">
        <v>-1230</v>
      </c>
      <c r="DD188" s="542">
        <v>0</v>
      </c>
      <c r="DE188" s="153" t="s">
        <v>241</v>
      </c>
      <c r="DF188" s="103" t="s">
        <v>788</v>
      </c>
      <c r="DG188" s="104" t="s">
        <v>751</v>
      </c>
      <c r="DH188" s="547"/>
      <c r="DI188" s="547"/>
    </row>
    <row r="189" spans="1:113" x14ac:dyDescent="0.2">
      <c r="A189" s="93">
        <v>183</v>
      </c>
      <c r="B189" s="145" t="s">
        <v>244</v>
      </c>
      <c r="C189" s="141" t="s">
        <v>866</v>
      </c>
      <c r="D189" s="142" t="s">
        <v>869</v>
      </c>
      <c r="E189" s="149" t="s">
        <v>243</v>
      </c>
      <c r="F189" s="542">
        <v>-247364</v>
      </c>
      <c r="G189" s="542">
        <v>0</v>
      </c>
      <c r="H189" s="542">
        <v>-247364</v>
      </c>
      <c r="I189" s="542">
        <v>19391</v>
      </c>
      <c r="J189" s="542">
        <v>0</v>
      </c>
      <c r="K189" s="542">
        <v>19391</v>
      </c>
      <c r="L189" s="542">
        <v>-266755</v>
      </c>
      <c r="M189" s="542">
        <v>0</v>
      </c>
      <c r="N189" s="542">
        <v>-266755</v>
      </c>
      <c r="O189" s="543">
        <v>0.5</v>
      </c>
      <c r="P189" s="543">
        <v>0.4</v>
      </c>
      <c r="Q189" s="543">
        <v>0.1</v>
      </c>
      <c r="R189" s="543">
        <v>0</v>
      </c>
      <c r="S189" s="542">
        <v>122926</v>
      </c>
      <c r="T189" s="542">
        <v>122926</v>
      </c>
      <c r="U189" s="542">
        <v>0</v>
      </c>
      <c r="V189" s="542">
        <v>0</v>
      </c>
      <c r="W189" s="542">
        <v>0</v>
      </c>
      <c r="X189" s="542">
        <v>0</v>
      </c>
      <c r="Y189" s="542">
        <v>796908</v>
      </c>
      <c r="Z189" s="542">
        <v>138925</v>
      </c>
      <c r="AA189" s="542">
        <v>300000</v>
      </c>
      <c r="AB189" s="542">
        <v>0</v>
      </c>
      <c r="AC189" s="542">
        <v>496908</v>
      </c>
      <c r="AD189" s="542">
        <v>138925</v>
      </c>
      <c r="AE189" s="542">
        <v>0</v>
      </c>
      <c r="AF189" s="542">
        <v>0</v>
      </c>
      <c r="AG189" s="542">
        <v>0</v>
      </c>
      <c r="AH189" s="542">
        <v>0</v>
      </c>
      <c r="AI189" s="542">
        <v>0</v>
      </c>
      <c r="AJ189" s="542">
        <v>0</v>
      </c>
      <c r="AK189" s="542">
        <v>0</v>
      </c>
      <c r="AL189" s="542">
        <v>0</v>
      </c>
      <c r="AM189" s="542">
        <v>0</v>
      </c>
      <c r="AN189" s="542">
        <v>0</v>
      </c>
      <c r="AO189" s="542">
        <v>0</v>
      </c>
      <c r="AP189" s="542">
        <v>0</v>
      </c>
      <c r="AQ189" s="542">
        <v>443597.84</v>
      </c>
      <c r="AR189" s="542">
        <v>110899.46</v>
      </c>
      <c r="AS189" s="542">
        <v>0</v>
      </c>
      <c r="AT189" s="542">
        <v>432434</v>
      </c>
      <c r="AU189" s="542">
        <v>108108</v>
      </c>
      <c r="AV189" s="542">
        <v>0</v>
      </c>
      <c r="AW189" s="542">
        <v>11164</v>
      </c>
      <c r="AX189" s="542">
        <v>2791</v>
      </c>
      <c r="AY189" s="542">
        <v>0</v>
      </c>
      <c r="AZ189" s="542">
        <v>1700.26</v>
      </c>
      <c r="BA189" s="542">
        <v>425.06</v>
      </c>
      <c r="BB189" s="542">
        <v>0</v>
      </c>
      <c r="BC189" s="542">
        <v>2022</v>
      </c>
      <c r="BD189" s="542">
        <v>505</v>
      </c>
      <c r="BE189" s="542">
        <v>0</v>
      </c>
      <c r="BF189" s="542">
        <v>-322</v>
      </c>
      <c r="BG189" s="542">
        <v>-80</v>
      </c>
      <c r="BH189" s="542">
        <v>0</v>
      </c>
      <c r="BI189" s="542">
        <v>5858.74</v>
      </c>
      <c r="BJ189" s="542">
        <v>1464.69</v>
      </c>
      <c r="BK189" s="542">
        <v>0</v>
      </c>
      <c r="BL189" s="542">
        <v>20212</v>
      </c>
      <c r="BM189" s="542">
        <v>5053</v>
      </c>
      <c r="BN189" s="542">
        <v>0</v>
      </c>
      <c r="BO189" s="542">
        <v>-14353</v>
      </c>
      <c r="BP189" s="542">
        <v>-3588</v>
      </c>
      <c r="BQ189" s="542">
        <v>0</v>
      </c>
      <c r="BR189" s="542">
        <v>6478.86</v>
      </c>
      <c r="BS189" s="542">
        <v>1619.71</v>
      </c>
      <c r="BT189" s="542">
        <v>0</v>
      </c>
      <c r="BU189" s="542">
        <v>14553</v>
      </c>
      <c r="BV189" s="542">
        <v>3638</v>
      </c>
      <c r="BW189" s="542">
        <v>0</v>
      </c>
      <c r="BX189" s="542">
        <v>-8074</v>
      </c>
      <c r="BY189" s="542">
        <v>-2018</v>
      </c>
      <c r="BZ189" s="542">
        <v>0</v>
      </c>
      <c r="CA189" s="542">
        <v>74307.740000000005</v>
      </c>
      <c r="CB189" s="542">
        <v>18576.939999999999</v>
      </c>
      <c r="CC189" s="542">
        <v>0</v>
      </c>
      <c r="CD189" s="542">
        <v>161698</v>
      </c>
      <c r="CE189" s="542">
        <v>40425</v>
      </c>
      <c r="CF189" s="542">
        <v>0</v>
      </c>
      <c r="CG189" s="542">
        <v>-87390</v>
      </c>
      <c r="CH189" s="542">
        <v>-21848</v>
      </c>
      <c r="CI189" s="542">
        <v>0</v>
      </c>
      <c r="CJ189" s="542">
        <v>0</v>
      </c>
      <c r="CK189" s="542">
        <v>0</v>
      </c>
      <c r="CL189" s="542">
        <v>0</v>
      </c>
      <c r="CM189" s="542">
        <v>0</v>
      </c>
      <c r="CN189" s="542">
        <v>0</v>
      </c>
      <c r="CO189" s="542">
        <v>0</v>
      </c>
      <c r="CP189" s="542">
        <v>0</v>
      </c>
      <c r="CQ189" s="542">
        <v>0</v>
      </c>
      <c r="CR189" s="542">
        <v>0</v>
      </c>
      <c r="CS189" s="542">
        <v>0</v>
      </c>
      <c r="CT189" s="542">
        <v>0</v>
      </c>
      <c r="CU189" s="542">
        <v>0</v>
      </c>
      <c r="CV189" s="542">
        <v>96160.02</v>
      </c>
      <c r="CW189" s="542">
        <v>23399.86</v>
      </c>
      <c r="CX189" s="542">
        <v>0</v>
      </c>
      <c r="CY189" s="542">
        <v>100843</v>
      </c>
      <c r="CZ189" s="542">
        <v>24088</v>
      </c>
      <c r="DA189" s="542">
        <v>0</v>
      </c>
      <c r="DB189" s="542">
        <v>-4683</v>
      </c>
      <c r="DC189" s="542">
        <v>-688</v>
      </c>
      <c r="DD189" s="542">
        <v>0</v>
      </c>
      <c r="DE189" s="153" t="s">
        <v>243</v>
      </c>
      <c r="DF189" s="103" t="s">
        <v>778</v>
      </c>
      <c r="DG189" s="104" t="s">
        <v>751</v>
      </c>
      <c r="DH189" s="547"/>
      <c r="DI189" s="547"/>
    </row>
    <row r="190" spans="1:113" x14ac:dyDescent="0.2">
      <c r="A190" s="93">
        <v>184</v>
      </c>
      <c r="B190" s="145" t="s">
        <v>246</v>
      </c>
      <c r="C190" s="141" t="s">
        <v>770</v>
      </c>
      <c r="D190" s="142" t="s">
        <v>874</v>
      </c>
      <c r="E190" s="149" t="s">
        <v>710</v>
      </c>
      <c r="F190" s="542">
        <v>-273995</v>
      </c>
      <c r="G190" s="542">
        <v>9347</v>
      </c>
      <c r="H190" s="542">
        <v>-264648</v>
      </c>
      <c r="I190" s="542">
        <v>398427</v>
      </c>
      <c r="J190" s="542">
        <v>0</v>
      </c>
      <c r="K190" s="542">
        <v>398427</v>
      </c>
      <c r="L190" s="542">
        <v>-672422</v>
      </c>
      <c r="M190" s="542">
        <v>9347</v>
      </c>
      <c r="N190" s="542">
        <v>-663075</v>
      </c>
      <c r="O190" s="543">
        <v>0.5</v>
      </c>
      <c r="P190" s="543">
        <v>0.49</v>
      </c>
      <c r="Q190" s="543">
        <v>0</v>
      </c>
      <c r="R190" s="543">
        <v>0.01</v>
      </c>
      <c r="S190" s="542">
        <v>252128</v>
      </c>
      <c r="T190" s="542">
        <v>252128</v>
      </c>
      <c r="U190" s="542">
        <v>0</v>
      </c>
      <c r="V190" s="542">
        <v>18287</v>
      </c>
      <c r="W190" s="542">
        <v>0</v>
      </c>
      <c r="X190" s="542">
        <v>18287</v>
      </c>
      <c r="Y190" s="542">
        <v>747176</v>
      </c>
      <c r="Z190" s="542">
        <v>0</v>
      </c>
      <c r="AA190" s="542">
        <v>832660</v>
      </c>
      <c r="AB190" s="542">
        <v>0</v>
      </c>
      <c r="AC190" s="542">
        <v>-85484</v>
      </c>
      <c r="AD190" s="542">
        <v>0</v>
      </c>
      <c r="AE190" s="542">
        <v>0</v>
      </c>
      <c r="AF190" s="542">
        <v>0</v>
      </c>
      <c r="AG190" s="542">
        <v>0</v>
      </c>
      <c r="AH190" s="542">
        <v>0</v>
      </c>
      <c r="AI190" s="542">
        <v>0</v>
      </c>
      <c r="AJ190" s="542">
        <v>0</v>
      </c>
      <c r="AK190" s="542">
        <v>0</v>
      </c>
      <c r="AL190" s="542">
        <v>0</v>
      </c>
      <c r="AM190" s="542">
        <v>0</v>
      </c>
      <c r="AN190" s="542">
        <v>0</v>
      </c>
      <c r="AO190" s="542">
        <v>0</v>
      </c>
      <c r="AP190" s="542">
        <v>0</v>
      </c>
      <c r="AQ190" s="542">
        <v>867286.6</v>
      </c>
      <c r="AR190" s="542">
        <v>0</v>
      </c>
      <c r="AS190" s="542">
        <v>17699.73</v>
      </c>
      <c r="AT190" s="542">
        <v>798205</v>
      </c>
      <c r="AU190" s="542">
        <v>0</v>
      </c>
      <c r="AV190" s="542">
        <v>16290</v>
      </c>
      <c r="AW190" s="542">
        <v>69082</v>
      </c>
      <c r="AX190" s="542">
        <v>0</v>
      </c>
      <c r="AY190" s="542">
        <v>1410</v>
      </c>
      <c r="AZ190" s="542">
        <v>5820.11</v>
      </c>
      <c r="BA190" s="542">
        <v>0</v>
      </c>
      <c r="BB190" s="542">
        <v>118.78</v>
      </c>
      <c r="BC190" s="542">
        <v>24760</v>
      </c>
      <c r="BD190" s="542">
        <v>0</v>
      </c>
      <c r="BE190" s="542">
        <v>505</v>
      </c>
      <c r="BF190" s="542">
        <v>-18940</v>
      </c>
      <c r="BG190" s="542">
        <v>0</v>
      </c>
      <c r="BH190" s="542">
        <v>-386</v>
      </c>
      <c r="BI190" s="542">
        <v>0</v>
      </c>
      <c r="BJ190" s="542">
        <v>0</v>
      </c>
      <c r="BK190" s="542">
        <v>0</v>
      </c>
      <c r="BL190" s="542">
        <v>0</v>
      </c>
      <c r="BM190" s="542">
        <v>0</v>
      </c>
      <c r="BN190" s="542">
        <v>0</v>
      </c>
      <c r="BO190" s="542">
        <v>0</v>
      </c>
      <c r="BP190" s="542">
        <v>0</v>
      </c>
      <c r="BQ190" s="542">
        <v>0</v>
      </c>
      <c r="BR190" s="542">
        <v>1871.86</v>
      </c>
      <c r="BS190" s="542">
        <v>0</v>
      </c>
      <c r="BT190" s="542">
        <v>38.200000000000003</v>
      </c>
      <c r="BU190" s="542">
        <v>46053.760000000002</v>
      </c>
      <c r="BV190" s="542">
        <v>0</v>
      </c>
      <c r="BW190" s="542">
        <v>939.87</v>
      </c>
      <c r="BX190" s="542">
        <v>-44182</v>
      </c>
      <c r="BY190" s="542">
        <v>0</v>
      </c>
      <c r="BZ190" s="542">
        <v>-902</v>
      </c>
      <c r="CA190" s="542">
        <v>211582.85</v>
      </c>
      <c r="CB190" s="542">
        <v>0</v>
      </c>
      <c r="CC190" s="542">
        <v>4318.0200000000004</v>
      </c>
      <c r="CD190" s="542">
        <v>328318.73</v>
      </c>
      <c r="CE190" s="542">
        <v>0</v>
      </c>
      <c r="CF190" s="542">
        <v>6700.38</v>
      </c>
      <c r="CG190" s="542">
        <v>-116736</v>
      </c>
      <c r="CH190" s="542">
        <v>0</v>
      </c>
      <c r="CI190" s="542">
        <v>-2382</v>
      </c>
      <c r="CJ190" s="542">
        <v>0</v>
      </c>
      <c r="CK190" s="542">
        <v>0</v>
      </c>
      <c r="CL190" s="542">
        <v>0</v>
      </c>
      <c r="CM190" s="542">
        <v>33783.65</v>
      </c>
      <c r="CN190" s="542">
        <v>0</v>
      </c>
      <c r="CO190" s="542">
        <v>689.46</v>
      </c>
      <c r="CP190" s="542">
        <v>32043</v>
      </c>
      <c r="CQ190" s="542">
        <v>0</v>
      </c>
      <c r="CR190" s="542">
        <v>653.92999999999995</v>
      </c>
      <c r="CS190" s="542">
        <v>1741</v>
      </c>
      <c r="CT190" s="542">
        <v>0</v>
      </c>
      <c r="CU190" s="542">
        <v>36</v>
      </c>
      <c r="CV190" s="542">
        <v>449855.03</v>
      </c>
      <c r="CW190" s="542">
        <v>0</v>
      </c>
      <c r="CX190" s="542">
        <v>9014.8799999999992</v>
      </c>
      <c r="CY190" s="542">
        <v>443477</v>
      </c>
      <c r="CZ190" s="542">
        <v>0</v>
      </c>
      <c r="DA190" s="542">
        <v>8816</v>
      </c>
      <c r="DB190" s="542">
        <v>6378</v>
      </c>
      <c r="DC190" s="542">
        <v>0</v>
      </c>
      <c r="DD190" s="542">
        <v>199</v>
      </c>
      <c r="DE190" s="153" t="s">
        <v>710</v>
      </c>
      <c r="DF190" s="103" t="s">
        <v>770</v>
      </c>
      <c r="DG190" s="104" t="s">
        <v>805</v>
      </c>
      <c r="DH190" s="549" t="s">
        <v>1186</v>
      </c>
      <c r="DI190" s="549"/>
    </row>
    <row r="191" spans="1:113" x14ac:dyDescent="0.2">
      <c r="A191" s="93">
        <v>185</v>
      </c>
      <c r="B191" s="145" t="s">
        <v>248</v>
      </c>
      <c r="C191" s="141" t="s">
        <v>866</v>
      </c>
      <c r="D191" s="142" t="s">
        <v>870</v>
      </c>
      <c r="E191" s="149" t="s">
        <v>247</v>
      </c>
      <c r="F191" s="542">
        <v>54202</v>
      </c>
      <c r="G191" s="542">
        <v>0</v>
      </c>
      <c r="H191" s="542">
        <v>54202</v>
      </c>
      <c r="I191" s="542">
        <v>179360</v>
      </c>
      <c r="J191" s="542">
        <v>0</v>
      </c>
      <c r="K191" s="542">
        <v>179360</v>
      </c>
      <c r="L191" s="542">
        <v>-125158</v>
      </c>
      <c r="M191" s="542">
        <v>0</v>
      </c>
      <c r="N191" s="542">
        <v>-125158</v>
      </c>
      <c r="O191" s="543">
        <v>0.5</v>
      </c>
      <c r="P191" s="543">
        <v>0.4</v>
      </c>
      <c r="Q191" s="543">
        <v>0.1</v>
      </c>
      <c r="R191" s="543">
        <v>0</v>
      </c>
      <c r="S191" s="542">
        <v>233476</v>
      </c>
      <c r="T191" s="542">
        <v>233476</v>
      </c>
      <c r="U191" s="542">
        <v>0</v>
      </c>
      <c r="V191" s="542">
        <v>0</v>
      </c>
      <c r="W191" s="542">
        <v>0</v>
      </c>
      <c r="X191" s="542">
        <v>0</v>
      </c>
      <c r="Y191" s="542">
        <v>203715</v>
      </c>
      <c r="Z191" s="542">
        <v>0</v>
      </c>
      <c r="AA191" s="542">
        <v>46012</v>
      </c>
      <c r="AB191" s="542">
        <v>0</v>
      </c>
      <c r="AC191" s="542">
        <v>157703</v>
      </c>
      <c r="AD191" s="542">
        <v>0</v>
      </c>
      <c r="AE191" s="542">
        <v>0</v>
      </c>
      <c r="AF191" s="542">
        <v>0</v>
      </c>
      <c r="AG191" s="542">
        <v>0</v>
      </c>
      <c r="AH191" s="542">
        <v>0</v>
      </c>
      <c r="AI191" s="542">
        <v>0</v>
      </c>
      <c r="AJ191" s="542">
        <v>0</v>
      </c>
      <c r="AK191" s="542">
        <v>0</v>
      </c>
      <c r="AL191" s="542">
        <v>0</v>
      </c>
      <c r="AM191" s="542">
        <v>0</v>
      </c>
      <c r="AN191" s="542">
        <v>0</v>
      </c>
      <c r="AO191" s="542">
        <v>0</v>
      </c>
      <c r="AP191" s="542">
        <v>0</v>
      </c>
      <c r="AQ191" s="542">
        <v>860032.15099999995</v>
      </c>
      <c r="AR191" s="542">
        <v>215008.03700000001</v>
      </c>
      <c r="AS191" s="542">
        <v>0</v>
      </c>
      <c r="AT191" s="542">
        <v>697189</v>
      </c>
      <c r="AU191" s="542">
        <v>174297</v>
      </c>
      <c r="AV191" s="542">
        <v>0</v>
      </c>
      <c r="AW191" s="542">
        <v>162843</v>
      </c>
      <c r="AX191" s="542">
        <v>40711</v>
      </c>
      <c r="AY191" s="542">
        <v>0</v>
      </c>
      <c r="AZ191" s="542">
        <v>3980.6131599999999</v>
      </c>
      <c r="BA191" s="542">
        <v>995.15328999999997</v>
      </c>
      <c r="BB191" s="542">
        <v>0</v>
      </c>
      <c r="BC191" s="542">
        <v>8894</v>
      </c>
      <c r="BD191" s="542">
        <v>2223</v>
      </c>
      <c r="BE191" s="542">
        <v>0</v>
      </c>
      <c r="BF191" s="542">
        <v>-4913</v>
      </c>
      <c r="BG191" s="542">
        <v>-1228</v>
      </c>
      <c r="BH191" s="542">
        <v>0</v>
      </c>
      <c r="BI191" s="542">
        <v>6242.7753700000003</v>
      </c>
      <c r="BJ191" s="542">
        <v>1560.6938399999999</v>
      </c>
      <c r="BK191" s="542">
        <v>0</v>
      </c>
      <c r="BL191" s="542">
        <v>2022</v>
      </c>
      <c r="BM191" s="542">
        <v>505</v>
      </c>
      <c r="BN191" s="542">
        <v>0</v>
      </c>
      <c r="BO191" s="542">
        <v>4221</v>
      </c>
      <c r="BP191" s="542">
        <v>1056</v>
      </c>
      <c r="BQ191" s="542">
        <v>0</v>
      </c>
      <c r="BR191" s="542">
        <v>0</v>
      </c>
      <c r="BS191" s="542">
        <v>0</v>
      </c>
      <c r="BT191" s="542">
        <v>0</v>
      </c>
      <c r="BU191" s="542">
        <v>30318.471300000001</v>
      </c>
      <c r="BV191" s="542">
        <v>7579.6178300000001</v>
      </c>
      <c r="BW191" s="542">
        <v>0</v>
      </c>
      <c r="BX191" s="542">
        <v>-30318</v>
      </c>
      <c r="BY191" s="542">
        <v>-7580</v>
      </c>
      <c r="BZ191" s="542">
        <v>0</v>
      </c>
      <c r="CA191" s="542">
        <v>308827.587</v>
      </c>
      <c r="CB191" s="542">
        <v>77206.896800000002</v>
      </c>
      <c r="CC191" s="542">
        <v>0</v>
      </c>
      <c r="CD191" s="542">
        <v>362608.91700000002</v>
      </c>
      <c r="CE191" s="542">
        <v>90652.229300000006</v>
      </c>
      <c r="CF191" s="542">
        <v>0</v>
      </c>
      <c r="CG191" s="542">
        <v>-53781</v>
      </c>
      <c r="CH191" s="542">
        <v>-13445</v>
      </c>
      <c r="CI191" s="542">
        <v>0</v>
      </c>
      <c r="CJ191" s="542">
        <v>0</v>
      </c>
      <c r="CK191" s="542">
        <v>0</v>
      </c>
      <c r="CL191" s="542">
        <v>0</v>
      </c>
      <c r="CM191" s="542">
        <v>42120.441599999998</v>
      </c>
      <c r="CN191" s="542">
        <v>10530.1104</v>
      </c>
      <c r="CO191" s="542">
        <v>0</v>
      </c>
      <c r="CP191" s="542">
        <v>0</v>
      </c>
      <c r="CQ191" s="542">
        <v>0</v>
      </c>
      <c r="CR191" s="542">
        <v>0</v>
      </c>
      <c r="CS191" s="542">
        <v>42120</v>
      </c>
      <c r="CT191" s="542">
        <v>10530</v>
      </c>
      <c r="CU191" s="542">
        <v>0</v>
      </c>
      <c r="CV191" s="542">
        <v>97343.012700000007</v>
      </c>
      <c r="CW191" s="542">
        <v>23795.108199999999</v>
      </c>
      <c r="CX191" s="542">
        <v>0</v>
      </c>
      <c r="CY191" s="542">
        <v>106196</v>
      </c>
      <c r="CZ191" s="542">
        <v>25807</v>
      </c>
      <c r="DA191" s="542">
        <v>0</v>
      </c>
      <c r="DB191" s="542">
        <v>-8853</v>
      </c>
      <c r="DC191" s="542">
        <v>-2012</v>
      </c>
      <c r="DD191" s="542">
        <v>0</v>
      </c>
      <c r="DE191" s="153" t="s">
        <v>247</v>
      </c>
      <c r="DF191" s="103" t="s">
        <v>782</v>
      </c>
      <c r="DG191" s="104" t="s">
        <v>751</v>
      </c>
      <c r="DH191" s="547"/>
      <c r="DI191" s="547"/>
    </row>
    <row r="192" spans="1:113" x14ac:dyDescent="0.2">
      <c r="A192" s="93">
        <v>186</v>
      </c>
      <c r="B192" s="145" t="s">
        <v>250</v>
      </c>
      <c r="C192" s="141" t="s">
        <v>770</v>
      </c>
      <c r="D192" s="142" t="s">
        <v>875</v>
      </c>
      <c r="E192" s="149" t="s">
        <v>711</v>
      </c>
      <c r="F192" s="542">
        <v>43055</v>
      </c>
      <c r="G192" s="542">
        <v>-2262</v>
      </c>
      <c r="H192" s="542">
        <v>40793</v>
      </c>
      <c r="I192" s="542">
        <v>104805</v>
      </c>
      <c r="J192" s="542">
        <v>385</v>
      </c>
      <c r="K192" s="542">
        <v>105190</v>
      </c>
      <c r="L192" s="542">
        <v>-61750</v>
      </c>
      <c r="M192" s="542">
        <v>-2647</v>
      </c>
      <c r="N192" s="542">
        <v>-64397</v>
      </c>
      <c r="O192" s="543">
        <v>0.5</v>
      </c>
      <c r="P192" s="543">
        <v>0.49</v>
      </c>
      <c r="Q192" s="543">
        <v>0</v>
      </c>
      <c r="R192" s="543">
        <v>0.01</v>
      </c>
      <c r="S192" s="542">
        <v>258158</v>
      </c>
      <c r="T192" s="542">
        <v>258158</v>
      </c>
      <c r="U192" s="542">
        <v>0</v>
      </c>
      <c r="V192" s="542">
        <v>67276</v>
      </c>
      <c r="W192" s="542">
        <v>135355</v>
      </c>
      <c r="X192" s="542">
        <v>-68079</v>
      </c>
      <c r="Y192" s="542">
        <v>12713</v>
      </c>
      <c r="Z192" s="542">
        <v>0</v>
      </c>
      <c r="AA192" s="542">
        <v>0</v>
      </c>
      <c r="AB192" s="542">
        <v>0</v>
      </c>
      <c r="AC192" s="542">
        <v>12713</v>
      </c>
      <c r="AD192" s="542">
        <v>0</v>
      </c>
      <c r="AE192" s="542">
        <v>0</v>
      </c>
      <c r="AF192" s="542">
        <v>0</v>
      </c>
      <c r="AG192" s="542">
        <v>0</v>
      </c>
      <c r="AH192" s="542">
        <v>0</v>
      </c>
      <c r="AI192" s="542">
        <v>0</v>
      </c>
      <c r="AJ192" s="542">
        <v>0</v>
      </c>
      <c r="AK192" s="542">
        <v>0</v>
      </c>
      <c r="AL192" s="542">
        <v>0</v>
      </c>
      <c r="AM192" s="542">
        <v>0</v>
      </c>
      <c r="AN192" s="542">
        <v>0</v>
      </c>
      <c r="AO192" s="542">
        <v>0</v>
      </c>
      <c r="AP192" s="542">
        <v>0</v>
      </c>
      <c r="AQ192" s="542">
        <v>1016539.36</v>
      </c>
      <c r="AR192" s="542">
        <v>0</v>
      </c>
      <c r="AS192" s="542">
        <v>20419.060000000001</v>
      </c>
      <c r="AT192" s="542">
        <v>866825</v>
      </c>
      <c r="AU192" s="542">
        <v>0</v>
      </c>
      <c r="AV192" s="542">
        <v>17690</v>
      </c>
      <c r="AW192" s="542">
        <v>149714</v>
      </c>
      <c r="AX192" s="542">
        <v>0</v>
      </c>
      <c r="AY192" s="542">
        <v>2729</v>
      </c>
      <c r="AZ192" s="542">
        <v>0</v>
      </c>
      <c r="BA192" s="542">
        <v>0</v>
      </c>
      <c r="BB192" s="542">
        <v>0</v>
      </c>
      <c r="BC192" s="542">
        <v>90715</v>
      </c>
      <c r="BD192" s="542">
        <v>0</v>
      </c>
      <c r="BE192" s="542">
        <v>1851</v>
      </c>
      <c r="BF192" s="542">
        <v>-90715</v>
      </c>
      <c r="BG192" s="542">
        <v>0</v>
      </c>
      <c r="BH192" s="542">
        <v>-1851</v>
      </c>
      <c r="BI192" s="542">
        <v>89762.36</v>
      </c>
      <c r="BJ192" s="542">
        <v>0</v>
      </c>
      <c r="BK192" s="542">
        <v>1228.42</v>
      </c>
      <c r="BL192" s="542">
        <v>90364</v>
      </c>
      <c r="BM192" s="542">
        <v>0</v>
      </c>
      <c r="BN192" s="542">
        <v>1844</v>
      </c>
      <c r="BO192" s="542">
        <v>-602</v>
      </c>
      <c r="BP192" s="542">
        <v>0</v>
      </c>
      <c r="BQ192" s="542">
        <v>-616</v>
      </c>
      <c r="BR192" s="542">
        <v>1466.79</v>
      </c>
      <c r="BS192" s="542">
        <v>0</v>
      </c>
      <c r="BT192" s="542">
        <v>29.93</v>
      </c>
      <c r="BU192" s="542">
        <v>12480</v>
      </c>
      <c r="BV192" s="542">
        <v>0</v>
      </c>
      <c r="BW192" s="542">
        <v>255</v>
      </c>
      <c r="BX192" s="542">
        <v>-11013</v>
      </c>
      <c r="BY192" s="542">
        <v>0</v>
      </c>
      <c r="BZ192" s="542">
        <v>-225</v>
      </c>
      <c r="CA192" s="542">
        <v>241761.74</v>
      </c>
      <c r="CB192" s="542">
        <v>0</v>
      </c>
      <c r="CC192" s="542">
        <v>4892.66</v>
      </c>
      <c r="CD192" s="542">
        <v>466660</v>
      </c>
      <c r="CE192" s="542">
        <v>0</v>
      </c>
      <c r="CF192" s="542">
        <v>9524</v>
      </c>
      <c r="CG192" s="542">
        <v>-224898</v>
      </c>
      <c r="CH192" s="542">
        <v>0</v>
      </c>
      <c r="CI192" s="542">
        <v>-4631</v>
      </c>
      <c r="CJ192" s="542">
        <v>0</v>
      </c>
      <c r="CK192" s="542">
        <v>0</v>
      </c>
      <c r="CL192" s="542">
        <v>0</v>
      </c>
      <c r="CM192" s="542">
        <v>0</v>
      </c>
      <c r="CN192" s="542">
        <v>0</v>
      </c>
      <c r="CO192" s="542">
        <v>0</v>
      </c>
      <c r="CP192" s="542">
        <v>0</v>
      </c>
      <c r="CQ192" s="542">
        <v>0</v>
      </c>
      <c r="CR192" s="542">
        <v>0</v>
      </c>
      <c r="CS192" s="542">
        <v>0</v>
      </c>
      <c r="CT192" s="542">
        <v>0</v>
      </c>
      <c r="CU192" s="542">
        <v>0</v>
      </c>
      <c r="CV192" s="542">
        <v>295208.94</v>
      </c>
      <c r="CW192" s="542">
        <v>0</v>
      </c>
      <c r="CX192" s="542">
        <v>6007.34</v>
      </c>
      <c r="CY192" s="542">
        <v>294012</v>
      </c>
      <c r="CZ192" s="542">
        <v>0</v>
      </c>
      <c r="DA192" s="542">
        <v>5915</v>
      </c>
      <c r="DB192" s="542">
        <v>1197</v>
      </c>
      <c r="DC192" s="542">
        <v>0</v>
      </c>
      <c r="DD192" s="542">
        <v>92</v>
      </c>
      <c r="DE192" s="153" t="s">
        <v>711</v>
      </c>
      <c r="DF192" s="103" t="s">
        <v>770</v>
      </c>
      <c r="DG192" s="104" t="s">
        <v>771</v>
      </c>
      <c r="DH192" s="549" t="s">
        <v>1178</v>
      </c>
      <c r="DI192" s="549"/>
    </row>
    <row r="193" spans="1:113" x14ac:dyDescent="0.2">
      <c r="A193" s="93">
        <v>187</v>
      </c>
      <c r="B193" s="145" t="s">
        <v>252</v>
      </c>
      <c r="C193" s="141" t="s">
        <v>873</v>
      </c>
      <c r="D193" s="142" t="s">
        <v>878</v>
      </c>
      <c r="E193" s="149" t="s">
        <v>251</v>
      </c>
      <c r="F193" s="542">
        <v>-3321290</v>
      </c>
      <c r="G193" s="542">
        <v>0</v>
      </c>
      <c r="H193" s="542">
        <v>-3321290</v>
      </c>
      <c r="I193" s="542">
        <v>3088</v>
      </c>
      <c r="J193" s="542">
        <v>0</v>
      </c>
      <c r="K193" s="542">
        <v>3088</v>
      </c>
      <c r="L193" s="542">
        <v>-3324378</v>
      </c>
      <c r="M193" s="542">
        <v>0</v>
      </c>
      <c r="N193" s="542">
        <v>-3324378</v>
      </c>
      <c r="O193" s="543">
        <v>0.5</v>
      </c>
      <c r="P193" s="543">
        <v>0.49</v>
      </c>
      <c r="Q193" s="543">
        <v>0</v>
      </c>
      <c r="R193" s="543">
        <v>0.01</v>
      </c>
      <c r="S193" s="542">
        <v>229556</v>
      </c>
      <c r="T193" s="542">
        <v>229556</v>
      </c>
      <c r="U193" s="542">
        <v>0</v>
      </c>
      <c r="V193" s="542">
        <v>54942</v>
      </c>
      <c r="W193" s="542">
        <v>19833</v>
      </c>
      <c r="X193" s="542">
        <v>35109</v>
      </c>
      <c r="Y193" s="542">
        <v>0</v>
      </c>
      <c r="Z193" s="542">
        <v>0</v>
      </c>
      <c r="AA193" s="542">
        <v>0</v>
      </c>
      <c r="AB193" s="542">
        <v>0</v>
      </c>
      <c r="AC193" s="542">
        <v>0</v>
      </c>
      <c r="AD193" s="542">
        <v>0</v>
      </c>
      <c r="AE193" s="542">
        <v>141603.43</v>
      </c>
      <c r="AF193" s="542">
        <v>141603.43</v>
      </c>
      <c r="AG193" s="542">
        <v>0</v>
      </c>
      <c r="AH193" s="542">
        <v>0</v>
      </c>
      <c r="AI193" s="542">
        <v>0</v>
      </c>
      <c r="AJ193" s="542">
        <v>0</v>
      </c>
      <c r="AK193" s="542">
        <v>0</v>
      </c>
      <c r="AL193" s="542">
        <v>0</v>
      </c>
      <c r="AM193" s="542">
        <v>141603</v>
      </c>
      <c r="AN193" s="542">
        <v>141603</v>
      </c>
      <c r="AO193" s="542">
        <v>0</v>
      </c>
      <c r="AP193" s="542">
        <v>0</v>
      </c>
      <c r="AQ193" s="542">
        <v>852074.68</v>
      </c>
      <c r="AR193" s="542">
        <v>0</v>
      </c>
      <c r="AS193" s="542">
        <v>17361.3</v>
      </c>
      <c r="AT193" s="542">
        <v>789188</v>
      </c>
      <c r="AU193" s="542">
        <v>0</v>
      </c>
      <c r="AV193" s="542">
        <v>16106</v>
      </c>
      <c r="AW193" s="542">
        <v>62887</v>
      </c>
      <c r="AX193" s="542">
        <v>0</v>
      </c>
      <c r="AY193" s="542">
        <v>1255</v>
      </c>
      <c r="AZ193" s="542">
        <v>6872.41</v>
      </c>
      <c r="BA193" s="542">
        <v>0</v>
      </c>
      <c r="BB193" s="542">
        <v>140.25</v>
      </c>
      <c r="BC193" s="542">
        <v>0</v>
      </c>
      <c r="BD193" s="542">
        <v>0</v>
      </c>
      <c r="BE193" s="542">
        <v>0</v>
      </c>
      <c r="BF193" s="542">
        <v>6872</v>
      </c>
      <c r="BG193" s="542">
        <v>0</v>
      </c>
      <c r="BH193" s="542">
        <v>140</v>
      </c>
      <c r="BI193" s="542">
        <v>164.41</v>
      </c>
      <c r="BJ193" s="542">
        <v>0</v>
      </c>
      <c r="BK193" s="542">
        <v>3.36</v>
      </c>
      <c r="BL193" s="542">
        <v>0</v>
      </c>
      <c r="BM193" s="542">
        <v>0</v>
      </c>
      <c r="BN193" s="542">
        <v>0</v>
      </c>
      <c r="BO193" s="542">
        <v>164</v>
      </c>
      <c r="BP193" s="542">
        <v>0</v>
      </c>
      <c r="BQ193" s="542">
        <v>3</v>
      </c>
      <c r="BR193" s="542">
        <v>736.86</v>
      </c>
      <c r="BS193" s="542">
        <v>0</v>
      </c>
      <c r="BT193" s="542">
        <v>15.04</v>
      </c>
      <c r="BU193" s="542">
        <v>39616.14</v>
      </c>
      <c r="BV193" s="542">
        <v>0</v>
      </c>
      <c r="BW193" s="542">
        <v>808.49</v>
      </c>
      <c r="BX193" s="542">
        <v>-38879</v>
      </c>
      <c r="BY193" s="542">
        <v>0</v>
      </c>
      <c r="BZ193" s="542">
        <v>-793</v>
      </c>
      <c r="CA193" s="542">
        <v>345610.67</v>
      </c>
      <c r="CB193" s="542">
        <v>0</v>
      </c>
      <c r="CC193" s="542">
        <v>7053.28</v>
      </c>
      <c r="CD193" s="542">
        <v>385266.92</v>
      </c>
      <c r="CE193" s="542">
        <v>0</v>
      </c>
      <c r="CF193" s="542">
        <v>7862.59</v>
      </c>
      <c r="CG193" s="542">
        <v>-39656</v>
      </c>
      <c r="CH193" s="542">
        <v>0</v>
      </c>
      <c r="CI193" s="542">
        <v>-809</v>
      </c>
      <c r="CJ193" s="542">
        <v>0</v>
      </c>
      <c r="CK193" s="542">
        <v>0</v>
      </c>
      <c r="CL193" s="542">
        <v>0</v>
      </c>
      <c r="CM193" s="542">
        <v>0</v>
      </c>
      <c r="CN193" s="542">
        <v>0</v>
      </c>
      <c r="CO193" s="542">
        <v>0</v>
      </c>
      <c r="CP193" s="542">
        <v>0</v>
      </c>
      <c r="CQ193" s="542">
        <v>0</v>
      </c>
      <c r="CR193" s="542">
        <v>0</v>
      </c>
      <c r="CS193" s="542">
        <v>0</v>
      </c>
      <c r="CT193" s="542">
        <v>0</v>
      </c>
      <c r="CU193" s="542">
        <v>0</v>
      </c>
      <c r="CV193" s="542">
        <v>273534.2</v>
      </c>
      <c r="CW193" s="542">
        <v>0</v>
      </c>
      <c r="CX193" s="542">
        <v>5570.43</v>
      </c>
      <c r="CY193" s="542">
        <v>297289</v>
      </c>
      <c r="CZ193" s="542">
        <v>0</v>
      </c>
      <c r="DA193" s="542">
        <v>6013</v>
      </c>
      <c r="DB193" s="542">
        <v>-23755</v>
      </c>
      <c r="DC193" s="542">
        <v>0</v>
      </c>
      <c r="DD193" s="542">
        <v>-443</v>
      </c>
      <c r="DE193" s="153" t="s">
        <v>251</v>
      </c>
      <c r="DF193" s="103" t="s">
        <v>763</v>
      </c>
      <c r="DG193" s="104" t="s">
        <v>808</v>
      </c>
      <c r="DH193" s="549" t="s">
        <v>1202</v>
      </c>
      <c r="DI193" s="549"/>
    </row>
    <row r="194" spans="1:113" x14ac:dyDescent="0.2">
      <c r="A194" s="93">
        <v>188</v>
      </c>
      <c r="B194" s="145" t="s">
        <v>254</v>
      </c>
      <c r="C194" s="141" t="s">
        <v>866</v>
      </c>
      <c r="D194" s="142" t="s">
        <v>876</v>
      </c>
      <c r="E194" s="149" t="s">
        <v>253</v>
      </c>
      <c r="F194" s="542">
        <v>-332732</v>
      </c>
      <c r="G194" s="542">
        <v>0</v>
      </c>
      <c r="H194" s="542">
        <v>-332732</v>
      </c>
      <c r="I194" s="542">
        <v>-30513</v>
      </c>
      <c r="J194" s="542">
        <v>0</v>
      </c>
      <c r="K194" s="542">
        <v>-30513</v>
      </c>
      <c r="L194" s="542">
        <v>-302219</v>
      </c>
      <c r="M194" s="542">
        <v>0</v>
      </c>
      <c r="N194" s="542">
        <v>-302219</v>
      </c>
      <c r="O194" s="543">
        <v>0.5</v>
      </c>
      <c r="P194" s="543">
        <v>0.4</v>
      </c>
      <c r="Q194" s="543">
        <v>0.1</v>
      </c>
      <c r="R194" s="543">
        <v>0</v>
      </c>
      <c r="S194" s="542">
        <v>109009</v>
      </c>
      <c r="T194" s="542">
        <v>109009</v>
      </c>
      <c r="U194" s="542">
        <v>0</v>
      </c>
      <c r="V194" s="542">
        <v>0</v>
      </c>
      <c r="W194" s="542">
        <v>0</v>
      </c>
      <c r="X194" s="542">
        <v>0</v>
      </c>
      <c r="Y194" s="542">
        <v>0</v>
      </c>
      <c r="Z194" s="542">
        <v>0</v>
      </c>
      <c r="AA194" s="542">
        <v>0</v>
      </c>
      <c r="AB194" s="542">
        <v>0</v>
      </c>
      <c r="AC194" s="542">
        <v>0</v>
      </c>
      <c r="AD194" s="542">
        <v>0</v>
      </c>
      <c r="AE194" s="542">
        <v>0</v>
      </c>
      <c r="AF194" s="542">
        <v>0</v>
      </c>
      <c r="AG194" s="542">
        <v>0</v>
      </c>
      <c r="AH194" s="542">
        <v>0</v>
      </c>
      <c r="AI194" s="542">
        <v>0</v>
      </c>
      <c r="AJ194" s="542">
        <v>0</v>
      </c>
      <c r="AK194" s="542">
        <v>0</v>
      </c>
      <c r="AL194" s="542">
        <v>0</v>
      </c>
      <c r="AM194" s="542">
        <v>0</v>
      </c>
      <c r="AN194" s="542">
        <v>0</v>
      </c>
      <c r="AO194" s="542">
        <v>0</v>
      </c>
      <c r="AP194" s="542">
        <v>0</v>
      </c>
      <c r="AQ194" s="542">
        <v>275667.46999999997</v>
      </c>
      <c r="AR194" s="542">
        <v>68916.87</v>
      </c>
      <c r="AS194" s="542">
        <v>0</v>
      </c>
      <c r="AT194" s="542">
        <v>239983</v>
      </c>
      <c r="AU194" s="542">
        <v>59996</v>
      </c>
      <c r="AV194" s="542">
        <v>0</v>
      </c>
      <c r="AW194" s="542">
        <v>35684</v>
      </c>
      <c r="AX194" s="542">
        <v>8921</v>
      </c>
      <c r="AY194" s="542">
        <v>0</v>
      </c>
      <c r="AZ194" s="542">
        <v>1133.51</v>
      </c>
      <c r="BA194" s="542">
        <v>283.38</v>
      </c>
      <c r="BB194" s="542">
        <v>0</v>
      </c>
      <c r="BC194" s="542">
        <v>4848</v>
      </c>
      <c r="BD194" s="542">
        <v>1212</v>
      </c>
      <c r="BE194" s="542">
        <v>0</v>
      </c>
      <c r="BF194" s="542">
        <v>-3714</v>
      </c>
      <c r="BG194" s="542">
        <v>-929</v>
      </c>
      <c r="BH194" s="542">
        <v>0</v>
      </c>
      <c r="BI194" s="542">
        <v>0</v>
      </c>
      <c r="BJ194" s="542">
        <v>0</v>
      </c>
      <c r="BK194" s="542">
        <v>0</v>
      </c>
      <c r="BL194" s="542">
        <v>0</v>
      </c>
      <c r="BM194" s="542">
        <v>0</v>
      </c>
      <c r="BN194" s="542">
        <v>0</v>
      </c>
      <c r="BO194" s="542">
        <v>0</v>
      </c>
      <c r="BP194" s="542">
        <v>0</v>
      </c>
      <c r="BQ194" s="542">
        <v>0</v>
      </c>
      <c r="BR194" s="542">
        <v>2263.7800000000002</v>
      </c>
      <c r="BS194" s="542">
        <v>565.94000000000005</v>
      </c>
      <c r="BT194" s="542">
        <v>0</v>
      </c>
      <c r="BU194" s="542">
        <v>16169.85</v>
      </c>
      <c r="BV194" s="542">
        <v>4042.46</v>
      </c>
      <c r="BW194" s="542">
        <v>0</v>
      </c>
      <c r="BX194" s="542">
        <v>-13906</v>
      </c>
      <c r="BY194" s="542">
        <v>-3477</v>
      </c>
      <c r="BZ194" s="542">
        <v>0</v>
      </c>
      <c r="CA194" s="542">
        <v>65742.98</v>
      </c>
      <c r="CB194" s="542">
        <v>16435.740000000002</v>
      </c>
      <c r="CC194" s="542">
        <v>0</v>
      </c>
      <c r="CD194" s="542">
        <v>162911.25</v>
      </c>
      <c r="CE194" s="542">
        <v>40727.81</v>
      </c>
      <c r="CF194" s="542">
        <v>0</v>
      </c>
      <c r="CG194" s="542">
        <v>-97168</v>
      </c>
      <c r="CH194" s="542">
        <v>-24292</v>
      </c>
      <c r="CI194" s="542">
        <v>0</v>
      </c>
      <c r="CJ194" s="542">
        <v>0</v>
      </c>
      <c r="CK194" s="542">
        <v>0</v>
      </c>
      <c r="CL194" s="542">
        <v>0</v>
      </c>
      <c r="CM194" s="542">
        <v>0</v>
      </c>
      <c r="CN194" s="542">
        <v>0</v>
      </c>
      <c r="CO194" s="542">
        <v>0</v>
      </c>
      <c r="CP194" s="542">
        <v>0</v>
      </c>
      <c r="CQ194" s="542">
        <v>0</v>
      </c>
      <c r="CR194" s="542">
        <v>0</v>
      </c>
      <c r="CS194" s="542">
        <v>0</v>
      </c>
      <c r="CT194" s="542">
        <v>0</v>
      </c>
      <c r="CU194" s="542">
        <v>0</v>
      </c>
      <c r="CV194" s="542">
        <v>167060.46</v>
      </c>
      <c r="CW194" s="542">
        <v>41765.11</v>
      </c>
      <c r="CX194" s="542">
        <v>0</v>
      </c>
      <c r="CY194" s="542">
        <v>178181</v>
      </c>
      <c r="CZ194" s="542">
        <v>44256</v>
      </c>
      <c r="DA194" s="542">
        <v>0</v>
      </c>
      <c r="DB194" s="542">
        <v>-11121</v>
      </c>
      <c r="DC194" s="542">
        <v>-2491</v>
      </c>
      <c r="DD194" s="542">
        <v>0</v>
      </c>
      <c r="DE194" s="153" t="s">
        <v>253</v>
      </c>
      <c r="DF194" s="103" t="s">
        <v>816</v>
      </c>
      <c r="DG194" s="104" t="s">
        <v>751</v>
      </c>
      <c r="DH194" s="547"/>
      <c r="DI194" s="547"/>
    </row>
    <row r="195" spans="1:113" x14ac:dyDescent="0.2">
      <c r="A195" s="93">
        <v>189</v>
      </c>
      <c r="B195" s="145" t="s">
        <v>256</v>
      </c>
      <c r="C195" s="141" t="s">
        <v>866</v>
      </c>
      <c r="D195" s="142" t="s">
        <v>869</v>
      </c>
      <c r="E195" s="149" t="s">
        <v>255</v>
      </c>
      <c r="F195" s="542">
        <v>-208372</v>
      </c>
      <c r="G195" s="542">
        <v>0</v>
      </c>
      <c r="H195" s="542">
        <v>-208372</v>
      </c>
      <c r="I195" s="542">
        <v>28517</v>
      </c>
      <c r="J195" s="542">
        <v>0</v>
      </c>
      <c r="K195" s="542">
        <v>28517</v>
      </c>
      <c r="L195" s="542">
        <v>-236889</v>
      </c>
      <c r="M195" s="542">
        <v>0</v>
      </c>
      <c r="N195" s="542">
        <v>-236889</v>
      </c>
      <c r="O195" s="543">
        <v>0.5</v>
      </c>
      <c r="P195" s="543">
        <v>0.4</v>
      </c>
      <c r="Q195" s="543">
        <v>0.09</v>
      </c>
      <c r="R195" s="543">
        <v>0.01</v>
      </c>
      <c r="S195" s="542">
        <v>145240</v>
      </c>
      <c r="T195" s="542">
        <v>145240</v>
      </c>
      <c r="U195" s="542">
        <v>0</v>
      </c>
      <c r="V195" s="542">
        <v>0</v>
      </c>
      <c r="W195" s="542">
        <v>0</v>
      </c>
      <c r="X195" s="542">
        <v>0</v>
      </c>
      <c r="Y195" s="542">
        <v>0</v>
      </c>
      <c r="Z195" s="542">
        <v>0</v>
      </c>
      <c r="AA195" s="542">
        <v>0</v>
      </c>
      <c r="AB195" s="542">
        <v>0</v>
      </c>
      <c r="AC195" s="542">
        <v>0</v>
      </c>
      <c r="AD195" s="542">
        <v>0</v>
      </c>
      <c r="AE195" s="542">
        <v>0</v>
      </c>
      <c r="AF195" s="542">
        <v>0</v>
      </c>
      <c r="AG195" s="542">
        <v>0</v>
      </c>
      <c r="AH195" s="542">
        <v>0</v>
      </c>
      <c r="AI195" s="542">
        <v>0</v>
      </c>
      <c r="AJ195" s="542">
        <v>0</v>
      </c>
      <c r="AK195" s="542">
        <v>0</v>
      </c>
      <c r="AL195" s="542">
        <v>0</v>
      </c>
      <c r="AM195" s="542">
        <v>0</v>
      </c>
      <c r="AN195" s="542">
        <v>0</v>
      </c>
      <c r="AO195" s="542">
        <v>0</v>
      </c>
      <c r="AP195" s="542">
        <v>0</v>
      </c>
      <c r="AQ195" s="542">
        <v>375771.17599999998</v>
      </c>
      <c r="AR195" s="542">
        <v>84548.514599999995</v>
      </c>
      <c r="AS195" s="542">
        <v>9394.2793999999994</v>
      </c>
      <c r="AT195" s="542">
        <v>347829</v>
      </c>
      <c r="AU195" s="542">
        <v>78261</v>
      </c>
      <c r="AV195" s="542">
        <v>8696</v>
      </c>
      <c r="AW195" s="542">
        <v>27942</v>
      </c>
      <c r="AX195" s="542">
        <v>6288</v>
      </c>
      <c r="AY195" s="542">
        <v>698</v>
      </c>
      <c r="AZ195" s="542">
        <v>2161.90913</v>
      </c>
      <c r="BA195" s="542">
        <v>486.429554</v>
      </c>
      <c r="BB195" s="542">
        <v>54.047728200000002</v>
      </c>
      <c r="BC195" s="542">
        <v>0</v>
      </c>
      <c r="BD195" s="542">
        <v>0</v>
      </c>
      <c r="BE195" s="542">
        <v>0</v>
      </c>
      <c r="BF195" s="542">
        <v>2162</v>
      </c>
      <c r="BG195" s="542">
        <v>486</v>
      </c>
      <c r="BH195" s="542">
        <v>54</v>
      </c>
      <c r="BI195" s="542">
        <v>0</v>
      </c>
      <c r="BJ195" s="542">
        <v>0</v>
      </c>
      <c r="BK195" s="542">
        <v>0</v>
      </c>
      <c r="BL195" s="542">
        <v>0</v>
      </c>
      <c r="BM195" s="542">
        <v>0</v>
      </c>
      <c r="BN195" s="542">
        <v>0</v>
      </c>
      <c r="BO195" s="542">
        <v>0</v>
      </c>
      <c r="BP195" s="542">
        <v>0</v>
      </c>
      <c r="BQ195" s="542">
        <v>0</v>
      </c>
      <c r="BR195" s="542">
        <v>0</v>
      </c>
      <c r="BS195" s="542">
        <v>0</v>
      </c>
      <c r="BT195" s="542">
        <v>0</v>
      </c>
      <c r="BU195" s="542">
        <v>12207.4293</v>
      </c>
      <c r="BV195" s="542">
        <v>2746.6715899999999</v>
      </c>
      <c r="BW195" s="542">
        <v>305.18573199999997</v>
      </c>
      <c r="BX195" s="542">
        <v>-12207</v>
      </c>
      <c r="BY195" s="542">
        <v>-2747</v>
      </c>
      <c r="BZ195" s="542">
        <v>-305</v>
      </c>
      <c r="CA195" s="542">
        <v>83464.730299999996</v>
      </c>
      <c r="CB195" s="542">
        <v>18779.564299999998</v>
      </c>
      <c r="CC195" s="542">
        <v>2086.61825</v>
      </c>
      <c r="CD195" s="542">
        <v>159672.43100000001</v>
      </c>
      <c r="CE195" s="542">
        <v>35926.296999999999</v>
      </c>
      <c r="CF195" s="542">
        <v>3991.8107799999998</v>
      </c>
      <c r="CG195" s="542">
        <v>-76208</v>
      </c>
      <c r="CH195" s="542">
        <v>-17147</v>
      </c>
      <c r="CI195" s="542">
        <v>-1905</v>
      </c>
      <c r="CJ195" s="542">
        <v>0</v>
      </c>
      <c r="CK195" s="542">
        <v>0</v>
      </c>
      <c r="CL195" s="542">
        <v>0</v>
      </c>
      <c r="CM195" s="542">
        <v>0</v>
      </c>
      <c r="CN195" s="542">
        <v>0</v>
      </c>
      <c r="CO195" s="542">
        <v>0</v>
      </c>
      <c r="CP195" s="542">
        <v>0</v>
      </c>
      <c r="CQ195" s="542">
        <v>0</v>
      </c>
      <c r="CR195" s="542">
        <v>0</v>
      </c>
      <c r="CS195" s="542">
        <v>0</v>
      </c>
      <c r="CT195" s="542">
        <v>0</v>
      </c>
      <c r="CU195" s="542">
        <v>0</v>
      </c>
      <c r="CV195" s="542">
        <v>197055.59099999999</v>
      </c>
      <c r="CW195" s="542">
        <v>44337.508099999999</v>
      </c>
      <c r="CX195" s="542">
        <v>4926.3897900000002</v>
      </c>
      <c r="CY195" s="542">
        <v>213410</v>
      </c>
      <c r="CZ195" s="542">
        <v>47670</v>
      </c>
      <c r="DA195" s="542">
        <v>5297</v>
      </c>
      <c r="DB195" s="542">
        <v>-16354</v>
      </c>
      <c r="DC195" s="542">
        <v>-3332</v>
      </c>
      <c r="DD195" s="542">
        <v>-371</v>
      </c>
      <c r="DE195" s="153" t="s">
        <v>255</v>
      </c>
      <c r="DF195" s="103" t="s">
        <v>774</v>
      </c>
      <c r="DG195" s="104" t="s">
        <v>775</v>
      </c>
      <c r="DH195" s="547"/>
      <c r="DI195" s="547"/>
    </row>
    <row r="196" spans="1:113" x14ac:dyDescent="0.2">
      <c r="A196" s="93">
        <v>190</v>
      </c>
      <c r="B196" s="145" t="s">
        <v>258</v>
      </c>
      <c r="C196" s="141" t="s">
        <v>866</v>
      </c>
      <c r="D196" s="142" t="s">
        <v>869</v>
      </c>
      <c r="E196" s="149" t="s">
        <v>257</v>
      </c>
      <c r="F196" s="542">
        <v>-841476</v>
      </c>
      <c r="G196" s="542">
        <v>-43740</v>
      </c>
      <c r="H196" s="542">
        <v>-885216</v>
      </c>
      <c r="I196" s="542">
        <v>-420359</v>
      </c>
      <c r="J196" s="542">
        <v>0</v>
      </c>
      <c r="K196" s="542">
        <v>-420359</v>
      </c>
      <c r="L196" s="542">
        <v>-421117</v>
      </c>
      <c r="M196" s="542">
        <v>-43740</v>
      </c>
      <c r="N196" s="542">
        <v>-464857</v>
      </c>
      <c r="O196" s="543">
        <v>0.5</v>
      </c>
      <c r="P196" s="543">
        <v>0.4</v>
      </c>
      <c r="Q196" s="543">
        <v>0.1</v>
      </c>
      <c r="R196" s="543">
        <v>0</v>
      </c>
      <c r="S196" s="542">
        <v>299138</v>
      </c>
      <c r="T196" s="542">
        <v>299138</v>
      </c>
      <c r="U196" s="542">
        <v>0</v>
      </c>
      <c r="V196" s="542">
        <v>519041</v>
      </c>
      <c r="W196" s="542">
        <v>293821</v>
      </c>
      <c r="X196" s="542">
        <v>225220</v>
      </c>
      <c r="Y196" s="542">
        <v>0</v>
      </c>
      <c r="Z196" s="542">
        <v>0</v>
      </c>
      <c r="AA196" s="542">
        <v>0</v>
      </c>
      <c r="AB196" s="542">
        <v>0</v>
      </c>
      <c r="AC196" s="542">
        <v>0</v>
      </c>
      <c r="AD196" s="542">
        <v>0</v>
      </c>
      <c r="AE196" s="542">
        <v>2071751.09</v>
      </c>
      <c r="AF196" s="542">
        <v>2071751.09</v>
      </c>
      <c r="AG196" s="542">
        <v>0</v>
      </c>
      <c r="AH196" s="542">
        <v>0</v>
      </c>
      <c r="AI196" s="542">
        <v>1901455</v>
      </c>
      <c r="AJ196" s="542">
        <v>1901455</v>
      </c>
      <c r="AK196" s="542">
        <v>0</v>
      </c>
      <c r="AL196" s="542">
        <v>0</v>
      </c>
      <c r="AM196" s="542">
        <v>170296</v>
      </c>
      <c r="AN196" s="542">
        <v>170296</v>
      </c>
      <c r="AO196" s="542">
        <v>0</v>
      </c>
      <c r="AP196" s="542">
        <v>0</v>
      </c>
      <c r="AQ196" s="542">
        <v>792341.91899999999</v>
      </c>
      <c r="AR196" s="542">
        <v>190815.61499999999</v>
      </c>
      <c r="AS196" s="542">
        <v>0</v>
      </c>
      <c r="AT196" s="542">
        <v>686708</v>
      </c>
      <c r="AU196" s="542">
        <v>171677</v>
      </c>
      <c r="AV196" s="542">
        <v>0</v>
      </c>
      <c r="AW196" s="542">
        <v>105634</v>
      </c>
      <c r="AX196" s="542">
        <v>19139</v>
      </c>
      <c r="AY196" s="542">
        <v>0</v>
      </c>
      <c r="AZ196" s="542">
        <v>0</v>
      </c>
      <c r="BA196" s="542">
        <v>0</v>
      </c>
      <c r="BB196" s="542">
        <v>0</v>
      </c>
      <c r="BC196" s="542">
        <v>0</v>
      </c>
      <c r="BD196" s="542">
        <v>0</v>
      </c>
      <c r="BE196" s="542">
        <v>0</v>
      </c>
      <c r="BF196" s="542">
        <v>0</v>
      </c>
      <c r="BG196" s="542">
        <v>0</v>
      </c>
      <c r="BH196" s="542">
        <v>0</v>
      </c>
      <c r="BI196" s="542">
        <v>0</v>
      </c>
      <c r="BJ196" s="542">
        <v>0</v>
      </c>
      <c r="BK196" s="542">
        <v>0</v>
      </c>
      <c r="BL196" s="542">
        <v>0</v>
      </c>
      <c r="BM196" s="542">
        <v>0</v>
      </c>
      <c r="BN196" s="542">
        <v>0</v>
      </c>
      <c r="BO196" s="542">
        <v>0</v>
      </c>
      <c r="BP196" s="542">
        <v>0</v>
      </c>
      <c r="BQ196" s="542">
        <v>0</v>
      </c>
      <c r="BR196" s="542">
        <v>35566.3966</v>
      </c>
      <c r="BS196" s="542">
        <v>8891.59915</v>
      </c>
      <c r="BT196" s="542">
        <v>0</v>
      </c>
      <c r="BU196" s="542">
        <v>0</v>
      </c>
      <c r="BV196" s="542">
        <v>0</v>
      </c>
      <c r="BW196" s="542">
        <v>0</v>
      </c>
      <c r="BX196" s="542">
        <v>35566</v>
      </c>
      <c r="BY196" s="542">
        <v>8892</v>
      </c>
      <c r="BZ196" s="542">
        <v>0</v>
      </c>
      <c r="CA196" s="542">
        <v>321370.54100000003</v>
      </c>
      <c r="CB196" s="542">
        <v>80342.635200000004</v>
      </c>
      <c r="CC196" s="542">
        <v>0</v>
      </c>
      <c r="CD196" s="542">
        <v>337938.57400000002</v>
      </c>
      <c r="CE196" s="542">
        <v>84484.643700000001</v>
      </c>
      <c r="CF196" s="542">
        <v>0</v>
      </c>
      <c r="CG196" s="542">
        <v>-16568</v>
      </c>
      <c r="CH196" s="542">
        <v>-4142</v>
      </c>
      <c r="CI196" s="542">
        <v>0</v>
      </c>
      <c r="CJ196" s="542">
        <v>0</v>
      </c>
      <c r="CK196" s="542">
        <v>0</v>
      </c>
      <c r="CL196" s="542">
        <v>0</v>
      </c>
      <c r="CM196" s="542">
        <v>0</v>
      </c>
      <c r="CN196" s="542">
        <v>0</v>
      </c>
      <c r="CO196" s="542">
        <v>0</v>
      </c>
      <c r="CP196" s="542">
        <v>0</v>
      </c>
      <c r="CQ196" s="542">
        <v>0</v>
      </c>
      <c r="CR196" s="542">
        <v>0</v>
      </c>
      <c r="CS196" s="542">
        <v>0</v>
      </c>
      <c r="CT196" s="542">
        <v>0</v>
      </c>
      <c r="CU196" s="542">
        <v>0</v>
      </c>
      <c r="CV196" s="542">
        <v>413138.45199999999</v>
      </c>
      <c r="CW196" s="542">
        <v>101907.11500000001</v>
      </c>
      <c r="CX196" s="542">
        <v>0</v>
      </c>
      <c r="CY196" s="542">
        <v>464778</v>
      </c>
      <c r="CZ196" s="542">
        <v>109574</v>
      </c>
      <c r="DA196" s="542">
        <v>0</v>
      </c>
      <c r="DB196" s="542">
        <v>-51640</v>
      </c>
      <c r="DC196" s="542">
        <v>-7667</v>
      </c>
      <c r="DD196" s="542">
        <v>0</v>
      </c>
      <c r="DE196" s="153" t="s">
        <v>257</v>
      </c>
      <c r="DF196" s="103" t="s">
        <v>799</v>
      </c>
      <c r="DG196" s="104" t="s">
        <v>751</v>
      </c>
      <c r="DH196" s="549" t="s">
        <v>1203</v>
      </c>
      <c r="DI196" s="549"/>
    </row>
    <row r="197" spans="1:113" x14ac:dyDescent="0.2">
      <c r="A197" s="93">
        <v>191</v>
      </c>
      <c r="B197" s="145" t="s">
        <v>260</v>
      </c>
      <c r="C197" s="141" t="s">
        <v>770</v>
      </c>
      <c r="D197" s="142" t="s">
        <v>878</v>
      </c>
      <c r="E197" s="149" t="s">
        <v>259</v>
      </c>
      <c r="F197" s="542">
        <v>-297341</v>
      </c>
      <c r="G197" s="542">
        <v>0</v>
      </c>
      <c r="H197" s="542">
        <v>-297341</v>
      </c>
      <c r="I197" s="542">
        <v>210391</v>
      </c>
      <c r="J197" s="542">
        <v>0</v>
      </c>
      <c r="K197" s="542">
        <v>210391</v>
      </c>
      <c r="L197" s="542">
        <v>-507732</v>
      </c>
      <c r="M197" s="542">
        <v>0</v>
      </c>
      <c r="N197" s="542">
        <v>-507732</v>
      </c>
      <c r="O197" s="543">
        <v>0.5</v>
      </c>
      <c r="P197" s="543">
        <v>0.5</v>
      </c>
      <c r="Q197" s="543">
        <v>0</v>
      </c>
      <c r="R197" s="543">
        <v>0</v>
      </c>
      <c r="S197" s="542">
        <v>471093</v>
      </c>
      <c r="T197" s="542">
        <v>471093</v>
      </c>
      <c r="U197" s="542">
        <v>0</v>
      </c>
      <c r="V197" s="542">
        <v>1003</v>
      </c>
      <c r="W197" s="542">
        <v>10795</v>
      </c>
      <c r="X197" s="542">
        <v>-9792</v>
      </c>
      <c r="Y197" s="542">
        <v>1083699</v>
      </c>
      <c r="Z197" s="542">
        <v>0</v>
      </c>
      <c r="AA197" s="542">
        <v>1050760</v>
      </c>
      <c r="AB197" s="542">
        <v>0</v>
      </c>
      <c r="AC197" s="542">
        <v>32939</v>
      </c>
      <c r="AD197" s="542">
        <v>0</v>
      </c>
      <c r="AE197" s="542">
        <v>27173.4352</v>
      </c>
      <c r="AF197" s="542">
        <v>27173.4352</v>
      </c>
      <c r="AG197" s="542">
        <v>0</v>
      </c>
      <c r="AH197" s="542">
        <v>0</v>
      </c>
      <c r="AI197" s="542">
        <v>11207</v>
      </c>
      <c r="AJ197" s="542">
        <v>11207</v>
      </c>
      <c r="AK197" s="542">
        <v>0</v>
      </c>
      <c r="AL197" s="542">
        <v>0</v>
      </c>
      <c r="AM197" s="542">
        <v>15966</v>
      </c>
      <c r="AN197" s="542">
        <v>15966</v>
      </c>
      <c r="AO197" s="542">
        <v>0</v>
      </c>
      <c r="AP197" s="542">
        <v>0</v>
      </c>
      <c r="AQ197" s="542">
        <v>1957919.12</v>
      </c>
      <c r="AR197" s="542">
        <v>0</v>
      </c>
      <c r="AS197" s="542">
        <v>0</v>
      </c>
      <c r="AT197" s="542">
        <v>1774370</v>
      </c>
      <c r="AU197" s="542">
        <v>0</v>
      </c>
      <c r="AV197" s="542">
        <v>0</v>
      </c>
      <c r="AW197" s="542">
        <v>183549</v>
      </c>
      <c r="AX197" s="542">
        <v>0</v>
      </c>
      <c r="AY197" s="542">
        <v>0</v>
      </c>
      <c r="AZ197" s="542">
        <v>10480.590200000001</v>
      </c>
      <c r="BA197" s="542">
        <v>0</v>
      </c>
      <c r="BB197" s="542">
        <v>0</v>
      </c>
      <c r="BC197" s="542">
        <v>47470</v>
      </c>
      <c r="BD197" s="542">
        <v>0</v>
      </c>
      <c r="BE197" s="542">
        <v>0</v>
      </c>
      <c r="BF197" s="542">
        <v>-36989</v>
      </c>
      <c r="BG197" s="542">
        <v>0</v>
      </c>
      <c r="BH197" s="542">
        <v>0</v>
      </c>
      <c r="BI197" s="542">
        <v>18638.280200000001</v>
      </c>
      <c r="BJ197" s="542">
        <v>0</v>
      </c>
      <c r="BK197" s="542">
        <v>0</v>
      </c>
      <c r="BL197" s="542">
        <v>75796</v>
      </c>
      <c r="BM197" s="542">
        <v>0</v>
      </c>
      <c r="BN197" s="542">
        <v>0</v>
      </c>
      <c r="BO197" s="542">
        <v>-57158</v>
      </c>
      <c r="BP197" s="542">
        <v>0</v>
      </c>
      <c r="BQ197" s="542">
        <v>0</v>
      </c>
      <c r="BR197" s="542">
        <v>8484.6242000000002</v>
      </c>
      <c r="BS197" s="542">
        <v>0</v>
      </c>
      <c r="BT197" s="542">
        <v>0</v>
      </c>
      <c r="BU197" s="542">
        <v>14648.6978</v>
      </c>
      <c r="BV197" s="542">
        <v>0</v>
      </c>
      <c r="BW197" s="542">
        <v>0</v>
      </c>
      <c r="BX197" s="542">
        <v>-6164</v>
      </c>
      <c r="BY197" s="542">
        <v>0</v>
      </c>
      <c r="BZ197" s="542">
        <v>0</v>
      </c>
      <c r="CA197" s="542">
        <v>576629.53200000001</v>
      </c>
      <c r="CB197" s="542">
        <v>0</v>
      </c>
      <c r="CC197" s="542">
        <v>0</v>
      </c>
      <c r="CD197" s="542">
        <v>533516.06999999995</v>
      </c>
      <c r="CE197" s="542">
        <v>0</v>
      </c>
      <c r="CF197" s="542">
        <v>0</v>
      </c>
      <c r="CG197" s="542">
        <v>43113</v>
      </c>
      <c r="CH197" s="542">
        <v>0</v>
      </c>
      <c r="CI197" s="542">
        <v>0</v>
      </c>
      <c r="CJ197" s="542">
        <v>0</v>
      </c>
      <c r="CK197" s="542">
        <v>0</v>
      </c>
      <c r="CL197" s="542">
        <v>0</v>
      </c>
      <c r="CM197" s="542">
        <v>0</v>
      </c>
      <c r="CN197" s="542">
        <v>0</v>
      </c>
      <c r="CO197" s="542">
        <v>0</v>
      </c>
      <c r="CP197" s="542">
        <v>0</v>
      </c>
      <c r="CQ197" s="542">
        <v>0</v>
      </c>
      <c r="CR197" s="542">
        <v>0</v>
      </c>
      <c r="CS197" s="542">
        <v>0</v>
      </c>
      <c r="CT197" s="542">
        <v>0</v>
      </c>
      <c r="CU197" s="542">
        <v>0</v>
      </c>
      <c r="CV197" s="542">
        <v>396435.52</v>
      </c>
      <c r="CW197" s="542">
        <v>0</v>
      </c>
      <c r="CX197" s="542">
        <v>0</v>
      </c>
      <c r="CY197" s="542">
        <v>414656</v>
      </c>
      <c r="CZ197" s="542">
        <v>0</v>
      </c>
      <c r="DA197" s="542">
        <v>0</v>
      </c>
      <c r="DB197" s="542">
        <v>-18220</v>
      </c>
      <c r="DC197" s="542">
        <v>0</v>
      </c>
      <c r="DD197" s="542">
        <v>0</v>
      </c>
      <c r="DE197" s="153" t="s">
        <v>259</v>
      </c>
      <c r="DF197" s="103" t="s">
        <v>770</v>
      </c>
      <c r="DG197" s="104" t="s">
        <v>751</v>
      </c>
      <c r="DH197" s="549" t="s">
        <v>1204</v>
      </c>
      <c r="DI197" s="549"/>
    </row>
    <row r="198" spans="1:113" x14ac:dyDescent="0.2">
      <c r="A198" s="93">
        <v>192</v>
      </c>
      <c r="B198" s="145" t="s">
        <v>262</v>
      </c>
      <c r="C198" s="141" t="s">
        <v>866</v>
      </c>
      <c r="D198" s="142" t="s">
        <v>870</v>
      </c>
      <c r="E198" s="149" t="s">
        <v>261</v>
      </c>
      <c r="F198" s="542">
        <v>-818422</v>
      </c>
      <c r="G198" s="542">
        <v>0</v>
      </c>
      <c r="H198" s="542">
        <v>-818422</v>
      </c>
      <c r="I198" s="542">
        <v>17582</v>
      </c>
      <c r="J198" s="542">
        <v>0</v>
      </c>
      <c r="K198" s="542">
        <v>17582</v>
      </c>
      <c r="L198" s="542">
        <v>-836004</v>
      </c>
      <c r="M198" s="542">
        <v>0</v>
      </c>
      <c r="N198" s="542">
        <v>-836004</v>
      </c>
      <c r="O198" s="543">
        <v>0.5</v>
      </c>
      <c r="P198" s="543">
        <v>0.4</v>
      </c>
      <c r="Q198" s="543">
        <v>0.1</v>
      </c>
      <c r="R198" s="543">
        <v>0</v>
      </c>
      <c r="S198" s="542">
        <v>270914</v>
      </c>
      <c r="T198" s="542">
        <v>270914</v>
      </c>
      <c r="U198" s="542">
        <v>0</v>
      </c>
      <c r="V198" s="542">
        <v>0</v>
      </c>
      <c r="W198" s="542">
        <v>0</v>
      </c>
      <c r="X198" s="542">
        <v>0</v>
      </c>
      <c r="Y198" s="542">
        <v>0</v>
      </c>
      <c r="Z198" s="542">
        <v>0</v>
      </c>
      <c r="AA198" s="542">
        <v>0</v>
      </c>
      <c r="AB198" s="542">
        <v>0</v>
      </c>
      <c r="AC198" s="542">
        <v>0</v>
      </c>
      <c r="AD198" s="542">
        <v>0</v>
      </c>
      <c r="AE198" s="542">
        <v>0</v>
      </c>
      <c r="AF198" s="542">
        <v>0</v>
      </c>
      <c r="AG198" s="542">
        <v>0</v>
      </c>
      <c r="AH198" s="542">
        <v>0</v>
      </c>
      <c r="AI198" s="542">
        <v>0</v>
      </c>
      <c r="AJ198" s="542">
        <v>0</v>
      </c>
      <c r="AK198" s="542">
        <v>0</v>
      </c>
      <c r="AL198" s="542">
        <v>0</v>
      </c>
      <c r="AM198" s="542">
        <v>0</v>
      </c>
      <c r="AN198" s="542">
        <v>0</v>
      </c>
      <c r="AO198" s="542">
        <v>0</v>
      </c>
      <c r="AP198" s="542">
        <v>0</v>
      </c>
      <c r="AQ198" s="542">
        <v>675755.67299999995</v>
      </c>
      <c r="AR198" s="542">
        <v>168938.91800000001</v>
      </c>
      <c r="AS198" s="542">
        <v>0</v>
      </c>
      <c r="AT198" s="542">
        <v>610555</v>
      </c>
      <c r="AU198" s="542">
        <v>152639</v>
      </c>
      <c r="AV198" s="542">
        <v>0</v>
      </c>
      <c r="AW198" s="542">
        <v>65201</v>
      </c>
      <c r="AX198" s="542">
        <v>16300</v>
      </c>
      <c r="AY198" s="542">
        <v>0</v>
      </c>
      <c r="AZ198" s="542">
        <v>1607.6874700000001</v>
      </c>
      <c r="BA198" s="542">
        <v>401.92186800000002</v>
      </c>
      <c r="BB198" s="542">
        <v>0</v>
      </c>
      <c r="BC198" s="542">
        <v>2447</v>
      </c>
      <c r="BD198" s="542">
        <v>612</v>
      </c>
      <c r="BE198" s="542">
        <v>0</v>
      </c>
      <c r="BF198" s="542">
        <v>-839</v>
      </c>
      <c r="BG198" s="542">
        <v>-210</v>
      </c>
      <c r="BH198" s="542">
        <v>0</v>
      </c>
      <c r="BI198" s="542">
        <v>0</v>
      </c>
      <c r="BJ198" s="542">
        <v>0</v>
      </c>
      <c r="BK198" s="542">
        <v>0</v>
      </c>
      <c r="BL198" s="542">
        <v>0</v>
      </c>
      <c r="BM198" s="542">
        <v>0</v>
      </c>
      <c r="BN198" s="542">
        <v>0</v>
      </c>
      <c r="BO198" s="542">
        <v>0</v>
      </c>
      <c r="BP198" s="542">
        <v>0</v>
      </c>
      <c r="BQ198" s="542">
        <v>0</v>
      </c>
      <c r="BR198" s="542">
        <v>0</v>
      </c>
      <c r="BS198" s="542">
        <v>0</v>
      </c>
      <c r="BT198" s="542">
        <v>0</v>
      </c>
      <c r="BU198" s="542">
        <v>21026</v>
      </c>
      <c r="BV198" s="542">
        <v>5257</v>
      </c>
      <c r="BW198" s="542">
        <v>0</v>
      </c>
      <c r="BX198" s="542">
        <v>-21026</v>
      </c>
      <c r="BY198" s="542">
        <v>-5257</v>
      </c>
      <c r="BZ198" s="542">
        <v>0</v>
      </c>
      <c r="CA198" s="542">
        <v>339999.01799999998</v>
      </c>
      <c r="CB198" s="542">
        <v>84999.754499999995</v>
      </c>
      <c r="CC198" s="542">
        <v>0</v>
      </c>
      <c r="CD198" s="542">
        <v>436182</v>
      </c>
      <c r="CE198" s="542">
        <v>109045</v>
      </c>
      <c r="CF198" s="542">
        <v>0</v>
      </c>
      <c r="CG198" s="542">
        <v>-96183</v>
      </c>
      <c r="CH198" s="542">
        <v>-24045</v>
      </c>
      <c r="CI198" s="542">
        <v>0</v>
      </c>
      <c r="CJ198" s="542">
        <v>0</v>
      </c>
      <c r="CK198" s="542">
        <v>0</v>
      </c>
      <c r="CL198" s="542">
        <v>0</v>
      </c>
      <c r="CM198" s="542">
        <v>0</v>
      </c>
      <c r="CN198" s="542">
        <v>0</v>
      </c>
      <c r="CO198" s="542">
        <v>0</v>
      </c>
      <c r="CP198" s="542">
        <v>0</v>
      </c>
      <c r="CQ198" s="542">
        <v>0</v>
      </c>
      <c r="CR198" s="542">
        <v>0</v>
      </c>
      <c r="CS198" s="542">
        <v>0</v>
      </c>
      <c r="CT198" s="542">
        <v>0</v>
      </c>
      <c r="CU198" s="542">
        <v>0</v>
      </c>
      <c r="CV198" s="542">
        <v>315443.98700000002</v>
      </c>
      <c r="CW198" s="542">
        <v>78860.996799999994</v>
      </c>
      <c r="CX198" s="542">
        <v>0</v>
      </c>
      <c r="CY198" s="542">
        <v>329120</v>
      </c>
      <c r="CZ198" s="542">
        <v>81561</v>
      </c>
      <c r="DA198" s="542">
        <v>0</v>
      </c>
      <c r="DB198" s="542">
        <v>-13676</v>
      </c>
      <c r="DC198" s="542">
        <v>-2700</v>
      </c>
      <c r="DD198" s="542">
        <v>0</v>
      </c>
      <c r="DE198" s="153" t="s">
        <v>261</v>
      </c>
      <c r="DF198" s="103" t="s">
        <v>782</v>
      </c>
      <c r="DG198" s="104" t="s">
        <v>751</v>
      </c>
      <c r="DH198" s="547"/>
      <c r="DI198" s="547"/>
    </row>
    <row r="199" spans="1:113" x14ac:dyDescent="0.2">
      <c r="A199" s="93">
        <v>193</v>
      </c>
      <c r="B199" s="145" t="s">
        <v>264</v>
      </c>
      <c r="C199" s="141" t="s">
        <v>770</v>
      </c>
      <c r="D199" s="142" t="s">
        <v>869</v>
      </c>
      <c r="E199" s="149" t="s">
        <v>712</v>
      </c>
      <c r="F199" s="542">
        <v>-1988729</v>
      </c>
      <c r="G199" s="542">
        <v>-135179</v>
      </c>
      <c r="H199" s="542">
        <v>-2123908</v>
      </c>
      <c r="I199" s="542">
        <v>-158525</v>
      </c>
      <c r="J199" s="542">
        <v>-31250</v>
      </c>
      <c r="K199" s="542">
        <v>-189775</v>
      </c>
      <c r="L199" s="542">
        <v>-1830204</v>
      </c>
      <c r="M199" s="542">
        <v>-103929</v>
      </c>
      <c r="N199" s="542">
        <v>-1934133</v>
      </c>
      <c r="O199" s="543">
        <v>0.5</v>
      </c>
      <c r="P199" s="543">
        <v>0.49</v>
      </c>
      <c r="Q199" s="543">
        <v>0</v>
      </c>
      <c r="R199" s="543">
        <v>0.01</v>
      </c>
      <c r="S199" s="542">
        <v>497745</v>
      </c>
      <c r="T199" s="542">
        <v>495745</v>
      </c>
      <c r="U199" s="542">
        <v>2000</v>
      </c>
      <c r="V199" s="542">
        <v>59222</v>
      </c>
      <c r="W199" s="542">
        <v>145445</v>
      </c>
      <c r="X199" s="542">
        <v>-86223</v>
      </c>
      <c r="Y199" s="542">
        <v>0</v>
      </c>
      <c r="Z199" s="542">
        <v>0</v>
      </c>
      <c r="AA199" s="542">
        <v>0</v>
      </c>
      <c r="AB199" s="542">
        <v>0</v>
      </c>
      <c r="AC199" s="542">
        <v>0</v>
      </c>
      <c r="AD199" s="542">
        <v>0</v>
      </c>
      <c r="AE199" s="542">
        <v>0</v>
      </c>
      <c r="AF199" s="542">
        <v>0</v>
      </c>
      <c r="AG199" s="542">
        <v>0</v>
      </c>
      <c r="AH199" s="542">
        <v>0</v>
      </c>
      <c r="AI199" s="542">
        <v>55000</v>
      </c>
      <c r="AJ199" s="542">
        <v>55000</v>
      </c>
      <c r="AK199" s="542">
        <v>0</v>
      </c>
      <c r="AL199" s="542">
        <v>0</v>
      </c>
      <c r="AM199" s="542">
        <v>-55000</v>
      </c>
      <c r="AN199" s="542">
        <v>-55000</v>
      </c>
      <c r="AO199" s="542">
        <v>0</v>
      </c>
      <c r="AP199" s="542">
        <v>0</v>
      </c>
      <c r="AQ199" s="542">
        <v>1489108.5</v>
      </c>
      <c r="AR199" s="542">
        <v>0</v>
      </c>
      <c r="AS199" s="542">
        <v>26606.63</v>
      </c>
      <c r="AT199" s="542">
        <v>1213901</v>
      </c>
      <c r="AU199" s="542">
        <v>0</v>
      </c>
      <c r="AV199" s="542">
        <v>24773</v>
      </c>
      <c r="AW199" s="542">
        <v>275208</v>
      </c>
      <c r="AX199" s="542">
        <v>0</v>
      </c>
      <c r="AY199" s="542">
        <v>1834</v>
      </c>
      <c r="AZ199" s="542">
        <v>3901.69</v>
      </c>
      <c r="BA199" s="542">
        <v>0</v>
      </c>
      <c r="BB199" s="542">
        <v>79.63</v>
      </c>
      <c r="BC199" s="542">
        <v>49520</v>
      </c>
      <c r="BD199" s="542">
        <v>0</v>
      </c>
      <c r="BE199" s="542">
        <v>1011</v>
      </c>
      <c r="BF199" s="542">
        <v>-45618</v>
      </c>
      <c r="BG199" s="542">
        <v>0</v>
      </c>
      <c r="BH199" s="542">
        <v>-931</v>
      </c>
      <c r="BI199" s="542">
        <v>0</v>
      </c>
      <c r="BJ199" s="542">
        <v>0</v>
      </c>
      <c r="BK199" s="542">
        <v>0</v>
      </c>
      <c r="BL199" s="542">
        <v>84184</v>
      </c>
      <c r="BM199" s="542">
        <v>0</v>
      </c>
      <c r="BN199" s="542">
        <v>1718</v>
      </c>
      <c r="BO199" s="542">
        <v>-84184</v>
      </c>
      <c r="BP199" s="542">
        <v>0</v>
      </c>
      <c r="BQ199" s="542">
        <v>-1718</v>
      </c>
      <c r="BR199" s="542">
        <v>16244.6</v>
      </c>
      <c r="BS199" s="542">
        <v>0</v>
      </c>
      <c r="BT199" s="542">
        <v>331.52</v>
      </c>
      <c r="BU199" s="542">
        <v>54472.19</v>
      </c>
      <c r="BV199" s="542">
        <v>0</v>
      </c>
      <c r="BW199" s="542">
        <v>1111.68</v>
      </c>
      <c r="BX199" s="542">
        <v>-38228</v>
      </c>
      <c r="BY199" s="542">
        <v>0</v>
      </c>
      <c r="BZ199" s="542">
        <v>-780</v>
      </c>
      <c r="CA199" s="542">
        <v>523761.24</v>
      </c>
      <c r="CB199" s="542">
        <v>0</v>
      </c>
      <c r="CC199" s="542">
        <v>8590.18</v>
      </c>
      <c r="CD199" s="542">
        <v>495201.7</v>
      </c>
      <c r="CE199" s="542">
        <v>0</v>
      </c>
      <c r="CF199" s="542">
        <v>10106.16</v>
      </c>
      <c r="CG199" s="542">
        <v>28560</v>
      </c>
      <c r="CH199" s="542">
        <v>0</v>
      </c>
      <c r="CI199" s="542">
        <v>-1516</v>
      </c>
      <c r="CJ199" s="542">
        <v>0</v>
      </c>
      <c r="CK199" s="542">
        <v>0</v>
      </c>
      <c r="CL199" s="542">
        <v>0</v>
      </c>
      <c r="CM199" s="542">
        <v>0</v>
      </c>
      <c r="CN199" s="542">
        <v>0</v>
      </c>
      <c r="CO199" s="542">
        <v>0</v>
      </c>
      <c r="CP199" s="542">
        <v>0</v>
      </c>
      <c r="CQ199" s="542">
        <v>0</v>
      </c>
      <c r="CR199" s="542">
        <v>0</v>
      </c>
      <c r="CS199" s="542">
        <v>0</v>
      </c>
      <c r="CT199" s="542">
        <v>0</v>
      </c>
      <c r="CU199" s="542">
        <v>0</v>
      </c>
      <c r="CV199" s="542">
        <v>622221.13</v>
      </c>
      <c r="CW199" s="542">
        <v>0</v>
      </c>
      <c r="CX199" s="542">
        <v>12685.56</v>
      </c>
      <c r="CY199" s="542">
        <v>636240</v>
      </c>
      <c r="CZ199" s="542">
        <v>0</v>
      </c>
      <c r="DA199" s="542">
        <v>12833</v>
      </c>
      <c r="DB199" s="542">
        <v>-14019</v>
      </c>
      <c r="DC199" s="542">
        <v>0</v>
      </c>
      <c r="DD199" s="542">
        <v>-147</v>
      </c>
      <c r="DE199" s="153" t="s">
        <v>712</v>
      </c>
      <c r="DF199" s="103" t="s">
        <v>770</v>
      </c>
      <c r="DG199" s="104" t="s">
        <v>756</v>
      </c>
      <c r="DH199" s="549" t="s">
        <v>1205</v>
      </c>
      <c r="DI199" s="549" t="s">
        <v>1206</v>
      </c>
    </row>
    <row r="200" spans="1:113" x14ac:dyDescent="0.2">
      <c r="A200" s="93">
        <v>194</v>
      </c>
      <c r="B200" s="145" t="s">
        <v>266</v>
      </c>
      <c r="C200" s="141" t="s">
        <v>866</v>
      </c>
      <c r="D200" s="142" t="s">
        <v>876</v>
      </c>
      <c r="E200" s="149" t="s">
        <v>713</v>
      </c>
      <c r="F200" s="542">
        <v>-107970</v>
      </c>
      <c r="G200" s="542">
        <v>0</v>
      </c>
      <c r="H200" s="542">
        <v>-107970</v>
      </c>
      <c r="I200" s="542">
        <v>10974</v>
      </c>
      <c r="J200" s="542">
        <v>0</v>
      </c>
      <c r="K200" s="542">
        <v>10974</v>
      </c>
      <c r="L200" s="542">
        <v>-118944</v>
      </c>
      <c r="M200" s="542">
        <v>0</v>
      </c>
      <c r="N200" s="542">
        <v>-118944</v>
      </c>
      <c r="O200" s="543">
        <v>0.5</v>
      </c>
      <c r="P200" s="543">
        <v>0.4</v>
      </c>
      <c r="Q200" s="543">
        <v>0.1</v>
      </c>
      <c r="R200" s="543">
        <v>0</v>
      </c>
      <c r="S200" s="542">
        <v>134756</v>
      </c>
      <c r="T200" s="542">
        <v>134756</v>
      </c>
      <c r="U200" s="542">
        <v>0</v>
      </c>
      <c r="V200" s="542">
        <v>0</v>
      </c>
      <c r="W200" s="542">
        <v>0</v>
      </c>
      <c r="X200" s="542">
        <v>0</v>
      </c>
      <c r="Y200" s="542">
        <v>0</v>
      </c>
      <c r="Z200" s="542">
        <v>0</v>
      </c>
      <c r="AA200" s="542">
        <v>0</v>
      </c>
      <c r="AB200" s="542">
        <v>0</v>
      </c>
      <c r="AC200" s="542">
        <v>0</v>
      </c>
      <c r="AD200" s="542">
        <v>0</v>
      </c>
      <c r="AE200" s="542">
        <v>0</v>
      </c>
      <c r="AF200" s="542">
        <v>0</v>
      </c>
      <c r="AG200" s="542">
        <v>0</v>
      </c>
      <c r="AH200" s="542">
        <v>0</v>
      </c>
      <c r="AI200" s="542">
        <v>0</v>
      </c>
      <c r="AJ200" s="542">
        <v>0</v>
      </c>
      <c r="AK200" s="542">
        <v>0</v>
      </c>
      <c r="AL200" s="542">
        <v>0</v>
      </c>
      <c r="AM200" s="542">
        <v>0</v>
      </c>
      <c r="AN200" s="542">
        <v>0</v>
      </c>
      <c r="AO200" s="542">
        <v>0</v>
      </c>
      <c r="AP200" s="542">
        <v>0</v>
      </c>
      <c r="AQ200" s="542">
        <v>379311.16</v>
      </c>
      <c r="AR200" s="542">
        <v>94827.790200000003</v>
      </c>
      <c r="AS200" s="542">
        <v>0</v>
      </c>
      <c r="AT200" s="542">
        <v>347926</v>
      </c>
      <c r="AU200" s="542">
        <v>86982</v>
      </c>
      <c r="AV200" s="542">
        <v>0</v>
      </c>
      <c r="AW200" s="542">
        <v>31385</v>
      </c>
      <c r="AX200" s="542">
        <v>7846</v>
      </c>
      <c r="AY200" s="542">
        <v>0</v>
      </c>
      <c r="AZ200" s="542">
        <v>0</v>
      </c>
      <c r="BA200" s="542">
        <v>0</v>
      </c>
      <c r="BB200" s="542">
        <v>0</v>
      </c>
      <c r="BC200" s="542">
        <v>0</v>
      </c>
      <c r="BD200" s="542">
        <v>0</v>
      </c>
      <c r="BE200" s="542">
        <v>0</v>
      </c>
      <c r="BF200" s="542">
        <v>0</v>
      </c>
      <c r="BG200" s="542">
        <v>0</v>
      </c>
      <c r="BH200" s="542">
        <v>0</v>
      </c>
      <c r="BI200" s="542">
        <v>5324.7320499999996</v>
      </c>
      <c r="BJ200" s="542">
        <v>1331.18301</v>
      </c>
      <c r="BK200" s="542">
        <v>0</v>
      </c>
      <c r="BL200" s="542">
        <v>0</v>
      </c>
      <c r="BM200" s="542">
        <v>0</v>
      </c>
      <c r="BN200" s="542">
        <v>0</v>
      </c>
      <c r="BO200" s="542">
        <v>5325</v>
      </c>
      <c r="BP200" s="542">
        <v>1331</v>
      </c>
      <c r="BQ200" s="542">
        <v>0</v>
      </c>
      <c r="BR200" s="542">
        <v>5402.7515899999999</v>
      </c>
      <c r="BS200" s="542">
        <v>1350.6878899999999</v>
      </c>
      <c r="BT200" s="542">
        <v>0</v>
      </c>
      <c r="BU200" s="542">
        <v>0</v>
      </c>
      <c r="BV200" s="542">
        <v>0</v>
      </c>
      <c r="BW200" s="542">
        <v>0</v>
      </c>
      <c r="BX200" s="542">
        <v>5403</v>
      </c>
      <c r="BY200" s="542">
        <v>1351</v>
      </c>
      <c r="BZ200" s="542">
        <v>0</v>
      </c>
      <c r="CA200" s="542">
        <v>126440.152</v>
      </c>
      <c r="CB200" s="542">
        <v>31610.038199999999</v>
      </c>
      <c r="CC200" s="542">
        <v>0</v>
      </c>
      <c r="CD200" s="542">
        <v>230825</v>
      </c>
      <c r="CE200" s="542">
        <v>57706</v>
      </c>
      <c r="CF200" s="542">
        <v>0</v>
      </c>
      <c r="CG200" s="542">
        <v>-104385</v>
      </c>
      <c r="CH200" s="542">
        <v>-26096</v>
      </c>
      <c r="CI200" s="542">
        <v>0</v>
      </c>
      <c r="CJ200" s="542">
        <v>0</v>
      </c>
      <c r="CK200" s="542">
        <v>0</v>
      </c>
      <c r="CL200" s="542">
        <v>0</v>
      </c>
      <c r="CM200" s="542">
        <v>0</v>
      </c>
      <c r="CN200" s="542">
        <v>0</v>
      </c>
      <c r="CO200" s="542">
        <v>0</v>
      </c>
      <c r="CP200" s="542">
        <v>0</v>
      </c>
      <c r="CQ200" s="542">
        <v>0</v>
      </c>
      <c r="CR200" s="542">
        <v>0</v>
      </c>
      <c r="CS200" s="542">
        <v>0</v>
      </c>
      <c r="CT200" s="542">
        <v>0</v>
      </c>
      <c r="CU200" s="542">
        <v>0</v>
      </c>
      <c r="CV200" s="542">
        <v>136150.56</v>
      </c>
      <c r="CW200" s="542">
        <v>34037.640099999997</v>
      </c>
      <c r="CX200" s="542">
        <v>0</v>
      </c>
      <c r="CY200" s="542">
        <v>145105</v>
      </c>
      <c r="CZ200" s="542">
        <v>35919</v>
      </c>
      <c r="DA200" s="542">
        <v>0</v>
      </c>
      <c r="DB200" s="542">
        <v>-8954</v>
      </c>
      <c r="DC200" s="542">
        <v>-1881</v>
      </c>
      <c r="DD200" s="542">
        <v>0</v>
      </c>
      <c r="DE200" s="153" t="s">
        <v>713</v>
      </c>
      <c r="DF200" s="103" t="s">
        <v>816</v>
      </c>
      <c r="DG200" s="104" t="s">
        <v>751</v>
      </c>
      <c r="DH200" s="547"/>
      <c r="DI200" s="547"/>
    </row>
    <row r="201" spans="1:113" x14ac:dyDescent="0.2">
      <c r="A201" s="93">
        <v>195</v>
      </c>
      <c r="B201" s="145" t="s">
        <v>268</v>
      </c>
      <c r="C201" s="141" t="s">
        <v>866</v>
      </c>
      <c r="D201" s="142" t="s">
        <v>869</v>
      </c>
      <c r="E201" s="149" t="s">
        <v>714</v>
      </c>
      <c r="F201" s="542">
        <v>-58300</v>
      </c>
      <c r="G201" s="542">
        <v>0</v>
      </c>
      <c r="H201" s="542">
        <v>-58300</v>
      </c>
      <c r="I201" s="542">
        <v>-1000</v>
      </c>
      <c r="J201" s="542">
        <v>0</v>
      </c>
      <c r="K201" s="542">
        <v>-1000</v>
      </c>
      <c r="L201" s="542">
        <v>-57300</v>
      </c>
      <c r="M201" s="542">
        <v>0</v>
      </c>
      <c r="N201" s="542">
        <v>-57300</v>
      </c>
      <c r="O201" s="543">
        <v>0.5</v>
      </c>
      <c r="P201" s="543">
        <v>0.4</v>
      </c>
      <c r="Q201" s="543">
        <v>0.09</v>
      </c>
      <c r="R201" s="543">
        <v>0.01</v>
      </c>
      <c r="S201" s="542">
        <v>56076</v>
      </c>
      <c r="T201" s="542">
        <v>56076</v>
      </c>
      <c r="U201" s="542">
        <v>0</v>
      </c>
      <c r="V201" s="542">
        <v>0</v>
      </c>
      <c r="W201" s="542">
        <v>0</v>
      </c>
      <c r="X201" s="542">
        <v>0</v>
      </c>
      <c r="Y201" s="542">
        <v>0</v>
      </c>
      <c r="Z201" s="542">
        <v>0</v>
      </c>
      <c r="AA201" s="542">
        <v>0</v>
      </c>
      <c r="AB201" s="542">
        <v>0</v>
      </c>
      <c r="AC201" s="542">
        <v>0</v>
      </c>
      <c r="AD201" s="542">
        <v>0</v>
      </c>
      <c r="AE201" s="542">
        <v>0</v>
      </c>
      <c r="AF201" s="542">
        <v>0</v>
      </c>
      <c r="AG201" s="542">
        <v>0</v>
      </c>
      <c r="AH201" s="542">
        <v>0</v>
      </c>
      <c r="AI201" s="542">
        <v>0</v>
      </c>
      <c r="AJ201" s="542">
        <v>0</v>
      </c>
      <c r="AK201" s="542">
        <v>0</v>
      </c>
      <c r="AL201" s="542">
        <v>0</v>
      </c>
      <c r="AM201" s="542">
        <v>0</v>
      </c>
      <c r="AN201" s="542">
        <v>0</v>
      </c>
      <c r="AO201" s="542">
        <v>0</v>
      </c>
      <c r="AP201" s="542">
        <v>0</v>
      </c>
      <c r="AQ201" s="542">
        <v>200602.56899999999</v>
      </c>
      <c r="AR201" s="542">
        <v>45135.578200000004</v>
      </c>
      <c r="AS201" s="542">
        <v>5015.0642399999997</v>
      </c>
      <c r="AT201" s="542">
        <v>188081</v>
      </c>
      <c r="AU201" s="542">
        <v>42318</v>
      </c>
      <c r="AV201" s="542">
        <v>4702</v>
      </c>
      <c r="AW201" s="542">
        <v>12522</v>
      </c>
      <c r="AX201" s="542">
        <v>2818</v>
      </c>
      <c r="AY201" s="542">
        <v>313</v>
      </c>
      <c r="AZ201" s="542">
        <v>0</v>
      </c>
      <c r="BA201" s="542">
        <v>0</v>
      </c>
      <c r="BB201" s="542">
        <v>0</v>
      </c>
      <c r="BC201" s="542">
        <v>4042</v>
      </c>
      <c r="BD201" s="542">
        <v>910</v>
      </c>
      <c r="BE201" s="542">
        <v>101</v>
      </c>
      <c r="BF201" s="542">
        <v>-4042</v>
      </c>
      <c r="BG201" s="542">
        <v>-910</v>
      </c>
      <c r="BH201" s="542">
        <v>-101</v>
      </c>
      <c r="BI201" s="542">
        <v>0</v>
      </c>
      <c r="BJ201" s="542">
        <v>0</v>
      </c>
      <c r="BK201" s="542">
        <v>0</v>
      </c>
      <c r="BL201" s="542">
        <v>0</v>
      </c>
      <c r="BM201" s="542">
        <v>0</v>
      </c>
      <c r="BN201" s="542">
        <v>0</v>
      </c>
      <c r="BO201" s="542">
        <v>0</v>
      </c>
      <c r="BP201" s="542">
        <v>0</v>
      </c>
      <c r="BQ201" s="542">
        <v>0</v>
      </c>
      <c r="BR201" s="542">
        <v>1860.3414</v>
      </c>
      <c r="BS201" s="542">
        <v>418.57681500000001</v>
      </c>
      <c r="BT201" s="542">
        <v>46.508535000000002</v>
      </c>
      <c r="BU201" s="542">
        <v>4042.4628400000001</v>
      </c>
      <c r="BV201" s="542">
        <v>909.55413999999996</v>
      </c>
      <c r="BW201" s="542">
        <v>101.061571</v>
      </c>
      <c r="BX201" s="542">
        <v>-2182</v>
      </c>
      <c r="BY201" s="542">
        <v>-491</v>
      </c>
      <c r="BZ201" s="542">
        <v>-55</v>
      </c>
      <c r="CA201" s="542">
        <v>61853.3197</v>
      </c>
      <c r="CB201" s="542">
        <v>13916.9969</v>
      </c>
      <c r="CC201" s="542">
        <v>1546.3329900000001</v>
      </c>
      <c r="CD201" s="542">
        <v>85293.540500000003</v>
      </c>
      <c r="CE201" s="542">
        <v>19191.046600000001</v>
      </c>
      <c r="CF201" s="542">
        <v>2132.33851</v>
      </c>
      <c r="CG201" s="542">
        <v>-23440</v>
      </c>
      <c r="CH201" s="542">
        <v>-5274</v>
      </c>
      <c r="CI201" s="542">
        <v>-586</v>
      </c>
      <c r="CJ201" s="542">
        <v>0</v>
      </c>
      <c r="CK201" s="542">
        <v>0</v>
      </c>
      <c r="CL201" s="542">
        <v>0</v>
      </c>
      <c r="CM201" s="542">
        <v>0</v>
      </c>
      <c r="CN201" s="542">
        <v>0</v>
      </c>
      <c r="CO201" s="542">
        <v>0</v>
      </c>
      <c r="CP201" s="542">
        <v>0</v>
      </c>
      <c r="CQ201" s="542">
        <v>0</v>
      </c>
      <c r="CR201" s="542">
        <v>0</v>
      </c>
      <c r="CS201" s="542">
        <v>0</v>
      </c>
      <c r="CT201" s="542">
        <v>0</v>
      </c>
      <c r="CU201" s="542">
        <v>0</v>
      </c>
      <c r="CV201" s="542">
        <v>46447.07</v>
      </c>
      <c r="CW201" s="542">
        <v>10450.590700000001</v>
      </c>
      <c r="CX201" s="542">
        <v>1161.1767500000001</v>
      </c>
      <c r="CY201" s="542">
        <v>50244</v>
      </c>
      <c r="CZ201" s="542">
        <v>11171</v>
      </c>
      <c r="DA201" s="542">
        <v>1241</v>
      </c>
      <c r="DB201" s="542">
        <v>-3797</v>
      </c>
      <c r="DC201" s="542">
        <v>-720</v>
      </c>
      <c r="DD201" s="542">
        <v>-80</v>
      </c>
      <c r="DE201" s="153" t="s">
        <v>714</v>
      </c>
      <c r="DF201" s="103" t="s">
        <v>774</v>
      </c>
      <c r="DG201" s="104" t="s">
        <v>775</v>
      </c>
      <c r="DH201" s="547"/>
      <c r="DI201" s="547"/>
    </row>
    <row r="202" spans="1:113" ht="12.75" x14ac:dyDescent="0.2">
      <c r="A202" s="93">
        <v>196</v>
      </c>
      <c r="B202" s="145" t="s">
        <v>270</v>
      </c>
      <c r="C202" s="141" t="s">
        <v>873</v>
      </c>
      <c r="D202" s="142" t="s">
        <v>868</v>
      </c>
      <c r="E202" s="149" t="s">
        <v>269</v>
      </c>
      <c r="F202" s="542">
        <v>-638579</v>
      </c>
      <c r="G202" s="542">
        <v>0</v>
      </c>
      <c r="H202" s="542">
        <v>-638579</v>
      </c>
      <c r="I202" s="542">
        <v>9376</v>
      </c>
      <c r="J202" s="542">
        <v>0</v>
      </c>
      <c r="K202" s="542">
        <v>9376</v>
      </c>
      <c r="L202" s="542">
        <v>-647955</v>
      </c>
      <c r="M202" s="542">
        <v>0</v>
      </c>
      <c r="N202" s="542">
        <v>-647955</v>
      </c>
      <c r="O202" s="543">
        <v>0.5</v>
      </c>
      <c r="P202" s="543">
        <v>0.49</v>
      </c>
      <c r="Q202" s="543">
        <v>0</v>
      </c>
      <c r="R202" s="543">
        <v>0.01</v>
      </c>
      <c r="S202" s="542">
        <v>310627</v>
      </c>
      <c r="T202" s="542">
        <v>310627</v>
      </c>
      <c r="U202" s="542">
        <v>0</v>
      </c>
      <c r="V202" s="542">
        <v>0</v>
      </c>
      <c r="W202" s="542">
        <v>0</v>
      </c>
      <c r="X202" s="542">
        <v>0</v>
      </c>
      <c r="Y202" s="542">
        <v>1402</v>
      </c>
      <c r="Z202" s="542">
        <v>0</v>
      </c>
      <c r="AA202" s="542">
        <v>0</v>
      </c>
      <c r="AB202" s="542">
        <v>0</v>
      </c>
      <c r="AC202" s="542">
        <v>1402</v>
      </c>
      <c r="AD202" s="542">
        <v>0</v>
      </c>
      <c r="AE202" s="542">
        <v>0</v>
      </c>
      <c r="AF202" s="542">
        <v>0</v>
      </c>
      <c r="AG202" s="542">
        <v>0</v>
      </c>
      <c r="AH202" s="542">
        <v>0</v>
      </c>
      <c r="AI202" s="542">
        <v>0</v>
      </c>
      <c r="AJ202" s="542">
        <v>0</v>
      </c>
      <c r="AK202" s="542">
        <v>0</v>
      </c>
      <c r="AL202" s="542">
        <v>0</v>
      </c>
      <c r="AM202" s="542">
        <v>0</v>
      </c>
      <c r="AN202" s="542">
        <v>0</v>
      </c>
      <c r="AO202" s="542">
        <v>0</v>
      </c>
      <c r="AP202" s="542">
        <v>0</v>
      </c>
      <c r="AQ202" s="542">
        <v>1430258.88</v>
      </c>
      <c r="AR202" s="542">
        <v>0</v>
      </c>
      <c r="AS202" s="542">
        <v>29188.959999999999</v>
      </c>
      <c r="AT202" s="542">
        <v>1327518</v>
      </c>
      <c r="AU202" s="542">
        <v>0</v>
      </c>
      <c r="AV202" s="542">
        <v>27092</v>
      </c>
      <c r="AW202" s="542">
        <v>102741</v>
      </c>
      <c r="AX202" s="542">
        <v>0</v>
      </c>
      <c r="AY202" s="542">
        <v>2097</v>
      </c>
      <c r="AZ202" s="542">
        <v>0</v>
      </c>
      <c r="BA202" s="542">
        <v>0</v>
      </c>
      <c r="BB202" s="542">
        <v>0</v>
      </c>
      <c r="BC202" s="542">
        <v>0</v>
      </c>
      <c r="BD202" s="542">
        <v>0</v>
      </c>
      <c r="BE202" s="542">
        <v>0</v>
      </c>
      <c r="BF202" s="542">
        <v>0</v>
      </c>
      <c r="BG202" s="542">
        <v>0</v>
      </c>
      <c r="BH202" s="542">
        <v>0</v>
      </c>
      <c r="BI202" s="542">
        <v>0</v>
      </c>
      <c r="BJ202" s="542">
        <v>0</v>
      </c>
      <c r="BK202" s="542">
        <v>0</v>
      </c>
      <c r="BL202" s="542">
        <v>2449</v>
      </c>
      <c r="BM202" s="542">
        <v>0</v>
      </c>
      <c r="BN202" s="542">
        <v>50</v>
      </c>
      <c r="BO202" s="542">
        <v>-2449</v>
      </c>
      <c r="BP202" s="542">
        <v>0</v>
      </c>
      <c r="BQ202" s="542">
        <v>-50</v>
      </c>
      <c r="BR202" s="542">
        <v>7456.25</v>
      </c>
      <c r="BS202" s="542">
        <v>0</v>
      </c>
      <c r="BT202" s="542">
        <v>152.16999999999999</v>
      </c>
      <c r="BU202" s="542">
        <v>20291</v>
      </c>
      <c r="BV202" s="542">
        <v>0</v>
      </c>
      <c r="BW202" s="542">
        <v>414</v>
      </c>
      <c r="BX202" s="542">
        <v>-12835</v>
      </c>
      <c r="BY202" s="542">
        <v>0</v>
      </c>
      <c r="BZ202" s="542">
        <v>-262</v>
      </c>
      <c r="CA202" s="542">
        <v>397773.24</v>
      </c>
      <c r="CB202" s="542">
        <v>0</v>
      </c>
      <c r="CC202" s="542">
        <v>8117.82</v>
      </c>
      <c r="CD202" s="542">
        <v>508705</v>
      </c>
      <c r="CE202" s="542">
        <v>0</v>
      </c>
      <c r="CF202" s="542">
        <v>10382</v>
      </c>
      <c r="CG202" s="542">
        <v>-110932</v>
      </c>
      <c r="CH202" s="542">
        <v>0</v>
      </c>
      <c r="CI202" s="542">
        <v>-2264</v>
      </c>
      <c r="CJ202" s="542">
        <v>0</v>
      </c>
      <c r="CK202" s="542">
        <v>0</v>
      </c>
      <c r="CL202" s="542">
        <v>0</v>
      </c>
      <c r="CM202" s="542">
        <v>0</v>
      </c>
      <c r="CN202" s="542">
        <v>0</v>
      </c>
      <c r="CO202" s="542">
        <v>0</v>
      </c>
      <c r="CP202" s="542">
        <v>0</v>
      </c>
      <c r="CQ202" s="542">
        <v>0</v>
      </c>
      <c r="CR202" s="542">
        <v>0</v>
      </c>
      <c r="CS202" s="542">
        <v>0</v>
      </c>
      <c r="CT202" s="542">
        <v>0</v>
      </c>
      <c r="CU202" s="542">
        <v>0</v>
      </c>
      <c r="CV202" s="542">
        <v>284820.45</v>
      </c>
      <c r="CW202" s="542">
        <v>0</v>
      </c>
      <c r="CX202" s="542">
        <v>5812.36</v>
      </c>
      <c r="CY202" s="542">
        <v>300533</v>
      </c>
      <c r="CZ202" s="542">
        <v>0</v>
      </c>
      <c r="DA202" s="542">
        <v>6066</v>
      </c>
      <c r="DB202" s="542">
        <v>-15713</v>
      </c>
      <c r="DC202" s="542">
        <v>0</v>
      </c>
      <c r="DD202" s="542">
        <v>-254</v>
      </c>
      <c r="DE202" s="153" t="s">
        <v>269</v>
      </c>
      <c r="DF202" s="103" t="s">
        <v>763</v>
      </c>
      <c r="DG202" s="104" t="s">
        <v>777</v>
      </c>
      <c r="DH202" s="548"/>
      <c r="DI202" s="548"/>
    </row>
    <row r="203" spans="1:113" x14ac:dyDescent="0.2">
      <c r="A203" s="93">
        <v>197</v>
      </c>
      <c r="B203" s="145" t="s">
        <v>272</v>
      </c>
      <c r="C203" s="141" t="s">
        <v>866</v>
      </c>
      <c r="D203" s="142" t="s">
        <v>867</v>
      </c>
      <c r="E203" s="149" t="s">
        <v>271</v>
      </c>
      <c r="F203" s="542">
        <v>-1273444</v>
      </c>
      <c r="G203" s="542">
        <v>0</v>
      </c>
      <c r="H203" s="542">
        <v>-1273444</v>
      </c>
      <c r="I203" s="542">
        <v>-16052</v>
      </c>
      <c r="J203" s="542">
        <v>0</v>
      </c>
      <c r="K203" s="542">
        <v>-16052</v>
      </c>
      <c r="L203" s="542">
        <v>-1257392</v>
      </c>
      <c r="M203" s="542">
        <v>0</v>
      </c>
      <c r="N203" s="542">
        <v>-1257392</v>
      </c>
      <c r="O203" s="543">
        <v>0.5</v>
      </c>
      <c r="P203" s="543">
        <v>0.4</v>
      </c>
      <c r="Q203" s="543">
        <v>0.1</v>
      </c>
      <c r="R203" s="543">
        <v>0</v>
      </c>
      <c r="S203" s="542">
        <v>217390</v>
      </c>
      <c r="T203" s="542">
        <v>217390</v>
      </c>
      <c r="U203" s="542">
        <v>0</v>
      </c>
      <c r="V203" s="542">
        <v>0</v>
      </c>
      <c r="W203" s="542">
        <v>0</v>
      </c>
      <c r="X203" s="542">
        <v>0</v>
      </c>
      <c r="Y203" s="542">
        <v>0</v>
      </c>
      <c r="Z203" s="542">
        <v>0</v>
      </c>
      <c r="AA203" s="542">
        <v>0</v>
      </c>
      <c r="AB203" s="542">
        <v>0</v>
      </c>
      <c r="AC203" s="542">
        <v>0</v>
      </c>
      <c r="AD203" s="542">
        <v>0</v>
      </c>
      <c r="AE203" s="542">
        <v>0</v>
      </c>
      <c r="AF203" s="542">
        <v>0</v>
      </c>
      <c r="AG203" s="542">
        <v>0</v>
      </c>
      <c r="AH203" s="542">
        <v>0</v>
      </c>
      <c r="AI203" s="542">
        <v>0</v>
      </c>
      <c r="AJ203" s="542">
        <v>0</v>
      </c>
      <c r="AK203" s="542">
        <v>0</v>
      </c>
      <c r="AL203" s="542">
        <v>0</v>
      </c>
      <c r="AM203" s="542">
        <v>0</v>
      </c>
      <c r="AN203" s="542">
        <v>0</v>
      </c>
      <c r="AO203" s="542">
        <v>0</v>
      </c>
      <c r="AP203" s="542">
        <v>0</v>
      </c>
      <c r="AQ203" s="542">
        <v>244030.74799999999</v>
      </c>
      <c r="AR203" s="542">
        <v>61007.686999999998</v>
      </c>
      <c r="AS203" s="542">
        <v>0</v>
      </c>
      <c r="AT203" s="542">
        <v>219992</v>
      </c>
      <c r="AU203" s="542">
        <v>54998</v>
      </c>
      <c r="AV203" s="542">
        <v>0</v>
      </c>
      <c r="AW203" s="542">
        <v>24039</v>
      </c>
      <c r="AX203" s="542">
        <v>6010</v>
      </c>
      <c r="AY203" s="542">
        <v>0</v>
      </c>
      <c r="AZ203" s="542">
        <v>0</v>
      </c>
      <c r="BA203" s="542">
        <v>0</v>
      </c>
      <c r="BB203" s="542">
        <v>0</v>
      </c>
      <c r="BC203" s="542">
        <v>6064</v>
      </c>
      <c r="BD203" s="542">
        <v>1516</v>
      </c>
      <c r="BE203" s="542">
        <v>0</v>
      </c>
      <c r="BF203" s="542">
        <v>-6064</v>
      </c>
      <c r="BG203" s="542">
        <v>-1516</v>
      </c>
      <c r="BH203" s="542">
        <v>0</v>
      </c>
      <c r="BI203" s="542">
        <v>0</v>
      </c>
      <c r="BJ203" s="542">
        <v>0</v>
      </c>
      <c r="BK203" s="542">
        <v>0</v>
      </c>
      <c r="BL203" s="542">
        <v>6064</v>
      </c>
      <c r="BM203" s="542">
        <v>1516</v>
      </c>
      <c r="BN203" s="542">
        <v>0</v>
      </c>
      <c r="BO203" s="542">
        <v>-6064</v>
      </c>
      <c r="BP203" s="542">
        <v>-1516</v>
      </c>
      <c r="BQ203" s="542">
        <v>0</v>
      </c>
      <c r="BR203" s="542">
        <v>6400.4314199999999</v>
      </c>
      <c r="BS203" s="542">
        <v>1600.1078500000001</v>
      </c>
      <c r="BT203" s="542">
        <v>0</v>
      </c>
      <c r="BU203" s="542">
        <v>6064</v>
      </c>
      <c r="BV203" s="542">
        <v>1516</v>
      </c>
      <c r="BW203" s="542">
        <v>0</v>
      </c>
      <c r="BX203" s="542">
        <v>336</v>
      </c>
      <c r="BY203" s="542">
        <v>84</v>
      </c>
      <c r="BZ203" s="542">
        <v>0</v>
      </c>
      <c r="CA203" s="542">
        <v>346491.61700000003</v>
      </c>
      <c r="CB203" s="542">
        <v>86622.904399999999</v>
      </c>
      <c r="CC203" s="542">
        <v>0</v>
      </c>
      <c r="CD203" s="542">
        <v>466500</v>
      </c>
      <c r="CE203" s="542">
        <v>116625</v>
      </c>
      <c r="CF203" s="542">
        <v>0</v>
      </c>
      <c r="CG203" s="542">
        <v>-120008</v>
      </c>
      <c r="CH203" s="542">
        <v>-30002</v>
      </c>
      <c r="CI203" s="542">
        <v>0</v>
      </c>
      <c r="CJ203" s="542">
        <v>0</v>
      </c>
      <c r="CK203" s="542">
        <v>0</v>
      </c>
      <c r="CL203" s="542">
        <v>0</v>
      </c>
      <c r="CM203" s="542">
        <v>4674.7040299999999</v>
      </c>
      <c r="CN203" s="542">
        <v>1168.6759999999999</v>
      </c>
      <c r="CO203" s="542">
        <v>0</v>
      </c>
      <c r="CP203" s="542">
        <v>0</v>
      </c>
      <c r="CQ203" s="542">
        <v>0</v>
      </c>
      <c r="CR203" s="542">
        <v>0</v>
      </c>
      <c r="CS203" s="542">
        <v>4675</v>
      </c>
      <c r="CT203" s="542">
        <v>1169</v>
      </c>
      <c r="CU203" s="542">
        <v>0</v>
      </c>
      <c r="CV203" s="542">
        <v>312632.76799999998</v>
      </c>
      <c r="CW203" s="542">
        <v>78158.1921</v>
      </c>
      <c r="CX203" s="542">
        <v>0</v>
      </c>
      <c r="CY203" s="542">
        <v>359193</v>
      </c>
      <c r="CZ203" s="542">
        <v>89221</v>
      </c>
      <c r="DA203" s="542">
        <v>0</v>
      </c>
      <c r="DB203" s="542">
        <v>-46560</v>
      </c>
      <c r="DC203" s="542">
        <v>-11063</v>
      </c>
      <c r="DD203" s="542">
        <v>0</v>
      </c>
      <c r="DE203" s="153" t="s">
        <v>271</v>
      </c>
      <c r="DF203" s="103" t="s">
        <v>795</v>
      </c>
      <c r="DG203" s="104" t="s">
        <v>751</v>
      </c>
      <c r="DH203" s="547"/>
      <c r="DI203" s="547"/>
    </row>
    <row r="204" spans="1:113" x14ac:dyDescent="0.2">
      <c r="A204" s="93">
        <v>198</v>
      </c>
      <c r="B204" s="145" t="s">
        <v>274</v>
      </c>
      <c r="C204" s="141" t="s">
        <v>866</v>
      </c>
      <c r="D204" s="142" t="s">
        <v>868</v>
      </c>
      <c r="E204" s="149" t="s">
        <v>273</v>
      </c>
      <c r="F204" s="542">
        <v>126747</v>
      </c>
      <c r="G204" s="542">
        <v>0</v>
      </c>
      <c r="H204" s="542">
        <v>126747</v>
      </c>
      <c r="I204" s="542">
        <v>24075</v>
      </c>
      <c r="J204" s="542">
        <v>0</v>
      </c>
      <c r="K204" s="542">
        <v>24075</v>
      </c>
      <c r="L204" s="542">
        <v>102672</v>
      </c>
      <c r="M204" s="542">
        <v>0</v>
      </c>
      <c r="N204" s="542">
        <v>102672</v>
      </c>
      <c r="O204" s="543">
        <v>0.5</v>
      </c>
      <c r="P204" s="543">
        <v>0.4</v>
      </c>
      <c r="Q204" s="543">
        <v>0.09</v>
      </c>
      <c r="R204" s="543">
        <v>0.01</v>
      </c>
      <c r="S204" s="542">
        <v>136568</v>
      </c>
      <c r="T204" s="542">
        <v>136568</v>
      </c>
      <c r="U204" s="542">
        <v>0</v>
      </c>
      <c r="V204" s="542">
        <v>0</v>
      </c>
      <c r="W204" s="542">
        <v>0</v>
      </c>
      <c r="X204" s="542">
        <v>0</v>
      </c>
      <c r="Y204" s="542">
        <v>0</v>
      </c>
      <c r="Z204" s="542">
        <v>0</v>
      </c>
      <c r="AA204" s="542">
        <v>0</v>
      </c>
      <c r="AB204" s="542">
        <v>0</v>
      </c>
      <c r="AC204" s="542">
        <v>0</v>
      </c>
      <c r="AD204" s="542">
        <v>0</v>
      </c>
      <c r="AE204" s="542">
        <v>0</v>
      </c>
      <c r="AF204" s="542">
        <v>0</v>
      </c>
      <c r="AG204" s="542">
        <v>0</v>
      </c>
      <c r="AH204" s="542">
        <v>0</v>
      </c>
      <c r="AI204" s="542">
        <v>0</v>
      </c>
      <c r="AJ204" s="542">
        <v>0</v>
      </c>
      <c r="AK204" s="542">
        <v>0</v>
      </c>
      <c r="AL204" s="542">
        <v>0</v>
      </c>
      <c r="AM204" s="542">
        <v>0</v>
      </c>
      <c r="AN204" s="542">
        <v>0</v>
      </c>
      <c r="AO204" s="542">
        <v>0</v>
      </c>
      <c r="AP204" s="542">
        <v>0</v>
      </c>
      <c r="AQ204" s="542">
        <v>560931.94200000004</v>
      </c>
      <c r="AR204" s="542">
        <v>126209.68700000001</v>
      </c>
      <c r="AS204" s="542">
        <v>14023.298500000001</v>
      </c>
      <c r="AT204" s="542">
        <v>456056</v>
      </c>
      <c r="AU204" s="542">
        <v>102612</v>
      </c>
      <c r="AV204" s="542">
        <v>11401</v>
      </c>
      <c r="AW204" s="542">
        <v>104876</v>
      </c>
      <c r="AX204" s="542">
        <v>23598</v>
      </c>
      <c r="AY204" s="542">
        <v>2622</v>
      </c>
      <c r="AZ204" s="542">
        <v>2308.6505299999999</v>
      </c>
      <c r="BA204" s="542">
        <v>519.446369</v>
      </c>
      <c r="BB204" s="542">
        <v>57.7162632</v>
      </c>
      <c r="BC204" s="542">
        <v>101345</v>
      </c>
      <c r="BD204" s="542">
        <v>22803</v>
      </c>
      <c r="BE204" s="542">
        <v>2534</v>
      </c>
      <c r="BF204" s="542">
        <v>-99036</v>
      </c>
      <c r="BG204" s="542">
        <v>-22284</v>
      </c>
      <c r="BH204" s="542">
        <v>-2476</v>
      </c>
      <c r="BI204" s="542">
        <v>0</v>
      </c>
      <c r="BJ204" s="542">
        <v>0</v>
      </c>
      <c r="BK204" s="542">
        <v>0</v>
      </c>
      <c r="BL204" s="542">
        <v>0</v>
      </c>
      <c r="BM204" s="542">
        <v>0</v>
      </c>
      <c r="BN204" s="542">
        <v>0</v>
      </c>
      <c r="BO204" s="542">
        <v>0</v>
      </c>
      <c r="BP204" s="542">
        <v>0</v>
      </c>
      <c r="BQ204" s="542">
        <v>0</v>
      </c>
      <c r="BR204" s="542">
        <v>1717.64246</v>
      </c>
      <c r="BS204" s="542">
        <v>386.46955400000002</v>
      </c>
      <c r="BT204" s="542">
        <v>42.941061500000004</v>
      </c>
      <c r="BU204" s="542">
        <v>0</v>
      </c>
      <c r="BV204" s="542">
        <v>0</v>
      </c>
      <c r="BW204" s="542">
        <v>0</v>
      </c>
      <c r="BX204" s="542">
        <v>1718</v>
      </c>
      <c r="BY204" s="542">
        <v>386</v>
      </c>
      <c r="BZ204" s="542">
        <v>43</v>
      </c>
      <c r="CA204" s="542">
        <v>102660.36500000001</v>
      </c>
      <c r="CB204" s="542">
        <v>23098.5821</v>
      </c>
      <c r="CC204" s="542">
        <v>2566.5091299999999</v>
      </c>
      <c r="CD204" s="542">
        <v>175931</v>
      </c>
      <c r="CE204" s="542">
        <v>39584</v>
      </c>
      <c r="CF204" s="542">
        <v>4398</v>
      </c>
      <c r="CG204" s="542">
        <v>-73271</v>
      </c>
      <c r="CH204" s="542">
        <v>-16485</v>
      </c>
      <c r="CI204" s="542">
        <v>-1831</v>
      </c>
      <c r="CJ204" s="542">
        <v>0</v>
      </c>
      <c r="CK204" s="542">
        <v>0</v>
      </c>
      <c r="CL204" s="542">
        <v>0</v>
      </c>
      <c r="CM204" s="542">
        <v>0</v>
      </c>
      <c r="CN204" s="542">
        <v>0</v>
      </c>
      <c r="CO204" s="542">
        <v>0</v>
      </c>
      <c r="CP204" s="542">
        <v>0</v>
      </c>
      <c r="CQ204" s="542">
        <v>0</v>
      </c>
      <c r="CR204" s="542">
        <v>0</v>
      </c>
      <c r="CS204" s="542">
        <v>0</v>
      </c>
      <c r="CT204" s="542">
        <v>0</v>
      </c>
      <c r="CU204" s="542">
        <v>0</v>
      </c>
      <c r="CV204" s="542">
        <v>77557.358800000002</v>
      </c>
      <c r="CW204" s="542">
        <v>17450.405699999999</v>
      </c>
      <c r="CX204" s="542">
        <v>1938.93397</v>
      </c>
      <c r="CY204" s="542">
        <v>79507</v>
      </c>
      <c r="CZ204" s="542">
        <v>17563</v>
      </c>
      <c r="DA204" s="542">
        <v>1951</v>
      </c>
      <c r="DB204" s="542">
        <v>-1950</v>
      </c>
      <c r="DC204" s="542">
        <v>-113</v>
      </c>
      <c r="DD204" s="542">
        <v>-12</v>
      </c>
      <c r="DE204" s="153" t="s">
        <v>273</v>
      </c>
      <c r="DF204" s="103" t="s">
        <v>789</v>
      </c>
      <c r="DG204" s="104" t="s">
        <v>776</v>
      </c>
      <c r="DH204" s="547"/>
      <c r="DI204" s="547"/>
    </row>
    <row r="205" spans="1:113" x14ac:dyDescent="0.2">
      <c r="A205" s="93">
        <v>199</v>
      </c>
      <c r="B205" s="145" t="s">
        <v>276</v>
      </c>
      <c r="C205" s="141" t="s">
        <v>770</v>
      </c>
      <c r="D205" s="142" t="s">
        <v>870</v>
      </c>
      <c r="E205" s="149" t="s">
        <v>715</v>
      </c>
      <c r="F205" s="542">
        <v>277243</v>
      </c>
      <c r="G205" s="542">
        <v>0</v>
      </c>
      <c r="H205" s="542">
        <v>277243</v>
      </c>
      <c r="I205" s="542">
        <v>1546269</v>
      </c>
      <c r="J205" s="542">
        <v>0</v>
      </c>
      <c r="K205" s="542">
        <v>1546269</v>
      </c>
      <c r="L205" s="542">
        <v>-1269026</v>
      </c>
      <c r="M205" s="542">
        <v>0</v>
      </c>
      <c r="N205" s="542">
        <v>-1269026</v>
      </c>
      <c r="O205" s="543">
        <v>0.5</v>
      </c>
      <c r="P205" s="543">
        <v>0.49</v>
      </c>
      <c r="Q205" s="543">
        <v>0</v>
      </c>
      <c r="R205" s="543">
        <v>0.01</v>
      </c>
      <c r="S205" s="542">
        <v>276677</v>
      </c>
      <c r="T205" s="542">
        <v>276677</v>
      </c>
      <c r="U205" s="542">
        <v>0</v>
      </c>
      <c r="V205" s="542">
        <v>0</v>
      </c>
      <c r="W205" s="542">
        <v>0</v>
      </c>
      <c r="X205" s="542">
        <v>0</v>
      </c>
      <c r="Y205" s="542">
        <v>0</v>
      </c>
      <c r="Z205" s="542">
        <v>0</v>
      </c>
      <c r="AA205" s="542">
        <v>0</v>
      </c>
      <c r="AB205" s="542">
        <v>0</v>
      </c>
      <c r="AC205" s="542">
        <v>0</v>
      </c>
      <c r="AD205" s="542">
        <v>0</v>
      </c>
      <c r="AE205" s="542">
        <v>0</v>
      </c>
      <c r="AF205" s="542">
        <v>0</v>
      </c>
      <c r="AG205" s="542">
        <v>0</v>
      </c>
      <c r="AH205" s="542">
        <v>0</v>
      </c>
      <c r="AI205" s="542">
        <v>0</v>
      </c>
      <c r="AJ205" s="542">
        <v>0</v>
      </c>
      <c r="AK205" s="542">
        <v>0</v>
      </c>
      <c r="AL205" s="542">
        <v>0</v>
      </c>
      <c r="AM205" s="542">
        <v>0</v>
      </c>
      <c r="AN205" s="542">
        <v>0</v>
      </c>
      <c r="AO205" s="542">
        <v>0</v>
      </c>
      <c r="AP205" s="542">
        <v>0</v>
      </c>
      <c r="AQ205" s="542">
        <v>770623.97</v>
      </c>
      <c r="AR205" s="542">
        <v>0</v>
      </c>
      <c r="AS205" s="542">
        <v>15727.02</v>
      </c>
      <c r="AT205" s="542">
        <v>706194</v>
      </c>
      <c r="AU205" s="542">
        <v>0</v>
      </c>
      <c r="AV205" s="542">
        <v>14412</v>
      </c>
      <c r="AW205" s="542">
        <v>64430</v>
      </c>
      <c r="AX205" s="542">
        <v>0</v>
      </c>
      <c r="AY205" s="542">
        <v>1315</v>
      </c>
      <c r="AZ205" s="542">
        <v>82.2</v>
      </c>
      <c r="BA205" s="542">
        <v>0</v>
      </c>
      <c r="BB205" s="542">
        <v>1.68</v>
      </c>
      <c r="BC205" s="542">
        <v>0</v>
      </c>
      <c r="BD205" s="542">
        <v>0</v>
      </c>
      <c r="BE205" s="542">
        <v>0</v>
      </c>
      <c r="BF205" s="542">
        <v>82</v>
      </c>
      <c r="BG205" s="542">
        <v>0</v>
      </c>
      <c r="BH205" s="542">
        <v>2</v>
      </c>
      <c r="BI205" s="542">
        <v>0</v>
      </c>
      <c r="BJ205" s="542">
        <v>0</v>
      </c>
      <c r="BK205" s="542">
        <v>0</v>
      </c>
      <c r="BL205" s="542">
        <v>0</v>
      </c>
      <c r="BM205" s="542">
        <v>0</v>
      </c>
      <c r="BN205" s="542">
        <v>0</v>
      </c>
      <c r="BO205" s="542">
        <v>0</v>
      </c>
      <c r="BP205" s="542">
        <v>0</v>
      </c>
      <c r="BQ205" s="542">
        <v>0</v>
      </c>
      <c r="BR205" s="542">
        <v>8946.31</v>
      </c>
      <c r="BS205" s="542">
        <v>0</v>
      </c>
      <c r="BT205" s="542">
        <v>182.58</v>
      </c>
      <c r="BU205" s="542">
        <v>0</v>
      </c>
      <c r="BV205" s="542">
        <v>0</v>
      </c>
      <c r="BW205" s="542">
        <v>0</v>
      </c>
      <c r="BX205" s="542">
        <v>8946</v>
      </c>
      <c r="BY205" s="542">
        <v>0</v>
      </c>
      <c r="BZ205" s="542">
        <v>183</v>
      </c>
      <c r="CA205" s="542">
        <v>321772.15999999997</v>
      </c>
      <c r="CB205" s="542">
        <v>0</v>
      </c>
      <c r="CC205" s="542">
        <v>6566.78</v>
      </c>
      <c r="CD205" s="542">
        <v>334469</v>
      </c>
      <c r="CE205" s="542">
        <v>0</v>
      </c>
      <c r="CF205" s="542">
        <v>6826</v>
      </c>
      <c r="CG205" s="542">
        <v>-12697</v>
      </c>
      <c r="CH205" s="542">
        <v>0</v>
      </c>
      <c r="CI205" s="542">
        <v>-259</v>
      </c>
      <c r="CJ205" s="542">
        <v>0</v>
      </c>
      <c r="CK205" s="542">
        <v>0</v>
      </c>
      <c r="CL205" s="542">
        <v>0</v>
      </c>
      <c r="CM205" s="542">
        <v>0</v>
      </c>
      <c r="CN205" s="542">
        <v>0</v>
      </c>
      <c r="CO205" s="542">
        <v>0</v>
      </c>
      <c r="CP205" s="542">
        <v>0</v>
      </c>
      <c r="CQ205" s="542">
        <v>0</v>
      </c>
      <c r="CR205" s="542">
        <v>0</v>
      </c>
      <c r="CS205" s="542">
        <v>0</v>
      </c>
      <c r="CT205" s="542">
        <v>0</v>
      </c>
      <c r="CU205" s="542">
        <v>0</v>
      </c>
      <c r="CV205" s="542">
        <v>478742.63</v>
      </c>
      <c r="CW205" s="542">
        <v>0</v>
      </c>
      <c r="CX205" s="542">
        <v>9770.26</v>
      </c>
      <c r="CY205" s="542">
        <v>483125</v>
      </c>
      <c r="CZ205" s="542">
        <v>0</v>
      </c>
      <c r="DA205" s="542">
        <v>9800</v>
      </c>
      <c r="DB205" s="542">
        <v>-4382</v>
      </c>
      <c r="DC205" s="542">
        <v>0</v>
      </c>
      <c r="DD205" s="542">
        <v>-30</v>
      </c>
      <c r="DE205" s="153" t="s">
        <v>715</v>
      </c>
      <c r="DF205" s="103" t="s">
        <v>770</v>
      </c>
      <c r="DG205" s="104" t="s">
        <v>791</v>
      </c>
      <c r="DH205" s="547"/>
      <c r="DI205" s="547"/>
    </row>
    <row r="206" spans="1:113" x14ac:dyDescent="0.2">
      <c r="A206" s="93">
        <v>200</v>
      </c>
      <c r="B206" s="145" t="s">
        <v>278</v>
      </c>
      <c r="C206" s="141" t="s">
        <v>770</v>
      </c>
      <c r="D206" s="142" t="s">
        <v>875</v>
      </c>
      <c r="E206" s="149" t="s">
        <v>716</v>
      </c>
      <c r="F206" s="542">
        <v>-567702</v>
      </c>
      <c r="G206" s="542">
        <v>0</v>
      </c>
      <c r="H206" s="542">
        <v>-567702</v>
      </c>
      <c r="I206" s="542">
        <v>-70502</v>
      </c>
      <c r="J206" s="542">
        <v>0</v>
      </c>
      <c r="K206" s="542">
        <v>-70502</v>
      </c>
      <c r="L206" s="542">
        <v>-497200</v>
      </c>
      <c r="M206" s="542">
        <v>0</v>
      </c>
      <c r="N206" s="542">
        <v>-497200</v>
      </c>
      <c r="O206" s="543">
        <v>0.5</v>
      </c>
      <c r="P206" s="543">
        <v>0.49</v>
      </c>
      <c r="Q206" s="543">
        <v>0</v>
      </c>
      <c r="R206" s="543">
        <v>0.01</v>
      </c>
      <c r="S206" s="542">
        <v>308695</v>
      </c>
      <c r="T206" s="542">
        <v>308695</v>
      </c>
      <c r="U206" s="542">
        <v>0</v>
      </c>
      <c r="V206" s="542">
        <v>0</v>
      </c>
      <c r="W206" s="542">
        <v>0</v>
      </c>
      <c r="X206" s="542">
        <v>0</v>
      </c>
      <c r="Y206" s="542">
        <v>0</v>
      </c>
      <c r="Z206" s="542">
        <v>0</v>
      </c>
      <c r="AA206" s="542">
        <v>208433</v>
      </c>
      <c r="AB206" s="542">
        <v>0</v>
      </c>
      <c r="AC206" s="542">
        <v>-208433</v>
      </c>
      <c r="AD206" s="542">
        <v>0</v>
      </c>
      <c r="AE206" s="542">
        <v>0</v>
      </c>
      <c r="AF206" s="542">
        <v>0</v>
      </c>
      <c r="AG206" s="542">
        <v>0</v>
      </c>
      <c r="AH206" s="542">
        <v>0</v>
      </c>
      <c r="AI206" s="542">
        <v>0</v>
      </c>
      <c r="AJ206" s="542">
        <v>0</v>
      </c>
      <c r="AK206" s="542">
        <v>0</v>
      </c>
      <c r="AL206" s="542">
        <v>0</v>
      </c>
      <c r="AM206" s="542">
        <v>0</v>
      </c>
      <c r="AN206" s="542">
        <v>0</v>
      </c>
      <c r="AO206" s="542">
        <v>0</v>
      </c>
      <c r="AP206" s="542">
        <v>0</v>
      </c>
      <c r="AQ206" s="542">
        <v>1073055.53</v>
      </c>
      <c r="AR206" s="542">
        <v>0</v>
      </c>
      <c r="AS206" s="542">
        <v>21899.09</v>
      </c>
      <c r="AT206" s="542">
        <v>1021759</v>
      </c>
      <c r="AU206" s="542">
        <v>0</v>
      </c>
      <c r="AV206" s="542">
        <v>20852</v>
      </c>
      <c r="AW206" s="542">
        <v>51297</v>
      </c>
      <c r="AX206" s="542">
        <v>0</v>
      </c>
      <c r="AY206" s="542">
        <v>1047</v>
      </c>
      <c r="AZ206" s="542">
        <v>2928.13</v>
      </c>
      <c r="BA206" s="542">
        <v>0</v>
      </c>
      <c r="BB206" s="542">
        <v>59.76</v>
      </c>
      <c r="BC206" s="542">
        <v>0</v>
      </c>
      <c r="BD206" s="542">
        <v>0</v>
      </c>
      <c r="BE206" s="542">
        <v>0</v>
      </c>
      <c r="BF206" s="542">
        <v>2928</v>
      </c>
      <c r="BG206" s="542">
        <v>0</v>
      </c>
      <c r="BH206" s="542">
        <v>60</v>
      </c>
      <c r="BI206" s="542">
        <v>6192</v>
      </c>
      <c r="BJ206" s="542">
        <v>0</v>
      </c>
      <c r="BK206" s="542">
        <v>126.37</v>
      </c>
      <c r="BL206" s="542">
        <v>0</v>
      </c>
      <c r="BM206" s="542">
        <v>0</v>
      </c>
      <c r="BN206" s="542">
        <v>0</v>
      </c>
      <c r="BO206" s="542">
        <v>6192</v>
      </c>
      <c r="BP206" s="542">
        <v>0</v>
      </c>
      <c r="BQ206" s="542">
        <v>126</v>
      </c>
      <c r="BR206" s="542">
        <v>14316.28</v>
      </c>
      <c r="BS206" s="542">
        <v>0</v>
      </c>
      <c r="BT206" s="542">
        <v>292.17</v>
      </c>
      <c r="BU206" s="542">
        <v>409100.98</v>
      </c>
      <c r="BV206" s="542">
        <v>0</v>
      </c>
      <c r="BW206" s="542">
        <v>8349</v>
      </c>
      <c r="BX206" s="542">
        <v>-394785</v>
      </c>
      <c r="BY206" s="542">
        <v>0</v>
      </c>
      <c r="BZ206" s="542">
        <v>-8057</v>
      </c>
      <c r="CA206" s="542">
        <v>433525.32</v>
      </c>
      <c r="CB206" s="542">
        <v>0</v>
      </c>
      <c r="CC206" s="542">
        <v>8847.4599999999991</v>
      </c>
      <c r="CD206" s="542">
        <v>543641.82999999996</v>
      </c>
      <c r="CE206" s="542">
        <v>0</v>
      </c>
      <c r="CF206" s="542">
        <v>11094.73</v>
      </c>
      <c r="CG206" s="542">
        <v>-110117</v>
      </c>
      <c r="CH206" s="542">
        <v>0</v>
      </c>
      <c r="CI206" s="542">
        <v>-2247</v>
      </c>
      <c r="CJ206" s="542">
        <v>3225.18</v>
      </c>
      <c r="CK206" s="542">
        <v>0</v>
      </c>
      <c r="CL206" s="542">
        <v>65.819999999999993</v>
      </c>
      <c r="CM206" s="542">
        <v>954.25</v>
      </c>
      <c r="CN206" s="542">
        <v>0</v>
      </c>
      <c r="CO206" s="542">
        <v>19.47</v>
      </c>
      <c r="CP206" s="542">
        <v>0</v>
      </c>
      <c r="CQ206" s="542">
        <v>0</v>
      </c>
      <c r="CR206" s="542">
        <v>0</v>
      </c>
      <c r="CS206" s="542">
        <v>4179</v>
      </c>
      <c r="CT206" s="542">
        <v>0</v>
      </c>
      <c r="CU206" s="542">
        <v>85</v>
      </c>
      <c r="CV206" s="542">
        <v>466347.62</v>
      </c>
      <c r="CW206" s="542">
        <v>0</v>
      </c>
      <c r="CX206" s="542">
        <v>9517.2999999999993</v>
      </c>
      <c r="CY206" s="542">
        <v>462749</v>
      </c>
      <c r="CZ206" s="542">
        <v>0</v>
      </c>
      <c r="DA206" s="542">
        <v>9332</v>
      </c>
      <c r="DB206" s="542">
        <v>3599</v>
      </c>
      <c r="DC206" s="542">
        <v>0</v>
      </c>
      <c r="DD206" s="542">
        <v>185</v>
      </c>
      <c r="DE206" s="153" t="s">
        <v>716</v>
      </c>
      <c r="DF206" s="103" t="s">
        <v>770</v>
      </c>
      <c r="DG206" s="104" t="s">
        <v>804</v>
      </c>
      <c r="DH206" s="547"/>
      <c r="DI206" s="547"/>
    </row>
    <row r="207" spans="1:113" x14ac:dyDescent="0.2">
      <c r="A207" s="93">
        <v>201</v>
      </c>
      <c r="B207" s="145" t="s">
        <v>280</v>
      </c>
      <c r="C207" s="141" t="s">
        <v>770</v>
      </c>
      <c r="D207" s="142" t="s">
        <v>875</v>
      </c>
      <c r="E207" s="149" t="s">
        <v>717</v>
      </c>
      <c r="F207" s="542">
        <v>-635339</v>
      </c>
      <c r="G207" s="542">
        <v>0</v>
      </c>
      <c r="H207" s="542">
        <v>-635339</v>
      </c>
      <c r="I207" s="542">
        <v>17985</v>
      </c>
      <c r="J207" s="542">
        <v>0</v>
      </c>
      <c r="K207" s="542">
        <v>17985</v>
      </c>
      <c r="L207" s="542">
        <v>-653324</v>
      </c>
      <c r="M207" s="542">
        <v>0</v>
      </c>
      <c r="N207" s="542">
        <v>-653324</v>
      </c>
      <c r="O207" s="543">
        <v>0.5</v>
      </c>
      <c r="P207" s="543">
        <v>0.49</v>
      </c>
      <c r="Q207" s="543">
        <v>0</v>
      </c>
      <c r="R207" s="543">
        <v>0.01</v>
      </c>
      <c r="S207" s="542">
        <v>239436</v>
      </c>
      <c r="T207" s="542">
        <v>239436</v>
      </c>
      <c r="U207" s="542">
        <v>0</v>
      </c>
      <c r="V207" s="542">
        <v>0</v>
      </c>
      <c r="W207" s="542">
        <v>0</v>
      </c>
      <c r="X207" s="542">
        <v>0</v>
      </c>
      <c r="Y207" s="542">
        <v>0</v>
      </c>
      <c r="Z207" s="542">
        <v>0</v>
      </c>
      <c r="AA207" s="542">
        <v>0</v>
      </c>
      <c r="AB207" s="542">
        <v>0</v>
      </c>
      <c r="AC207" s="542">
        <v>0</v>
      </c>
      <c r="AD207" s="542">
        <v>0</v>
      </c>
      <c r="AE207" s="542">
        <v>0</v>
      </c>
      <c r="AF207" s="542">
        <v>0</v>
      </c>
      <c r="AG207" s="542">
        <v>0</v>
      </c>
      <c r="AH207" s="542">
        <v>0</v>
      </c>
      <c r="AI207" s="542">
        <v>0</v>
      </c>
      <c r="AJ207" s="542">
        <v>0</v>
      </c>
      <c r="AK207" s="542">
        <v>0</v>
      </c>
      <c r="AL207" s="542">
        <v>0</v>
      </c>
      <c r="AM207" s="542">
        <v>0</v>
      </c>
      <c r="AN207" s="542">
        <v>0</v>
      </c>
      <c r="AO207" s="542">
        <v>0</v>
      </c>
      <c r="AP207" s="542">
        <v>0</v>
      </c>
      <c r="AQ207" s="542">
        <v>738622.8</v>
      </c>
      <c r="AR207" s="542">
        <v>0</v>
      </c>
      <c r="AS207" s="542">
        <v>15073.93</v>
      </c>
      <c r="AT207" s="542">
        <v>718210</v>
      </c>
      <c r="AU207" s="542">
        <v>0</v>
      </c>
      <c r="AV207" s="542">
        <v>14657</v>
      </c>
      <c r="AW207" s="542">
        <v>20413</v>
      </c>
      <c r="AX207" s="542">
        <v>0</v>
      </c>
      <c r="AY207" s="542">
        <v>417</v>
      </c>
      <c r="AZ207" s="542">
        <v>0</v>
      </c>
      <c r="BA207" s="542">
        <v>0</v>
      </c>
      <c r="BB207" s="542">
        <v>0</v>
      </c>
      <c r="BC207" s="542">
        <v>0</v>
      </c>
      <c r="BD207" s="542">
        <v>0</v>
      </c>
      <c r="BE207" s="542">
        <v>0</v>
      </c>
      <c r="BF207" s="542">
        <v>0</v>
      </c>
      <c r="BG207" s="542">
        <v>0</v>
      </c>
      <c r="BH207" s="542">
        <v>0</v>
      </c>
      <c r="BI207" s="542">
        <v>0</v>
      </c>
      <c r="BJ207" s="542">
        <v>0</v>
      </c>
      <c r="BK207" s="542">
        <v>0</v>
      </c>
      <c r="BL207" s="542">
        <v>0</v>
      </c>
      <c r="BM207" s="542">
        <v>0</v>
      </c>
      <c r="BN207" s="542">
        <v>0</v>
      </c>
      <c r="BO207" s="542">
        <v>0</v>
      </c>
      <c r="BP207" s="542">
        <v>0</v>
      </c>
      <c r="BQ207" s="542">
        <v>0</v>
      </c>
      <c r="BR207" s="542">
        <v>6760</v>
      </c>
      <c r="BS207" s="542">
        <v>0</v>
      </c>
      <c r="BT207" s="542">
        <v>137.96</v>
      </c>
      <c r="BU207" s="542">
        <v>0</v>
      </c>
      <c r="BV207" s="542">
        <v>0</v>
      </c>
      <c r="BW207" s="542">
        <v>0</v>
      </c>
      <c r="BX207" s="542">
        <v>6760</v>
      </c>
      <c r="BY207" s="542">
        <v>0</v>
      </c>
      <c r="BZ207" s="542">
        <v>138</v>
      </c>
      <c r="CA207" s="542">
        <v>345025.35</v>
      </c>
      <c r="CB207" s="542">
        <v>0</v>
      </c>
      <c r="CC207" s="542">
        <v>7041.33</v>
      </c>
      <c r="CD207" s="542">
        <v>404029</v>
      </c>
      <c r="CE207" s="542">
        <v>0</v>
      </c>
      <c r="CF207" s="542">
        <v>8245</v>
      </c>
      <c r="CG207" s="542">
        <v>-59004</v>
      </c>
      <c r="CH207" s="542">
        <v>0</v>
      </c>
      <c r="CI207" s="542">
        <v>-1204</v>
      </c>
      <c r="CJ207" s="542">
        <v>0</v>
      </c>
      <c r="CK207" s="542">
        <v>0</v>
      </c>
      <c r="CL207" s="542">
        <v>0</v>
      </c>
      <c r="CM207" s="542">
        <v>33584.58</v>
      </c>
      <c r="CN207" s="542">
        <v>0</v>
      </c>
      <c r="CO207" s="542">
        <v>685.4</v>
      </c>
      <c r="CP207" s="542">
        <v>27011</v>
      </c>
      <c r="CQ207" s="542">
        <v>0</v>
      </c>
      <c r="CR207" s="542">
        <v>551.24</v>
      </c>
      <c r="CS207" s="542">
        <v>6574</v>
      </c>
      <c r="CT207" s="542">
        <v>0</v>
      </c>
      <c r="CU207" s="542">
        <v>134</v>
      </c>
      <c r="CV207" s="542">
        <v>310834.27</v>
      </c>
      <c r="CW207" s="542">
        <v>0</v>
      </c>
      <c r="CX207" s="542">
        <v>6343.56</v>
      </c>
      <c r="CY207" s="542">
        <v>306229</v>
      </c>
      <c r="CZ207" s="542">
        <v>0</v>
      </c>
      <c r="DA207" s="542">
        <v>6198</v>
      </c>
      <c r="DB207" s="542">
        <v>4605</v>
      </c>
      <c r="DC207" s="542">
        <v>0</v>
      </c>
      <c r="DD207" s="542">
        <v>146</v>
      </c>
      <c r="DE207" s="153" t="s">
        <v>717</v>
      </c>
      <c r="DF207" s="103" t="s">
        <v>770</v>
      </c>
      <c r="DG207" s="104" t="s">
        <v>779</v>
      </c>
      <c r="DH207" s="547"/>
      <c r="DI207" s="547"/>
    </row>
    <row r="208" spans="1:113" x14ac:dyDescent="0.2">
      <c r="A208" s="93">
        <v>202</v>
      </c>
      <c r="B208" s="145" t="s">
        <v>282</v>
      </c>
      <c r="C208" s="141" t="s">
        <v>770</v>
      </c>
      <c r="D208" s="142" t="s">
        <v>867</v>
      </c>
      <c r="E208" s="149" t="s">
        <v>718</v>
      </c>
      <c r="F208" s="542">
        <v>-1791361</v>
      </c>
      <c r="G208" s="542">
        <v>0</v>
      </c>
      <c r="H208" s="542">
        <v>-1791361</v>
      </c>
      <c r="I208" s="542">
        <v>-417574</v>
      </c>
      <c r="J208" s="542">
        <v>0</v>
      </c>
      <c r="K208" s="542">
        <v>-417574</v>
      </c>
      <c r="L208" s="542">
        <v>-1373787</v>
      </c>
      <c r="M208" s="542">
        <v>0</v>
      </c>
      <c r="N208" s="542">
        <v>-1373787</v>
      </c>
      <c r="O208" s="543">
        <v>0.5</v>
      </c>
      <c r="P208" s="543">
        <v>0.49</v>
      </c>
      <c r="Q208" s="543">
        <v>0</v>
      </c>
      <c r="R208" s="543">
        <v>0.01</v>
      </c>
      <c r="S208" s="542">
        <v>281877</v>
      </c>
      <c r="T208" s="542">
        <v>281877</v>
      </c>
      <c r="U208" s="542">
        <v>0</v>
      </c>
      <c r="V208" s="542">
        <v>0</v>
      </c>
      <c r="W208" s="542">
        <v>0</v>
      </c>
      <c r="X208" s="542">
        <v>0</v>
      </c>
      <c r="Y208" s="542">
        <v>0</v>
      </c>
      <c r="Z208" s="542">
        <v>0</v>
      </c>
      <c r="AA208" s="542">
        <v>0</v>
      </c>
      <c r="AB208" s="542">
        <v>0</v>
      </c>
      <c r="AC208" s="542">
        <v>0</v>
      </c>
      <c r="AD208" s="542">
        <v>0</v>
      </c>
      <c r="AE208" s="542">
        <v>0</v>
      </c>
      <c r="AF208" s="542">
        <v>0</v>
      </c>
      <c r="AG208" s="542">
        <v>0</v>
      </c>
      <c r="AH208" s="542">
        <v>0</v>
      </c>
      <c r="AI208" s="542">
        <v>0</v>
      </c>
      <c r="AJ208" s="542">
        <v>0</v>
      </c>
      <c r="AK208" s="542">
        <v>0</v>
      </c>
      <c r="AL208" s="542">
        <v>0</v>
      </c>
      <c r="AM208" s="542">
        <v>0</v>
      </c>
      <c r="AN208" s="542">
        <v>0</v>
      </c>
      <c r="AO208" s="542">
        <v>0</v>
      </c>
      <c r="AP208" s="542">
        <v>0</v>
      </c>
      <c r="AQ208" s="542">
        <v>881349.34</v>
      </c>
      <c r="AR208" s="542">
        <v>0</v>
      </c>
      <c r="AS208" s="542">
        <v>17986.72</v>
      </c>
      <c r="AT208" s="542">
        <v>822342</v>
      </c>
      <c r="AU208" s="542">
        <v>0</v>
      </c>
      <c r="AV208" s="542">
        <v>16783</v>
      </c>
      <c r="AW208" s="542">
        <v>59007</v>
      </c>
      <c r="AX208" s="542">
        <v>0</v>
      </c>
      <c r="AY208" s="542">
        <v>1204</v>
      </c>
      <c r="AZ208" s="542">
        <v>5670.55</v>
      </c>
      <c r="BA208" s="542">
        <v>0</v>
      </c>
      <c r="BB208" s="542">
        <v>115.73</v>
      </c>
      <c r="BC208" s="542">
        <v>4952</v>
      </c>
      <c r="BD208" s="542">
        <v>0</v>
      </c>
      <c r="BE208" s="542">
        <v>101</v>
      </c>
      <c r="BF208" s="542">
        <v>719</v>
      </c>
      <c r="BG208" s="542">
        <v>0</v>
      </c>
      <c r="BH208" s="542">
        <v>15</v>
      </c>
      <c r="BI208" s="542">
        <v>0</v>
      </c>
      <c r="BJ208" s="542">
        <v>0</v>
      </c>
      <c r="BK208" s="542">
        <v>0</v>
      </c>
      <c r="BL208" s="542">
        <v>2476</v>
      </c>
      <c r="BM208" s="542">
        <v>0</v>
      </c>
      <c r="BN208" s="542">
        <v>51</v>
      </c>
      <c r="BO208" s="542">
        <v>-2476</v>
      </c>
      <c r="BP208" s="542">
        <v>0</v>
      </c>
      <c r="BQ208" s="542">
        <v>-51</v>
      </c>
      <c r="BR208" s="542">
        <v>6170.71</v>
      </c>
      <c r="BS208" s="542">
        <v>0</v>
      </c>
      <c r="BT208" s="542">
        <v>125.93</v>
      </c>
      <c r="BU208" s="542">
        <v>19808.07</v>
      </c>
      <c r="BV208" s="542">
        <v>0</v>
      </c>
      <c r="BW208" s="542">
        <v>404.25</v>
      </c>
      <c r="BX208" s="542">
        <v>-13637</v>
      </c>
      <c r="BY208" s="542">
        <v>0</v>
      </c>
      <c r="BZ208" s="542">
        <v>-278</v>
      </c>
      <c r="CA208" s="542">
        <v>391863.5</v>
      </c>
      <c r="CB208" s="542">
        <v>0</v>
      </c>
      <c r="CC208" s="542">
        <v>7997.21</v>
      </c>
      <c r="CD208" s="542">
        <v>554972.54</v>
      </c>
      <c r="CE208" s="542">
        <v>0</v>
      </c>
      <c r="CF208" s="542">
        <v>11325.97</v>
      </c>
      <c r="CG208" s="542">
        <v>-163109</v>
      </c>
      <c r="CH208" s="542">
        <v>0</v>
      </c>
      <c r="CI208" s="542">
        <v>-3329</v>
      </c>
      <c r="CJ208" s="542">
        <v>0</v>
      </c>
      <c r="CK208" s="542">
        <v>0</v>
      </c>
      <c r="CL208" s="542">
        <v>0</v>
      </c>
      <c r="CM208" s="542">
        <v>0</v>
      </c>
      <c r="CN208" s="542">
        <v>0</v>
      </c>
      <c r="CO208" s="542">
        <v>0</v>
      </c>
      <c r="CP208" s="542">
        <v>0</v>
      </c>
      <c r="CQ208" s="542">
        <v>0</v>
      </c>
      <c r="CR208" s="542">
        <v>0</v>
      </c>
      <c r="CS208" s="542">
        <v>0</v>
      </c>
      <c r="CT208" s="542">
        <v>0</v>
      </c>
      <c r="CU208" s="542">
        <v>0</v>
      </c>
      <c r="CV208" s="542">
        <v>398655.16</v>
      </c>
      <c r="CW208" s="542">
        <v>0</v>
      </c>
      <c r="CX208" s="542">
        <v>8135.82</v>
      </c>
      <c r="CY208" s="542">
        <v>422392</v>
      </c>
      <c r="CZ208" s="542">
        <v>0</v>
      </c>
      <c r="DA208" s="542">
        <v>8559</v>
      </c>
      <c r="DB208" s="542">
        <v>-23737</v>
      </c>
      <c r="DC208" s="542">
        <v>0</v>
      </c>
      <c r="DD208" s="542">
        <v>-423</v>
      </c>
      <c r="DE208" s="153" t="s">
        <v>718</v>
      </c>
      <c r="DF208" s="103" t="s">
        <v>770</v>
      </c>
      <c r="DG208" s="104" t="s">
        <v>768</v>
      </c>
      <c r="DH208" s="547"/>
      <c r="DI208" s="547"/>
    </row>
    <row r="209" spans="1:113" x14ac:dyDescent="0.2">
      <c r="A209" s="93">
        <v>203</v>
      </c>
      <c r="B209" s="145" t="s">
        <v>284</v>
      </c>
      <c r="C209" s="141" t="s">
        <v>866</v>
      </c>
      <c r="D209" s="142" t="s">
        <v>868</v>
      </c>
      <c r="E209" s="149" t="s">
        <v>283</v>
      </c>
      <c r="F209" s="542">
        <v>-660609</v>
      </c>
      <c r="G209" s="542">
        <v>0</v>
      </c>
      <c r="H209" s="542">
        <v>-660609</v>
      </c>
      <c r="I209" s="542">
        <v>172920</v>
      </c>
      <c r="J209" s="542">
        <v>0</v>
      </c>
      <c r="K209" s="542">
        <v>172920</v>
      </c>
      <c r="L209" s="542">
        <v>-833529</v>
      </c>
      <c r="M209" s="542">
        <v>0</v>
      </c>
      <c r="N209" s="542">
        <v>-833529</v>
      </c>
      <c r="O209" s="543">
        <v>0.5</v>
      </c>
      <c r="P209" s="543">
        <v>0.4</v>
      </c>
      <c r="Q209" s="543">
        <v>0.09</v>
      </c>
      <c r="R209" s="543">
        <v>0.01</v>
      </c>
      <c r="S209" s="542">
        <v>239602</v>
      </c>
      <c r="T209" s="542">
        <v>239602</v>
      </c>
      <c r="U209" s="542">
        <v>0</v>
      </c>
      <c r="V209" s="542">
        <v>0</v>
      </c>
      <c r="W209" s="542">
        <v>0</v>
      </c>
      <c r="X209" s="542">
        <v>0</v>
      </c>
      <c r="Y209" s="542">
        <v>3842</v>
      </c>
      <c r="Z209" s="542">
        <v>0</v>
      </c>
      <c r="AA209" s="542">
        <v>0</v>
      </c>
      <c r="AB209" s="542">
        <v>0</v>
      </c>
      <c r="AC209" s="542">
        <v>3842</v>
      </c>
      <c r="AD209" s="542">
        <v>0</v>
      </c>
      <c r="AE209" s="542">
        <v>0</v>
      </c>
      <c r="AF209" s="542">
        <v>0</v>
      </c>
      <c r="AG209" s="542">
        <v>0</v>
      </c>
      <c r="AH209" s="542">
        <v>0</v>
      </c>
      <c r="AI209" s="542">
        <v>0</v>
      </c>
      <c r="AJ209" s="542">
        <v>0</v>
      </c>
      <c r="AK209" s="542">
        <v>0</v>
      </c>
      <c r="AL209" s="542">
        <v>0</v>
      </c>
      <c r="AM209" s="542">
        <v>0</v>
      </c>
      <c r="AN209" s="542">
        <v>0</v>
      </c>
      <c r="AO209" s="542">
        <v>0</v>
      </c>
      <c r="AP209" s="542">
        <v>0</v>
      </c>
      <c r="AQ209" s="542">
        <v>692457.91700000002</v>
      </c>
      <c r="AR209" s="542">
        <v>155803.03099999999</v>
      </c>
      <c r="AS209" s="542">
        <v>17311.447899999999</v>
      </c>
      <c r="AT209" s="542">
        <v>645893</v>
      </c>
      <c r="AU209" s="542">
        <v>145326</v>
      </c>
      <c r="AV209" s="542">
        <v>16147</v>
      </c>
      <c r="AW209" s="542">
        <v>46565</v>
      </c>
      <c r="AX209" s="542">
        <v>10477</v>
      </c>
      <c r="AY209" s="542">
        <v>1164</v>
      </c>
      <c r="AZ209" s="542">
        <v>1293.1838600000001</v>
      </c>
      <c r="BA209" s="542">
        <v>290.96636899999999</v>
      </c>
      <c r="BB209" s="542">
        <v>32.329596600000002</v>
      </c>
      <c r="BC209" s="542">
        <v>0</v>
      </c>
      <c r="BD209" s="542">
        <v>0</v>
      </c>
      <c r="BE209" s="542">
        <v>0</v>
      </c>
      <c r="BF209" s="542">
        <v>1293</v>
      </c>
      <c r="BG209" s="542">
        <v>291</v>
      </c>
      <c r="BH209" s="542">
        <v>32</v>
      </c>
      <c r="BI209" s="542">
        <v>0</v>
      </c>
      <c r="BJ209" s="542">
        <v>0</v>
      </c>
      <c r="BK209" s="542">
        <v>0</v>
      </c>
      <c r="BL209" s="542">
        <v>0</v>
      </c>
      <c r="BM209" s="542">
        <v>0</v>
      </c>
      <c r="BN209" s="542">
        <v>0</v>
      </c>
      <c r="BO209" s="542">
        <v>0</v>
      </c>
      <c r="BP209" s="542">
        <v>0</v>
      </c>
      <c r="BQ209" s="542">
        <v>0</v>
      </c>
      <c r="BR209" s="542">
        <v>68215.751999999993</v>
      </c>
      <c r="BS209" s="542">
        <v>15348.5442</v>
      </c>
      <c r="BT209" s="542">
        <v>1705.3938000000001</v>
      </c>
      <c r="BU209" s="542">
        <v>55863</v>
      </c>
      <c r="BV209" s="542">
        <v>12569</v>
      </c>
      <c r="BW209" s="542">
        <v>1397</v>
      </c>
      <c r="BX209" s="542">
        <v>12353</v>
      </c>
      <c r="BY209" s="542">
        <v>2780</v>
      </c>
      <c r="BZ209" s="542">
        <v>308</v>
      </c>
      <c r="CA209" s="542">
        <v>284345.21899999998</v>
      </c>
      <c r="CB209" s="542">
        <v>63977.674299999999</v>
      </c>
      <c r="CC209" s="542">
        <v>7108.6304799999998</v>
      </c>
      <c r="CD209" s="542">
        <v>319762</v>
      </c>
      <c r="CE209" s="542">
        <v>71947</v>
      </c>
      <c r="CF209" s="542">
        <v>7994</v>
      </c>
      <c r="CG209" s="542">
        <v>-35417</v>
      </c>
      <c r="CH209" s="542">
        <v>-7969</v>
      </c>
      <c r="CI209" s="542">
        <v>-885</v>
      </c>
      <c r="CJ209" s="542">
        <v>0</v>
      </c>
      <c r="CK209" s="542">
        <v>0</v>
      </c>
      <c r="CL209" s="542">
        <v>0</v>
      </c>
      <c r="CM209" s="542">
        <v>0</v>
      </c>
      <c r="CN209" s="542">
        <v>0</v>
      </c>
      <c r="CO209" s="542">
        <v>0</v>
      </c>
      <c r="CP209" s="542">
        <v>0</v>
      </c>
      <c r="CQ209" s="542">
        <v>0</v>
      </c>
      <c r="CR209" s="542">
        <v>0</v>
      </c>
      <c r="CS209" s="542">
        <v>0</v>
      </c>
      <c r="CT209" s="542">
        <v>0</v>
      </c>
      <c r="CU209" s="542">
        <v>0</v>
      </c>
      <c r="CV209" s="542">
        <v>263824.755</v>
      </c>
      <c r="CW209" s="542">
        <v>59351.393300000003</v>
      </c>
      <c r="CX209" s="542">
        <v>6594.5992500000002</v>
      </c>
      <c r="CY209" s="542">
        <v>280681</v>
      </c>
      <c r="CZ209" s="542">
        <v>62581</v>
      </c>
      <c r="DA209" s="542">
        <v>6953</v>
      </c>
      <c r="DB209" s="542">
        <v>-16856</v>
      </c>
      <c r="DC209" s="542">
        <v>-3230</v>
      </c>
      <c r="DD209" s="542">
        <v>-358</v>
      </c>
      <c r="DE209" s="153" t="s">
        <v>283</v>
      </c>
      <c r="DF209" s="103" t="s">
        <v>789</v>
      </c>
      <c r="DG209" s="104" t="s">
        <v>776</v>
      </c>
      <c r="DH209" s="547"/>
      <c r="DI209" s="547"/>
    </row>
    <row r="210" spans="1:113" x14ac:dyDescent="0.2">
      <c r="A210" s="93">
        <v>204</v>
      </c>
      <c r="B210" s="145" t="s">
        <v>286</v>
      </c>
      <c r="C210" s="141" t="s">
        <v>866</v>
      </c>
      <c r="D210" s="142" t="s">
        <v>875</v>
      </c>
      <c r="E210" s="149" t="s">
        <v>285</v>
      </c>
      <c r="F210" s="542">
        <v>16938</v>
      </c>
      <c r="G210" s="542">
        <v>0</v>
      </c>
      <c r="H210" s="542">
        <v>16938</v>
      </c>
      <c r="I210" s="542">
        <v>64257</v>
      </c>
      <c r="J210" s="542">
        <v>0</v>
      </c>
      <c r="K210" s="542">
        <v>64257</v>
      </c>
      <c r="L210" s="542">
        <v>-47319</v>
      </c>
      <c r="M210" s="542">
        <v>0</v>
      </c>
      <c r="N210" s="542">
        <v>-47319</v>
      </c>
      <c r="O210" s="543">
        <v>0.5</v>
      </c>
      <c r="P210" s="543">
        <v>0.4</v>
      </c>
      <c r="Q210" s="543">
        <v>0.09</v>
      </c>
      <c r="R210" s="543">
        <v>0.01</v>
      </c>
      <c r="S210" s="542">
        <v>94366</v>
      </c>
      <c r="T210" s="542">
        <v>94366</v>
      </c>
      <c r="U210" s="542">
        <v>0</v>
      </c>
      <c r="V210" s="542">
        <v>0</v>
      </c>
      <c r="W210" s="542">
        <v>0</v>
      </c>
      <c r="X210" s="542">
        <v>0</v>
      </c>
      <c r="Y210" s="542">
        <v>131565</v>
      </c>
      <c r="Z210" s="542">
        <v>0</v>
      </c>
      <c r="AA210" s="542">
        <v>0</v>
      </c>
      <c r="AB210" s="542">
        <v>0</v>
      </c>
      <c r="AC210" s="542">
        <v>131565</v>
      </c>
      <c r="AD210" s="542">
        <v>0</v>
      </c>
      <c r="AE210" s="542">
        <v>0</v>
      </c>
      <c r="AF210" s="542">
        <v>0</v>
      </c>
      <c r="AG210" s="542">
        <v>0</v>
      </c>
      <c r="AH210" s="542">
        <v>0</v>
      </c>
      <c r="AI210" s="542">
        <v>0</v>
      </c>
      <c r="AJ210" s="542">
        <v>0</v>
      </c>
      <c r="AK210" s="542">
        <v>0</v>
      </c>
      <c r="AL210" s="542">
        <v>0</v>
      </c>
      <c r="AM210" s="542">
        <v>0</v>
      </c>
      <c r="AN210" s="542">
        <v>0</v>
      </c>
      <c r="AO210" s="542">
        <v>0</v>
      </c>
      <c r="AP210" s="542">
        <v>0</v>
      </c>
      <c r="AQ210" s="542">
        <v>365808.12199999997</v>
      </c>
      <c r="AR210" s="542">
        <v>82306.827499999999</v>
      </c>
      <c r="AS210" s="542">
        <v>9145.2030500000001</v>
      </c>
      <c r="AT210" s="542">
        <v>316123</v>
      </c>
      <c r="AU210" s="542">
        <v>71128</v>
      </c>
      <c r="AV210" s="542">
        <v>7903</v>
      </c>
      <c r="AW210" s="542">
        <v>49685</v>
      </c>
      <c r="AX210" s="542">
        <v>11179</v>
      </c>
      <c r="AY210" s="542">
        <v>1242</v>
      </c>
      <c r="AZ210" s="542">
        <v>0</v>
      </c>
      <c r="BA210" s="542">
        <v>0</v>
      </c>
      <c r="BB210" s="542">
        <v>0</v>
      </c>
      <c r="BC210" s="542">
        <v>6386</v>
      </c>
      <c r="BD210" s="542">
        <v>1437</v>
      </c>
      <c r="BE210" s="542">
        <v>160</v>
      </c>
      <c r="BF210" s="542">
        <v>-6386</v>
      </c>
      <c r="BG210" s="542">
        <v>-1437</v>
      </c>
      <c r="BH210" s="542">
        <v>-160</v>
      </c>
      <c r="BI210" s="542">
        <v>0</v>
      </c>
      <c r="BJ210" s="542">
        <v>0</v>
      </c>
      <c r="BK210" s="542">
        <v>0</v>
      </c>
      <c r="BL210" s="542">
        <v>4851</v>
      </c>
      <c r="BM210" s="542">
        <v>1092</v>
      </c>
      <c r="BN210" s="542">
        <v>121</v>
      </c>
      <c r="BO210" s="542">
        <v>-4851</v>
      </c>
      <c r="BP210" s="542">
        <v>-1092</v>
      </c>
      <c r="BQ210" s="542">
        <v>-121</v>
      </c>
      <c r="BR210" s="542">
        <v>0</v>
      </c>
      <c r="BS210" s="542">
        <v>0</v>
      </c>
      <c r="BT210" s="542">
        <v>0</v>
      </c>
      <c r="BU210" s="542">
        <v>0</v>
      </c>
      <c r="BV210" s="542">
        <v>0</v>
      </c>
      <c r="BW210" s="542">
        <v>0</v>
      </c>
      <c r="BX210" s="542">
        <v>0</v>
      </c>
      <c r="BY210" s="542">
        <v>0</v>
      </c>
      <c r="BZ210" s="542">
        <v>0</v>
      </c>
      <c r="CA210" s="542">
        <v>97492.884900000005</v>
      </c>
      <c r="CB210" s="542">
        <v>21935.899099999999</v>
      </c>
      <c r="CC210" s="542">
        <v>2437.3221199999998</v>
      </c>
      <c r="CD210" s="542">
        <v>107934</v>
      </c>
      <c r="CE210" s="542">
        <v>24285</v>
      </c>
      <c r="CF210" s="542">
        <v>2698</v>
      </c>
      <c r="CG210" s="542">
        <v>-10441</v>
      </c>
      <c r="CH210" s="542">
        <v>-2349</v>
      </c>
      <c r="CI210" s="542">
        <v>-261</v>
      </c>
      <c r="CJ210" s="542">
        <v>0</v>
      </c>
      <c r="CK210" s="542">
        <v>0</v>
      </c>
      <c r="CL210" s="542">
        <v>0</v>
      </c>
      <c r="CM210" s="542">
        <v>5939.9948999999997</v>
      </c>
      <c r="CN210" s="542">
        <v>1336.4988499999999</v>
      </c>
      <c r="CO210" s="542">
        <v>148.49987200000001</v>
      </c>
      <c r="CP210" s="542">
        <v>678</v>
      </c>
      <c r="CQ210" s="542">
        <v>152.4897</v>
      </c>
      <c r="CR210" s="542">
        <v>16.943300000000001</v>
      </c>
      <c r="CS210" s="542">
        <v>5262</v>
      </c>
      <c r="CT210" s="542">
        <v>1184</v>
      </c>
      <c r="CU210" s="542">
        <v>132</v>
      </c>
      <c r="CV210" s="542">
        <v>54350.588100000001</v>
      </c>
      <c r="CW210" s="542">
        <v>11914.634700000001</v>
      </c>
      <c r="CX210" s="542">
        <v>1323.8483000000001</v>
      </c>
      <c r="CY210" s="542">
        <v>70723</v>
      </c>
      <c r="CZ210" s="542">
        <v>15687</v>
      </c>
      <c r="DA210" s="542">
        <v>1743</v>
      </c>
      <c r="DB210" s="542">
        <v>-16372</v>
      </c>
      <c r="DC210" s="542">
        <v>-3772</v>
      </c>
      <c r="DD210" s="542">
        <v>-419</v>
      </c>
      <c r="DE210" s="153" t="s">
        <v>285</v>
      </c>
      <c r="DF210" s="103" t="s">
        <v>797</v>
      </c>
      <c r="DG210" s="104" t="s">
        <v>779</v>
      </c>
      <c r="DH210" s="547"/>
      <c r="DI210" s="547"/>
    </row>
    <row r="211" spans="1:113" x14ac:dyDescent="0.2">
      <c r="A211" s="93">
        <v>205</v>
      </c>
      <c r="B211" s="145" t="s">
        <v>288</v>
      </c>
      <c r="C211" s="141" t="s">
        <v>770</v>
      </c>
      <c r="D211" s="142" t="s">
        <v>867</v>
      </c>
      <c r="E211" s="149" t="s">
        <v>719</v>
      </c>
      <c r="F211" s="542">
        <v>-1029769</v>
      </c>
      <c r="G211" s="542">
        <v>0</v>
      </c>
      <c r="H211" s="542">
        <v>-1029769</v>
      </c>
      <c r="I211" s="542">
        <v>242685</v>
      </c>
      <c r="J211" s="542">
        <v>0</v>
      </c>
      <c r="K211" s="542">
        <v>242685</v>
      </c>
      <c r="L211" s="542">
        <v>-1272454</v>
      </c>
      <c r="M211" s="542">
        <v>0</v>
      </c>
      <c r="N211" s="542">
        <v>-1272454</v>
      </c>
      <c r="O211" s="543">
        <v>0.5</v>
      </c>
      <c r="P211" s="543">
        <v>0.49</v>
      </c>
      <c r="Q211" s="543">
        <v>0</v>
      </c>
      <c r="R211" s="543">
        <v>0.01</v>
      </c>
      <c r="S211" s="542">
        <v>271390</v>
      </c>
      <c r="T211" s="542">
        <v>271390</v>
      </c>
      <c r="U211" s="542">
        <v>0</v>
      </c>
      <c r="V211" s="542">
        <v>0</v>
      </c>
      <c r="W211" s="542">
        <v>0</v>
      </c>
      <c r="X211" s="542">
        <v>0</v>
      </c>
      <c r="Y211" s="542">
        <v>0</v>
      </c>
      <c r="Z211" s="542">
        <v>0</v>
      </c>
      <c r="AA211" s="542">
        <v>0</v>
      </c>
      <c r="AB211" s="542">
        <v>0</v>
      </c>
      <c r="AC211" s="542">
        <v>0</v>
      </c>
      <c r="AD211" s="542">
        <v>0</v>
      </c>
      <c r="AE211" s="542">
        <v>0</v>
      </c>
      <c r="AF211" s="542">
        <v>0</v>
      </c>
      <c r="AG211" s="542">
        <v>0</v>
      </c>
      <c r="AH211" s="542">
        <v>0</v>
      </c>
      <c r="AI211" s="542">
        <v>0</v>
      </c>
      <c r="AJ211" s="542">
        <v>0</v>
      </c>
      <c r="AK211" s="542">
        <v>0</v>
      </c>
      <c r="AL211" s="542">
        <v>0</v>
      </c>
      <c r="AM211" s="542">
        <v>0</v>
      </c>
      <c r="AN211" s="542">
        <v>0</v>
      </c>
      <c r="AO211" s="542">
        <v>0</v>
      </c>
      <c r="AP211" s="542">
        <v>0</v>
      </c>
      <c r="AQ211" s="542">
        <v>463713.56</v>
      </c>
      <c r="AR211" s="542">
        <v>0</v>
      </c>
      <c r="AS211" s="542">
        <v>9463.5400000000009</v>
      </c>
      <c r="AT211" s="542">
        <v>401982</v>
      </c>
      <c r="AU211" s="542">
        <v>0</v>
      </c>
      <c r="AV211" s="542">
        <v>8204</v>
      </c>
      <c r="AW211" s="542">
        <v>61732</v>
      </c>
      <c r="AX211" s="542">
        <v>0</v>
      </c>
      <c r="AY211" s="542">
        <v>1260</v>
      </c>
      <c r="AZ211" s="542">
        <v>0</v>
      </c>
      <c r="BA211" s="542">
        <v>0</v>
      </c>
      <c r="BB211" s="542">
        <v>0</v>
      </c>
      <c r="BC211" s="542">
        <v>0</v>
      </c>
      <c r="BD211" s="542">
        <v>0</v>
      </c>
      <c r="BE211" s="542">
        <v>0</v>
      </c>
      <c r="BF211" s="542">
        <v>0</v>
      </c>
      <c r="BG211" s="542">
        <v>0</v>
      </c>
      <c r="BH211" s="542">
        <v>0</v>
      </c>
      <c r="BI211" s="542">
        <v>0</v>
      </c>
      <c r="BJ211" s="542">
        <v>0</v>
      </c>
      <c r="BK211" s="542">
        <v>0</v>
      </c>
      <c r="BL211" s="542">
        <v>0</v>
      </c>
      <c r="BM211" s="542">
        <v>0</v>
      </c>
      <c r="BN211" s="542">
        <v>0</v>
      </c>
      <c r="BO211" s="542">
        <v>0</v>
      </c>
      <c r="BP211" s="542">
        <v>0</v>
      </c>
      <c r="BQ211" s="542">
        <v>0</v>
      </c>
      <c r="BR211" s="542">
        <v>4962.42</v>
      </c>
      <c r="BS211" s="542">
        <v>0</v>
      </c>
      <c r="BT211" s="542">
        <v>101.27</v>
      </c>
      <c r="BU211" s="542">
        <v>0</v>
      </c>
      <c r="BV211" s="542">
        <v>0</v>
      </c>
      <c r="BW211" s="542">
        <v>0</v>
      </c>
      <c r="BX211" s="542">
        <v>4962</v>
      </c>
      <c r="BY211" s="542">
        <v>0</v>
      </c>
      <c r="BZ211" s="542">
        <v>101</v>
      </c>
      <c r="CA211" s="542">
        <v>185918.53</v>
      </c>
      <c r="CB211" s="542">
        <v>0</v>
      </c>
      <c r="CC211" s="542">
        <v>3794.26</v>
      </c>
      <c r="CD211" s="542">
        <v>0</v>
      </c>
      <c r="CE211" s="542">
        <v>0</v>
      </c>
      <c r="CF211" s="542">
        <v>0</v>
      </c>
      <c r="CG211" s="542">
        <v>185919</v>
      </c>
      <c r="CH211" s="542">
        <v>0</v>
      </c>
      <c r="CI211" s="542">
        <v>3794</v>
      </c>
      <c r="CJ211" s="542">
        <v>95527.95</v>
      </c>
      <c r="CK211" s="542">
        <v>0</v>
      </c>
      <c r="CL211" s="542">
        <v>1949.55</v>
      </c>
      <c r="CM211" s="542">
        <v>82916.570000000007</v>
      </c>
      <c r="CN211" s="542">
        <v>0</v>
      </c>
      <c r="CO211" s="542">
        <v>1692.17</v>
      </c>
      <c r="CP211" s="542">
        <v>162035</v>
      </c>
      <c r="CQ211" s="542">
        <v>0</v>
      </c>
      <c r="CR211" s="542">
        <v>3306.84</v>
      </c>
      <c r="CS211" s="542">
        <v>16410</v>
      </c>
      <c r="CT211" s="542">
        <v>0</v>
      </c>
      <c r="CU211" s="542">
        <v>335</v>
      </c>
      <c r="CV211" s="542">
        <v>545741.6</v>
      </c>
      <c r="CW211" s="542">
        <v>0</v>
      </c>
      <c r="CX211" s="542">
        <v>11137.58</v>
      </c>
      <c r="CY211" s="542">
        <v>523970</v>
      </c>
      <c r="CZ211" s="542">
        <v>0</v>
      </c>
      <c r="DA211" s="542">
        <v>10634</v>
      </c>
      <c r="DB211" s="542">
        <v>21772</v>
      </c>
      <c r="DC211" s="542">
        <v>0</v>
      </c>
      <c r="DD211" s="542">
        <v>504</v>
      </c>
      <c r="DE211" s="153" t="s">
        <v>719</v>
      </c>
      <c r="DF211" s="103" t="s">
        <v>770</v>
      </c>
      <c r="DG211" s="104" t="s">
        <v>780</v>
      </c>
      <c r="DH211" s="547"/>
      <c r="DI211" s="547"/>
    </row>
    <row r="212" spans="1:113" x14ac:dyDescent="0.2">
      <c r="A212" s="93">
        <v>206</v>
      </c>
      <c r="B212" s="145" t="s">
        <v>290</v>
      </c>
      <c r="C212" s="141" t="s">
        <v>871</v>
      </c>
      <c r="D212" s="142" t="s">
        <v>872</v>
      </c>
      <c r="E212" s="149" t="s">
        <v>289</v>
      </c>
      <c r="F212" s="542">
        <v>-269802</v>
      </c>
      <c r="G212" s="542">
        <v>0</v>
      </c>
      <c r="H212" s="542">
        <v>-269802</v>
      </c>
      <c r="I212" s="542">
        <v>130930</v>
      </c>
      <c r="J212" s="542">
        <v>0</v>
      </c>
      <c r="K212" s="542">
        <v>130930</v>
      </c>
      <c r="L212" s="542">
        <v>-400732</v>
      </c>
      <c r="M212" s="542">
        <v>0</v>
      </c>
      <c r="N212" s="542">
        <v>-400732</v>
      </c>
      <c r="O212" s="543">
        <v>0.5</v>
      </c>
      <c r="P212" s="543">
        <v>0.3</v>
      </c>
      <c r="Q212" s="543">
        <v>0.2</v>
      </c>
      <c r="R212" s="543">
        <v>0</v>
      </c>
      <c r="S212" s="542">
        <v>279552</v>
      </c>
      <c r="T212" s="542">
        <v>279552</v>
      </c>
      <c r="U212" s="542">
        <v>0</v>
      </c>
      <c r="V212" s="542">
        <v>0</v>
      </c>
      <c r="W212" s="542">
        <v>0</v>
      </c>
      <c r="X212" s="542">
        <v>0</v>
      </c>
      <c r="Y212" s="542">
        <v>0</v>
      </c>
      <c r="Z212" s="542">
        <v>0</v>
      </c>
      <c r="AA212" s="542">
        <v>0</v>
      </c>
      <c r="AB212" s="542">
        <v>0</v>
      </c>
      <c r="AC212" s="542">
        <v>0</v>
      </c>
      <c r="AD212" s="542">
        <v>0</v>
      </c>
      <c r="AE212" s="542">
        <v>0</v>
      </c>
      <c r="AF212" s="542">
        <v>0</v>
      </c>
      <c r="AG212" s="542">
        <v>0</v>
      </c>
      <c r="AH212" s="542">
        <v>0</v>
      </c>
      <c r="AI212" s="542">
        <v>0</v>
      </c>
      <c r="AJ212" s="542">
        <v>0</v>
      </c>
      <c r="AK212" s="542">
        <v>0</v>
      </c>
      <c r="AL212" s="542">
        <v>0</v>
      </c>
      <c r="AM212" s="542">
        <v>0</v>
      </c>
      <c r="AN212" s="542">
        <v>0</v>
      </c>
      <c r="AO212" s="542">
        <v>0</v>
      </c>
      <c r="AP212" s="542">
        <v>0</v>
      </c>
      <c r="AQ212" s="542">
        <v>598081.56900000002</v>
      </c>
      <c r="AR212" s="542">
        <v>398721.04599999997</v>
      </c>
      <c r="AS212" s="542">
        <v>0</v>
      </c>
      <c r="AT212" s="542">
        <v>520924</v>
      </c>
      <c r="AU212" s="542">
        <v>347282</v>
      </c>
      <c r="AV212" s="542">
        <v>0</v>
      </c>
      <c r="AW212" s="542">
        <v>77158</v>
      </c>
      <c r="AX212" s="542">
        <v>51439</v>
      </c>
      <c r="AY212" s="542">
        <v>0</v>
      </c>
      <c r="AZ212" s="542">
        <v>6.3668789800000001</v>
      </c>
      <c r="BA212" s="542">
        <v>4.2445859800000001</v>
      </c>
      <c r="BB212" s="542">
        <v>0</v>
      </c>
      <c r="BC212" s="542">
        <v>0</v>
      </c>
      <c r="BD212" s="542">
        <v>0</v>
      </c>
      <c r="BE212" s="542">
        <v>0</v>
      </c>
      <c r="BF212" s="542">
        <v>6</v>
      </c>
      <c r="BG212" s="542">
        <v>4</v>
      </c>
      <c r="BH212" s="542">
        <v>0</v>
      </c>
      <c r="BI212" s="542">
        <v>1806.98089</v>
      </c>
      <c r="BJ212" s="542">
        <v>1204.65392</v>
      </c>
      <c r="BK212" s="542">
        <v>0</v>
      </c>
      <c r="BL212" s="542">
        <v>0</v>
      </c>
      <c r="BM212" s="542">
        <v>0</v>
      </c>
      <c r="BN212" s="542">
        <v>0</v>
      </c>
      <c r="BO212" s="542">
        <v>1807</v>
      </c>
      <c r="BP212" s="542">
        <v>1205</v>
      </c>
      <c r="BQ212" s="542">
        <v>0</v>
      </c>
      <c r="BR212" s="542">
        <v>972.31337499999995</v>
      </c>
      <c r="BS212" s="542">
        <v>648.20891700000004</v>
      </c>
      <c r="BT212" s="542">
        <v>0</v>
      </c>
      <c r="BU212" s="542">
        <v>109147</v>
      </c>
      <c r="BV212" s="542">
        <v>72764</v>
      </c>
      <c r="BW212" s="542">
        <v>0</v>
      </c>
      <c r="BX212" s="542">
        <v>-108175</v>
      </c>
      <c r="BY212" s="542">
        <v>-72116</v>
      </c>
      <c r="BZ212" s="542">
        <v>0</v>
      </c>
      <c r="CA212" s="542">
        <v>375551.87199999997</v>
      </c>
      <c r="CB212" s="542">
        <v>250367.91500000001</v>
      </c>
      <c r="CC212" s="542">
        <v>0</v>
      </c>
      <c r="CD212" s="542">
        <v>818599</v>
      </c>
      <c r="CE212" s="542">
        <v>545732</v>
      </c>
      <c r="CF212" s="542">
        <v>0</v>
      </c>
      <c r="CG212" s="542">
        <v>-443047</v>
      </c>
      <c r="CH212" s="542">
        <v>-295364</v>
      </c>
      <c r="CI212" s="542">
        <v>0</v>
      </c>
      <c r="CJ212" s="542">
        <v>0</v>
      </c>
      <c r="CK212" s="542">
        <v>0</v>
      </c>
      <c r="CL212" s="542">
        <v>0</v>
      </c>
      <c r="CM212" s="542">
        <v>0</v>
      </c>
      <c r="CN212" s="542">
        <v>0</v>
      </c>
      <c r="CO212" s="542">
        <v>0</v>
      </c>
      <c r="CP212" s="542">
        <v>0</v>
      </c>
      <c r="CQ212" s="542">
        <v>0</v>
      </c>
      <c r="CR212" s="542">
        <v>0</v>
      </c>
      <c r="CS212" s="542">
        <v>0</v>
      </c>
      <c r="CT212" s="542">
        <v>0</v>
      </c>
      <c r="CU212" s="542">
        <v>0</v>
      </c>
      <c r="CV212" s="542">
        <v>160463.43599999999</v>
      </c>
      <c r="CW212" s="542">
        <v>106975.624</v>
      </c>
      <c r="CX212" s="542">
        <v>0</v>
      </c>
      <c r="CY212" s="542">
        <v>155147</v>
      </c>
      <c r="CZ212" s="542">
        <v>101453</v>
      </c>
      <c r="DA212" s="542">
        <v>0</v>
      </c>
      <c r="DB212" s="542">
        <v>5316</v>
      </c>
      <c r="DC212" s="542">
        <v>5523</v>
      </c>
      <c r="DD212" s="542">
        <v>0</v>
      </c>
      <c r="DE212" s="153" t="s">
        <v>289</v>
      </c>
      <c r="DF212" s="103" t="s">
        <v>762</v>
      </c>
      <c r="DG212" s="103" t="s">
        <v>750</v>
      </c>
      <c r="DH212" s="547"/>
      <c r="DI212" s="547"/>
    </row>
    <row r="213" spans="1:113" x14ac:dyDescent="0.2">
      <c r="A213" s="93">
        <v>207</v>
      </c>
      <c r="B213" s="145" t="s">
        <v>292</v>
      </c>
      <c r="C213" s="141" t="s">
        <v>770</v>
      </c>
      <c r="D213" s="142" t="s">
        <v>878</v>
      </c>
      <c r="E213" s="149" t="s">
        <v>720</v>
      </c>
      <c r="F213" s="542">
        <v>1007824</v>
      </c>
      <c r="G213" s="542">
        <v>0</v>
      </c>
      <c r="H213" s="542">
        <v>1007824</v>
      </c>
      <c r="I213" s="542">
        <v>252652</v>
      </c>
      <c r="J213" s="542">
        <v>0</v>
      </c>
      <c r="K213" s="542">
        <v>252652</v>
      </c>
      <c r="L213" s="542">
        <v>755172</v>
      </c>
      <c r="M213" s="542">
        <v>0</v>
      </c>
      <c r="N213" s="542">
        <v>755172</v>
      </c>
      <c r="O213" s="543">
        <v>0.5</v>
      </c>
      <c r="P213" s="543">
        <v>0.49</v>
      </c>
      <c r="Q213" s="543">
        <v>0</v>
      </c>
      <c r="R213" s="543">
        <v>0.01</v>
      </c>
      <c r="S213" s="542">
        <v>173562</v>
      </c>
      <c r="T213" s="542">
        <v>173562</v>
      </c>
      <c r="U213" s="542">
        <v>0</v>
      </c>
      <c r="V213" s="542">
        <v>0</v>
      </c>
      <c r="W213" s="542">
        <v>0</v>
      </c>
      <c r="X213" s="542">
        <v>0</v>
      </c>
      <c r="Y213" s="542">
        <v>0</v>
      </c>
      <c r="Z213" s="542">
        <v>0</v>
      </c>
      <c r="AA213" s="542">
        <v>0</v>
      </c>
      <c r="AB213" s="542">
        <v>0</v>
      </c>
      <c r="AC213" s="542">
        <v>0</v>
      </c>
      <c r="AD213" s="542">
        <v>0</v>
      </c>
      <c r="AE213" s="542">
        <v>18510.439999999999</v>
      </c>
      <c r="AF213" s="542">
        <v>18510.439999999999</v>
      </c>
      <c r="AG213" s="542">
        <v>0</v>
      </c>
      <c r="AH213" s="542">
        <v>0</v>
      </c>
      <c r="AI213" s="542">
        <v>0</v>
      </c>
      <c r="AJ213" s="542">
        <v>0</v>
      </c>
      <c r="AK213" s="542">
        <v>0</v>
      </c>
      <c r="AL213" s="542">
        <v>0</v>
      </c>
      <c r="AM213" s="542">
        <v>18510</v>
      </c>
      <c r="AN213" s="542">
        <v>18510</v>
      </c>
      <c r="AO213" s="542">
        <v>0</v>
      </c>
      <c r="AP213" s="542">
        <v>0</v>
      </c>
      <c r="AQ213" s="542">
        <v>618839.44999999995</v>
      </c>
      <c r="AR213" s="542">
        <v>0</v>
      </c>
      <c r="AS213" s="542">
        <v>12629.38</v>
      </c>
      <c r="AT213" s="542">
        <v>577128</v>
      </c>
      <c r="AU213" s="542">
        <v>0</v>
      </c>
      <c r="AV213" s="542">
        <v>11778</v>
      </c>
      <c r="AW213" s="542">
        <v>41711</v>
      </c>
      <c r="AX213" s="542">
        <v>0</v>
      </c>
      <c r="AY213" s="542">
        <v>851</v>
      </c>
      <c r="AZ213" s="542">
        <v>0</v>
      </c>
      <c r="BA213" s="542">
        <v>0</v>
      </c>
      <c r="BB213" s="542">
        <v>0</v>
      </c>
      <c r="BC213" s="542">
        <v>0</v>
      </c>
      <c r="BD213" s="542">
        <v>0</v>
      </c>
      <c r="BE213" s="542">
        <v>0</v>
      </c>
      <c r="BF213" s="542">
        <v>0</v>
      </c>
      <c r="BG213" s="542">
        <v>0</v>
      </c>
      <c r="BH213" s="542">
        <v>0</v>
      </c>
      <c r="BI213" s="542">
        <v>3431.25</v>
      </c>
      <c r="BJ213" s="542">
        <v>0</v>
      </c>
      <c r="BK213" s="542">
        <v>70.03</v>
      </c>
      <c r="BL213" s="542">
        <v>0</v>
      </c>
      <c r="BM213" s="542">
        <v>0</v>
      </c>
      <c r="BN213" s="542">
        <v>0</v>
      </c>
      <c r="BO213" s="542">
        <v>3431</v>
      </c>
      <c r="BP213" s="542">
        <v>0</v>
      </c>
      <c r="BQ213" s="542">
        <v>70</v>
      </c>
      <c r="BR213" s="542">
        <v>0</v>
      </c>
      <c r="BS213" s="542">
        <v>0</v>
      </c>
      <c r="BT213" s="542">
        <v>0</v>
      </c>
      <c r="BU213" s="542">
        <v>440725.55</v>
      </c>
      <c r="BV213" s="542">
        <v>0</v>
      </c>
      <c r="BW213" s="542">
        <v>8994.4</v>
      </c>
      <c r="BX213" s="542">
        <v>-440726</v>
      </c>
      <c r="BY213" s="542">
        <v>0</v>
      </c>
      <c r="BZ213" s="542">
        <v>-8994</v>
      </c>
      <c r="CA213" s="542">
        <v>115200.26</v>
      </c>
      <c r="CB213" s="542">
        <v>0</v>
      </c>
      <c r="CC213" s="542">
        <v>2351.0300000000002</v>
      </c>
      <c r="CD213" s="542">
        <v>256019.28</v>
      </c>
      <c r="CE213" s="542">
        <v>0</v>
      </c>
      <c r="CF213" s="542">
        <v>5224.88</v>
      </c>
      <c r="CG213" s="542">
        <v>-140819</v>
      </c>
      <c r="CH213" s="542">
        <v>0</v>
      </c>
      <c r="CI213" s="542">
        <v>-2874</v>
      </c>
      <c r="CJ213" s="542">
        <v>0</v>
      </c>
      <c r="CK213" s="542">
        <v>0</v>
      </c>
      <c r="CL213" s="542">
        <v>0</v>
      </c>
      <c r="CM213" s="542">
        <v>0</v>
      </c>
      <c r="CN213" s="542">
        <v>0</v>
      </c>
      <c r="CO213" s="542">
        <v>0</v>
      </c>
      <c r="CP213" s="542">
        <v>0</v>
      </c>
      <c r="CQ213" s="542">
        <v>0</v>
      </c>
      <c r="CR213" s="542">
        <v>0</v>
      </c>
      <c r="CS213" s="542">
        <v>0</v>
      </c>
      <c r="CT213" s="542">
        <v>0</v>
      </c>
      <c r="CU213" s="542">
        <v>0</v>
      </c>
      <c r="CV213" s="542">
        <v>211925.3</v>
      </c>
      <c r="CW213" s="542">
        <v>0</v>
      </c>
      <c r="CX213" s="542">
        <v>4325.01</v>
      </c>
      <c r="CY213" s="542">
        <v>191811</v>
      </c>
      <c r="CZ213" s="542">
        <v>0</v>
      </c>
      <c r="DA213" s="542">
        <v>3877</v>
      </c>
      <c r="DB213" s="542">
        <v>20114</v>
      </c>
      <c r="DC213" s="542">
        <v>0</v>
      </c>
      <c r="DD213" s="542">
        <v>448</v>
      </c>
      <c r="DE213" s="153" t="s">
        <v>720</v>
      </c>
      <c r="DF213" s="103" t="s">
        <v>770</v>
      </c>
      <c r="DG213" s="104" t="s">
        <v>809</v>
      </c>
      <c r="DH213" s="549" t="s">
        <v>1192</v>
      </c>
      <c r="DI213" s="549"/>
    </row>
    <row r="214" spans="1:113" x14ac:dyDescent="0.2">
      <c r="A214" s="93">
        <v>208</v>
      </c>
      <c r="B214" s="145" t="s">
        <v>294</v>
      </c>
      <c r="C214" s="141" t="s">
        <v>866</v>
      </c>
      <c r="D214" s="142" t="s">
        <v>876</v>
      </c>
      <c r="E214" s="149" t="s">
        <v>293</v>
      </c>
      <c r="F214" s="542">
        <v>-72649</v>
      </c>
      <c r="G214" s="542">
        <v>0</v>
      </c>
      <c r="H214" s="542">
        <v>-72649</v>
      </c>
      <c r="I214" s="542">
        <v>22553</v>
      </c>
      <c r="J214" s="542">
        <v>0</v>
      </c>
      <c r="K214" s="542">
        <v>22553</v>
      </c>
      <c r="L214" s="542">
        <v>-95202</v>
      </c>
      <c r="M214" s="542">
        <v>0</v>
      </c>
      <c r="N214" s="542">
        <v>-95202</v>
      </c>
      <c r="O214" s="543">
        <v>0.5</v>
      </c>
      <c r="P214" s="543">
        <v>0.4</v>
      </c>
      <c r="Q214" s="543">
        <v>0.09</v>
      </c>
      <c r="R214" s="543">
        <v>0.01</v>
      </c>
      <c r="S214" s="542">
        <v>110669</v>
      </c>
      <c r="T214" s="542">
        <v>110669</v>
      </c>
      <c r="U214" s="542">
        <v>0</v>
      </c>
      <c r="V214" s="542">
        <v>0</v>
      </c>
      <c r="W214" s="542">
        <v>0</v>
      </c>
      <c r="X214" s="542">
        <v>0</v>
      </c>
      <c r="Y214" s="542">
        <v>0</v>
      </c>
      <c r="Z214" s="542">
        <v>0</v>
      </c>
      <c r="AA214" s="542">
        <v>0</v>
      </c>
      <c r="AB214" s="542">
        <v>0</v>
      </c>
      <c r="AC214" s="542">
        <v>0</v>
      </c>
      <c r="AD214" s="542">
        <v>0</v>
      </c>
      <c r="AE214" s="542">
        <v>0</v>
      </c>
      <c r="AF214" s="542">
        <v>0</v>
      </c>
      <c r="AG214" s="542">
        <v>0</v>
      </c>
      <c r="AH214" s="542">
        <v>0</v>
      </c>
      <c r="AI214" s="542">
        <v>0</v>
      </c>
      <c r="AJ214" s="542">
        <v>0</v>
      </c>
      <c r="AK214" s="542">
        <v>0</v>
      </c>
      <c r="AL214" s="542">
        <v>0</v>
      </c>
      <c r="AM214" s="542">
        <v>0</v>
      </c>
      <c r="AN214" s="542">
        <v>0</v>
      </c>
      <c r="AO214" s="542">
        <v>0</v>
      </c>
      <c r="AP214" s="542">
        <v>0</v>
      </c>
      <c r="AQ214" s="542">
        <v>274455.53600000002</v>
      </c>
      <c r="AR214" s="542">
        <v>61752.495600000002</v>
      </c>
      <c r="AS214" s="542">
        <v>6861.3883999999998</v>
      </c>
      <c r="AT214" s="542">
        <v>253704</v>
      </c>
      <c r="AU214" s="542">
        <v>57084</v>
      </c>
      <c r="AV214" s="542">
        <v>6343</v>
      </c>
      <c r="AW214" s="542">
        <v>20752</v>
      </c>
      <c r="AX214" s="542">
        <v>4668</v>
      </c>
      <c r="AY214" s="542">
        <v>518</v>
      </c>
      <c r="AZ214" s="542">
        <v>0</v>
      </c>
      <c r="BA214" s="542">
        <v>0</v>
      </c>
      <c r="BB214" s="542">
        <v>0</v>
      </c>
      <c r="BC214" s="542">
        <v>0</v>
      </c>
      <c r="BD214" s="542">
        <v>0</v>
      </c>
      <c r="BE214" s="542">
        <v>0</v>
      </c>
      <c r="BF214" s="542">
        <v>0</v>
      </c>
      <c r="BG214" s="542">
        <v>0</v>
      </c>
      <c r="BH214" s="542">
        <v>0</v>
      </c>
      <c r="BI214" s="542">
        <v>0</v>
      </c>
      <c r="BJ214" s="542">
        <v>0</v>
      </c>
      <c r="BK214" s="542">
        <v>0</v>
      </c>
      <c r="BL214" s="542">
        <v>0</v>
      </c>
      <c r="BM214" s="542">
        <v>0</v>
      </c>
      <c r="BN214" s="542">
        <v>0</v>
      </c>
      <c r="BO214" s="542">
        <v>0</v>
      </c>
      <c r="BP214" s="542">
        <v>0</v>
      </c>
      <c r="BQ214" s="542">
        <v>0</v>
      </c>
      <c r="BR214" s="542">
        <v>3893.2959599999999</v>
      </c>
      <c r="BS214" s="542">
        <v>875.99159199999997</v>
      </c>
      <c r="BT214" s="542">
        <v>97.332399100000004</v>
      </c>
      <c r="BU214" s="542">
        <v>90513</v>
      </c>
      <c r="BV214" s="542">
        <v>20365</v>
      </c>
      <c r="BW214" s="542">
        <v>2263</v>
      </c>
      <c r="BX214" s="542">
        <v>-86620</v>
      </c>
      <c r="BY214" s="542">
        <v>-19489</v>
      </c>
      <c r="BZ214" s="542">
        <v>-2166</v>
      </c>
      <c r="CA214" s="542">
        <v>58307.2713</v>
      </c>
      <c r="CB214" s="542">
        <v>13119.136</v>
      </c>
      <c r="CC214" s="542">
        <v>1457.6817799999999</v>
      </c>
      <c r="CD214" s="542">
        <v>114127</v>
      </c>
      <c r="CE214" s="542">
        <v>25679</v>
      </c>
      <c r="CF214" s="542">
        <v>2853</v>
      </c>
      <c r="CG214" s="542">
        <v>-55820</v>
      </c>
      <c r="CH214" s="542">
        <v>-12560</v>
      </c>
      <c r="CI214" s="542">
        <v>-1395</v>
      </c>
      <c r="CJ214" s="542">
        <v>0</v>
      </c>
      <c r="CK214" s="542">
        <v>0</v>
      </c>
      <c r="CL214" s="542">
        <v>0</v>
      </c>
      <c r="CM214" s="542">
        <v>0</v>
      </c>
      <c r="CN214" s="542">
        <v>0</v>
      </c>
      <c r="CO214" s="542">
        <v>0</v>
      </c>
      <c r="CP214" s="542">
        <v>0</v>
      </c>
      <c r="CQ214" s="542">
        <v>0</v>
      </c>
      <c r="CR214" s="542">
        <v>0</v>
      </c>
      <c r="CS214" s="542">
        <v>0</v>
      </c>
      <c r="CT214" s="542">
        <v>0</v>
      </c>
      <c r="CU214" s="542">
        <v>0</v>
      </c>
      <c r="CV214" s="542">
        <v>141269.88099999999</v>
      </c>
      <c r="CW214" s="542">
        <v>31785.7232</v>
      </c>
      <c r="CX214" s="542">
        <v>3531.7470199999998</v>
      </c>
      <c r="CY214" s="542">
        <v>151684</v>
      </c>
      <c r="CZ214" s="542">
        <v>33865</v>
      </c>
      <c r="DA214" s="542">
        <v>3763</v>
      </c>
      <c r="DB214" s="542">
        <v>-10414</v>
      </c>
      <c r="DC214" s="542">
        <v>-2079</v>
      </c>
      <c r="DD214" s="542">
        <v>-231</v>
      </c>
      <c r="DE214" s="153" t="s">
        <v>293</v>
      </c>
      <c r="DF214" s="103" t="s">
        <v>786</v>
      </c>
      <c r="DG214" s="104" t="s">
        <v>787</v>
      </c>
      <c r="DH214" s="547"/>
      <c r="DI214" s="547"/>
    </row>
    <row r="215" spans="1:113" x14ac:dyDescent="0.2">
      <c r="A215" s="93">
        <v>209</v>
      </c>
      <c r="B215" s="145" t="s">
        <v>296</v>
      </c>
      <c r="C215" s="141" t="s">
        <v>866</v>
      </c>
      <c r="D215" s="142" t="s">
        <v>867</v>
      </c>
      <c r="E215" s="149" t="s">
        <v>721</v>
      </c>
      <c r="F215" s="542">
        <v>-53719</v>
      </c>
      <c r="G215" s="542">
        <v>0</v>
      </c>
      <c r="H215" s="542">
        <v>-53719</v>
      </c>
      <c r="I215" s="542">
        <v>-40962</v>
      </c>
      <c r="J215" s="542">
        <v>0</v>
      </c>
      <c r="K215" s="542">
        <v>-40962</v>
      </c>
      <c r="L215" s="542">
        <v>-12757</v>
      </c>
      <c r="M215" s="542">
        <v>0</v>
      </c>
      <c r="N215" s="542">
        <v>-12757</v>
      </c>
      <c r="O215" s="543">
        <v>0.5</v>
      </c>
      <c r="P215" s="543">
        <v>0.4</v>
      </c>
      <c r="Q215" s="543">
        <v>0.1</v>
      </c>
      <c r="R215" s="543">
        <v>0</v>
      </c>
      <c r="S215" s="542">
        <v>177048</v>
      </c>
      <c r="T215" s="542">
        <v>177048</v>
      </c>
      <c r="U215" s="542">
        <v>0</v>
      </c>
      <c r="V215" s="542">
        <v>0</v>
      </c>
      <c r="W215" s="542">
        <v>0</v>
      </c>
      <c r="X215" s="542">
        <v>0</v>
      </c>
      <c r="Y215" s="542">
        <v>0</v>
      </c>
      <c r="Z215" s="542">
        <v>0</v>
      </c>
      <c r="AA215" s="542">
        <v>0</v>
      </c>
      <c r="AB215" s="542">
        <v>0</v>
      </c>
      <c r="AC215" s="542">
        <v>0</v>
      </c>
      <c r="AD215" s="542">
        <v>0</v>
      </c>
      <c r="AE215" s="542">
        <v>0</v>
      </c>
      <c r="AF215" s="542">
        <v>0</v>
      </c>
      <c r="AG215" s="542">
        <v>0</v>
      </c>
      <c r="AH215" s="542">
        <v>0</v>
      </c>
      <c r="AI215" s="542">
        <v>0</v>
      </c>
      <c r="AJ215" s="542">
        <v>0</v>
      </c>
      <c r="AK215" s="542">
        <v>0</v>
      </c>
      <c r="AL215" s="542">
        <v>0</v>
      </c>
      <c r="AM215" s="542">
        <v>0</v>
      </c>
      <c r="AN215" s="542">
        <v>0</v>
      </c>
      <c r="AO215" s="542">
        <v>0</v>
      </c>
      <c r="AP215" s="542">
        <v>0</v>
      </c>
      <c r="AQ215" s="542">
        <v>392797.22100000002</v>
      </c>
      <c r="AR215" s="542">
        <v>98199.305300000007</v>
      </c>
      <c r="AS215" s="542">
        <v>0</v>
      </c>
      <c r="AT215" s="542">
        <v>387448</v>
      </c>
      <c r="AU215" s="542">
        <v>96862</v>
      </c>
      <c r="AV215" s="542">
        <v>0</v>
      </c>
      <c r="AW215" s="542">
        <v>5349</v>
      </c>
      <c r="AX215" s="542">
        <v>1337</v>
      </c>
      <c r="AY215" s="542">
        <v>0</v>
      </c>
      <c r="AZ215" s="542">
        <v>3702.8959599999998</v>
      </c>
      <c r="BA215" s="542">
        <v>925.72399099999996</v>
      </c>
      <c r="BB215" s="542">
        <v>0</v>
      </c>
      <c r="BC215" s="542">
        <v>0</v>
      </c>
      <c r="BD215" s="542">
        <v>0</v>
      </c>
      <c r="BE215" s="542">
        <v>0</v>
      </c>
      <c r="BF215" s="542">
        <v>3703</v>
      </c>
      <c r="BG215" s="542">
        <v>926</v>
      </c>
      <c r="BH215" s="542">
        <v>0</v>
      </c>
      <c r="BI215" s="542">
        <v>400.60806700000001</v>
      </c>
      <c r="BJ215" s="542">
        <v>100.152017</v>
      </c>
      <c r="BK215" s="542">
        <v>0</v>
      </c>
      <c r="BL215" s="542">
        <v>181911</v>
      </c>
      <c r="BM215" s="542">
        <v>45478</v>
      </c>
      <c r="BN215" s="542">
        <v>0</v>
      </c>
      <c r="BO215" s="542">
        <v>-181510</v>
      </c>
      <c r="BP215" s="542">
        <v>-45378</v>
      </c>
      <c r="BQ215" s="542">
        <v>0</v>
      </c>
      <c r="BR215" s="542">
        <v>0</v>
      </c>
      <c r="BS215" s="542">
        <v>0</v>
      </c>
      <c r="BT215" s="542">
        <v>0</v>
      </c>
      <c r="BU215" s="542">
        <v>0</v>
      </c>
      <c r="BV215" s="542">
        <v>0</v>
      </c>
      <c r="BW215" s="542">
        <v>0</v>
      </c>
      <c r="BX215" s="542">
        <v>0</v>
      </c>
      <c r="BY215" s="542">
        <v>0</v>
      </c>
      <c r="BZ215" s="542">
        <v>0</v>
      </c>
      <c r="CA215" s="542">
        <v>199495.13699999999</v>
      </c>
      <c r="CB215" s="542">
        <v>49873.784200000002</v>
      </c>
      <c r="CC215" s="542">
        <v>0</v>
      </c>
      <c r="CD215" s="542">
        <v>202123</v>
      </c>
      <c r="CE215" s="542">
        <v>50531</v>
      </c>
      <c r="CF215" s="542">
        <v>0</v>
      </c>
      <c r="CG215" s="542">
        <v>-2628</v>
      </c>
      <c r="CH215" s="542">
        <v>-657</v>
      </c>
      <c r="CI215" s="542">
        <v>0</v>
      </c>
      <c r="CJ215" s="542">
        <v>3066.0160000000001</v>
      </c>
      <c r="CK215" s="542">
        <v>766.50400000000002</v>
      </c>
      <c r="CL215" s="542">
        <v>0</v>
      </c>
      <c r="CM215" s="542">
        <v>1056.2955400000001</v>
      </c>
      <c r="CN215" s="542">
        <v>264.07388500000002</v>
      </c>
      <c r="CO215" s="542">
        <v>0</v>
      </c>
      <c r="CP215" s="542">
        <v>4291</v>
      </c>
      <c r="CQ215" s="542">
        <v>1072.8119999999999</v>
      </c>
      <c r="CR215" s="542">
        <v>0</v>
      </c>
      <c r="CS215" s="542">
        <v>-169</v>
      </c>
      <c r="CT215" s="542">
        <v>-42</v>
      </c>
      <c r="CU215" s="542">
        <v>0</v>
      </c>
      <c r="CV215" s="542">
        <v>200789.12899999999</v>
      </c>
      <c r="CW215" s="542">
        <v>50197.282299999999</v>
      </c>
      <c r="CX215" s="542">
        <v>0</v>
      </c>
      <c r="CY215" s="542">
        <v>206122</v>
      </c>
      <c r="CZ215" s="542">
        <v>51061</v>
      </c>
      <c r="DA215" s="542">
        <v>0</v>
      </c>
      <c r="DB215" s="542">
        <v>-5333</v>
      </c>
      <c r="DC215" s="542">
        <v>-864</v>
      </c>
      <c r="DD215" s="542">
        <v>0</v>
      </c>
      <c r="DE215" s="153" t="s">
        <v>721</v>
      </c>
      <c r="DF215" s="103" t="s">
        <v>807</v>
      </c>
      <c r="DG215" s="104" t="s">
        <v>751</v>
      </c>
      <c r="DH215" s="547"/>
      <c r="DI215" s="547"/>
    </row>
    <row r="216" spans="1:113" x14ac:dyDescent="0.2">
      <c r="A216" s="93">
        <v>210</v>
      </c>
      <c r="B216" s="145" t="s">
        <v>298</v>
      </c>
      <c r="C216" s="141" t="s">
        <v>866</v>
      </c>
      <c r="D216" s="142" t="s">
        <v>868</v>
      </c>
      <c r="E216" s="149" t="s">
        <v>297</v>
      </c>
      <c r="F216" s="542">
        <v>36964</v>
      </c>
      <c r="G216" s="542">
        <v>0</v>
      </c>
      <c r="H216" s="542">
        <v>36964</v>
      </c>
      <c r="I216" s="542">
        <v>65436</v>
      </c>
      <c r="J216" s="542">
        <v>0</v>
      </c>
      <c r="K216" s="542">
        <v>65436</v>
      </c>
      <c r="L216" s="542">
        <v>-28472</v>
      </c>
      <c r="M216" s="542">
        <v>0</v>
      </c>
      <c r="N216" s="542">
        <v>-28472</v>
      </c>
      <c r="O216" s="543">
        <v>0.5</v>
      </c>
      <c r="P216" s="543">
        <v>0.4</v>
      </c>
      <c r="Q216" s="543">
        <v>0.09</v>
      </c>
      <c r="R216" s="543">
        <v>0.01</v>
      </c>
      <c r="S216" s="542">
        <v>87901</v>
      </c>
      <c r="T216" s="542">
        <v>87901</v>
      </c>
      <c r="U216" s="542">
        <v>0</v>
      </c>
      <c r="V216" s="542">
        <v>10008</v>
      </c>
      <c r="W216" s="542">
        <v>10008</v>
      </c>
      <c r="X216" s="542">
        <v>0</v>
      </c>
      <c r="Y216" s="542">
        <v>129</v>
      </c>
      <c r="Z216" s="542">
        <v>0</v>
      </c>
      <c r="AA216" s="542">
        <v>0</v>
      </c>
      <c r="AB216" s="542">
        <v>0</v>
      </c>
      <c r="AC216" s="542">
        <v>129</v>
      </c>
      <c r="AD216" s="542">
        <v>0</v>
      </c>
      <c r="AE216" s="542">
        <v>0</v>
      </c>
      <c r="AF216" s="542">
        <v>0</v>
      </c>
      <c r="AG216" s="542">
        <v>0</v>
      </c>
      <c r="AH216" s="542">
        <v>0</v>
      </c>
      <c r="AI216" s="542">
        <v>0</v>
      </c>
      <c r="AJ216" s="542">
        <v>0</v>
      </c>
      <c r="AK216" s="542">
        <v>0</v>
      </c>
      <c r="AL216" s="542">
        <v>0</v>
      </c>
      <c r="AM216" s="542">
        <v>0</v>
      </c>
      <c r="AN216" s="542">
        <v>0</v>
      </c>
      <c r="AO216" s="542">
        <v>0</v>
      </c>
      <c r="AP216" s="542">
        <v>0</v>
      </c>
      <c r="AQ216" s="542">
        <v>382185.75599999999</v>
      </c>
      <c r="AR216" s="542">
        <v>85991.795100000003</v>
      </c>
      <c r="AS216" s="542">
        <v>9554.6438999999991</v>
      </c>
      <c r="AT216" s="542">
        <v>358596</v>
      </c>
      <c r="AU216" s="542">
        <v>80684</v>
      </c>
      <c r="AV216" s="542">
        <v>8965</v>
      </c>
      <c r="AW216" s="542">
        <v>23590</v>
      </c>
      <c r="AX216" s="542">
        <v>5308</v>
      </c>
      <c r="AY216" s="542">
        <v>590</v>
      </c>
      <c r="AZ216" s="542">
        <v>1795.6619900000001</v>
      </c>
      <c r="BA216" s="542">
        <v>404.02394900000002</v>
      </c>
      <c r="BB216" s="542">
        <v>44.8915498</v>
      </c>
      <c r="BC216" s="542">
        <v>8085</v>
      </c>
      <c r="BD216" s="542">
        <v>1819</v>
      </c>
      <c r="BE216" s="542">
        <v>202</v>
      </c>
      <c r="BF216" s="542">
        <v>-6289</v>
      </c>
      <c r="BG216" s="542">
        <v>-1415</v>
      </c>
      <c r="BH216" s="542">
        <v>-157</v>
      </c>
      <c r="BI216" s="542">
        <v>3947.8692099999998</v>
      </c>
      <c r="BJ216" s="542">
        <v>888.27057300000001</v>
      </c>
      <c r="BK216" s="542">
        <v>98.696730299999999</v>
      </c>
      <c r="BL216" s="542">
        <v>8085</v>
      </c>
      <c r="BM216" s="542">
        <v>1819</v>
      </c>
      <c r="BN216" s="542">
        <v>202</v>
      </c>
      <c r="BO216" s="542">
        <v>-4137</v>
      </c>
      <c r="BP216" s="542">
        <v>-931</v>
      </c>
      <c r="BQ216" s="542">
        <v>-103</v>
      </c>
      <c r="BR216" s="542">
        <v>1962.21146</v>
      </c>
      <c r="BS216" s="542">
        <v>441.49757899999997</v>
      </c>
      <c r="BT216" s="542">
        <v>49.055286600000002</v>
      </c>
      <c r="BU216" s="542">
        <v>8084.92569</v>
      </c>
      <c r="BV216" s="542">
        <v>1819.1082799999999</v>
      </c>
      <c r="BW216" s="542">
        <v>202.123142</v>
      </c>
      <c r="BX216" s="542">
        <v>-6123</v>
      </c>
      <c r="BY216" s="542">
        <v>-1378</v>
      </c>
      <c r="BZ216" s="542">
        <v>-153</v>
      </c>
      <c r="CA216" s="542">
        <v>123441.049</v>
      </c>
      <c r="CB216" s="542">
        <v>27774.236099999998</v>
      </c>
      <c r="CC216" s="542">
        <v>3086.0262400000001</v>
      </c>
      <c r="CD216" s="542">
        <v>161698.51300000001</v>
      </c>
      <c r="CE216" s="542">
        <v>36382.1656</v>
      </c>
      <c r="CF216" s="542">
        <v>4042.4628400000001</v>
      </c>
      <c r="CG216" s="542">
        <v>-38257</v>
      </c>
      <c r="CH216" s="542">
        <v>-8608</v>
      </c>
      <c r="CI216" s="542">
        <v>-956</v>
      </c>
      <c r="CJ216" s="542">
        <v>0</v>
      </c>
      <c r="CK216" s="542">
        <v>0</v>
      </c>
      <c r="CL216" s="542">
        <v>0</v>
      </c>
      <c r="CM216" s="542">
        <v>0</v>
      </c>
      <c r="CN216" s="542">
        <v>0</v>
      </c>
      <c r="CO216" s="542">
        <v>0</v>
      </c>
      <c r="CP216" s="542">
        <v>0</v>
      </c>
      <c r="CQ216" s="542">
        <v>0</v>
      </c>
      <c r="CR216" s="542">
        <v>0</v>
      </c>
      <c r="CS216" s="542">
        <v>0</v>
      </c>
      <c r="CT216" s="542">
        <v>0</v>
      </c>
      <c r="CU216" s="542">
        <v>0</v>
      </c>
      <c r="CV216" s="542">
        <v>59635.806700000001</v>
      </c>
      <c r="CW216" s="542">
        <v>13393.8439</v>
      </c>
      <c r="CX216" s="542">
        <v>1488.20488</v>
      </c>
      <c r="CY216" s="542">
        <v>60376</v>
      </c>
      <c r="CZ216" s="542">
        <v>13351</v>
      </c>
      <c r="DA216" s="542">
        <v>1483</v>
      </c>
      <c r="DB216" s="542">
        <v>-740</v>
      </c>
      <c r="DC216" s="542">
        <v>43</v>
      </c>
      <c r="DD216" s="542">
        <v>5</v>
      </c>
      <c r="DE216" s="153" t="s">
        <v>297</v>
      </c>
      <c r="DF216" s="103" t="s">
        <v>789</v>
      </c>
      <c r="DG216" s="104" t="s">
        <v>776</v>
      </c>
      <c r="DH216" s="549" t="s">
        <v>1188</v>
      </c>
      <c r="DI216" s="549"/>
    </row>
    <row r="217" spans="1:113" x14ac:dyDescent="0.2">
      <c r="A217" s="93">
        <v>211</v>
      </c>
      <c r="B217" s="145" t="s">
        <v>300</v>
      </c>
      <c r="C217" s="141" t="s">
        <v>871</v>
      </c>
      <c r="D217" s="142" t="s">
        <v>872</v>
      </c>
      <c r="E217" s="149" t="s">
        <v>299</v>
      </c>
      <c r="F217" s="542">
        <v>-644667</v>
      </c>
      <c r="G217" s="542">
        <v>0</v>
      </c>
      <c r="H217" s="542">
        <v>-644667</v>
      </c>
      <c r="I217" s="542">
        <v>80111</v>
      </c>
      <c r="J217" s="542">
        <v>0</v>
      </c>
      <c r="K217" s="542">
        <v>80111</v>
      </c>
      <c r="L217" s="542">
        <v>-724778</v>
      </c>
      <c r="M217" s="542">
        <v>0</v>
      </c>
      <c r="N217" s="542">
        <v>-724778</v>
      </c>
      <c r="O217" s="543">
        <v>0.5</v>
      </c>
      <c r="P217" s="543">
        <v>0.3</v>
      </c>
      <c r="Q217" s="543">
        <v>0.2</v>
      </c>
      <c r="R217" s="543">
        <v>0</v>
      </c>
      <c r="S217" s="542">
        <v>303621</v>
      </c>
      <c r="T217" s="542">
        <v>303621</v>
      </c>
      <c r="U217" s="542">
        <v>0</v>
      </c>
      <c r="V217" s="542">
        <v>0</v>
      </c>
      <c r="W217" s="542">
        <v>0</v>
      </c>
      <c r="X217" s="542">
        <v>0</v>
      </c>
      <c r="Y217" s="542">
        <v>0</v>
      </c>
      <c r="Z217" s="542">
        <v>0</v>
      </c>
      <c r="AA217" s="542">
        <v>0</v>
      </c>
      <c r="AB217" s="542">
        <v>0</v>
      </c>
      <c r="AC217" s="542">
        <v>0</v>
      </c>
      <c r="AD217" s="542">
        <v>0</v>
      </c>
      <c r="AE217" s="542">
        <v>0</v>
      </c>
      <c r="AF217" s="542">
        <v>0</v>
      </c>
      <c r="AG217" s="542">
        <v>0</v>
      </c>
      <c r="AH217" s="542">
        <v>0</v>
      </c>
      <c r="AI217" s="542">
        <v>0</v>
      </c>
      <c r="AJ217" s="542">
        <v>0</v>
      </c>
      <c r="AK217" s="542">
        <v>0</v>
      </c>
      <c r="AL217" s="542">
        <v>0</v>
      </c>
      <c r="AM217" s="542">
        <v>0</v>
      </c>
      <c r="AN217" s="542">
        <v>0</v>
      </c>
      <c r="AO217" s="542">
        <v>0</v>
      </c>
      <c r="AP217" s="542">
        <v>0</v>
      </c>
      <c r="AQ217" s="542">
        <v>318440.81599999999</v>
      </c>
      <c r="AR217" s="542">
        <v>212293.87700000001</v>
      </c>
      <c r="AS217" s="542">
        <v>0</v>
      </c>
      <c r="AT217" s="542">
        <v>323515</v>
      </c>
      <c r="AU217" s="542">
        <v>215676</v>
      </c>
      <c r="AV217" s="542">
        <v>0</v>
      </c>
      <c r="AW217" s="542">
        <v>-5074</v>
      </c>
      <c r="AX217" s="542">
        <v>-3382</v>
      </c>
      <c r="AY217" s="542">
        <v>0</v>
      </c>
      <c r="AZ217" s="542">
        <v>0</v>
      </c>
      <c r="BA217" s="542">
        <v>0</v>
      </c>
      <c r="BB217" s="542">
        <v>0</v>
      </c>
      <c r="BC217" s="542">
        <v>0</v>
      </c>
      <c r="BD217" s="542">
        <v>0</v>
      </c>
      <c r="BE217" s="542">
        <v>0</v>
      </c>
      <c r="BF217" s="542">
        <v>0</v>
      </c>
      <c r="BG217" s="542">
        <v>0</v>
      </c>
      <c r="BH217" s="542">
        <v>0</v>
      </c>
      <c r="BI217" s="542">
        <v>0</v>
      </c>
      <c r="BJ217" s="542">
        <v>0</v>
      </c>
      <c r="BK217" s="542">
        <v>0</v>
      </c>
      <c r="BL217" s="542">
        <v>80344</v>
      </c>
      <c r="BM217" s="542">
        <v>53563</v>
      </c>
      <c r="BN217" s="542">
        <v>0</v>
      </c>
      <c r="BO217" s="542">
        <v>-80344</v>
      </c>
      <c r="BP217" s="542">
        <v>-53563</v>
      </c>
      <c r="BQ217" s="542">
        <v>0</v>
      </c>
      <c r="BR217" s="542">
        <v>2529.77324</v>
      </c>
      <c r="BS217" s="542">
        <v>1686.51549</v>
      </c>
      <c r="BT217" s="542">
        <v>0</v>
      </c>
      <c r="BU217" s="542">
        <v>108237</v>
      </c>
      <c r="BV217" s="542">
        <v>72158</v>
      </c>
      <c r="BW217" s="542">
        <v>0</v>
      </c>
      <c r="BX217" s="542">
        <v>-105707</v>
      </c>
      <c r="BY217" s="542">
        <v>-70471</v>
      </c>
      <c r="BZ217" s="542">
        <v>0</v>
      </c>
      <c r="CA217" s="542">
        <v>320841.88699999999</v>
      </c>
      <c r="CB217" s="542">
        <v>213894.59099999999</v>
      </c>
      <c r="CC217" s="542">
        <v>0</v>
      </c>
      <c r="CD217" s="542">
        <v>540881</v>
      </c>
      <c r="CE217" s="542">
        <v>360588</v>
      </c>
      <c r="CF217" s="542">
        <v>0</v>
      </c>
      <c r="CG217" s="542">
        <v>-220039</v>
      </c>
      <c r="CH217" s="542">
        <v>-146693</v>
      </c>
      <c r="CI217" s="542">
        <v>0</v>
      </c>
      <c r="CJ217" s="542">
        <v>0</v>
      </c>
      <c r="CK217" s="542">
        <v>0</v>
      </c>
      <c r="CL217" s="542">
        <v>0</v>
      </c>
      <c r="CM217" s="542">
        <v>10655.4267</v>
      </c>
      <c r="CN217" s="542">
        <v>7103.6178300000001</v>
      </c>
      <c r="CO217" s="542">
        <v>0</v>
      </c>
      <c r="CP217" s="542">
        <v>10234</v>
      </c>
      <c r="CQ217" s="542">
        <v>6822.4</v>
      </c>
      <c r="CR217" s="542">
        <v>0</v>
      </c>
      <c r="CS217" s="542">
        <v>421</v>
      </c>
      <c r="CT217" s="542">
        <v>281</v>
      </c>
      <c r="CU217" s="542">
        <v>0</v>
      </c>
      <c r="CV217" s="542">
        <v>246890.71299999999</v>
      </c>
      <c r="CW217" s="542">
        <v>164593.80799999999</v>
      </c>
      <c r="CX217" s="542">
        <v>0</v>
      </c>
      <c r="CY217" s="542">
        <v>265148</v>
      </c>
      <c r="CZ217" s="542">
        <v>174617</v>
      </c>
      <c r="DA217" s="542">
        <v>0</v>
      </c>
      <c r="DB217" s="542">
        <v>-18257</v>
      </c>
      <c r="DC217" s="542">
        <v>-10023</v>
      </c>
      <c r="DD217" s="542">
        <v>0</v>
      </c>
      <c r="DE217" s="153" t="s">
        <v>299</v>
      </c>
      <c r="DF217" s="103" t="s">
        <v>762</v>
      </c>
      <c r="DG217" s="103" t="s">
        <v>750</v>
      </c>
      <c r="DH217" s="547"/>
      <c r="DI217" s="547"/>
    </row>
    <row r="218" spans="1:113" x14ac:dyDescent="0.2">
      <c r="A218" s="93">
        <v>212</v>
      </c>
      <c r="B218" s="145" t="s">
        <v>302</v>
      </c>
      <c r="C218" s="141" t="s">
        <v>866</v>
      </c>
      <c r="D218" s="142" t="s">
        <v>874</v>
      </c>
      <c r="E218" s="149" t="s">
        <v>301</v>
      </c>
      <c r="F218" s="542">
        <v>-108730</v>
      </c>
      <c r="G218" s="542">
        <v>0</v>
      </c>
      <c r="H218" s="542">
        <v>-108730</v>
      </c>
      <c r="I218" s="542">
        <v>7569</v>
      </c>
      <c r="J218" s="542">
        <v>0</v>
      </c>
      <c r="K218" s="542">
        <v>7569</v>
      </c>
      <c r="L218" s="542">
        <v>-116299</v>
      </c>
      <c r="M218" s="542">
        <v>0</v>
      </c>
      <c r="N218" s="542">
        <v>-116299</v>
      </c>
      <c r="O218" s="543">
        <v>0.5</v>
      </c>
      <c r="P218" s="543">
        <v>0.4</v>
      </c>
      <c r="Q218" s="543">
        <v>0.09</v>
      </c>
      <c r="R218" s="543">
        <v>0.01</v>
      </c>
      <c r="S218" s="542">
        <v>96960</v>
      </c>
      <c r="T218" s="542">
        <v>96960</v>
      </c>
      <c r="U218" s="542">
        <v>0</v>
      </c>
      <c r="V218" s="542">
        <v>0</v>
      </c>
      <c r="W218" s="542">
        <v>0</v>
      </c>
      <c r="X218" s="542">
        <v>0</v>
      </c>
      <c r="Y218" s="542">
        <v>0</v>
      </c>
      <c r="Z218" s="542">
        <v>0</v>
      </c>
      <c r="AA218" s="542">
        <v>0</v>
      </c>
      <c r="AB218" s="542">
        <v>0</v>
      </c>
      <c r="AC218" s="542">
        <v>0</v>
      </c>
      <c r="AD218" s="542">
        <v>0</v>
      </c>
      <c r="AE218" s="542">
        <v>0</v>
      </c>
      <c r="AF218" s="542">
        <v>0</v>
      </c>
      <c r="AG218" s="542">
        <v>0</v>
      </c>
      <c r="AH218" s="542">
        <v>0</v>
      </c>
      <c r="AI218" s="542">
        <v>0</v>
      </c>
      <c r="AJ218" s="542">
        <v>0</v>
      </c>
      <c r="AK218" s="542">
        <v>0</v>
      </c>
      <c r="AL218" s="542">
        <v>0</v>
      </c>
      <c r="AM218" s="542">
        <v>0</v>
      </c>
      <c r="AN218" s="542">
        <v>0</v>
      </c>
      <c r="AO218" s="542">
        <v>0</v>
      </c>
      <c r="AP218" s="542">
        <v>0</v>
      </c>
      <c r="AQ218" s="542">
        <v>397472.935</v>
      </c>
      <c r="AR218" s="542">
        <v>89431.410499999998</v>
      </c>
      <c r="AS218" s="542">
        <v>9936.8233899999996</v>
      </c>
      <c r="AT218" s="542">
        <v>334253</v>
      </c>
      <c r="AU218" s="542">
        <v>75207</v>
      </c>
      <c r="AV218" s="542">
        <v>8356</v>
      </c>
      <c r="AW218" s="542">
        <v>63220</v>
      </c>
      <c r="AX218" s="542">
        <v>14224</v>
      </c>
      <c r="AY218" s="542">
        <v>1581</v>
      </c>
      <c r="AZ218" s="542">
        <v>0</v>
      </c>
      <c r="BA218" s="542">
        <v>0</v>
      </c>
      <c r="BB218" s="542">
        <v>0</v>
      </c>
      <c r="BC218" s="542">
        <v>404</v>
      </c>
      <c r="BD218" s="542">
        <v>91</v>
      </c>
      <c r="BE218" s="542">
        <v>10</v>
      </c>
      <c r="BF218" s="542">
        <v>-404</v>
      </c>
      <c r="BG218" s="542">
        <v>-91</v>
      </c>
      <c r="BH218" s="542">
        <v>-10</v>
      </c>
      <c r="BI218" s="542">
        <v>698.53757900000005</v>
      </c>
      <c r="BJ218" s="542">
        <v>157.17095499999999</v>
      </c>
      <c r="BK218" s="542">
        <v>17.463439399999999</v>
      </c>
      <c r="BL218" s="542">
        <v>8085</v>
      </c>
      <c r="BM218" s="542">
        <v>1819</v>
      </c>
      <c r="BN218" s="542">
        <v>202</v>
      </c>
      <c r="BO218" s="542">
        <v>-7386</v>
      </c>
      <c r="BP218" s="542">
        <v>-1662</v>
      </c>
      <c r="BQ218" s="542">
        <v>-185</v>
      </c>
      <c r="BR218" s="542">
        <v>0</v>
      </c>
      <c r="BS218" s="542">
        <v>0</v>
      </c>
      <c r="BT218" s="542">
        <v>0</v>
      </c>
      <c r="BU218" s="542">
        <v>8085</v>
      </c>
      <c r="BV218" s="542">
        <v>1819</v>
      </c>
      <c r="BW218" s="542">
        <v>202</v>
      </c>
      <c r="BX218" s="542">
        <v>-8085</v>
      </c>
      <c r="BY218" s="542">
        <v>-1819</v>
      </c>
      <c r="BZ218" s="542">
        <v>-202</v>
      </c>
      <c r="CA218" s="542">
        <v>75716.137499999997</v>
      </c>
      <c r="CB218" s="542">
        <v>17036.1309</v>
      </c>
      <c r="CC218" s="542">
        <v>1892.9034300000001</v>
      </c>
      <c r="CD218" s="542">
        <v>62659</v>
      </c>
      <c r="CE218" s="542">
        <v>14098</v>
      </c>
      <c r="CF218" s="542">
        <v>1566</v>
      </c>
      <c r="CG218" s="542">
        <v>13057</v>
      </c>
      <c r="CH218" s="542">
        <v>2938</v>
      </c>
      <c r="CI218" s="542">
        <v>327</v>
      </c>
      <c r="CJ218" s="542">
        <v>0</v>
      </c>
      <c r="CK218" s="542">
        <v>0</v>
      </c>
      <c r="CL218" s="542">
        <v>0</v>
      </c>
      <c r="CM218" s="542">
        <v>0</v>
      </c>
      <c r="CN218" s="542">
        <v>0</v>
      </c>
      <c r="CO218" s="542">
        <v>0</v>
      </c>
      <c r="CP218" s="542">
        <v>0</v>
      </c>
      <c r="CQ218" s="542">
        <v>0</v>
      </c>
      <c r="CR218" s="542">
        <v>0</v>
      </c>
      <c r="CS218" s="542">
        <v>0</v>
      </c>
      <c r="CT218" s="542">
        <v>0</v>
      </c>
      <c r="CU218" s="542">
        <v>0</v>
      </c>
      <c r="CV218" s="542">
        <v>38393.4182</v>
      </c>
      <c r="CW218" s="542">
        <v>8638.5190999999995</v>
      </c>
      <c r="CX218" s="542">
        <v>959.83545600000002</v>
      </c>
      <c r="CY218" s="542">
        <v>54359</v>
      </c>
      <c r="CZ218" s="542">
        <v>11999</v>
      </c>
      <c r="DA218" s="542">
        <v>1333</v>
      </c>
      <c r="DB218" s="542">
        <v>-15966</v>
      </c>
      <c r="DC218" s="542">
        <v>-3360</v>
      </c>
      <c r="DD218" s="542">
        <v>-373</v>
      </c>
      <c r="DE218" s="153" t="s">
        <v>301</v>
      </c>
      <c r="DF218" s="103" t="s">
        <v>800</v>
      </c>
      <c r="DG218" s="104" t="s">
        <v>801</v>
      </c>
      <c r="DH218" s="547"/>
      <c r="DI218" s="547"/>
    </row>
    <row r="219" spans="1:113" x14ac:dyDescent="0.2">
      <c r="A219" s="93">
        <v>213</v>
      </c>
      <c r="B219" s="145" t="s">
        <v>304</v>
      </c>
      <c r="C219" s="141" t="s">
        <v>873</v>
      </c>
      <c r="D219" s="142" t="s">
        <v>868</v>
      </c>
      <c r="E219" s="149" t="s">
        <v>303</v>
      </c>
      <c r="F219" s="542">
        <v>-688902</v>
      </c>
      <c r="G219" s="542">
        <v>0</v>
      </c>
      <c r="H219" s="542">
        <v>-688902</v>
      </c>
      <c r="I219" s="542">
        <v>-38791</v>
      </c>
      <c r="J219" s="542">
        <v>0</v>
      </c>
      <c r="K219" s="542">
        <v>-38791</v>
      </c>
      <c r="L219" s="542">
        <v>-650111</v>
      </c>
      <c r="M219" s="542">
        <v>0</v>
      </c>
      <c r="N219" s="542">
        <v>-650111</v>
      </c>
      <c r="O219" s="543">
        <v>0.5</v>
      </c>
      <c r="P219" s="543">
        <v>0.49</v>
      </c>
      <c r="Q219" s="543">
        <v>0</v>
      </c>
      <c r="R219" s="543">
        <v>0.01</v>
      </c>
      <c r="S219" s="542">
        <v>287498</v>
      </c>
      <c r="T219" s="542">
        <v>287498</v>
      </c>
      <c r="U219" s="542">
        <v>0</v>
      </c>
      <c r="V219" s="542">
        <v>0</v>
      </c>
      <c r="W219" s="542">
        <v>0</v>
      </c>
      <c r="X219" s="542">
        <v>0</v>
      </c>
      <c r="Y219" s="542">
        <v>0</v>
      </c>
      <c r="Z219" s="542">
        <v>0</v>
      </c>
      <c r="AA219" s="542">
        <v>0</v>
      </c>
      <c r="AB219" s="542">
        <v>0</v>
      </c>
      <c r="AC219" s="542">
        <v>0</v>
      </c>
      <c r="AD219" s="542">
        <v>0</v>
      </c>
      <c r="AE219" s="542">
        <v>0</v>
      </c>
      <c r="AF219" s="542">
        <v>0</v>
      </c>
      <c r="AG219" s="542">
        <v>0</v>
      </c>
      <c r="AH219" s="542">
        <v>0</v>
      </c>
      <c r="AI219" s="542">
        <v>0</v>
      </c>
      <c r="AJ219" s="542">
        <v>0</v>
      </c>
      <c r="AK219" s="542">
        <v>0</v>
      </c>
      <c r="AL219" s="542">
        <v>0</v>
      </c>
      <c r="AM219" s="542">
        <v>0</v>
      </c>
      <c r="AN219" s="542">
        <v>0</v>
      </c>
      <c r="AO219" s="542">
        <v>0</v>
      </c>
      <c r="AP219" s="542">
        <v>0</v>
      </c>
      <c r="AQ219" s="542">
        <v>1316843.77</v>
      </c>
      <c r="AR219" s="542">
        <v>0</v>
      </c>
      <c r="AS219" s="542">
        <v>26874.36</v>
      </c>
      <c r="AT219" s="542">
        <v>1187529</v>
      </c>
      <c r="AU219" s="542">
        <v>0</v>
      </c>
      <c r="AV219" s="542">
        <v>24235</v>
      </c>
      <c r="AW219" s="542">
        <v>129315</v>
      </c>
      <c r="AX219" s="542">
        <v>0</v>
      </c>
      <c r="AY219" s="542">
        <v>2639</v>
      </c>
      <c r="AZ219" s="542">
        <v>2569.11</v>
      </c>
      <c r="BA219" s="542">
        <v>0</v>
      </c>
      <c r="BB219" s="542">
        <v>52.43</v>
      </c>
      <c r="BC219" s="542">
        <v>0</v>
      </c>
      <c r="BD219" s="542">
        <v>0</v>
      </c>
      <c r="BE219" s="542">
        <v>0</v>
      </c>
      <c r="BF219" s="542">
        <v>2569</v>
      </c>
      <c r="BG219" s="542">
        <v>0</v>
      </c>
      <c r="BH219" s="542">
        <v>52</v>
      </c>
      <c r="BI219" s="542">
        <v>5126.33</v>
      </c>
      <c r="BJ219" s="542">
        <v>0</v>
      </c>
      <c r="BK219" s="542">
        <v>104.62</v>
      </c>
      <c r="BL219" s="542">
        <v>0</v>
      </c>
      <c r="BM219" s="542">
        <v>0</v>
      </c>
      <c r="BN219" s="542">
        <v>0</v>
      </c>
      <c r="BO219" s="542">
        <v>5126</v>
      </c>
      <c r="BP219" s="542">
        <v>0</v>
      </c>
      <c r="BQ219" s="542">
        <v>105</v>
      </c>
      <c r="BR219" s="542">
        <v>21150.560000000001</v>
      </c>
      <c r="BS219" s="542">
        <v>0</v>
      </c>
      <c r="BT219" s="542">
        <v>431.64</v>
      </c>
      <c r="BU219" s="542">
        <v>9904</v>
      </c>
      <c r="BV219" s="542">
        <v>0</v>
      </c>
      <c r="BW219" s="542">
        <v>202</v>
      </c>
      <c r="BX219" s="542">
        <v>11247</v>
      </c>
      <c r="BY219" s="542">
        <v>0</v>
      </c>
      <c r="BZ219" s="542">
        <v>230</v>
      </c>
      <c r="CA219" s="542">
        <v>413925.23</v>
      </c>
      <c r="CB219" s="542">
        <v>0</v>
      </c>
      <c r="CC219" s="542">
        <v>8447.4500000000007</v>
      </c>
      <c r="CD219" s="542">
        <v>398008</v>
      </c>
      <c r="CE219" s="542">
        <v>0</v>
      </c>
      <c r="CF219" s="542">
        <v>8123</v>
      </c>
      <c r="CG219" s="542">
        <v>15917</v>
      </c>
      <c r="CH219" s="542">
        <v>0</v>
      </c>
      <c r="CI219" s="542">
        <v>324</v>
      </c>
      <c r="CJ219" s="542">
        <v>0</v>
      </c>
      <c r="CK219" s="542">
        <v>0</v>
      </c>
      <c r="CL219" s="542">
        <v>0</v>
      </c>
      <c r="CM219" s="542">
        <v>0</v>
      </c>
      <c r="CN219" s="542">
        <v>0</v>
      </c>
      <c r="CO219" s="542">
        <v>0</v>
      </c>
      <c r="CP219" s="542">
        <v>0</v>
      </c>
      <c r="CQ219" s="542">
        <v>0</v>
      </c>
      <c r="CR219" s="542">
        <v>0</v>
      </c>
      <c r="CS219" s="542">
        <v>0</v>
      </c>
      <c r="CT219" s="542">
        <v>0</v>
      </c>
      <c r="CU219" s="542">
        <v>0</v>
      </c>
      <c r="CV219" s="542">
        <v>290630.57</v>
      </c>
      <c r="CW219" s="542">
        <v>0</v>
      </c>
      <c r="CX219" s="542">
        <v>5931.24</v>
      </c>
      <c r="CY219" s="542">
        <v>316596</v>
      </c>
      <c r="CZ219" s="542">
        <v>0</v>
      </c>
      <c r="DA219" s="542">
        <v>6399</v>
      </c>
      <c r="DB219" s="542">
        <v>-25965</v>
      </c>
      <c r="DC219" s="542">
        <v>0</v>
      </c>
      <c r="DD219" s="542">
        <v>-468</v>
      </c>
      <c r="DE219" s="153" t="s">
        <v>303</v>
      </c>
      <c r="DF219" s="103" t="s">
        <v>763</v>
      </c>
      <c r="DG219" s="104" t="s">
        <v>777</v>
      </c>
      <c r="DH219" s="547"/>
      <c r="DI219" s="547"/>
    </row>
    <row r="220" spans="1:113" x14ac:dyDescent="0.2">
      <c r="A220" s="93">
        <v>214</v>
      </c>
      <c r="B220" s="145" t="s">
        <v>306</v>
      </c>
      <c r="C220" s="141" t="s">
        <v>866</v>
      </c>
      <c r="D220" s="142" t="s">
        <v>870</v>
      </c>
      <c r="E220" s="149" t="s">
        <v>305</v>
      </c>
      <c r="F220" s="542">
        <v>65816</v>
      </c>
      <c r="G220" s="542">
        <v>0</v>
      </c>
      <c r="H220" s="542">
        <v>65816</v>
      </c>
      <c r="I220" s="542">
        <v>22414</v>
      </c>
      <c r="J220" s="542">
        <v>0</v>
      </c>
      <c r="K220" s="542">
        <v>22414</v>
      </c>
      <c r="L220" s="542">
        <v>43402</v>
      </c>
      <c r="M220" s="542">
        <v>0</v>
      </c>
      <c r="N220" s="542">
        <v>43402</v>
      </c>
      <c r="O220" s="543">
        <v>0.5</v>
      </c>
      <c r="P220" s="543">
        <v>0.4</v>
      </c>
      <c r="Q220" s="543">
        <v>0.09</v>
      </c>
      <c r="R220" s="543">
        <v>0.01</v>
      </c>
      <c r="S220" s="542">
        <v>85477</v>
      </c>
      <c r="T220" s="542">
        <v>85477</v>
      </c>
      <c r="U220" s="542">
        <v>0</v>
      </c>
      <c r="V220" s="542">
        <v>0</v>
      </c>
      <c r="W220" s="542">
        <v>0</v>
      </c>
      <c r="X220" s="542">
        <v>0</v>
      </c>
      <c r="Y220" s="542">
        <v>0</v>
      </c>
      <c r="Z220" s="542">
        <v>0</v>
      </c>
      <c r="AA220" s="542">
        <v>0</v>
      </c>
      <c r="AB220" s="542">
        <v>0</v>
      </c>
      <c r="AC220" s="542">
        <v>0</v>
      </c>
      <c r="AD220" s="542">
        <v>0</v>
      </c>
      <c r="AE220" s="542">
        <v>0</v>
      </c>
      <c r="AF220" s="542">
        <v>0</v>
      </c>
      <c r="AG220" s="542">
        <v>0</v>
      </c>
      <c r="AH220" s="542">
        <v>0</v>
      </c>
      <c r="AI220" s="542">
        <v>0</v>
      </c>
      <c r="AJ220" s="542">
        <v>0</v>
      </c>
      <c r="AK220" s="542">
        <v>0</v>
      </c>
      <c r="AL220" s="542">
        <v>0</v>
      </c>
      <c r="AM220" s="542">
        <v>0</v>
      </c>
      <c r="AN220" s="542">
        <v>0</v>
      </c>
      <c r="AO220" s="542">
        <v>0</v>
      </c>
      <c r="AP220" s="542">
        <v>0</v>
      </c>
      <c r="AQ220" s="542">
        <v>339621.65399999998</v>
      </c>
      <c r="AR220" s="542">
        <v>76414.872199999998</v>
      </c>
      <c r="AS220" s="542">
        <v>8490.5413499999995</v>
      </c>
      <c r="AT220" s="542">
        <v>282767</v>
      </c>
      <c r="AU220" s="542">
        <v>63622</v>
      </c>
      <c r="AV220" s="542">
        <v>7069</v>
      </c>
      <c r="AW220" s="542">
        <v>56855</v>
      </c>
      <c r="AX220" s="542">
        <v>12793</v>
      </c>
      <c r="AY220" s="542">
        <v>1422</v>
      </c>
      <c r="AZ220" s="542">
        <v>0</v>
      </c>
      <c r="BA220" s="542">
        <v>0</v>
      </c>
      <c r="BB220" s="542">
        <v>0</v>
      </c>
      <c r="BC220" s="542">
        <v>20212</v>
      </c>
      <c r="BD220" s="542">
        <v>4548</v>
      </c>
      <c r="BE220" s="542">
        <v>505</v>
      </c>
      <c r="BF220" s="542">
        <v>-20212</v>
      </c>
      <c r="BG220" s="542">
        <v>-4548</v>
      </c>
      <c r="BH220" s="542">
        <v>-505</v>
      </c>
      <c r="BI220" s="542">
        <v>0</v>
      </c>
      <c r="BJ220" s="542">
        <v>0</v>
      </c>
      <c r="BK220" s="542">
        <v>0</v>
      </c>
      <c r="BL220" s="542">
        <v>0</v>
      </c>
      <c r="BM220" s="542">
        <v>0</v>
      </c>
      <c r="BN220" s="542">
        <v>0</v>
      </c>
      <c r="BO220" s="542">
        <v>0</v>
      </c>
      <c r="BP220" s="542">
        <v>0</v>
      </c>
      <c r="BQ220" s="542">
        <v>0</v>
      </c>
      <c r="BR220" s="542">
        <v>0</v>
      </c>
      <c r="BS220" s="542">
        <v>0</v>
      </c>
      <c r="BT220" s="542">
        <v>0</v>
      </c>
      <c r="BU220" s="542">
        <v>580.90191000000004</v>
      </c>
      <c r="BV220" s="542">
        <v>130.70292900000001</v>
      </c>
      <c r="BW220" s="542">
        <v>14.522547700000001</v>
      </c>
      <c r="BX220" s="542">
        <v>-581</v>
      </c>
      <c r="BY220" s="542">
        <v>-131</v>
      </c>
      <c r="BZ220" s="542">
        <v>-15</v>
      </c>
      <c r="CA220" s="542">
        <v>85741.849600000001</v>
      </c>
      <c r="CB220" s="542">
        <v>19291.916099999999</v>
      </c>
      <c r="CC220" s="542">
        <v>2143.5462400000001</v>
      </c>
      <c r="CD220" s="542">
        <v>132416.52900000001</v>
      </c>
      <c r="CE220" s="542">
        <v>29793.7192</v>
      </c>
      <c r="CF220" s="542">
        <v>3310.4132399999999</v>
      </c>
      <c r="CG220" s="542">
        <v>-46675</v>
      </c>
      <c r="CH220" s="542">
        <v>-10502</v>
      </c>
      <c r="CI220" s="542">
        <v>-1167</v>
      </c>
      <c r="CJ220" s="542">
        <v>0</v>
      </c>
      <c r="CK220" s="542">
        <v>0</v>
      </c>
      <c r="CL220" s="542">
        <v>0</v>
      </c>
      <c r="CM220" s="542">
        <v>7294.6242000000002</v>
      </c>
      <c r="CN220" s="542">
        <v>1641.29044</v>
      </c>
      <c r="CO220" s="542">
        <v>182.36560499999999</v>
      </c>
      <c r="CP220" s="542">
        <v>0</v>
      </c>
      <c r="CQ220" s="542">
        <v>0</v>
      </c>
      <c r="CR220" s="542">
        <v>0</v>
      </c>
      <c r="CS220" s="542">
        <v>7295</v>
      </c>
      <c r="CT220" s="542">
        <v>1641</v>
      </c>
      <c r="CU220" s="542">
        <v>182</v>
      </c>
      <c r="CV220" s="542">
        <v>65512.479800000001</v>
      </c>
      <c r="CW220" s="542">
        <v>14740.3079</v>
      </c>
      <c r="CX220" s="542">
        <v>1637.8119899999999</v>
      </c>
      <c r="CY220" s="542">
        <v>71477</v>
      </c>
      <c r="CZ220" s="542">
        <v>15878</v>
      </c>
      <c r="DA220" s="542">
        <v>1764</v>
      </c>
      <c r="DB220" s="542">
        <v>-5965</v>
      </c>
      <c r="DC220" s="542">
        <v>-1138</v>
      </c>
      <c r="DD220" s="542">
        <v>-126</v>
      </c>
      <c r="DE220" s="153" t="s">
        <v>305</v>
      </c>
      <c r="DF220" s="103" t="s">
        <v>765</v>
      </c>
      <c r="DG220" s="104" t="s">
        <v>766</v>
      </c>
      <c r="DH220" s="547"/>
      <c r="DI220" s="547"/>
    </row>
    <row r="221" spans="1:113" x14ac:dyDescent="0.2">
      <c r="A221" s="93">
        <v>215</v>
      </c>
      <c r="B221" s="145" t="s">
        <v>308</v>
      </c>
      <c r="C221" s="141" t="s">
        <v>866</v>
      </c>
      <c r="D221" s="142" t="s">
        <v>868</v>
      </c>
      <c r="E221" s="149" t="s">
        <v>307</v>
      </c>
      <c r="F221" s="542">
        <v>50279</v>
      </c>
      <c r="G221" s="542">
        <v>0</v>
      </c>
      <c r="H221" s="542">
        <v>50279</v>
      </c>
      <c r="I221" s="542">
        <v>50500</v>
      </c>
      <c r="J221" s="542">
        <v>0</v>
      </c>
      <c r="K221" s="542">
        <v>50500</v>
      </c>
      <c r="L221" s="542">
        <v>-221</v>
      </c>
      <c r="M221" s="542">
        <v>0</v>
      </c>
      <c r="N221" s="542">
        <v>-221</v>
      </c>
      <c r="O221" s="543">
        <v>0.5</v>
      </c>
      <c r="P221" s="543">
        <v>0.4</v>
      </c>
      <c r="Q221" s="543">
        <v>0.09</v>
      </c>
      <c r="R221" s="543">
        <v>0.01</v>
      </c>
      <c r="S221" s="542">
        <v>100612</v>
      </c>
      <c r="T221" s="542">
        <v>100612</v>
      </c>
      <c r="U221" s="542">
        <v>0</v>
      </c>
      <c r="V221" s="542">
        <v>0</v>
      </c>
      <c r="W221" s="542">
        <v>0</v>
      </c>
      <c r="X221" s="542">
        <v>0</v>
      </c>
      <c r="Y221" s="542">
        <v>0</v>
      </c>
      <c r="Z221" s="542">
        <v>0</v>
      </c>
      <c r="AA221" s="542">
        <v>0</v>
      </c>
      <c r="AB221" s="542">
        <v>0</v>
      </c>
      <c r="AC221" s="542">
        <v>0</v>
      </c>
      <c r="AD221" s="542">
        <v>0</v>
      </c>
      <c r="AE221" s="542">
        <v>0</v>
      </c>
      <c r="AF221" s="542">
        <v>0</v>
      </c>
      <c r="AG221" s="542">
        <v>0</v>
      </c>
      <c r="AH221" s="542">
        <v>0</v>
      </c>
      <c r="AI221" s="542">
        <v>0</v>
      </c>
      <c r="AJ221" s="542">
        <v>0</v>
      </c>
      <c r="AK221" s="542">
        <v>0</v>
      </c>
      <c r="AL221" s="542">
        <v>0</v>
      </c>
      <c r="AM221" s="542">
        <v>0</v>
      </c>
      <c r="AN221" s="542">
        <v>0</v>
      </c>
      <c r="AO221" s="542">
        <v>0</v>
      </c>
      <c r="AP221" s="542">
        <v>0</v>
      </c>
      <c r="AQ221" s="542">
        <v>404792.42099999997</v>
      </c>
      <c r="AR221" s="542">
        <v>91078.294699999999</v>
      </c>
      <c r="AS221" s="542">
        <v>10119.8105</v>
      </c>
      <c r="AT221" s="542">
        <v>389087</v>
      </c>
      <c r="AU221" s="542">
        <v>87545</v>
      </c>
      <c r="AV221" s="542">
        <v>9727</v>
      </c>
      <c r="AW221" s="542">
        <v>15705</v>
      </c>
      <c r="AX221" s="542">
        <v>3533</v>
      </c>
      <c r="AY221" s="542">
        <v>393</v>
      </c>
      <c r="AZ221" s="542">
        <v>1554.7312099999999</v>
      </c>
      <c r="BA221" s="542">
        <v>349.81452200000001</v>
      </c>
      <c r="BB221" s="542">
        <v>38.868280200000001</v>
      </c>
      <c r="BC221" s="542">
        <v>2021</v>
      </c>
      <c r="BD221" s="542">
        <v>455</v>
      </c>
      <c r="BE221" s="542">
        <v>51</v>
      </c>
      <c r="BF221" s="542">
        <v>-466</v>
      </c>
      <c r="BG221" s="542">
        <v>-105</v>
      </c>
      <c r="BH221" s="542">
        <v>-12</v>
      </c>
      <c r="BI221" s="542">
        <v>0</v>
      </c>
      <c r="BJ221" s="542">
        <v>0</v>
      </c>
      <c r="BK221" s="542">
        <v>0</v>
      </c>
      <c r="BL221" s="542">
        <v>80850</v>
      </c>
      <c r="BM221" s="542">
        <v>18191</v>
      </c>
      <c r="BN221" s="542">
        <v>2021</v>
      </c>
      <c r="BO221" s="542">
        <v>-80850</v>
      </c>
      <c r="BP221" s="542">
        <v>-18191</v>
      </c>
      <c r="BQ221" s="542">
        <v>-2021</v>
      </c>
      <c r="BR221" s="542">
        <v>401.41656</v>
      </c>
      <c r="BS221" s="542">
        <v>90.318726100000006</v>
      </c>
      <c r="BT221" s="542">
        <v>10.035413999999999</v>
      </c>
      <c r="BU221" s="542">
        <v>4042.4628400000001</v>
      </c>
      <c r="BV221" s="542">
        <v>909.55413999999996</v>
      </c>
      <c r="BW221" s="542">
        <v>101.061571</v>
      </c>
      <c r="BX221" s="542">
        <v>-3641</v>
      </c>
      <c r="BY221" s="542">
        <v>-819</v>
      </c>
      <c r="BZ221" s="542">
        <v>-91</v>
      </c>
      <c r="CA221" s="542">
        <v>85533.662800000006</v>
      </c>
      <c r="CB221" s="542">
        <v>19245.074100000002</v>
      </c>
      <c r="CC221" s="542">
        <v>2138.34157</v>
      </c>
      <c r="CD221" s="542">
        <v>81657.749400000001</v>
      </c>
      <c r="CE221" s="542">
        <v>18372.993600000002</v>
      </c>
      <c r="CF221" s="542">
        <v>2041.44373</v>
      </c>
      <c r="CG221" s="542">
        <v>3876</v>
      </c>
      <c r="CH221" s="542">
        <v>872</v>
      </c>
      <c r="CI221" s="542">
        <v>97</v>
      </c>
      <c r="CJ221" s="542">
        <v>0</v>
      </c>
      <c r="CK221" s="542">
        <v>0</v>
      </c>
      <c r="CL221" s="542">
        <v>0</v>
      </c>
      <c r="CM221" s="542">
        <v>0</v>
      </c>
      <c r="CN221" s="542">
        <v>0</v>
      </c>
      <c r="CO221" s="542">
        <v>0</v>
      </c>
      <c r="CP221" s="542">
        <v>0</v>
      </c>
      <c r="CQ221" s="542">
        <v>0</v>
      </c>
      <c r="CR221" s="542">
        <v>0</v>
      </c>
      <c r="CS221" s="542">
        <v>0</v>
      </c>
      <c r="CT221" s="542">
        <v>0</v>
      </c>
      <c r="CU221" s="542">
        <v>0</v>
      </c>
      <c r="CV221" s="542">
        <v>55158.4755</v>
      </c>
      <c r="CW221" s="542">
        <v>12410.656999999999</v>
      </c>
      <c r="CX221" s="542">
        <v>1378.96189</v>
      </c>
      <c r="CY221" s="542">
        <v>55356</v>
      </c>
      <c r="CZ221" s="542">
        <v>12215</v>
      </c>
      <c r="DA221" s="542">
        <v>1357</v>
      </c>
      <c r="DB221" s="542">
        <v>-198</v>
      </c>
      <c r="DC221" s="542">
        <v>196</v>
      </c>
      <c r="DD221" s="542">
        <v>22</v>
      </c>
      <c r="DE221" s="153" t="s">
        <v>307</v>
      </c>
      <c r="DF221" s="103" t="s">
        <v>789</v>
      </c>
      <c r="DG221" s="104" t="s">
        <v>776</v>
      </c>
      <c r="DH221" s="547" t="s">
        <v>1188</v>
      </c>
      <c r="DI221" s="547"/>
    </row>
    <row r="222" spans="1:113" x14ac:dyDescent="0.2">
      <c r="A222" s="93">
        <v>216</v>
      </c>
      <c r="B222" s="145" t="s">
        <v>310</v>
      </c>
      <c r="C222" s="141" t="s">
        <v>866</v>
      </c>
      <c r="D222" s="142" t="s">
        <v>867</v>
      </c>
      <c r="E222" s="149" t="s">
        <v>309</v>
      </c>
      <c r="F222" s="542">
        <v>-183151</v>
      </c>
      <c r="G222" s="542">
        <v>0</v>
      </c>
      <c r="H222" s="542">
        <v>-183151</v>
      </c>
      <c r="I222" s="542">
        <v>34035</v>
      </c>
      <c r="J222" s="542">
        <v>0</v>
      </c>
      <c r="K222" s="542">
        <v>34035</v>
      </c>
      <c r="L222" s="542">
        <v>-217186</v>
      </c>
      <c r="M222" s="542">
        <v>0</v>
      </c>
      <c r="N222" s="542">
        <v>-217186</v>
      </c>
      <c r="O222" s="543">
        <v>0.5</v>
      </c>
      <c r="P222" s="543">
        <v>0.4</v>
      </c>
      <c r="Q222" s="543">
        <v>0.09</v>
      </c>
      <c r="R222" s="543">
        <v>0.01</v>
      </c>
      <c r="S222" s="542">
        <v>146250</v>
      </c>
      <c r="T222" s="542">
        <v>146250</v>
      </c>
      <c r="U222" s="542">
        <v>0</v>
      </c>
      <c r="V222" s="542">
        <v>0</v>
      </c>
      <c r="W222" s="542">
        <v>0</v>
      </c>
      <c r="X222" s="542">
        <v>0</v>
      </c>
      <c r="Y222" s="542">
        <v>0</v>
      </c>
      <c r="Z222" s="542">
        <v>0</v>
      </c>
      <c r="AA222" s="542">
        <v>0</v>
      </c>
      <c r="AB222" s="542">
        <v>0</v>
      </c>
      <c r="AC222" s="542">
        <v>0</v>
      </c>
      <c r="AD222" s="542">
        <v>0</v>
      </c>
      <c r="AE222" s="542">
        <v>0</v>
      </c>
      <c r="AF222" s="542">
        <v>0</v>
      </c>
      <c r="AG222" s="542">
        <v>0</v>
      </c>
      <c r="AH222" s="542">
        <v>0</v>
      </c>
      <c r="AI222" s="542">
        <v>0</v>
      </c>
      <c r="AJ222" s="542">
        <v>0</v>
      </c>
      <c r="AK222" s="542">
        <v>0</v>
      </c>
      <c r="AL222" s="542">
        <v>0</v>
      </c>
      <c r="AM222" s="542">
        <v>0</v>
      </c>
      <c r="AN222" s="542">
        <v>0</v>
      </c>
      <c r="AO222" s="542">
        <v>0</v>
      </c>
      <c r="AP222" s="542">
        <v>0</v>
      </c>
      <c r="AQ222" s="542">
        <v>580515.451</v>
      </c>
      <c r="AR222" s="542">
        <v>130615.976</v>
      </c>
      <c r="AS222" s="542">
        <v>14512.886200000001</v>
      </c>
      <c r="AT222" s="542">
        <v>545023</v>
      </c>
      <c r="AU222" s="542">
        <v>122630</v>
      </c>
      <c r="AV222" s="542">
        <v>13626</v>
      </c>
      <c r="AW222" s="542">
        <v>35492</v>
      </c>
      <c r="AX222" s="542">
        <v>7986</v>
      </c>
      <c r="AY222" s="542">
        <v>887</v>
      </c>
      <c r="AZ222" s="542">
        <v>0</v>
      </c>
      <c r="BA222" s="542">
        <v>0</v>
      </c>
      <c r="BB222" s="542">
        <v>0</v>
      </c>
      <c r="BC222" s="542">
        <v>0</v>
      </c>
      <c r="BD222" s="542">
        <v>0</v>
      </c>
      <c r="BE222" s="542">
        <v>0</v>
      </c>
      <c r="BF222" s="542">
        <v>0</v>
      </c>
      <c r="BG222" s="542">
        <v>0</v>
      </c>
      <c r="BH222" s="542">
        <v>0</v>
      </c>
      <c r="BI222" s="542">
        <v>0</v>
      </c>
      <c r="BJ222" s="542">
        <v>0</v>
      </c>
      <c r="BK222" s="542">
        <v>0</v>
      </c>
      <c r="BL222" s="542">
        <v>0</v>
      </c>
      <c r="BM222" s="542">
        <v>0</v>
      </c>
      <c r="BN222" s="542">
        <v>0</v>
      </c>
      <c r="BO222" s="542">
        <v>0</v>
      </c>
      <c r="BP222" s="542">
        <v>0</v>
      </c>
      <c r="BQ222" s="542">
        <v>0</v>
      </c>
      <c r="BR222" s="542">
        <v>2196.6743099999999</v>
      </c>
      <c r="BS222" s="542">
        <v>494.25171899999998</v>
      </c>
      <c r="BT222" s="542">
        <v>54.916857700000001</v>
      </c>
      <c r="BU222" s="542">
        <v>6468</v>
      </c>
      <c r="BV222" s="542">
        <v>1455</v>
      </c>
      <c r="BW222" s="542">
        <v>162</v>
      </c>
      <c r="BX222" s="542">
        <v>-4271</v>
      </c>
      <c r="BY222" s="542">
        <v>-961</v>
      </c>
      <c r="BZ222" s="542">
        <v>-107</v>
      </c>
      <c r="CA222" s="542">
        <v>174813.476</v>
      </c>
      <c r="CB222" s="542">
        <v>39333.032099999997</v>
      </c>
      <c r="CC222" s="542">
        <v>4370.3369000000002</v>
      </c>
      <c r="CD222" s="542">
        <v>301599</v>
      </c>
      <c r="CE222" s="542">
        <v>67860</v>
      </c>
      <c r="CF222" s="542">
        <v>7540</v>
      </c>
      <c r="CG222" s="542">
        <v>-126786</v>
      </c>
      <c r="CH222" s="542">
        <v>-28527</v>
      </c>
      <c r="CI222" s="542">
        <v>-3170</v>
      </c>
      <c r="CJ222" s="542">
        <v>0</v>
      </c>
      <c r="CK222" s="542">
        <v>0</v>
      </c>
      <c r="CL222" s="542">
        <v>0</v>
      </c>
      <c r="CM222" s="542">
        <v>1240.2275999999999</v>
      </c>
      <c r="CN222" s="542">
        <v>279.05121000000003</v>
      </c>
      <c r="CO222" s="542">
        <v>31.005690000000001</v>
      </c>
      <c r="CP222" s="542">
        <v>0</v>
      </c>
      <c r="CQ222" s="542">
        <v>0</v>
      </c>
      <c r="CR222" s="542">
        <v>0</v>
      </c>
      <c r="CS222" s="542">
        <v>1240</v>
      </c>
      <c r="CT222" s="542">
        <v>279</v>
      </c>
      <c r="CU222" s="542">
        <v>31</v>
      </c>
      <c r="CV222" s="542">
        <v>68295.494600000005</v>
      </c>
      <c r="CW222" s="542">
        <v>15366.4863</v>
      </c>
      <c r="CX222" s="542">
        <v>1707.3873599999999</v>
      </c>
      <c r="CY222" s="542">
        <v>68953</v>
      </c>
      <c r="CZ222" s="542">
        <v>15165</v>
      </c>
      <c r="DA222" s="542">
        <v>1685</v>
      </c>
      <c r="DB222" s="542">
        <v>-658</v>
      </c>
      <c r="DC222" s="542">
        <v>201</v>
      </c>
      <c r="DD222" s="542">
        <v>22</v>
      </c>
      <c r="DE222" s="153" t="s">
        <v>309</v>
      </c>
      <c r="DF222" s="103" t="s">
        <v>806</v>
      </c>
      <c r="DG222" s="104" t="s">
        <v>784</v>
      </c>
      <c r="DH222" s="547"/>
      <c r="DI222" s="547"/>
    </row>
    <row r="223" spans="1:113" x14ac:dyDescent="0.2">
      <c r="A223" s="93">
        <v>217</v>
      </c>
      <c r="B223" s="145" t="s">
        <v>312</v>
      </c>
      <c r="C223" s="141" t="s">
        <v>873</v>
      </c>
      <c r="D223" s="142" t="s">
        <v>874</v>
      </c>
      <c r="E223" s="149" t="s">
        <v>311</v>
      </c>
      <c r="F223" s="542">
        <v>-665531</v>
      </c>
      <c r="G223" s="542">
        <v>-2298</v>
      </c>
      <c r="H223" s="542">
        <v>-667829</v>
      </c>
      <c r="I223" s="542">
        <v>55712</v>
      </c>
      <c r="J223" s="542">
        <v>0</v>
      </c>
      <c r="K223" s="542">
        <v>55712</v>
      </c>
      <c r="L223" s="542">
        <v>-721243</v>
      </c>
      <c r="M223" s="542">
        <v>-2298</v>
      </c>
      <c r="N223" s="542">
        <v>-723541</v>
      </c>
      <c r="O223" s="543">
        <v>0.5</v>
      </c>
      <c r="P223" s="543">
        <v>0.49</v>
      </c>
      <c r="Q223" s="543">
        <v>0</v>
      </c>
      <c r="R223" s="543">
        <v>0.01</v>
      </c>
      <c r="S223" s="542">
        <v>307775</v>
      </c>
      <c r="T223" s="542">
        <v>307775</v>
      </c>
      <c r="U223" s="542">
        <v>0</v>
      </c>
      <c r="V223" s="542">
        <v>0</v>
      </c>
      <c r="W223" s="542">
        <v>0</v>
      </c>
      <c r="X223" s="542">
        <v>0</v>
      </c>
      <c r="Y223" s="542">
        <v>151830</v>
      </c>
      <c r="Z223" s="542">
        <v>0</v>
      </c>
      <c r="AA223" s="542">
        <v>151830</v>
      </c>
      <c r="AB223" s="542">
        <v>0</v>
      </c>
      <c r="AC223" s="542">
        <v>0</v>
      </c>
      <c r="AD223" s="542">
        <v>0</v>
      </c>
      <c r="AE223" s="542">
        <v>153718.69</v>
      </c>
      <c r="AF223" s="542">
        <v>153718.69</v>
      </c>
      <c r="AG223" s="542">
        <v>0</v>
      </c>
      <c r="AH223" s="542">
        <v>0</v>
      </c>
      <c r="AI223" s="542">
        <v>462440</v>
      </c>
      <c r="AJ223" s="542">
        <v>462440</v>
      </c>
      <c r="AK223" s="542">
        <v>0</v>
      </c>
      <c r="AL223" s="542">
        <v>0</v>
      </c>
      <c r="AM223" s="542">
        <v>-308721</v>
      </c>
      <c r="AN223" s="542">
        <v>-308721</v>
      </c>
      <c r="AO223" s="542">
        <v>0</v>
      </c>
      <c r="AP223" s="542">
        <v>0</v>
      </c>
      <c r="AQ223" s="542">
        <v>1261020.3500000001</v>
      </c>
      <c r="AR223" s="542">
        <v>0</v>
      </c>
      <c r="AS223" s="542">
        <v>25648.07</v>
      </c>
      <c r="AT223" s="542">
        <v>1171487</v>
      </c>
      <c r="AU223" s="542">
        <v>0</v>
      </c>
      <c r="AV223" s="542">
        <v>23908</v>
      </c>
      <c r="AW223" s="542">
        <v>89533</v>
      </c>
      <c r="AX223" s="542">
        <v>0</v>
      </c>
      <c r="AY223" s="542">
        <v>1740</v>
      </c>
      <c r="AZ223" s="542">
        <v>2860.29</v>
      </c>
      <c r="BA223" s="542">
        <v>0</v>
      </c>
      <c r="BB223" s="542">
        <v>58.37</v>
      </c>
      <c r="BC223" s="542">
        <v>0</v>
      </c>
      <c r="BD223" s="542">
        <v>0</v>
      </c>
      <c r="BE223" s="542">
        <v>0</v>
      </c>
      <c r="BF223" s="542">
        <v>2860</v>
      </c>
      <c r="BG223" s="542">
        <v>0</v>
      </c>
      <c r="BH223" s="542">
        <v>58</v>
      </c>
      <c r="BI223" s="542">
        <v>0</v>
      </c>
      <c r="BJ223" s="542">
        <v>0</v>
      </c>
      <c r="BK223" s="542">
        <v>0</v>
      </c>
      <c r="BL223" s="542">
        <v>0</v>
      </c>
      <c r="BM223" s="542">
        <v>0</v>
      </c>
      <c r="BN223" s="542">
        <v>0</v>
      </c>
      <c r="BO223" s="542">
        <v>0</v>
      </c>
      <c r="BP223" s="542">
        <v>0</v>
      </c>
      <c r="BQ223" s="542">
        <v>0</v>
      </c>
      <c r="BR223" s="542">
        <v>50204.04</v>
      </c>
      <c r="BS223" s="542">
        <v>0</v>
      </c>
      <c r="BT223" s="542">
        <v>1024.57</v>
      </c>
      <c r="BU223" s="542">
        <v>0</v>
      </c>
      <c r="BV223" s="542">
        <v>0</v>
      </c>
      <c r="BW223" s="542">
        <v>0</v>
      </c>
      <c r="BX223" s="542">
        <v>50204</v>
      </c>
      <c r="BY223" s="542">
        <v>0</v>
      </c>
      <c r="BZ223" s="542">
        <v>1025</v>
      </c>
      <c r="CA223" s="542">
        <v>288421.81</v>
      </c>
      <c r="CB223" s="542">
        <v>0</v>
      </c>
      <c r="CC223" s="542">
        <v>5886.16</v>
      </c>
      <c r="CD223" s="542">
        <v>396161.36</v>
      </c>
      <c r="CE223" s="542">
        <v>0</v>
      </c>
      <c r="CF223" s="542">
        <v>8084.93</v>
      </c>
      <c r="CG223" s="542">
        <v>-107740</v>
      </c>
      <c r="CH223" s="542">
        <v>0</v>
      </c>
      <c r="CI223" s="542">
        <v>-2199</v>
      </c>
      <c r="CJ223" s="542">
        <v>0</v>
      </c>
      <c r="CK223" s="542">
        <v>0</v>
      </c>
      <c r="CL223" s="542">
        <v>0</v>
      </c>
      <c r="CM223" s="542">
        <v>0</v>
      </c>
      <c r="CN223" s="542">
        <v>0</v>
      </c>
      <c r="CO223" s="542">
        <v>0</v>
      </c>
      <c r="CP223" s="542">
        <v>0</v>
      </c>
      <c r="CQ223" s="542">
        <v>0</v>
      </c>
      <c r="CR223" s="542">
        <v>0</v>
      </c>
      <c r="CS223" s="542">
        <v>0</v>
      </c>
      <c r="CT223" s="542">
        <v>0</v>
      </c>
      <c r="CU223" s="542">
        <v>0</v>
      </c>
      <c r="CV223" s="542">
        <v>374590.34</v>
      </c>
      <c r="CW223" s="542">
        <v>0</v>
      </c>
      <c r="CX223" s="542">
        <v>7611.81</v>
      </c>
      <c r="CY223" s="542">
        <v>383532</v>
      </c>
      <c r="CZ223" s="542">
        <v>0</v>
      </c>
      <c r="DA223" s="542">
        <v>7627</v>
      </c>
      <c r="DB223" s="542">
        <v>-8942</v>
      </c>
      <c r="DC223" s="542">
        <v>0</v>
      </c>
      <c r="DD223" s="542">
        <v>-15</v>
      </c>
      <c r="DE223" s="153" t="s">
        <v>311</v>
      </c>
      <c r="DF223" s="103" t="s">
        <v>763</v>
      </c>
      <c r="DG223" s="104" t="s">
        <v>764</v>
      </c>
      <c r="DH223" s="549" t="s">
        <v>1182</v>
      </c>
      <c r="DI223" s="549"/>
    </row>
    <row r="224" spans="1:113" x14ac:dyDescent="0.2">
      <c r="A224" s="93">
        <v>218</v>
      </c>
      <c r="B224" s="145" t="s">
        <v>314</v>
      </c>
      <c r="C224" s="141" t="s">
        <v>866</v>
      </c>
      <c r="D224" s="142" t="s">
        <v>876</v>
      </c>
      <c r="E224" s="149" t="s">
        <v>313</v>
      </c>
      <c r="F224" s="542">
        <v>-152862</v>
      </c>
      <c r="G224" s="542">
        <v>0</v>
      </c>
      <c r="H224" s="542">
        <v>-152862</v>
      </c>
      <c r="I224" s="542">
        <v>29110</v>
      </c>
      <c r="J224" s="542">
        <v>0</v>
      </c>
      <c r="K224" s="542">
        <v>29110</v>
      </c>
      <c r="L224" s="542">
        <v>-181972</v>
      </c>
      <c r="M224" s="542">
        <v>0</v>
      </c>
      <c r="N224" s="542">
        <v>-181972</v>
      </c>
      <c r="O224" s="543">
        <v>0.5</v>
      </c>
      <c r="P224" s="543">
        <v>0.4</v>
      </c>
      <c r="Q224" s="543">
        <v>0.1</v>
      </c>
      <c r="R224" s="543">
        <v>0</v>
      </c>
      <c r="S224" s="542">
        <v>135186</v>
      </c>
      <c r="T224" s="542">
        <v>135186</v>
      </c>
      <c r="U224" s="542">
        <v>0</v>
      </c>
      <c r="V224" s="542">
        <v>0</v>
      </c>
      <c r="W224" s="542">
        <v>0</v>
      </c>
      <c r="X224" s="542">
        <v>0</v>
      </c>
      <c r="Y224" s="542">
        <v>0</v>
      </c>
      <c r="Z224" s="542">
        <v>0</v>
      </c>
      <c r="AA224" s="542">
        <v>0</v>
      </c>
      <c r="AB224" s="542">
        <v>0</v>
      </c>
      <c r="AC224" s="542">
        <v>0</v>
      </c>
      <c r="AD224" s="542">
        <v>0</v>
      </c>
      <c r="AE224" s="542">
        <v>0</v>
      </c>
      <c r="AF224" s="542">
        <v>0</v>
      </c>
      <c r="AG224" s="542">
        <v>0</v>
      </c>
      <c r="AH224" s="542">
        <v>0</v>
      </c>
      <c r="AI224" s="542">
        <v>0</v>
      </c>
      <c r="AJ224" s="542">
        <v>0</v>
      </c>
      <c r="AK224" s="542">
        <v>0</v>
      </c>
      <c r="AL224" s="542">
        <v>0</v>
      </c>
      <c r="AM224" s="542">
        <v>0</v>
      </c>
      <c r="AN224" s="542">
        <v>0</v>
      </c>
      <c r="AO224" s="542">
        <v>0</v>
      </c>
      <c r="AP224" s="542">
        <v>0</v>
      </c>
      <c r="AQ224" s="542">
        <v>359878.63699999999</v>
      </c>
      <c r="AR224" s="542">
        <v>89969.659400000004</v>
      </c>
      <c r="AS224" s="542">
        <v>0</v>
      </c>
      <c r="AT224" s="542">
        <v>346599</v>
      </c>
      <c r="AU224" s="542">
        <v>86650</v>
      </c>
      <c r="AV224" s="542">
        <v>0</v>
      </c>
      <c r="AW224" s="542">
        <v>13280</v>
      </c>
      <c r="AX224" s="542">
        <v>3320</v>
      </c>
      <c r="AY224" s="542">
        <v>0</v>
      </c>
      <c r="AZ224" s="542">
        <v>0</v>
      </c>
      <c r="BA224" s="542">
        <v>0</v>
      </c>
      <c r="BB224" s="542">
        <v>0</v>
      </c>
      <c r="BC224" s="542">
        <v>0</v>
      </c>
      <c r="BD224" s="542">
        <v>0</v>
      </c>
      <c r="BE224" s="542">
        <v>0</v>
      </c>
      <c r="BF224" s="542">
        <v>0</v>
      </c>
      <c r="BG224" s="542">
        <v>0</v>
      </c>
      <c r="BH224" s="542">
        <v>0</v>
      </c>
      <c r="BI224" s="542">
        <v>32755.6721</v>
      </c>
      <c r="BJ224" s="542">
        <v>8188.9180399999996</v>
      </c>
      <c r="BK224" s="542">
        <v>0</v>
      </c>
      <c r="BL224" s="542">
        <v>0</v>
      </c>
      <c r="BM224" s="542">
        <v>0</v>
      </c>
      <c r="BN224" s="542">
        <v>0</v>
      </c>
      <c r="BO224" s="542">
        <v>32756</v>
      </c>
      <c r="BP224" s="542">
        <v>8189</v>
      </c>
      <c r="BQ224" s="542">
        <v>0</v>
      </c>
      <c r="BR224" s="542">
        <v>565.94479799999999</v>
      </c>
      <c r="BS224" s="542">
        <v>141.486199</v>
      </c>
      <c r="BT224" s="542">
        <v>0</v>
      </c>
      <c r="BU224" s="542">
        <v>0</v>
      </c>
      <c r="BV224" s="542">
        <v>0</v>
      </c>
      <c r="BW224" s="542">
        <v>0</v>
      </c>
      <c r="BX224" s="542">
        <v>566</v>
      </c>
      <c r="BY224" s="542">
        <v>141</v>
      </c>
      <c r="BZ224" s="542">
        <v>0</v>
      </c>
      <c r="CA224" s="542">
        <v>106761.039</v>
      </c>
      <c r="CB224" s="542">
        <v>26690.2598</v>
      </c>
      <c r="CC224" s="542">
        <v>0</v>
      </c>
      <c r="CD224" s="542">
        <v>163067</v>
      </c>
      <c r="CE224" s="542">
        <v>40767</v>
      </c>
      <c r="CF224" s="542">
        <v>0</v>
      </c>
      <c r="CG224" s="542">
        <v>-56306</v>
      </c>
      <c r="CH224" s="542">
        <v>-14077</v>
      </c>
      <c r="CI224" s="542">
        <v>0</v>
      </c>
      <c r="CJ224" s="542">
        <v>0</v>
      </c>
      <c r="CK224" s="542">
        <v>0</v>
      </c>
      <c r="CL224" s="542">
        <v>0</v>
      </c>
      <c r="CM224" s="542">
        <v>0</v>
      </c>
      <c r="CN224" s="542">
        <v>0</v>
      </c>
      <c r="CO224" s="542">
        <v>0</v>
      </c>
      <c r="CP224" s="542">
        <v>0</v>
      </c>
      <c r="CQ224" s="542">
        <v>0</v>
      </c>
      <c r="CR224" s="542">
        <v>0</v>
      </c>
      <c r="CS224" s="542">
        <v>0</v>
      </c>
      <c r="CT224" s="542">
        <v>0</v>
      </c>
      <c r="CU224" s="542">
        <v>0</v>
      </c>
      <c r="CV224" s="542">
        <v>176825.37100000001</v>
      </c>
      <c r="CW224" s="542">
        <v>44206.342799999999</v>
      </c>
      <c r="CX224" s="542">
        <v>0</v>
      </c>
      <c r="CY224" s="542">
        <v>176313</v>
      </c>
      <c r="CZ224" s="542">
        <v>43720</v>
      </c>
      <c r="DA224" s="542">
        <v>0</v>
      </c>
      <c r="DB224" s="542">
        <v>512</v>
      </c>
      <c r="DC224" s="542">
        <v>486</v>
      </c>
      <c r="DD224" s="542">
        <v>0</v>
      </c>
      <c r="DE224" s="153" t="s">
        <v>313</v>
      </c>
      <c r="DF224" s="103" t="s">
        <v>816</v>
      </c>
      <c r="DG224" s="104" t="s">
        <v>751</v>
      </c>
      <c r="DH224" s="547"/>
      <c r="DI224" s="547"/>
    </row>
    <row r="225" spans="1:113" x14ac:dyDescent="0.2">
      <c r="A225" s="93">
        <v>219</v>
      </c>
      <c r="B225" s="145" t="s">
        <v>316</v>
      </c>
      <c r="C225" s="141" t="s">
        <v>866</v>
      </c>
      <c r="D225" s="142" t="s">
        <v>867</v>
      </c>
      <c r="E225" s="149" t="s">
        <v>315</v>
      </c>
      <c r="F225" s="542">
        <v>-78900</v>
      </c>
      <c r="G225" s="542">
        <v>0</v>
      </c>
      <c r="H225" s="542">
        <v>-78900</v>
      </c>
      <c r="I225" s="542">
        <v>-2073</v>
      </c>
      <c r="J225" s="542">
        <v>0</v>
      </c>
      <c r="K225" s="542">
        <v>-2073</v>
      </c>
      <c r="L225" s="542">
        <v>-76827</v>
      </c>
      <c r="M225" s="542">
        <v>0</v>
      </c>
      <c r="N225" s="542">
        <v>-76827</v>
      </c>
      <c r="O225" s="543">
        <v>0.5</v>
      </c>
      <c r="P225" s="543">
        <v>0.4</v>
      </c>
      <c r="Q225" s="543">
        <v>0.1</v>
      </c>
      <c r="R225" s="543">
        <v>0</v>
      </c>
      <c r="S225" s="542">
        <v>127393</v>
      </c>
      <c r="T225" s="542">
        <v>127393</v>
      </c>
      <c r="U225" s="542">
        <v>0</v>
      </c>
      <c r="V225" s="542">
        <v>0</v>
      </c>
      <c r="W225" s="542">
        <v>0</v>
      </c>
      <c r="X225" s="542">
        <v>0</v>
      </c>
      <c r="Y225" s="542">
        <v>0</v>
      </c>
      <c r="Z225" s="542">
        <v>0</v>
      </c>
      <c r="AA225" s="542">
        <v>0</v>
      </c>
      <c r="AB225" s="542">
        <v>0</v>
      </c>
      <c r="AC225" s="542">
        <v>0</v>
      </c>
      <c r="AD225" s="542">
        <v>0</v>
      </c>
      <c r="AE225" s="542">
        <v>0</v>
      </c>
      <c r="AF225" s="542">
        <v>0</v>
      </c>
      <c r="AG225" s="542">
        <v>0</v>
      </c>
      <c r="AH225" s="542">
        <v>0</v>
      </c>
      <c r="AI225" s="542">
        <v>0</v>
      </c>
      <c r="AJ225" s="542">
        <v>0</v>
      </c>
      <c r="AK225" s="542">
        <v>0</v>
      </c>
      <c r="AL225" s="542">
        <v>0</v>
      </c>
      <c r="AM225" s="542">
        <v>0</v>
      </c>
      <c r="AN225" s="542">
        <v>0</v>
      </c>
      <c r="AO225" s="542">
        <v>0</v>
      </c>
      <c r="AP225" s="542">
        <v>0</v>
      </c>
      <c r="AQ225" s="542">
        <v>261814.95699999999</v>
      </c>
      <c r="AR225" s="542">
        <v>65453.739200000004</v>
      </c>
      <c r="AS225" s="542">
        <v>0</v>
      </c>
      <c r="AT225" s="542">
        <v>244344</v>
      </c>
      <c r="AU225" s="542">
        <v>61086</v>
      </c>
      <c r="AV225" s="542">
        <v>0</v>
      </c>
      <c r="AW225" s="542">
        <v>17471</v>
      </c>
      <c r="AX225" s="542">
        <v>4368</v>
      </c>
      <c r="AY225" s="542">
        <v>0</v>
      </c>
      <c r="AZ225" s="542">
        <v>0</v>
      </c>
      <c r="BA225" s="542">
        <v>0</v>
      </c>
      <c r="BB225" s="542">
        <v>0</v>
      </c>
      <c r="BC225" s="542">
        <v>0</v>
      </c>
      <c r="BD225" s="542">
        <v>0</v>
      </c>
      <c r="BE225" s="542">
        <v>0</v>
      </c>
      <c r="BF225" s="542">
        <v>0</v>
      </c>
      <c r="BG225" s="542">
        <v>0</v>
      </c>
      <c r="BH225" s="542">
        <v>0</v>
      </c>
      <c r="BI225" s="542">
        <v>0</v>
      </c>
      <c r="BJ225" s="542">
        <v>0</v>
      </c>
      <c r="BK225" s="542">
        <v>0</v>
      </c>
      <c r="BL225" s="542">
        <v>0</v>
      </c>
      <c r="BM225" s="542">
        <v>0</v>
      </c>
      <c r="BN225" s="542">
        <v>0</v>
      </c>
      <c r="BO225" s="542">
        <v>0</v>
      </c>
      <c r="BP225" s="542">
        <v>0</v>
      </c>
      <c r="BQ225" s="542">
        <v>0</v>
      </c>
      <c r="BR225" s="542">
        <v>2644.1749399999999</v>
      </c>
      <c r="BS225" s="542">
        <v>661.04373599999997</v>
      </c>
      <c r="BT225" s="542">
        <v>0</v>
      </c>
      <c r="BU225" s="542">
        <v>16170</v>
      </c>
      <c r="BV225" s="542">
        <v>4042</v>
      </c>
      <c r="BW225" s="542">
        <v>0</v>
      </c>
      <c r="BX225" s="542">
        <v>-13526</v>
      </c>
      <c r="BY225" s="542">
        <v>-3381</v>
      </c>
      <c r="BZ225" s="542">
        <v>0</v>
      </c>
      <c r="CA225" s="542">
        <v>130122.02800000001</v>
      </c>
      <c r="CB225" s="542">
        <v>32530.507000000001</v>
      </c>
      <c r="CC225" s="542">
        <v>0</v>
      </c>
      <c r="CD225" s="542">
        <v>223144</v>
      </c>
      <c r="CE225" s="542">
        <v>55786</v>
      </c>
      <c r="CF225" s="542">
        <v>0</v>
      </c>
      <c r="CG225" s="542">
        <v>-93022</v>
      </c>
      <c r="CH225" s="542">
        <v>-23255</v>
      </c>
      <c r="CI225" s="542">
        <v>0</v>
      </c>
      <c r="CJ225" s="542">
        <v>80899.600000000006</v>
      </c>
      <c r="CK225" s="542">
        <v>20224.900000000001</v>
      </c>
      <c r="CL225" s="542">
        <v>0</v>
      </c>
      <c r="CM225" s="542">
        <v>158918.51199999999</v>
      </c>
      <c r="CN225" s="542">
        <v>39729.627999999997</v>
      </c>
      <c r="CO225" s="542">
        <v>0</v>
      </c>
      <c r="CP225" s="542">
        <v>121640</v>
      </c>
      <c r="CQ225" s="542">
        <v>30410</v>
      </c>
      <c r="CR225" s="542">
        <v>0</v>
      </c>
      <c r="CS225" s="542">
        <v>118178</v>
      </c>
      <c r="CT225" s="542">
        <v>29545</v>
      </c>
      <c r="CU225" s="542">
        <v>0</v>
      </c>
      <c r="CV225" s="542">
        <v>172015.622</v>
      </c>
      <c r="CW225" s="542">
        <v>43003.905500000001</v>
      </c>
      <c r="CX225" s="542">
        <v>0</v>
      </c>
      <c r="CY225" s="542">
        <v>187393</v>
      </c>
      <c r="CZ225" s="542">
        <v>46510</v>
      </c>
      <c r="DA225" s="542">
        <v>0</v>
      </c>
      <c r="DB225" s="542">
        <v>-15377</v>
      </c>
      <c r="DC225" s="542">
        <v>-3506</v>
      </c>
      <c r="DD225" s="542">
        <v>0</v>
      </c>
      <c r="DE225" s="153" t="s">
        <v>315</v>
      </c>
      <c r="DF225" s="103" t="s">
        <v>807</v>
      </c>
      <c r="DG225" s="104" t="s">
        <v>751</v>
      </c>
      <c r="DH225" s="547"/>
      <c r="DI225" s="547"/>
    </row>
    <row r="226" spans="1:113" x14ac:dyDescent="0.2">
      <c r="A226" s="93">
        <v>220</v>
      </c>
      <c r="B226" s="145" t="s">
        <v>318</v>
      </c>
      <c r="C226" s="141" t="s">
        <v>866</v>
      </c>
      <c r="D226" s="142" t="s">
        <v>869</v>
      </c>
      <c r="E226" s="149" t="s">
        <v>317</v>
      </c>
      <c r="F226" s="542">
        <v>321964</v>
      </c>
      <c r="G226" s="542">
        <v>0</v>
      </c>
      <c r="H226" s="542">
        <v>321964</v>
      </c>
      <c r="I226" s="542">
        <v>440896</v>
      </c>
      <c r="J226" s="542">
        <v>0</v>
      </c>
      <c r="K226" s="542">
        <v>440896</v>
      </c>
      <c r="L226" s="542">
        <v>-118932</v>
      </c>
      <c r="M226" s="542">
        <v>0</v>
      </c>
      <c r="N226" s="542">
        <v>-118932</v>
      </c>
      <c r="O226" s="543">
        <v>0.5</v>
      </c>
      <c r="P226" s="543">
        <v>0.4</v>
      </c>
      <c r="Q226" s="543">
        <v>0.09</v>
      </c>
      <c r="R226" s="543">
        <v>0.01</v>
      </c>
      <c r="S226" s="542">
        <v>109949</v>
      </c>
      <c r="T226" s="542">
        <v>109949</v>
      </c>
      <c r="U226" s="542">
        <v>0</v>
      </c>
      <c r="V226" s="542">
        <v>0</v>
      </c>
      <c r="W226" s="542">
        <v>0</v>
      </c>
      <c r="X226" s="542">
        <v>0</v>
      </c>
      <c r="Y226" s="542">
        <v>46524</v>
      </c>
      <c r="Z226" s="542">
        <v>0</v>
      </c>
      <c r="AA226" s="542">
        <v>0</v>
      </c>
      <c r="AB226" s="542">
        <v>0</v>
      </c>
      <c r="AC226" s="542">
        <v>46524</v>
      </c>
      <c r="AD226" s="542">
        <v>0</v>
      </c>
      <c r="AE226" s="542">
        <v>0</v>
      </c>
      <c r="AF226" s="542">
        <v>0</v>
      </c>
      <c r="AG226" s="542">
        <v>0</v>
      </c>
      <c r="AH226" s="542">
        <v>0</v>
      </c>
      <c r="AI226" s="542">
        <v>0</v>
      </c>
      <c r="AJ226" s="542">
        <v>0</v>
      </c>
      <c r="AK226" s="542">
        <v>0</v>
      </c>
      <c r="AL226" s="542">
        <v>0</v>
      </c>
      <c r="AM226" s="542">
        <v>0</v>
      </c>
      <c r="AN226" s="542">
        <v>0</v>
      </c>
      <c r="AO226" s="542">
        <v>0</v>
      </c>
      <c r="AP226" s="542">
        <v>0</v>
      </c>
      <c r="AQ226" s="542">
        <v>382250.63699999999</v>
      </c>
      <c r="AR226" s="542">
        <v>86006.393500000006</v>
      </c>
      <c r="AS226" s="542">
        <v>9556.2659399999993</v>
      </c>
      <c r="AT226" s="542">
        <v>354962</v>
      </c>
      <c r="AU226" s="542">
        <v>79867</v>
      </c>
      <c r="AV226" s="542">
        <v>8874</v>
      </c>
      <c r="AW226" s="542">
        <v>27289</v>
      </c>
      <c r="AX226" s="542">
        <v>6139</v>
      </c>
      <c r="AY226" s="542">
        <v>682</v>
      </c>
      <c r="AZ226" s="542">
        <v>113.593205</v>
      </c>
      <c r="BA226" s="542">
        <v>25.558471300000001</v>
      </c>
      <c r="BB226" s="542">
        <v>2.8398301400000001</v>
      </c>
      <c r="BC226" s="542">
        <v>4042</v>
      </c>
      <c r="BD226" s="542">
        <v>910</v>
      </c>
      <c r="BE226" s="542">
        <v>101</v>
      </c>
      <c r="BF226" s="542">
        <v>-3928</v>
      </c>
      <c r="BG226" s="542">
        <v>-884</v>
      </c>
      <c r="BH226" s="542">
        <v>-98</v>
      </c>
      <c r="BI226" s="542">
        <v>3675.4072099999998</v>
      </c>
      <c r="BJ226" s="542">
        <v>826.96662400000002</v>
      </c>
      <c r="BK226" s="542">
        <v>91.885180399999996</v>
      </c>
      <c r="BL226" s="542">
        <v>4042</v>
      </c>
      <c r="BM226" s="542">
        <v>910</v>
      </c>
      <c r="BN226" s="542">
        <v>101</v>
      </c>
      <c r="BO226" s="542">
        <v>-367</v>
      </c>
      <c r="BP226" s="542">
        <v>-83</v>
      </c>
      <c r="BQ226" s="542">
        <v>-9</v>
      </c>
      <c r="BR226" s="542">
        <v>125295.327</v>
      </c>
      <c r="BS226" s="542">
        <v>28191.4486</v>
      </c>
      <c r="BT226" s="542">
        <v>3132.3831799999998</v>
      </c>
      <c r="BU226" s="542">
        <v>8456</v>
      </c>
      <c r="BV226" s="542">
        <v>1903</v>
      </c>
      <c r="BW226" s="542">
        <v>211</v>
      </c>
      <c r="BX226" s="542">
        <v>116839</v>
      </c>
      <c r="BY226" s="542">
        <v>26288</v>
      </c>
      <c r="BZ226" s="542">
        <v>2921</v>
      </c>
      <c r="CA226" s="542">
        <v>0</v>
      </c>
      <c r="CB226" s="542">
        <v>0</v>
      </c>
      <c r="CC226" s="542">
        <v>0</v>
      </c>
      <c r="CD226" s="542">
        <v>128660</v>
      </c>
      <c r="CE226" s="542">
        <v>28949</v>
      </c>
      <c r="CF226" s="542">
        <v>3217</v>
      </c>
      <c r="CG226" s="542">
        <v>-128660</v>
      </c>
      <c r="CH226" s="542">
        <v>-28949</v>
      </c>
      <c r="CI226" s="542">
        <v>-3217</v>
      </c>
      <c r="CJ226" s="542">
        <v>0</v>
      </c>
      <c r="CK226" s="542">
        <v>0</v>
      </c>
      <c r="CL226" s="542">
        <v>0</v>
      </c>
      <c r="CM226" s="542">
        <v>0</v>
      </c>
      <c r="CN226" s="542">
        <v>0</v>
      </c>
      <c r="CO226" s="542">
        <v>0</v>
      </c>
      <c r="CP226" s="542">
        <v>0</v>
      </c>
      <c r="CQ226" s="542">
        <v>0</v>
      </c>
      <c r="CR226" s="542">
        <v>0</v>
      </c>
      <c r="CS226" s="542">
        <v>0</v>
      </c>
      <c r="CT226" s="542">
        <v>0</v>
      </c>
      <c r="CU226" s="542">
        <v>0</v>
      </c>
      <c r="CV226" s="542">
        <v>105489.091</v>
      </c>
      <c r="CW226" s="542">
        <v>23623.921300000002</v>
      </c>
      <c r="CX226" s="542">
        <v>2624.8801400000002</v>
      </c>
      <c r="CY226" s="542">
        <v>115052</v>
      </c>
      <c r="CZ226" s="542">
        <v>25624</v>
      </c>
      <c r="DA226" s="542">
        <v>2847</v>
      </c>
      <c r="DB226" s="542">
        <v>-9563</v>
      </c>
      <c r="DC226" s="542">
        <v>-2000</v>
      </c>
      <c r="DD226" s="542">
        <v>-222</v>
      </c>
      <c r="DE226" s="153" t="s">
        <v>317</v>
      </c>
      <c r="DF226" s="103" t="s">
        <v>755</v>
      </c>
      <c r="DG226" s="104" t="s">
        <v>756</v>
      </c>
      <c r="DH226" s="547"/>
      <c r="DI226" s="547"/>
    </row>
    <row r="227" spans="1:113" x14ac:dyDescent="0.2">
      <c r="A227" s="93">
        <v>221</v>
      </c>
      <c r="B227" s="145" t="s">
        <v>320</v>
      </c>
      <c r="C227" s="141" t="s">
        <v>866</v>
      </c>
      <c r="D227" s="142" t="s">
        <v>867</v>
      </c>
      <c r="E227" s="149" t="s">
        <v>319</v>
      </c>
      <c r="F227" s="542">
        <v>-324211</v>
      </c>
      <c r="G227" s="542">
        <v>0</v>
      </c>
      <c r="H227" s="542">
        <v>-324211</v>
      </c>
      <c r="I227" s="542">
        <v>6725</v>
      </c>
      <c r="J227" s="542">
        <v>0</v>
      </c>
      <c r="K227" s="542">
        <v>6725</v>
      </c>
      <c r="L227" s="542">
        <v>-330936</v>
      </c>
      <c r="M227" s="542">
        <v>0</v>
      </c>
      <c r="N227" s="542">
        <v>-330936</v>
      </c>
      <c r="O227" s="543">
        <v>0.5</v>
      </c>
      <c r="P227" s="543">
        <v>0.4</v>
      </c>
      <c r="Q227" s="543">
        <v>0.09</v>
      </c>
      <c r="R227" s="543">
        <v>0.01</v>
      </c>
      <c r="S227" s="542">
        <v>128223</v>
      </c>
      <c r="T227" s="542">
        <v>124863</v>
      </c>
      <c r="U227" s="542">
        <v>3360</v>
      </c>
      <c r="V227" s="542">
        <v>0</v>
      </c>
      <c r="W227" s="542">
        <v>0</v>
      </c>
      <c r="X227" s="542">
        <v>0</v>
      </c>
      <c r="Y227" s="542">
        <v>0</v>
      </c>
      <c r="Z227" s="542">
        <v>0</v>
      </c>
      <c r="AA227" s="542">
        <v>0</v>
      </c>
      <c r="AB227" s="542">
        <v>0</v>
      </c>
      <c r="AC227" s="542">
        <v>0</v>
      </c>
      <c r="AD227" s="542">
        <v>0</v>
      </c>
      <c r="AE227" s="542">
        <v>0</v>
      </c>
      <c r="AF227" s="542">
        <v>0</v>
      </c>
      <c r="AG227" s="542">
        <v>0</v>
      </c>
      <c r="AH227" s="542">
        <v>0</v>
      </c>
      <c r="AI227" s="542">
        <v>0</v>
      </c>
      <c r="AJ227" s="542">
        <v>0</v>
      </c>
      <c r="AK227" s="542">
        <v>0</v>
      </c>
      <c r="AL227" s="542">
        <v>0</v>
      </c>
      <c r="AM227" s="542">
        <v>0</v>
      </c>
      <c r="AN227" s="542">
        <v>0</v>
      </c>
      <c r="AO227" s="542">
        <v>0</v>
      </c>
      <c r="AP227" s="542">
        <v>0</v>
      </c>
      <c r="AQ227" s="542">
        <v>252167.01300000001</v>
      </c>
      <c r="AR227" s="542">
        <v>56737.577899999997</v>
      </c>
      <c r="AS227" s="542">
        <v>6304.1753200000003</v>
      </c>
      <c r="AT227" s="542">
        <v>232799</v>
      </c>
      <c r="AU227" s="542">
        <v>52380</v>
      </c>
      <c r="AV227" s="542">
        <v>5820</v>
      </c>
      <c r="AW227" s="542">
        <v>19368</v>
      </c>
      <c r="AX227" s="542">
        <v>4358</v>
      </c>
      <c r="AY227" s="542">
        <v>484</v>
      </c>
      <c r="AZ227" s="542">
        <v>3502.3897999999999</v>
      </c>
      <c r="BA227" s="542">
        <v>788.03770699999995</v>
      </c>
      <c r="BB227" s="542">
        <v>87.559745199999995</v>
      </c>
      <c r="BC227" s="542">
        <v>10589</v>
      </c>
      <c r="BD227" s="542">
        <v>2383</v>
      </c>
      <c r="BE227" s="542">
        <v>265</v>
      </c>
      <c r="BF227" s="542">
        <v>-7087</v>
      </c>
      <c r="BG227" s="542">
        <v>-1595</v>
      </c>
      <c r="BH227" s="542">
        <v>-177</v>
      </c>
      <c r="BI227" s="542">
        <v>-1709.9617000000001</v>
      </c>
      <c r="BJ227" s="542">
        <v>-384.7414</v>
      </c>
      <c r="BK227" s="542">
        <v>-42.749043999999998</v>
      </c>
      <c r="BL227" s="542">
        <v>35219</v>
      </c>
      <c r="BM227" s="542">
        <v>7924</v>
      </c>
      <c r="BN227" s="542">
        <v>880</v>
      </c>
      <c r="BO227" s="542">
        <v>-36929</v>
      </c>
      <c r="BP227" s="542">
        <v>-8309</v>
      </c>
      <c r="BQ227" s="542">
        <v>-923</v>
      </c>
      <c r="BR227" s="542">
        <v>6216.4993599999998</v>
      </c>
      <c r="BS227" s="542">
        <v>1398.71235</v>
      </c>
      <c r="BT227" s="542">
        <v>155.41248400000001</v>
      </c>
      <c r="BU227" s="542">
        <v>9298</v>
      </c>
      <c r="BV227" s="542">
        <v>2092</v>
      </c>
      <c r="BW227" s="542">
        <v>232</v>
      </c>
      <c r="BX227" s="542">
        <v>-3082</v>
      </c>
      <c r="BY227" s="542">
        <v>-693</v>
      </c>
      <c r="BZ227" s="542">
        <v>-77</v>
      </c>
      <c r="CA227" s="542">
        <v>134077.57699999999</v>
      </c>
      <c r="CB227" s="542">
        <v>30167.455000000002</v>
      </c>
      <c r="CC227" s="542">
        <v>3351.9394400000001</v>
      </c>
      <c r="CD227" s="542">
        <v>227859</v>
      </c>
      <c r="CE227" s="542">
        <v>51269</v>
      </c>
      <c r="CF227" s="542">
        <v>5697</v>
      </c>
      <c r="CG227" s="542">
        <v>-93781</v>
      </c>
      <c r="CH227" s="542">
        <v>-21102</v>
      </c>
      <c r="CI227" s="542">
        <v>-2345</v>
      </c>
      <c r="CJ227" s="542">
        <v>18651.599999999999</v>
      </c>
      <c r="CK227" s="542">
        <v>4196.6099999999997</v>
      </c>
      <c r="CL227" s="542">
        <v>466.29</v>
      </c>
      <c r="CM227" s="542">
        <v>-477.01060999999999</v>
      </c>
      <c r="CN227" s="542">
        <v>-107.32738000000001</v>
      </c>
      <c r="CO227" s="542">
        <v>-11.925265</v>
      </c>
      <c r="CP227" s="542">
        <v>18652</v>
      </c>
      <c r="CQ227" s="542">
        <v>4196.6099999999997</v>
      </c>
      <c r="CR227" s="542">
        <v>466.29</v>
      </c>
      <c r="CS227" s="542">
        <v>-477</v>
      </c>
      <c r="CT227" s="542">
        <v>-107</v>
      </c>
      <c r="CU227" s="542">
        <v>-12</v>
      </c>
      <c r="CV227" s="542">
        <v>211956.56</v>
      </c>
      <c r="CW227" s="542">
        <v>47690.2261</v>
      </c>
      <c r="CX227" s="542">
        <v>5298.9140100000004</v>
      </c>
      <c r="CY227" s="542">
        <v>170479</v>
      </c>
      <c r="CZ227" s="542">
        <v>38060</v>
      </c>
      <c r="DA227" s="542">
        <v>4229</v>
      </c>
      <c r="DB227" s="542">
        <v>41478</v>
      </c>
      <c r="DC227" s="542">
        <v>9630</v>
      </c>
      <c r="DD227" s="542">
        <v>1070</v>
      </c>
      <c r="DE227" s="153" t="s">
        <v>319</v>
      </c>
      <c r="DF227" s="103" t="s">
        <v>767</v>
      </c>
      <c r="DG227" s="104" t="s">
        <v>768</v>
      </c>
      <c r="DH227" s="547"/>
      <c r="DI227" s="547"/>
    </row>
    <row r="228" spans="1:113" x14ac:dyDescent="0.2">
      <c r="A228" s="93">
        <v>222</v>
      </c>
      <c r="B228" s="145" t="s">
        <v>322</v>
      </c>
      <c r="C228" s="141" t="s">
        <v>770</v>
      </c>
      <c r="D228" s="142" t="s">
        <v>869</v>
      </c>
      <c r="E228" s="149" t="s">
        <v>722</v>
      </c>
      <c r="F228" s="542">
        <v>15205</v>
      </c>
      <c r="G228" s="542">
        <v>0</v>
      </c>
      <c r="H228" s="542">
        <v>15205</v>
      </c>
      <c r="I228" s="542">
        <v>17261</v>
      </c>
      <c r="J228" s="542">
        <v>0</v>
      </c>
      <c r="K228" s="542">
        <v>17261</v>
      </c>
      <c r="L228" s="542">
        <v>-2056</v>
      </c>
      <c r="M228" s="542">
        <v>0</v>
      </c>
      <c r="N228" s="542">
        <v>-2056</v>
      </c>
      <c r="O228" s="543">
        <v>0.5</v>
      </c>
      <c r="P228" s="543">
        <v>0.49</v>
      </c>
      <c r="Q228" s="543">
        <v>0</v>
      </c>
      <c r="R228" s="543">
        <v>0.01</v>
      </c>
      <c r="S228" s="542">
        <v>53083</v>
      </c>
      <c r="T228" s="542">
        <v>53083</v>
      </c>
      <c r="U228" s="542">
        <v>0</v>
      </c>
      <c r="V228" s="542">
        <v>0</v>
      </c>
      <c r="W228" s="542">
        <v>0</v>
      </c>
      <c r="X228" s="542">
        <v>0</v>
      </c>
      <c r="Y228" s="542">
        <v>0</v>
      </c>
      <c r="Z228" s="542">
        <v>0</v>
      </c>
      <c r="AA228" s="542">
        <v>0</v>
      </c>
      <c r="AB228" s="542">
        <v>0</v>
      </c>
      <c r="AC228" s="542">
        <v>0</v>
      </c>
      <c r="AD228" s="542">
        <v>0</v>
      </c>
      <c r="AE228" s="542">
        <v>0</v>
      </c>
      <c r="AF228" s="542">
        <v>0</v>
      </c>
      <c r="AG228" s="542">
        <v>0</v>
      </c>
      <c r="AH228" s="542">
        <v>0</v>
      </c>
      <c r="AI228" s="542">
        <v>0</v>
      </c>
      <c r="AJ228" s="542">
        <v>0</v>
      </c>
      <c r="AK228" s="542">
        <v>0</v>
      </c>
      <c r="AL228" s="542">
        <v>0</v>
      </c>
      <c r="AM228" s="542">
        <v>0</v>
      </c>
      <c r="AN228" s="542">
        <v>0</v>
      </c>
      <c r="AO228" s="542">
        <v>0</v>
      </c>
      <c r="AP228" s="542">
        <v>0</v>
      </c>
      <c r="AQ228" s="542">
        <v>228850.78</v>
      </c>
      <c r="AR228" s="542">
        <v>0</v>
      </c>
      <c r="AS228" s="542">
        <v>4670.42</v>
      </c>
      <c r="AT228" s="542">
        <v>200189</v>
      </c>
      <c r="AU228" s="542">
        <v>0</v>
      </c>
      <c r="AV228" s="542">
        <v>4086</v>
      </c>
      <c r="AW228" s="542">
        <v>28662</v>
      </c>
      <c r="AX228" s="542">
        <v>0</v>
      </c>
      <c r="AY228" s="542">
        <v>584</v>
      </c>
      <c r="AZ228" s="542">
        <v>5434.84</v>
      </c>
      <c r="BA228" s="542">
        <v>0</v>
      </c>
      <c r="BB228" s="542">
        <v>110.92</v>
      </c>
      <c r="BC228" s="542">
        <v>4942</v>
      </c>
      <c r="BD228" s="542">
        <v>0</v>
      </c>
      <c r="BE228" s="542">
        <v>101</v>
      </c>
      <c r="BF228" s="542">
        <v>493</v>
      </c>
      <c r="BG228" s="542">
        <v>0</v>
      </c>
      <c r="BH228" s="542">
        <v>10</v>
      </c>
      <c r="BI228" s="542">
        <v>0</v>
      </c>
      <c r="BJ228" s="542">
        <v>0</v>
      </c>
      <c r="BK228" s="542">
        <v>0</v>
      </c>
      <c r="BL228" s="542">
        <v>4846</v>
      </c>
      <c r="BM228" s="542">
        <v>0</v>
      </c>
      <c r="BN228" s="542">
        <v>99</v>
      </c>
      <c r="BO228" s="542">
        <v>-4846</v>
      </c>
      <c r="BP228" s="542">
        <v>0</v>
      </c>
      <c r="BQ228" s="542">
        <v>-99</v>
      </c>
      <c r="BR228" s="542">
        <v>0</v>
      </c>
      <c r="BS228" s="542">
        <v>0</v>
      </c>
      <c r="BT228" s="542">
        <v>0</v>
      </c>
      <c r="BU228" s="542">
        <v>13174</v>
      </c>
      <c r="BV228" s="542">
        <v>0</v>
      </c>
      <c r="BW228" s="542">
        <v>269</v>
      </c>
      <c r="BX228" s="542">
        <v>-13174</v>
      </c>
      <c r="BY228" s="542">
        <v>0</v>
      </c>
      <c r="BZ228" s="542">
        <v>-269</v>
      </c>
      <c r="CA228" s="542">
        <v>79441.25</v>
      </c>
      <c r="CB228" s="542">
        <v>0</v>
      </c>
      <c r="CC228" s="542">
        <v>1621.25</v>
      </c>
      <c r="CD228" s="542">
        <v>85441</v>
      </c>
      <c r="CE228" s="542">
        <v>0</v>
      </c>
      <c r="CF228" s="542">
        <v>1744</v>
      </c>
      <c r="CG228" s="542">
        <v>-6000</v>
      </c>
      <c r="CH228" s="542">
        <v>0</v>
      </c>
      <c r="CI228" s="542">
        <v>-123</v>
      </c>
      <c r="CJ228" s="542">
        <v>0</v>
      </c>
      <c r="CK228" s="542">
        <v>0</v>
      </c>
      <c r="CL228" s="542">
        <v>0</v>
      </c>
      <c r="CM228" s="542">
        <v>0</v>
      </c>
      <c r="CN228" s="542">
        <v>0</v>
      </c>
      <c r="CO228" s="542">
        <v>0</v>
      </c>
      <c r="CP228" s="542">
        <v>0</v>
      </c>
      <c r="CQ228" s="542">
        <v>0</v>
      </c>
      <c r="CR228" s="542">
        <v>0</v>
      </c>
      <c r="CS228" s="542">
        <v>0</v>
      </c>
      <c r="CT228" s="542">
        <v>0</v>
      </c>
      <c r="CU228" s="542">
        <v>0</v>
      </c>
      <c r="CV228" s="542">
        <v>51756.57</v>
      </c>
      <c r="CW228" s="542">
        <v>0</v>
      </c>
      <c r="CX228" s="542">
        <v>1056.26</v>
      </c>
      <c r="CY228" s="542">
        <v>52159</v>
      </c>
      <c r="CZ228" s="542">
        <v>0</v>
      </c>
      <c r="DA228" s="542">
        <v>1053</v>
      </c>
      <c r="DB228" s="542">
        <v>-402</v>
      </c>
      <c r="DC228" s="542">
        <v>0</v>
      </c>
      <c r="DD228" s="542">
        <v>3</v>
      </c>
      <c r="DE228" s="153" t="s">
        <v>722</v>
      </c>
      <c r="DF228" s="103" t="s">
        <v>770</v>
      </c>
      <c r="DG228" s="104" t="s">
        <v>775</v>
      </c>
      <c r="DH228" s="547"/>
      <c r="DI228" s="547"/>
    </row>
    <row r="229" spans="1:113" x14ac:dyDescent="0.2">
      <c r="A229" s="93">
        <v>223</v>
      </c>
      <c r="B229" s="145" t="s">
        <v>324</v>
      </c>
      <c r="C229" s="141" t="s">
        <v>866</v>
      </c>
      <c r="D229" s="142" t="s">
        <v>874</v>
      </c>
      <c r="E229" s="149" t="s">
        <v>323</v>
      </c>
      <c r="F229" s="542">
        <v>17426</v>
      </c>
      <c r="G229" s="542">
        <v>0</v>
      </c>
      <c r="H229" s="542">
        <v>17426</v>
      </c>
      <c r="I229" s="542">
        <v>50014</v>
      </c>
      <c r="J229" s="542">
        <v>0</v>
      </c>
      <c r="K229" s="542">
        <v>50014</v>
      </c>
      <c r="L229" s="542">
        <v>-32588</v>
      </c>
      <c r="M229" s="542">
        <v>0</v>
      </c>
      <c r="N229" s="542">
        <v>-32588</v>
      </c>
      <c r="O229" s="543">
        <v>0.5</v>
      </c>
      <c r="P229" s="543">
        <v>0.4</v>
      </c>
      <c r="Q229" s="543">
        <v>0.09</v>
      </c>
      <c r="R229" s="543">
        <v>0.01</v>
      </c>
      <c r="S229" s="542">
        <v>111446</v>
      </c>
      <c r="T229" s="542">
        <v>111446</v>
      </c>
      <c r="U229" s="542">
        <v>0</v>
      </c>
      <c r="V229" s="542">
        <v>0</v>
      </c>
      <c r="W229" s="542">
        <v>0</v>
      </c>
      <c r="X229" s="542">
        <v>0</v>
      </c>
      <c r="Y229" s="542">
        <v>0</v>
      </c>
      <c r="Z229" s="542">
        <v>0</v>
      </c>
      <c r="AA229" s="542">
        <v>0</v>
      </c>
      <c r="AB229" s="542">
        <v>0</v>
      </c>
      <c r="AC229" s="542">
        <v>0</v>
      </c>
      <c r="AD229" s="542">
        <v>0</v>
      </c>
      <c r="AE229" s="542">
        <v>0</v>
      </c>
      <c r="AF229" s="542">
        <v>0</v>
      </c>
      <c r="AG229" s="542">
        <v>0</v>
      </c>
      <c r="AH229" s="542">
        <v>0</v>
      </c>
      <c r="AI229" s="542">
        <v>0</v>
      </c>
      <c r="AJ229" s="542">
        <v>0</v>
      </c>
      <c r="AK229" s="542">
        <v>0</v>
      </c>
      <c r="AL229" s="542">
        <v>0</v>
      </c>
      <c r="AM229" s="542">
        <v>0</v>
      </c>
      <c r="AN229" s="542">
        <v>0</v>
      </c>
      <c r="AO229" s="542">
        <v>0</v>
      </c>
      <c r="AP229" s="542">
        <v>0</v>
      </c>
      <c r="AQ229" s="542">
        <v>425358.04599999997</v>
      </c>
      <c r="AR229" s="542">
        <v>95705.560500000007</v>
      </c>
      <c r="AS229" s="542">
        <v>10633.9511</v>
      </c>
      <c r="AT229" s="542">
        <v>418597</v>
      </c>
      <c r="AU229" s="542">
        <v>94184</v>
      </c>
      <c r="AV229" s="542">
        <v>10465</v>
      </c>
      <c r="AW229" s="542">
        <v>6761</v>
      </c>
      <c r="AX229" s="542">
        <v>1522</v>
      </c>
      <c r="AY229" s="542">
        <v>169</v>
      </c>
      <c r="AZ229" s="542">
        <v>3441.3486200000002</v>
      </c>
      <c r="BA229" s="542">
        <v>774.30343900000003</v>
      </c>
      <c r="BB229" s="542">
        <v>86.0337155</v>
      </c>
      <c r="BC229" s="542">
        <v>6064</v>
      </c>
      <c r="BD229" s="542">
        <v>1364</v>
      </c>
      <c r="BE229" s="542">
        <v>152</v>
      </c>
      <c r="BF229" s="542">
        <v>-2623</v>
      </c>
      <c r="BG229" s="542">
        <v>-590</v>
      </c>
      <c r="BH229" s="542">
        <v>-66</v>
      </c>
      <c r="BI229" s="542">
        <v>0</v>
      </c>
      <c r="BJ229" s="542">
        <v>0</v>
      </c>
      <c r="BK229" s="542">
        <v>0</v>
      </c>
      <c r="BL229" s="542">
        <v>0</v>
      </c>
      <c r="BM229" s="542">
        <v>0</v>
      </c>
      <c r="BN229" s="542">
        <v>0</v>
      </c>
      <c r="BO229" s="542">
        <v>0</v>
      </c>
      <c r="BP229" s="542">
        <v>0</v>
      </c>
      <c r="BQ229" s="542">
        <v>0</v>
      </c>
      <c r="BR229" s="542">
        <v>2988.1885299999999</v>
      </c>
      <c r="BS229" s="542">
        <v>672.34241999999995</v>
      </c>
      <c r="BT229" s="542">
        <v>74.704713299999995</v>
      </c>
      <c r="BU229" s="542">
        <v>18191</v>
      </c>
      <c r="BV229" s="542">
        <v>4093</v>
      </c>
      <c r="BW229" s="542">
        <v>455</v>
      </c>
      <c r="BX229" s="542">
        <v>-15203</v>
      </c>
      <c r="BY229" s="542">
        <v>-3421</v>
      </c>
      <c r="BZ229" s="542">
        <v>-380</v>
      </c>
      <c r="CA229" s="542">
        <v>133281.617</v>
      </c>
      <c r="CB229" s="542">
        <v>29988.363799999999</v>
      </c>
      <c r="CC229" s="542">
        <v>3332.0404199999998</v>
      </c>
      <c r="CD229" s="542">
        <v>140282</v>
      </c>
      <c r="CE229" s="542">
        <v>31564</v>
      </c>
      <c r="CF229" s="542">
        <v>3507</v>
      </c>
      <c r="CG229" s="542">
        <v>-7000</v>
      </c>
      <c r="CH229" s="542">
        <v>-1576</v>
      </c>
      <c r="CI229" s="542">
        <v>-175</v>
      </c>
      <c r="CJ229" s="542">
        <v>0</v>
      </c>
      <c r="CK229" s="542">
        <v>0</v>
      </c>
      <c r="CL229" s="542">
        <v>0</v>
      </c>
      <c r="CM229" s="542">
        <v>0</v>
      </c>
      <c r="CN229" s="542">
        <v>0</v>
      </c>
      <c r="CO229" s="542">
        <v>0</v>
      </c>
      <c r="CP229" s="542">
        <v>0</v>
      </c>
      <c r="CQ229" s="542">
        <v>0</v>
      </c>
      <c r="CR229" s="542">
        <v>0</v>
      </c>
      <c r="CS229" s="542">
        <v>0</v>
      </c>
      <c r="CT229" s="542">
        <v>0</v>
      </c>
      <c r="CU229" s="542">
        <v>0</v>
      </c>
      <c r="CV229" s="542">
        <v>68312.891699999993</v>
      </c>
      <c r="CW229" s="542">
        <v>15370.400600000001</v>
      </c>
      <c r="CX229" s="542">
        <v>1707.8222900000001</v>
      </c>
      <c r="CY229" s="542">
        <v>69893</v>
      </c>
      <c r="CZ229" s="542">
        <v>15460</v>
      </c>
      <c r="DA229" s="542">
        <v>1718</v>
      </c>
      <c r="DB229" s="542">
        <v>-1580</v>
      </c>
      <c r="DC229" s="542">
        <v>-90</v>
      </c>
      <c r="DD229" s="542">
        <v>-10</v>
      </c>
      <c r="DE229" s="153" t="s">
        <v>323</v>
      </c>
      <c r="DF229" s="103" t="s">
        <v>800</v>
      </c>
      <c r="DG229" s="104" t="s">
        <v>801</v>
      </c>
      <c r="DH229" s="547"/>
      <c r="DI229" s="547"/>
    </row>
    <row r="230" spans="1:113" x14ac:dyDescent="0.2">
      <c r="A230" s="93">
        <v>224</v>
      </c>
      <c r="B230" s="145" t="s">
        <v>326</v>
      </c>
      <c r="C230" s="141" t="s">
        <v>873</v>
      </c>
      <c r="D230" s="142" t="s">
        <v>868</v>
      </c>
      <c r="E230" s="149" t="s">
        <v>325</v>
      </c>
      <c r="F230" s="542">
        <v>-516939</v>
      </c>
      <c r="G230" s="542">
        <v>0</v>
      </c>
      <c r="H230" s="542">
        <v>-516939</v>
      </c>
      <c r="I230" s="542">
        <v>43782</v>
      </c>
      <c r="J230" s="542">
        <v>0</v>
      </c>
      <c r="K230" s="542">
        <v>43782</v>
      </c>
      <c r="L230" s="542">
        <v>-560721</v>
      </c>
      <c r="M230" s="542">
        <v>0</v>
      </c>
      <c r="N230" s="542">
        <v>-560721</v>
      </c>
      <c r="O230" s="543">
        <v>0.5</v>
      </c>
      <c r="P230" s="543">
        <v>0.49</v>
      </c>
      <c r="Q230" s="543">
        <v>0</v>
      </c>
      <c r="R230" s="543">
        <v>0.01</v>
      </c>
      <c r="S230" s="542">
        <v>445614</v>
      </c>
      <c r="T230" s="542">
        <v>445614</v>
      </c>
      <c r="U230" s="542">
        <v>0</v>
      </c>
      <c r="V230" s="542">
        <v>0</v>
      </c>
      <c r="W230" s="542">
        <v>0</v>
      </c>
      <c r="X230" s="542">
        <v>0</v>
      </c>
      <c r="Y230" s="542">
        <v>0</v>
      </c>
      <c r="Z230" s="542">
        <v>0</v>
      </c>
      <c r="AA230" s="542">
        <v>0</v>
      </c>
      <c r="AB230" s="542">
        <v>0</v>
      </c>
      <c r="AC230" s="542">
        <v>0</v>
      </c>
      <c r="AD230" s="542">
        <v>0</v>
      </c>
      <c r="AE230" s="542">
        <v>0</v>
      </c>
      <c r="AF230" s="542">
        <v>0</v>
      </c>
      <c r="AG230" s="542">
        <v>0</v>
      </c>
      <c r="AH230" s="542">
        <v>0</v>
      </c>
      <c r="AI230" s="542">
        <v>0</v>
      </c>
      <c r="AJ230" s="542">
        <v>0</v>
      </c>
      <c r="AK230" s="542">
        <v>0</v>
      </c>
      <c r="AL230" s="542">
        <v>0</v>
      </c>
      <c r="AM230" s="542">
        <v>0</v>
      </c>
      <c r="AN230" s="542">
        <v>0</v>
      </c>
      <c r="AO230" s="542">
        <v>0</v>
      </c>
      <c r="AP230" s="542">
        <v>0</v>
      </c>
      <c r="AQ230" s="542">
        <v>1135480.8999999999</v>
      </c>
      <c r="AR230" s="542">
        <v>0</v>
      </c>
      <c r="AS230" s="542">
        <v>23173.079699999998</v>
      </c>
      <c r="AT230" s="542">
        <v>999743</v>
      </c>
      <c r="AU230" s="542">
        <v>0</v>
      </c>
      <c r="AV230" s="542">
        <v>20403</v>
      </c>
      <c r="AW230" s="542">
        <v>135738</v>
      </c>
      <c r="AX230" s="542">
        <v>0</v>
      </c>
      <c r="AY230" s="542">
        <v>2770</v>
      </c>
      <c r="AZ230" s="542">
        <v>746.268959</v>
      </c>
      <c r="BA230" s="542">
        <v>0</v>
      </c>
      <c r="BB230" s="542">
        <v>15.2299787</v>
      </c>
      <c r="BC230" s="542">
        <v>0</v>
      </c>
      <c r="BD230" s="542">
        <v>0</v>
      </c>
      <c r="BE230" s="542">
        <v>0</v>
      </c>
      <c r="BF230" s="542">
        <v>746</v>
      </c>
      <c r="BG230" s="542">
        <v>0</v>
      </c>
      <c r="BH230" s="542">
        <v>15</v>
      </c>
      <c r="BI230" s="542">
        <v>1582.66462</v>
      </c>
      <c r="BJ230" s="542">
        <v>0</v>
      </c>
      <c r="BK230" s="542">
        <v>32.299278100000002</v>
      </c>
      <c r="BL230" s="542">
        <v>371401</v>
      </c>
      <c r="BM230" s="542">
        <v>0</v>
      </c>
      <c r="BN230" s="542">
        <v>7580</v>
      </c>
      <c r="BO230" s="542">
        <v>-369818</v>
      </c>
      <c r="BP230" s="542">
        <v>0</v>
      </c>
      <c r="BQ230" s="542">
        <v>-7548</v>
      </c>
      <c r="BR230" s="542">
        <v>8800.2293800000007</v>
      </c>
      <c r="BS230" s="542">
        <v>0</v>
      </c>
      <c r="BT230" s="542">
        <v>179.596518</v>
      </c>
      <c r="BU230" s="542">
        <v>0</v>
      </c>
      <c r="BV230" s="542">
        <v>0</v>
      </c>
      <c r="BW230" s="542">
        <v>0</v>
      </c>
      <c r="BX230" s="542">
        <v>8800</v>
      </c>
      <c r="BY230" s="542">
        <v>0</v>
      </c>
      <c r="BZ230" s="542">
        <v>180</v>
      </c>
      <c r="CA230" s="542">
        <v>349794.13799999998</v>
      </c>
      <c r="CB230" s="542">
        <v>0</v>
      </c>
      <c r="CC230" s="542">
        <v>7138.6558800000003</v>
      </c>
      <c r="CD230" s="542">
        <v>990404</v>
      </c>
      <c r="CE230" s="542">
        <v>0</v>
      </c>
      <c r="CF230" s="542">
        <v>20212</v>
      </c>
      <c r="CG230" s="542">
        <v>-640610</v>
      </c>
      <c r="CH230" s="542">
        <v>0</v>
      </c>
      <c r="CI230" s="542">
        <v>-13073</v>
      </c>
      <c r="CJ230" s="542">
        <v>0</v>
      </c>
      <c r="CK230" s="542">
        <v>0</v>
      </c>
      <c r="CL230" s="542">
        <v>0</v>
      </c>
      <c r="CM230" s="542">
        <v>0</v>
      </c>
      <c r="CN230" s="542">
        <v>0</v>
      </c>
      <c r="CO230" s="542">
        <v>0</v>
      </c>
      <c r="CP230" s="542">
        <v>0</v>
      </c>
      <c r="CQ230" s="542">
        <v>0</v>
      </c>
      <c r="CR230" s="542">
        <v>0</v>
      </c>
      <c r="CS230" s="542">
        <v>0</v>
      </c>
      <c r="CT230" s="542">
        <v>0</v>
      </c>
      <c r="CU230" s="542">
        <v>0</v>
      </c>
      <c r="CV230" s="542">
        <v>450759.27</v>
      </c>
      <c r="CW230" s="542">
        <v>0</v>
      </c>
      <c r="CX230" s="542">
        <v>9199.1687899999997</v>
      </c>
      <c r="CY230" s="542">
        <v>468831</v>
      </c>
      <c r="CZ230" s="542">
        <v>0</v>
      </c>
      <c r="DA230" s="542">
        <v>9471</v>
      </c>
      <c r="DB230" s="542">
        <v>-18072</v>
      </c>
      <c r="DC230" s="542">
        <v>0</v>
      </c>
      <c r="DD230" s="542">
        <v>-272</v>
      </c>
      <c r="DE230" s="153" t="s">
        <v>325</v>
      </c>
      <c r="DF230" s="103" t="s">
        <v>763</v>
      </c>
      <c r="DG230" s="104" t="s">
        <v>777</v>
      </c>
      <c r="DH230" s="547"/>
      <c r="DI230" s="547"/>
    </row>
    <row r="231" spans="1:113" x14ac:dyDescent="0.2">
      <c r="A231" s="93">
        <v>225</v>
      </c>
      <c r="B231" s="145" t="s">
        <v>328</v>
      </c>
      <c r="C231" s="141" t="s">
        <v>873</v>
      </c>
      <c r="D231" s="142" t="s">
        <v>876</v>
      </c>
      <c r="E231" s="149" t="s">
        <v>327</v>
      </c>
      <c r="F231" s="542">
        <v>-122503</v>
      </c>
      <c r="G231" s="542">
        <v>0</v>
      </c>
      <c r="H231" s="542">
        <v>-122503</v>
      </c>
      <c r="I231" s="542">
        <v>14707</v>
      </c>
      <c r="J231" s="542">
        <v>0</v>
      </c>
      <c r="K231" s="542">
        <v>14707</v>
      </c>
      <c r="L231" s="542">
        <v>-137210</v>
      </c>
      <c r="M231" s="542">
        <v>0</v>
      </c>
      <c r="N231" s="542">
        <v>-137210</v>
      </c>
      <c r="O231" s="543">
        <v>0.5</v>
      </c>
      <c r="P231" s="543">
        <v>0.49</v>
      </c>
      <c r="Q231" s="543">
        <v>0</v>
      </c>
      <c r="R231" s="543">
        <v>0.01</v>
      </c>
      <c r="S231" s="542">
        <v>444854</v>
      </c>
      <c r="T231" s="542">
        <v>444854</v>
      </c>
      <c r="U231" s="542">
        <v>0</v>
      </c>
      <c r="V231" s="542">
        <v>0</v>
      </c>
      <c r="W231" s="542">
        <v>0</v>
      </c>
      <c r="X231" s="542">
        <v>0</v>
      </c>
      <c r="Y231" s="542">
        <v>0</v>
      </c>
      <c r="Z231" s="542">
        <v>0</v>
      </c>
      <c r="AA231" s="542">
        <v>0</v>
      </c>
      <c r="AB231" s="542">
        <v>0</v>
      </c>
      <c r="AC231" s="542">
        <v>0</v>
      </c>
      <c r="AD231" s="542">
        <v>0</v>
      </c>
      <c r="AE231" s="542">
        <v>0</v>
      </c>
      <c r="AF231" s="542">
        <v>0</v>
      </c>
      <c r="AG231" s="542">
        <v>0</v>
      </c>
      <c r="AH231" s="542">
        <v>0</v>
      </c>
      <c r="AI231" s="542">
        <v>0</v>
      </c>
      <c r="AJ231" s="542">
        <v>0</v>
      </c>
      <c r="AK231" s="542">
        <v>0</v>
      </c>
      <c r="AL231" s="542">
        <v>0</v>
      </c>
      <c r="AM231" s="542">
        <v>0</v>
      </c>
      <c r="AN231" s="542">
        <v>0</v>
      </c>
      <c r="AO231" s="542">
        <v>0</v>
      </c>
      <c r="AP231" s="542">
        <v>0</v>
      </c>
      <c r="AQ231" s="542">
        <v>1898071.22</v>
      </c>
      <c r="AR231" s="542">
        <v>0</v>
      </c>
      <c r="AS231" s="542">
        <v>38736.15</v>
      </c>
      <c r="AT231" s="542">
        <v>1508036</v>
      </c>
      <c r="AU231" s="542">
        <v>0</v>
      </c>
      <c r="AV231" s="542">
        <v>30776</v>
      </c>
      <c r="AW231" s="542">
        <v>390035</v>
      </c>
      <c r="AX231" s="542">
        <v>0</v>
      </c>
      <c r="AY231" s="542">
        <v>7960</v>
      </c>
      <c r="AZ231" s="542">
        <v>5481.39</v>
      </c>
      <c r="BA231" s="542">
        <v>0</v>
      </c>
      <c r="BB231" s="542">
        <v>111.87</v>
      </c>
      <c r="BC231" s="542">
        <v>9904</v>
      </c>
      <c r="BD231" s="542">
        <v>0</v>
      </c>
      <c r="BE231" s="542">
        <v>202</v>
      </c>
      <c r="BF231" s="542">
        <v>-4423</v>
      </c>
      <c r="BG231" s="542">
        <v>0</v>
      </c>
      <c r="BH231" s="542">
        <v>-90</v>
      </c>
      <c r="BI231" s="542">
        <v>12567.23</v>
      </c>
      <c r="BJ231" s="542">
        <v>0</v>
      </c>
      <c r="BK231" s="542">
        <v>256.47000000000003</v>
      </c>
      <c r="BL231" s="542">
        <v>47738</v>
      </c>
      <c r="BM231" s="542">
        <v>0</v>
      </c>
      <c r="BN231" s="542">
        <v>974</v>
      </c>
      <c r="BO231" s="542">
        <v>-35171</v>
      </c>
      <c r="BP231" s="542">
        <v>0</v>
      </c>
      <c r="BQ231" s="542">
        <v>-718</v>
      </c>
      <c r="BR231" s="542">
        <v>20739.05</v>
      </c>
      <c r="BS231" s="542">
        <v>0</v>
      </c>
      <c r="BT231" s="542">
        <v>423.25</v>
      </c>
      <c r="BU231" s="542">
        <v>7923</v>
      </c>
      <c r="BV231" s="542">
        <v>0</v>
      </c>
      <c r="BW231" s="542">
        <v>162</v>
      </c>
      <c r="BX231" s="542">
        <v>12816</v>
      </c>
      <c r="BY231" s="542">
        <v>0</v>
      </c>
      <c r="BZ231" s="542">
        <v>261</v>
      </c>
      <c r="CA231" s="542">
        <v>504250.02</v>
      </c>
      <c r="CB231" s="542">
        <v>0</v>
      </c>
      <c r="CC231" s="542">
        <v>10290.82</v>
      </c>
      <c r="CD231" s="542">
        <v>297121</v>
      </c>
      <c r="CE231" s="542">
        <v>0</v>
      </c>
      <c r="CF231" s="542">
        <v>6064</v>
      </c>
      <c r="CG231" s="542">
        <v>207129</v>
      </c>
      <c r="CH231" s="542">
        <v>0</v>
      </c>
      <c r="CI231" s="542">
        <v>4227</v>
      </c>
      <c r="CJ231" s="542">
        <v>0</v>
      </c>
      <c r="CK231" s="542">
        <v>0</v>
      </c>
      <c r="CL231" s="542">
        <v>0</v>
      </c>
      <c r="CM231" s="542">
        <v>0</v>
      </c>
      <c r="CN231" s="542">
        <v>0</v>
      </c>
      <c r="CO231" s="542">
        <v>0</v>
      </c>
      <c r="CP231" s="542">
        <v>0</v>
      </c>
      <c r="CQ231" s="542">
        <v>0</v>
      </c>
      <c r="CR231" s="542">
        <v>0</v>
      </c>
      <c r="CS231" s="542">
        <v>0</v>
      </c>
      <c r="CT231" s="542">
        <v>0</v>
      </c>
      <c r="CU231" s="542">
        <v>0</v>
      </c>
      <c r="CV231" s="542">
        <v>506501.61</v>
      </c>
      <c r="CW231" s="542">
        <v>0</v>
      </c>
      <c r="CX231" s="542">
        <v>10336.77</v>
      </c>
      <c r="CY231" s="542">
        <v>526428</v>
      </c>
      <c r="CZ231" s="542">
        <v>0</v>
      </c>
      <c r="DA231" s="542">
        <v>10647</v>
      </c>
      <c r="DB231" s="542">
        <v>-19926</v>
      </c>
      <c r="DC231" s="542">
        <v>0</v>
      </c>
      <c r="DD231" s="542">
        <v>-310</v>
      </c>
      <c r="DE231" s="153" t="s">
        <v>327</v>
      </c>
      <c r="DF231" s="103" t="s">
        <v>763</v>
      </c>
      <c r="DG231" s="104" t="s">
        <v>773</v>
      </c>
      <c r="DH231" s="547"/>
      <c r="DI231" s="547"/>
    </row>
    <row r="232" spans="1:113" x14ac:dyDescent="0.2">
      <c r="A232" s="93">
        <v>226</v>
      </c>
      <c r="B232" s="145" t="s">
        <v>330</v>
      </c>
      <c r="C232" s="141" t="s">
        <v>866</v>
      </c>
      <c r="D232" s="142" t="s">
        <v>874</v>
      </c>
      <c r="E232" s="149" t="s">
        <v>329</v>
      </c>
      <c r="F232" s="542">
        <v>-16435</v>
      </c>
      <c r="G232" s="542">
        <v>0</v>
      </c>
      <c r="H232" s="542">
        <v>-16435</v>
      </c>
      <c r="I232" s="542">
        <v>171039</v>
      </c>
      <c r="J232" s="542">
        <v>0</v>
      </c>
      <c r="K232" s="542">
        <v>171039</v>
      </c>
      <c r="L232" s="542">
        <v>-187474</v>
      </c>
      <c r="M232" s="542">
        <v>0</v>
      </c>
      <c r="N232" s="542">
        <v>-187474</v>
      </c>
      <c r="O232" s="543">
        <v>0.5</v>
      </c>
      <c r="P232" s="543">
        <v>0.4</v>
      </c>
      <c r="Q232" s="543">
        <v>0.09</v>
      </c>
      <c r="R232" s="543">
        <v>0.01</v>
      </c>
      <c r="S232" s="542">
        <v>250789</v>
      </c>
      <c r="T232" s="542">
        <v>250789</v>
      </c>
      <c r="U232" s="542">
        <v>0</v>
      </c>
      <c r="V232" s="542">
        <v>0</v>
      </c>
      <c r="W232" s="542">
        <v>0</v>
      </c>
      <c r="X232" s="542">
        <v>0</v>
      </c>
      <c r="Y232" s="542">
        <v>0</v>
      </c>
      <c r="Z232" s="542">
        <v>0</v>
      </c>
      <c r="AA232" s="542">
        <v>0</v>
      </c>
      <c r="AB232" s="542">
        <v>0</v>
      </c>
      <c r="AC232" s="542">
        <v>0</v>
      </c>
      <c r="AD232" s="542">
        <v>0</v>
      </c>
      <c r="AE232" s="542">
        <v>0</v>
      </c>
      <c r="AF232" s="542">
        <v>0</v>
      </c>
      <c r="AG232" s="542">
        <v>0</v>
      </c>
      <c r="AH232" s="542">
        <v>0</v>
      </c>
      <c r="AI232" s="542">
        <v>0</v>
      </c>
      <c r="AJ232" s="542">
        <v>0</v>
      </c>
      <c r="AK232" s="542">
        <v>0</v>
      </c>
      <c r="AL232" s="542">
        <v>0</v>
      </c>
      <c r="AM232" s="542">
        <v>0</v>
      </c>
      <c r="AN232" s="542">
        <v>0</v>
      </c>
      <c r="AO232" s="542">
        <v>0</v>
      </c>
      <c r="AP232" s="542">
        <v>0</v>
      </c>
      <c r="AQ232" s="542">
        <v>1064832.01</v>
      </c>
      <c r="AR232" s="542">
        <v>239587.20199999999</v>
      </c>
      <c r="AS232" s="542">
        <v>26620.800200000001</v>
      </c>
      <c r="AT232" s="542">
        <v>986305</v>
      </c>
      <c r="AU232" s="542">
        <v>221919</v>
      </c>
      <c r="AV232" s="542">
        <v>24658</v>
      </c>
      <c r="AW232" s="542">
        <v>78527</v>
      </c>
      <c r="AX232" s="542">
        <v>17668</v>
      </c>
      <c r="AY232" s="542">
        <v>1963</v>
      </c>
      <c r="AZ232" s="542">
        <v>7093.3095499999999</v>
      </c>
      <c r="BA232" s="542">
        <v>1595.9946500000001</v>
      </c>
      <c r="BB232" s="542">
        <v>177.33273800000001</v>
      </c>
      <c r="BC232" s="542">
        <v>2021</v>
      </c>
      <c r="BD232" s="542">
        <v>455</v>
      </c>
      <c r="BE232" s="542">
        <v>51</v>
      </c>
      <c r="BF232" s="542">
        <v>5072</v>
      </c>
      <c r="BG232" s="542">
        <v>1141</v>
      </c>
      <c r="BH232" s="542">
        <v>126</v>
      </c>
      <c r="BI232" s="542">
        <v>31520.699700000001</v>
      </c>
      <c r="BJ232" s="542">
        <v>7092.1574499999997</v>
      </c>
      <c r="BK232" s="542">
        <v>788.01749400000006</v>
      </c>
      <c r="BL232" s="542">
        <v>54752</v>
      </c>
      <c r="BM232" s="542">
        <v>12319</v>
      </c>
      <c r="BN232" s="542">
        <v>1369</v>
      </c>
      <c r="BO232" s="542">
        <v>-23231</v>
      </c>
      <c r="BP232" s="542">
        <v>-5227</v>
      </c>
      <c r="BQ232" s="542">
        <v>-581</v>
      </c>
      <c r="BR232" s="542">
        <v>4873.5932000000003</v>
      </c>
      <c r="BS232" s="542">
        <v>1096.5584699999999</v>
      </c>
      <c r="BT232" s="542">
        <v>121.83983000000001</v>
      </c>
      <c r="BU232" s="542">
        <v>4042</v>
      </c>
      <c r="BV232" s="542">
        <v>910</v>
      </c>
      <c r="BW232" s="542">
        <v>101</v>
      </c>
      <c r="BX232" s="542">
        <v>832</v>
      </c>
      <c r="BY232" s="542">
        <v>187</v>
      </c>
      <c r="BZ232" s="542">
        <v>21</v>
      </c>
      <c r="CA232" s="542">
        <v>322786.61499999999</v>
      </c>
      <c r="CB232" s="542">
        <v>72626.988500000007</v>
      </c>
      <c r="CC232" s="542">
        <v>8069.6653900000001</v>
      </c>
      <c r="CD232" s="542">
        <v>275429</v>
      </c>
      <c r="CE232" s="542">
        <v>61972</v>
      </c>
      <c r="CF232" s="542">
        <v>6886</v>
      </c>
      <c r="CG232" s="542">
        <v>47358</v>
      </c>
      <c r="CH232" s="542">
        <v>10655</v>
      </c>
      <c r="CI232" s="542">
        <v>1184</v>
      </c>
      <c r="CJ232" s="542">
        <v>46223.199999999997</v>
      </c>
      <c r="CK232" s="542">
        <v>10400.219999999999</v>
      </c>
      <c r="CL232" s="542">
        <v>1155.58</v>
      </c>
      <c r="CM232" s="542">
        <v>33570.632700000002</v>
      </c>
      <c r="CN232" s="542">
        <v>7553.3923500000001</v>
      </c>
      <c r="CO232" s="542">
        <v>839.26581699999997</v>
      </c>
      <c r="CP232" s="542">
        <v>72351</v>
      </c>
      <c r="CQ232" s="542">
        <v>16278.9246</v>
      </c>
      <c r="CR232" s="542">
        <v>1808.7693999999999</v>
      </c>
      <c r="CS232" s="542">
        <v>7443</v>
      </c>
      <c r="CT232" s="542">
        <v>1675</v>
      </c>
      <c r="CU232" s="542">
        <v>186</v>
      </c>
      <c r="CV232" s="542">
        <v>137988.38200000001</v>
      </c>
      <c r="CW232" s="542">
        <v>31047.385900000001</v>
      </c>
      <c r="CX232" s="542">
        <v>3449.70955</v>
      </c>
      <c r="CY232" s="542">
        <v>141287</v>
      </c>
      <c r="CZ232" s="542">
        <v>31191</v>
      </c>
      <c r="DA232" s="542">
        <v>3466</v>
      </c>
      <c r="DB232" s="542">
        <v>-3299</v>
      </c>
      <c r="DC232" s="542">
        <v>-144</v>
      </c>
      <c r="DD232" s="542">
        <v>-16</v>
      </c>
      <c r="DE232" s="153" t="s">
        <v>329</v>
      </c>
      <c r="DF232" s="103" t="s">
        <v>800</v>
      </c>
      <c r="DG232" s="104" t="s">
        <v>801</v>
      </c>
      <c r="DH232" s="547"/>
      <c r="DI232" s="547"/>
    </row>
    <row r="233" spans="1:113" x14ac:dyDescent="0.2">
      <c r="A233" s="93">
        <v>227</v>
      </c>
      <c r="B233" s="145" t="s">
        <v>332</v>
      </c>
      <c r="C233" s="141" t="s">
        <v>866</v>
      </c>
      <c r="D233" s="142" t="s">
        <v>875</v>
      </c>
      <c r="E233" s="149" t="s">
        <v>331</v>
      </c>
      <c r="F233" s="542">
        <v>-33142</v>
      </c>
      <c r="G233" s="542">
        <v>0</v>
      </c>
      <c r="H233" s="542">
        <v>-33142</v>
      </c>
      <c r="I233" s="542">
        <v>101814</v>
      </c>
      <c r="J233" s="542">
        <v>0</v>
      </c>
      <c r="K233" s="542">
        <v>101814</v>
      </c>
      <c r="L233" s="542">
        <v>-134956</v>
      </c>
      <c r="M233" s="542">
        <v>0</v>
      </c>
      <c r="N233" s="542">
        <v>-134956</v>
      </c>
      <c r="O233" s="543">
        <v>0.5</v>
      </c>
      <c r="P233" s="543">
        <v>0.4</v>
      </c>
      <c r="Q233" s="543">
        <v>0.09</v>
      </c>
      <c r="R233" s="543">
        <v>0.01</v>
      </c>
      <c r="S233" s="542">
        <v>162192</v>
      </c>
      <c r="T233" s="542">
        <v>162192</v>
      </c>
      <c r="U233" s="542">
        <v>0</v>
      </c>
      <c r="V233" s="542">
        <v>0</v>
      </c>
      <c r="W233" s="542">
        <v>0</v>
      </c>
      <c r="X233" s="542">
        <v>0</v>
      </c>
      <c r="Y233" s="542">
        <v>52993</v>
      </c>
      <c r="Z233" s="542">
        <v>0</v>
      </c>
      <c r="AA233" s="542">
        <v>82580</v>
      </c>
      <c r="AB233" s="542">
        <v>0</v>
      </c>
      <c r="AC233" s="542">
        <v>-29587</v>
      </c>
      <c r="AD233" s="542">
        <v>0</v>
      </c>
      <c r="AE233" s="542">
        <v>0</v>
      </c>
      <c r="AF233" s="542">
        <v>0</v>
      </c>
      <c r="AG233" s="542">
        <v>0</v>
      </c>
      <c r="AH233" s="542">
        <v>0</v>
      </c>
      <c r="AI233" s="542">
        <v>0</v>
      </c>
      <c r="AJ233" s="542">
        <v>0</v>
      </c>
      <c r="AK233" s="542">
        <v>0</v>
      </c>
      <c r="AL233" s="542">
        <v>0</v>
      </c>
      <c r="AM233" s="542">
        <v>0</v>
      </c>
      <c r="AN233" s="542">
        <v>0</v>
      </c>
      <c r="AO233" s="542">
        <v>0</v>
      </c>
      <c r="AP233" s="542">
        <v>0</v>
      </c>
      <c r="AQ233" s="542">
        <v>573654.78500000003</v>
      </c>
      <c r="AR233" s="542">
        <v>129072.326</v>
      </c>
      <c r="AS233" s="542">
        <v>14341.3696</v>
      </c>
      <c r="AT233" s="542">
        <v>520826</v>
      </c>
      <c r="AU233" s="542">
        <v>117186</v>
      </c>
      <c r="AV233" s="542">
        <v>13021</v>
      </c>
      <c r="AW233" s="542">
        <v>52829</v>
      </c>
      <c r="AX233" s="542">
        <v>11886</v>
      </c>
      <c r="AY233" s="542">
        <v>1320</v>
      </c>
      <c r="AZ233" s="542">
        <v>3022.5494600000002</v>
      </c>
      <c r="BA233" s="542">
        <v>680.07362999999998</v>
      </c>
      <c r="BB233" s="542">
        <v>75.563736700000007</v>
      </c>
      <c r="BC233" s="542">
        <v>0</v>
      </c>
      <c r="BD233" s="542">
        <v>0</v>
      </c>
      <c r="BE233" s="542">
        <v>0</v>
      </c>
      <c r="BF233" s="542">
        <v>3023</v>
      </c>
      <c r="BG233" s="542">
        <v>680</v>
      </c>
      <c r="BH233" s="542">
        <v>76</v>
      </c>
      <c r="BI233" s="542">
        <v>12169.8343</v>
      </c>
      <c r="BJ233" s="542">
        <v>2738.2127300000002</v>
      </c>
      <c r="BK233" s="542">
        <v>304.245859</v>
      </c>
      <c r="BL233" s="542">
        <v>16367</v>
      </c>
      <c r="BM233" s="542">
        <v>3683</v>
      </c>
      <c r="BN233" s="542">
        <v>409</v>
      </c>
      <c r="BO233" s="542">
        <v>-4197</v>
      </c>
      <c r="BP233" s="542">
        <v>-945</v>
      </c>
      <c r="BQ233" s="542">
        <v>-105</v>
      </c>
      <c r="BR233" s="542">
        <v>6841.05987</v>
      </c>
      <c r="BS233" s="542">
        <v>1539.23847</v>
      </c>
      <c r="BT233" s="542">
        <v>171.02649600000001</v>
      </c>
      <c r="BU233" s="542">
        <v>0</v>
      </c>
      <c r="BV233" s="542">
        <v>0</v>
      </c>
      <c r="BW233" s="542">
        <v>0</v>
      </c>
      <c r="BX233" s="542">
        <v>6841</v>
      </c>
      <c r="BY233" s="542">
        <v>1539</v>
      </c>
      <c r="BZ233" s="542">
        <v>171</v>
      </c>
      <c r="CA233" s="542">
        <v>162735.405</v>
      </c>
      <c r="CB233" s="542">
        <v>36615.466200000003</v>
      </c>
      <c r="CC233" s="542">
        <v>4068.3851300000001</v>
      </c>
      <c r="CD233" s="542">
        <v>184740.552</v>
      </c>
      <c r="CE233" s="542">
        <v>41566.624199999998</v>
      </c>
      <c r="CF233" s="542">
        <v>4618.5137999999997</v>
      </c>
      <c r="CG233" s="542">
        <v>-22005</v>
      </c>
      <c r="CH233" s="542">
        <v>-4951</v>
      </c>
      <c r="CI233" s="542">
        <v>-550</v>
      </c>
      <c r="CJ233" s="542">
        <v>251.2</v>
      </c>
      <c r="CK233" s="542">
        <v>56.52</v>
      </c>
      <c r="CL233" s="542">
        <v>6.28</v>
      </c>
      <c r="CM233" s="542">
        <v>168.97494599999999</v>
      </c>
      <c r="CN233" s="542">
        <v>38.019362999999998</v>
      </c>
      <c r="CO233" s="542">
        <v>4.2243736700000003</v>
      </c>
      <c r="CP233" s="542">
        <v>418</v>
      </c>
      <c r="CQ233" s="542">
        <v>94.113900000000001</v>
      </c>
      <c r="CR233" s="542">
        <v>10.457100000000001</v>
      </c>
      <c r="CS233" s="542">
        <v>2</v>
      </c>
      <c r="CT233" s="542">
        <v>0</v>
      </c>
      <c r="CU233" s="542">
        <v>0</v>
      </c>
      <c r="CV233" s="542">
        <v>151774.448</v>
      </c>
      <c r="CW233" s="542">
        <v>34022.6751</v>
      </c>
      <c r="CX233" s="542">
        <v>3780.2972399999999</v>
      </c>
      <c r="CY233" s="542">
        <v>153165</v>
      </c>
      <c r="CZ233" s="542">
        <v>33877</v>
      </c>
      <c r="DA233" s="542">
        <v>3764</v>
      </c>
      <c r="DB233" s="542">
        <v>-1391</v>
      </c>
      <c r="DC233" s="542">
        <v>146</v>
      </c>
      <c r="DD233" s="542">
        <v>16</v>
      </c>
      <c r="DE233" s="153" t="s">
        <v>331</v>
      </c>
      <c r="DF233" s="103" t="s">
        <v>815</v>
      </c>
      <c r="DG233" s="104" t="s">
        <v>804</v>
      </c>
      <c r="DH233" s="547"/>
      <c r="DI233" s="547"/>
    </row>
    <row r="234" spans="1:113" x14ac:dyDescent="0.2">
      <c r="A234" s="93">
        <v>228</v>
      </c>
      <c r="B234" s="145" t="s">
        <v>334</v>
      </c>
      <c r="C234" s="141" t="s">
        <v>873</v>
      </c>
      <c r="D234" s="142" t="s">
        <v>868</v>
      </c>
      <c r="E234" s="149" t="s">
        <v>333</v>
      </c>
      <c r="F234" s="542">
        <v>-857155</v>
      </c>
      <c r="G234" s="542">
        <v>0</v>
      </c>
      <c r="H234" s="542">
        <v>-857155</v>
      </c>
      <c r="I234" s="542">
        <v>20877</v>
      </c>
      <c r="J234" s="542">
        <v>0</v>
      </c>
      <c r="K234" s="542">
        <v>20877</v>
      </c>
      <c r="L234" s="542">
        <v>-878032</v>
      </c>
      <c r="M234" s="542">
        <v>0</v>
      </c>
      <c r="N234" s="542">
        <v>-878032</v>
      </c>
      <c r="O234" s="543">
        <v>0.5</v>
      </c>
      <c r="P234" s="543">
        <v>0.49</v>
      </c>
      <c r="Q234" s="543">
        <v>0</v>
      </c>
      <c r="R234" s="543">
        <v>0.01</v>
      </c>
      <c r="S234" s="542">
        <v>322496</v>
      </c>
      <c r="T234" s="542">
        <v>322496</v>
      </c>
      <c r="U234" s="542">
        <v>0</v>
      </c>
      <c r="V234" s="542">
        <v>0</v>
      </c>
      <c r="W234" s="542">
        <v>0</v>
      </c>
      <c r="X234" s="542">
        <v>0</v>
      </c>
      <c r="Y234" s="542">
        <v>0</v>
      </c>
      <c r="Z234" s="542">
        <v>0</v>
      </c>
      <c r="AA234" s="542">
        <v>0</v>
      </c>
      <c r="AB234" s="542">
        <v>0</v>
      </c>
      <c r="AC234" s="542">
        <v>0</v>
      </c>
      <c r="AD234" s="542">
        <v>0</v>
      </c>
      <c r="AE234" s="542">
        <v>0</v>
      </c>
      <c r="AF234" s="542">
        <v>0</v>
      </c>
      <c r="AG234" s="542">
        <v>0</v>
      </c>
      <c r="AH234" s="542">
        <v>0</v>
      </c>
      <c r="AI234" s="542">
        <v>0</v>
      </c>
      <c r="AJ234" s="542">
        <v>0</v>
      </c>
      <c r="AK234" s="542">
        <v>0</v>
      </c>
      <c r="AL234" s="542">
        <v>0</v>
      </c>
      <c r="AM234" s="542">
        <v>0</v>
      </c>
      <c r="AN234" s="542">
        <v>0</v>
      </c>
      <c r="AO234" s="542">
        <v>0</v>
      </c>
      <c r="AP234" s="542">
        <v>0</v>
      </c>
      <c r="AQ234" s="542">
        <v>1408594.55</v>
      </c>
      <c r="AR234" s="542">
        <v>0</v>
      </c>
      <c r="AS234" s="542">
        <v>28746.83</v>
      </c>
      <c r="AT234" s="542">
        <v>1318668</v>
      </c>
      <c r="AU234" s="542">
        <v>0</v>
      </c>
      <c r="AV234" s="542">
        <v>26912</v>
      </c>
      <c r="AW234" s="542">
        <v>89927</v>
      </c>
      <c r="AX234" s="542">
        <v>0</v>
      </c>
      <c r="AY234" s="542">
        <v>1835</v>
      </c>
      <c r="AZ234" s="542">
        <v>3218.81</v>
      </c>
      <c r="BA234" s="542">
        <v>0</v>
      </c>
      <c r="BB234" s="542">
        <v>65.69</v>
      </c>
      <c r="BC234" s="542">
        <v>7477</v>
      </c>
      <c r="BD234" s="542">
        <v>0</v>
      </c>
      <c r="BE234" s="542">
        <v>153</v>
      </c>
      <c r="BF234" s="542">
        <v>-4258</v>
      </c>
      <c r="BG234" s="542">
        <v>0</v>
      </c>
      <c r="BH234" s="542">
        <v>-87</v>
      </c>
      <c r="BI234" s="542">
        <v>0</v>
      </c>
      <c r="BJ234" s="542">
        <v>0</v>
      </c>
      <c r="BK234" s="542">
        <v>0</v>
      </c>
      <c r="BL234" s="542">
        <v>77027</v>
      </c>
      <c r="BM234" s="542">
        <v>0</v>
      </c>
      <c r="BN234" s="542">
        <v>1572</v>
      </c>
      <c r="BO234" s="542">
        <v>-77027</v>
      </c>
      <c r="BP234" s="542">
        <v>0</v>
      </c>
      <c r="BQ234" s="542">
        <v>-1572</v>
      </c>
      <c r="BR234" s="542">
        <v>4202.28</v>
      </c>
      <c r="BS234" s="542">
        <v>0</v>
      </c>
      <c r="BT234" s="542">
        <v>85.76</v>
      </c>
      <c r="BU234" s="542">
        <v>43931</v>
      </c>
      <c r="BV234" s="542">
        <v>0</v>
      </c>
      <c r="BW234" s="542">
        <v>897</v>
      </c>
      <c r="BX234" s="542">
        <v>-39729</v>
      </c>
      <c r="BY234" s="542">
        <v>0</v>
      </c>
      <c r="BZ234" s="542">
        <v>-811</v>
      </c>
      <c r="CA234" s="542">
        <v>308311.09000000003</v>
      </c>
      <c r="CB234" s="542">
        <v>0</v>
      </c>
      <c r="CC234" s="542">
        <v>6292.06</v>
      </c>
      <c r="CD234" s="542">
        <v>761827</v>
      </c>
      <c r="CE234" s="542">
        <v>0</v>
      </c>
      <c r="CF234" s="542">
        <v>15548</v>
      </c>
      <c r="CG234" s="542">
        <v>-453516</v>
      </c>
      <c r="CH234" s="542">
        <v>0</v>
      </c>
      <c r="CI234" s="542">
        <v>-9256</v>
      </c>
      <c r="CJ234" s="542">
        <v>0</v>
      </c>
      <c r="CK234" s="542">
        <v>0</v>
      </c>
      <c r="CL234" s="542">
        <v>0</v>
      </c>
      <c r="CM234" s="542">
        <v>0</v>
      </c>
      <c r="CN234" s="542">
        <v>0</v>
      </c>
      <c r="CO234" s="542">
        <v>0</v>
      </c>
      <c r="CP234" s="542">
        <v>0</v>
      </c>
      <c r="CQ234" s="542">
        <v>0</v>
      </c>
      <c r="CR234" s="542">
        <v>0</v>
      </c>
      <c r="CS234" s="542">
        <v>0</v>
      </c>
      <c r="CT234" s="542">
        <v>0</v>
      </c>
      <c r="CU234" s="542">
        <v>0</v>
      </c>
      <c r="CV234" s="542">
        <v>354350.45</v>
      </c>
      <c r="CW234" s="542">
        <v>0</v>
      </c>
      <c r="CX234" s="542">
        <v>7231.64</v>
      </c>
      <c r="CY234" s="542">
        <v>325355</v>
      </c>
      <c r="CZ234" s="542">
        <v>0</v>
      </c>
      <c r="DA234" s="542">
        <v>6570</v>
      </c>
      <c r="DB234" s="542">
        <v>28995</v>
      </c>
      <c r="DC234" s="542">
        <v>0</v>
      </c>
      <c r="DD234" s="542">
        <v>662</v>
      </c>
      <c r="DE234" s="153" t="s">
        <v>333</v>
      </c>
      <c r="DF234" s="103" t="s">
        <v>763</v>
      </c>
      <c r="DG234" s="104" t="s">
        <v>814</v>
      </c>
      <c r="DH234" s="547"/>
      <c r="DI234" s="547"/>
    </row>
    <row r="235" spans="1:113" x14ac:dyDescent="0.2">
      <c r="A235" s="93">
        <v>229</v>
      </c>
      <c r="B235" s="145" t="s">
        <v>336</v>
      </c>
      <c r="C235" s="141" t="s">
        <v>866</v>
      </c>
      <c r="D235" s="142" t="s">
        <v>874</v>
      </c>
      <c r="E235" s="149" t="s">
        <v>335</v>
      </c>
      <c r="F235" s="542">
        <v>13336</v>
      </c>
      <c r="G235" s="542">
        <v>0</v>
      </c>
      <c r="H235" s="542">
        <v>13336</v>
      </c>
      <c r="I235" s="542">
        <v>122860</v>
      </c>
      <c r="J235" s="542">
        <v>0</v>
      </c>
      <c r="K235" s="542">
        <v>122860</v>
      </c>
      <c r="L235" s="542">
        <v>-109524</v>
      </c>
      <c r="M235" s="542">
        <v>0</v>
      </c>
      <c r="N235" s="542">
        <v>-109524</v>
      </c>
      <c r="O235" s="543">
        <v>0.5</v>
      </c>
      <c r="P235" s="543">
        <v>0.4</v>
      </c>
      <c r="Q235" s="543">
        <v>0.09</v>
      </c>
      <c r="R235" s="543">
        <v>0.01</v>
      </c>
      <c r="S235" s="542">
        <v>117702</v>
      </c>
      <c r="T235" s="542">
        <v>117702</v>
      </c>
      <c r="U235" s="542">
        <v>0</v>
      </c>
      <c r="V235" s="542">
        <v>0</v>
      </c>
      <c r="W235" s="542">
        <v>0</v>
      </c>
      <c r="X235" s="542">
        <v>0</v>
      </c>
      <c r="Y235" s="542">
        <v>5206551</v>
      </c>
      <c r="Z235" s="542">
        <v>0</v>
      </c>
      <c r="AA235" s="542">
        <v>19405</v>
      </c>
      <c r="AB235" s="542">
        <v>0</v>
      </c>
      <c r="AC235" s="542">
        <v>5187146</v>
      </c>
      <c r="AD235" s="542">
        <v>0</v>
      </c>
      <c r="AE235" s="542">
        <v>0</v>
      </c>
      <c r="AF235" s="542">
        <v>0</v>
      </c>
      <c r="AG235" s="542">
        <v>0</v>
      </c>
      <c r="AH235" s="542">
        <v>0</v>
      </c>
      <c r="AI235" s="542">
        <v>0</v>
      </c>
      <c r="AJ235" s="542">
        <v>0</v>
      </c>
      <c r="AK235" s="542">
        <v>0</v>
      </c>
      <c r="AL235" s="542">
        <v>0</v>
      </c>
      <c r="AM235" s="542">
        <v>0</v>
      </c>
      <c r="AN235" s="542">
        <v>0</v>
      </c>
      <c r="AO235" s="542">
        <v>0</v>
      </c>
      <c r="AP235" s="542">
        <v>0</v>
      </c>
      <c r="AQ235" s="542">
        <v>331411.21000000002</v>
      </c>
      <c r="AR235" s="542">
        <v>74567.522200000007</v>
      </c>
      <c r="AS235" s="542">
        <v>8285.2802499999998</v>
      </c>
      <c r="AT235" s="542">
        <v>301628</v>
      </c>
      <c r="AU235" s="542">
        <v>67866</v>
      </c>
      <c r="AV235" s="542">
        <v>7541</v>
      </c>
      <c r="AW235" s="542">
        <v>29783</v>
      </c>
      <c r="AX235" s="542">
        <v>6702</v>
      </c>
      <c r="AY235" s="542">
        <v>744</v>
      </c>
      <c r="AZ235" s="542">
        <v>443.86241999999999</v>
      </c>
      <c r="BA235" s="542">
        <v>99.869044500000001</v>
      </c>
      <c r="BB235" s="542">
        <v>11.096560500000001</v>
      </c>
      <c r="BC235" s="542">
        <v>14851</v>
      </c>
      <c r="BD235" s="542">
        <v>3342</v>
      </c>
      <c r="BE235" s="542">
        <v>371</v>
      </c>
      <c r="BF235" s="542">
        <v>-14407</v>
      </c>
      <c r="BG235" s="542">
        <v>-3242</v>
      </c>
      <c r="BH235" s="542">
        <v>-360</v>
      </c>
      <c r="BI235" s="542">
        <v>1190.5053</v>
      </c>
      <c r="BJ235" s="542">
        <v>267.86369400000001</v>
      </c>
      <c r="BK235" s="542">
        <v>29.762632700000001</v>
      </c>
      <c r="BL235" s="542">
        <v>4042</v>
      </c>
      <c r="BM235" s="542">
        <v>910</v>
      </c>
      <c r="BN235" s="542">
        <v>101</v>
      </c>
      <c r="BO235" s="542">
        <v>-2851</v>
      </c>
      <c r="BP235" s="542">
        <v>-642</v>
      </c>
      <c r="BQ235" s="542">
        <v>-71</v>
      </c>
      <c r="BR235" s="542">
        <v>1291.16263</v>
      </c>
      <c r="BS235" s="542">
        <v>290.51159200000001</v>
      </c>
      <c r="BT235" s="542">
        <v>32.279065799999998</v>
      </c>
      <c r="BU235" s="542">
        <v>4829</v>
      </c>
      <c r="BV235" s="542">
        <v>1086</v>
      </c>
      <c r="BW235" s="542">
        <v>121</v>
      </c>
      <c r="BX235" s="542">
        <v>-3538</v>
      </c>
      <c r="BY235" s="542">
        <v>-795</v>
      </c>
      <c r="BZ235" s="542">
        <v>-89</v>
      </c>
      <c r="CA235" s="542">
        <v>66031.609299999996</v>
      </c>
      <c r="CB235" s="542">
        <v>14857.1121</v>
      </c>
      <c r="CC235" s="542">
        <v>1650.7902300000001</v>
      </c>
      <c r="CD235" s="542">
        <v>161699</v>
      </c>
      <c r="CE235" s="542">
        <v>36382</v>
      </c>
      <c r="CF235" s="542">
        <v>4042</v>
      </c>
      <c r="CG235" s="542">
        <v>-95667</v>
      </c>
      <c r="CH235" s="542">
        <v>-21525</v>
      </c>
      <c r="CI235" s="542">
        <v>-2391</v>
      </c>
      <c r="CJ235" s="542">
        <v>0</v>
      </c>
      <c r="CK235" s="542">
        <v>0</v>
      </c>
      <c r="CL235" s="542">
        <v>0</v>
      </c>
      <c r="CM235" s="542">
        <v>0</v>
      </c>
      <c r="CN235" s="542">
        <v>0</v>
      </c>
      <c r="CO235" s="542">
        <v>0</v>
      </c>
      <c r="CP235" s="542">
        <v>0</v>
      </c>
      <c r="CQ235" s="542">
        <v>0</v>
      </c>
      <c r="CR235" s="542">
        <v>0</v>
      </c>
      <c r="CS235" s="542">
        <v>0</v>
      </c>
      <c r="CT235" s="542">
        <v>0</v>
      </c>
      <c r="CU235" s="542">
        <v>0</v>
      </c>
      <c r="CV235" s="542">
        <v>219641.976</v>
      </c>
      <c r="CW235" s="542">
        <v>36983.415200000003</v>
      </c>
      <c r="CX235" s="542">
        <v>4109.26836</v>
      </c>
      <c r="CY235" s="542">
        <v>179381</v>
      </c>
      <c r="CZ235" s="542">
        <v>40033</v>
      </c>
      <c r="DA235" s="542">
        <v>4448</v>
      </c>
      <c r="DB235" s="542">
        <v>40261</v>
      </c>
      <c r="DC235" s="542">
        <v>-3050</v>
      </c>
      <c r="DD235" s="542">
        <v>-339</v>
      </c>
      <c r="DE235" s="153" t="s">
        <v>335</v>
      </c>
      <c r="DF235" s="103" t="s">
        <v>800</v>
      </c>
      <c r="DG235" s="104" t="s">
        <v>801</v>
      </c>
      <c r="DH235" s="547"/>
      <c r="DI235" s="547"/>
    </row>
    <row r="236" spans="1:113" x14ac:dyDescent="0.2">
      <c r="A236" s="93">
        <v>230</v>
      </c>
      <c r="B236" s="145" t="s">
        <v>338</v>
      </c>
      <c r="C236" s="141" t="s">
        <v>866</v>
      </c>
      <c r="D236" s="142" t="s">
        <v>867</v>
      </c>
      <c r="E236" s="149" t="s">
        <v>337</v>
      </c>
      <c r="F236" s="542">
        <v>-20613</v>
      </c>
      <c r="G236" s="542">
        <v>0</v>
      </c>
      <c r="H236" s="542">
        <v>-20613</v>
      </c>
      <c r="I236" s="542">
        <v>57100</v>
      </c>
      <c r="J236" s="542">
        <v>0</v>
      </c>
      <c r="K236" s="542">
        <v>57100</v>
      </c>
      <c r="L236" s="542">
        <v>-77713</v>
      </c>
      <c r="M236" s="542">
        <v>0</v>
      </c>
      <c r="N236" s="542">
        <v>-77713</v>
      </c>
      <c r="O236" s="543">
        <v>0.5</v>
      </c>
      <c r="P236" s="543">
        <v>0.4</v>
      </c>
      <c r="Q236" s="543">
        <v>0.09</v>
      </c>
      <c r="R236" s="543">
        <v>0.01</v>
      </c>
      <c r="S236" s="542">
        <v>169927</v>
      </c>
      <c r="T236" s="542">
        <v>169927</v>
      </c>
      <c r="U236" s="542">
        <v>0</v>
      </c>
      <c r="V236" s="542">
        <v>0</v>
      </c>
      <c r="W236" s="542">
        <v>0</v>
      </c>
      <c r="X236" s="542">
        <v>0</v>
      </c>
      <c r="Y236" s="542">
        <v>0</v>
      </c>
      <c r="Z236" s="542">
        <v>0</v>
      </c>
      <c r="AA236" s="542">
        <v>0</v>
      </c>
      <c r="AB236" s="542">
        <v>0</v>
      </c>
      <c r="AC236" s="542">
        <v>0</v>
      </c>
      <c r="AD236" s="542">
        <v>0</v>
      </c>
      <c r="AE236" s="542">
        <v>0</v>
      </c>
      <c r="AF236" s="542">
        <v>0</v>
      </c>
      <c r="AG236" s="542">
        <v>0</v>
      </c>
      <c r="AH236" s="542">
        <v>0</v>
      </c>
      <c r="AI236" s="542">
        <v>0</v>
      </c>
      <c r="AJ236" s="542">
        <v>0</v>
      </c>
      <c r="AK236" s="542">
        <v>0</v>
      </c>
      <c r="AL236" s="542">
        <v>0</v>
      </c>
      <c r="AM236" s="542">
        <v>0</v>
      </c>
      <c r="AN236" s="542">
        <v>0</v>
      </c>
      <c r="AO236" s="542">
        <v>0</v>
      </c>
      <c r="AP236" s="542">
        <v>0</v>
      </c>
      <c r="AQ236" s="542">
        <v>475741.28200000001</v>
      </c>
      <c r="AR236" s="542">
        <v>107041.788</v>
      </c>
      <c r="AS236" s="542">
        <v>11893.531999999999</v>
      </c>
      <c r="AT236" s="542">
        <v>453784</v>
      </c>
      <c r="AU236" s="542">
        <v>102101</v>
      </c>
      <c r="AV236" s="542">
        <v>11345</v>
      </c>
      <c r="AW236" s="542">
        <v>21957</v>
      </c>
      <c r="AX236" s="542">
        <v>4941</v>
      </c>
      <c r="AY236" s="542">
        <v>549</v>
      </c>
      <c r="AZ236" s="542">
        <v>629.00721799999997</v>
      </c>
      <c r="BA236" s="542">
        <v>141.526624</v>
      </c>
      <c r="BB236" s="542">
        <v>15.725180399999999</v>
      </c>
      <c r="BC236" s="542">
        <v>3139</v>
      </c>
      <c r="BD236" s="542">
        <v>707</v>
      </c>
      <c r="BE236" s="542">
        <v>79</v>
      </c>
      <c r="BF236" s="542">
        <v>-2510</v>
      </c>
      <c r="BG236" s="542">
        <v>-565</v>
      </c>
      <c r="BH236" s="542">
        <v>-63</v>
      </c>
      <c r="BI236" s="542">
        <v>0</v>
      </c>
      <c r="BJ236" s="542">
        <v>0</v>
      </c>
      <c r="BK236" s="542">
        <v>0</v>
      </c>
      <c r="BL236" s="542">
        <v>22071</v>
      </c>
      <c r="BM236" s="542">
        <v>4966</v>
      </c>
      <c r="BN236" s="542">
        <v>552</v>
      </c>
      <c r="BO236" s="542">
        <v>-22071</v>
      </c>
      <c r="BP236" s="542">
        <v>-4966</v>
      </c>
      <c r="BQ236" s="542">
        <v>-552</v>
      </c>
      <c r="BR236" s="542">
        <v>0</v>
      </c>
      <c r="BS236" s="542">
        <v>0</v>
      </c>
      <c r="BT236" s="542">
        <v>0</v>
      </c>
      <c r="BU236" s="542">
        <v>1968</v>
      </c>
      <c r="BV236" s="542">
        <v>443</v>
      </c>
      <c r="BW236" s="542">
        <v>49</v>
      </c>
      <c r="BX236" s="542">
        <v>-1968</v>
      </c>
      <c r="BY236" s="542">
        <v>-443</v>
      </c>
      <c r="BZ236" s="542">
        <v>-49</v>
      </c>
      <c r="CA236" s="542">
        <v>143516.728</v>
      </c>
      <c r="CB236" s="542">
        <v>32291.263900000002</v>
      </c>
      <c r="CC236" s="542">
        <v>3587.9182099999998</v>
      </c>
      <c r="CD236" s="542">
        <v>256974</v>
      </c>
      <c r="CE236" s="542">
        <v>57819</v>
      </c>
      <c r="CF236" s="542">
        <v>6424</v>
      </c>
      <c r="CG236" s="542">
        <v>-113457</v>
      </c>
      <c r="CH236" s="542">
        <v>-25528</v>
      </c>
      <c r="CI236" s="542">
        <v>-2836</v>
      </c>
      <c r="CJ236" s="542">
        <v>0</v>
      </c>
      <c r="CK236" s="542">
        <v>0</v>
      </c>
      <c r="CL236" s="542">
        <v>0</v>
      </c>
      <c r="CM236" s="542">
        <v>1087.8267499999999</v>
      </c>
      <c r="CN236" s="542">
        <v>244.761019</v>
      </c>
      <c r="CO236" s="542">
        <v>27.195668699999999</v>
      </c>
      <c r="CP236" s="542">
        <v>0</v>
      </c>
      <c r="CQ236" s="542">
        <v>0</v>
      </c>
      <c r="CR236" s="542">
        <v>0</v>
      </c>
      <c r="CS236" s="542">
        <v>1088</v>
      </c>
      <c r="CT236" s="542">
        <v>245</v>
      </c>
      <c r="CU236" s="542">
        <v>27</v>
      </c>
      <c r="CV236" s="542">
        <v>138786.87899999999</v>
      </c>
      <c r="CW236" s="542">
        <v>31227.047699999999</v>
      </c>
      <c r="CX236" s="542">
        <v>3469.6719699999999</v>
      </c>
      <c r="CY236" s="542">
        <v>139253</v>
      </c>
      <c r="CZ236" s="542">
        <v>30926</v>
      </c>
      <c r="DA236" s="542">
        <v>3436</v>
      </c>
      <c r="DB236" s="542">
        <v>-466</v>
      </c>
      <c r="DC236" s="542">
        <v>301</v>
      </c>
      <c r="DD236" s="542">
        <v>34</v>
      </c>
      <c r="DE236" s="153" t="s">
        <v>337</v>
      </c>
      <c r="DF236" s="103" t="s">
        <v>757</v>
      </c>
      <c r="DG236" s="104" t="s">
        <v>758</v>
      </c>
      <c r="DH236" s="547"/>
      <c r="DI236" s="547"/>
    </row>
    <row r="237" spans="1:113" x14ac:dyDescent="0.2">
      <c r="A237" s="93">
        <v>231</v>
      </c>
      <c r="B237" s="145" t="s">
        <v>340</v>
      </c>
      <c r="C237" s="141" t="s">
        <v>873</v>
      </c>
      <c r="D237" s="142" t="s">
        <v>874</v>
      </c>
      <c r="E237" s="149" t="s">
        <v>339</v>
      </c>
      <c r="F237" s="542">
        <v>-1650666</v>
      </c>
      <c r="G237" s="542">
        <v>-9341</v>
      </c>
      <c r="H237" s="542">
        <v>-1660007</v>
      </c>
      <c r="I237" s="542">
        <v>44637</v>
      </c>
      <c r="J237" s="542">
        <v>0</v>
      </c>
      <c r="K237" s="542">
        <v>44637</v>
      </c>
      <c r="L237" s="542">
        <v>-1695303</v>
      </c>
      <c r="M237" s="542">
        <v>-9341</v>
      </c>
      <c r="N237" s="542">
        <v>-1704644</v>
      </c>
      <c r="O237" s="543">
        <v>0.5</v>
      </c>
      <c r="P237" s="543">
        <v>0.49</v>
      </c>
      <c r="Q237" s="543">
        <v>0</v>
      </c>
      <c r="R237" s="543">
        <v>0.01</v>
      </c>
      <c r="S237" s="542">
        <v>777513</v>
      </c>
      <c r="T237" s="542">
        <v>777513</v>
      </c>
      <c r="U237" s="542">
        <v>0</v>
      </c>
      <c r="V237" s="542">
        <v>367820</v>
      </c>
      <c r="W237" s="542">
        <v>0</v>
      </c>
      <c r="X237" s="542">
        <v>367820</v>
      </c>
      <c r="Y237" s="542">
        <v>0</v>
      </c>
      <c r="Z237" s="542">
        <v>0</v>
      </c>
      <c r="AA237" s="542">
        <v>0</v>
      </c>
      <c r="AB237" s="542">
        <v>0</v>
      </c>
      <c r="AC237" s="542">
        <v>0</v>
      </c>
      <c r="AD237" s="542">
        <v>0</v>
      </c>
      <c r="AE237" s="542">
        <v>55583.86</v>
      </c>
      <c r="AF237" s="542">
        <v>55583.86</v>
      </c>
      <c r="AG237" s="542">
        <v>0</v>
      </c>
      <c r="AH237" s="542">
        <v>0</v>
      </c>
      <c r="AI237" s="542">
        <v>55000</v>
      </c>
      <c r="AJ237" s="542">
        <v>55000</v>
      </c>
      <c r="AK237" s="542">
        <v>0</v>
      </c>
      <c r="AL237" s="542">
        <v>0</v>
      </c>
      <c r="AM237" s="542">
        <v>584</v>
      </c>
      <c r="AN237" s="542">
        <v>584</v>
      </c>
      <c r="AO237" s="542">
        <v>0</v>
      </c>
      <c r="AP237" s="542">
        <v>0</v>
      </c>
      <c r="AQ237" s="542">
        <v>2766662.45</v>
      </c>
      <c r="AR237" s="542">
        <v>0</v>
      </c>
      <c r="AS237" s="542">
        <v>56198.96</v>
      </c>
      <c r="AT237" s="542">
        <v>2522578</v>
      </c>
      <c r="AU237" s="542">
        <v>0</v>
      </c>
      <c r="AV237" s="542">
        <v>51481</v>
      </c>
      <c r="AW237" s="542">
        <v>244084</v>
      </c>
      <c r="AX237" s="542">
        <v>0</v>
      </c>
      <c r="AY237" s="542">
        <v>4718</v>
      </c>
      <c r="AZ237" s="542">
        <v>7506.76</v>
      </c>
      <c r="BA237" s="542">
        <v>0</v>
      </c>
      <c r="BB237" s="542">
        <v>153.19999999999999</v>
      </c>
      <c r="BC237" s="542">
        <v>0</v>
      </c>
      <c r="BD237" s="542">
        <v>0</v>
      </c>
      <c r="BE237" s="542">
        <v>0</v>
      </c>
      <c r="BF237" s="542">
        <v>7507</v>
      </c>
      <c r="BG237" s="542">
        <v>0</v>
      </c>
      <c r="BH237" s="542">
        <v>153</v>
      </c>
      <c r="BI237" s="542">
        <v>0</v>
      </c>
      <c r="BJ237" s="542">
        <v>0</v>
      </c>
      <c r="BK237" s="542">
        <v>0</v>
      </c>
      <c r="BL237" s="542">
        <v>99041</v>
      </c>
      <c r="BM237" s="542">
        <v>0</v>
      </c>
      <c r="BN237" s="542">
        <v>2021</v>
      </c>
      <c r="BO237" s="542">
        <v>-99041</v>
      </c>
      <c r="BP237" s="542">
        <v>0</v>
      </c>
      <c r="BQ237" s="542">
        <v>-2021</v>
      </c>
      <c r="BR237" s="542">
        <v>11996.9</v>
      </c>
      <c r="BS237" s="542">
        <v>0</v>
      </c>
      <c r="BT237" s="542">
        <v>192.14</v>
      </c>
      <c r="BU237" s="542">
        <v>0</v>
      </c>
      <c r="BV237" s="542">
        <v>0</v>
      </c>
      <c r="BW237" s="542">
        <v>0</v>
      </c>
      <c r="BX237" s="542">
        <v>11997</v>
      </c>
      <c r="BY237" s="542">
        <v>0</v>
      </c>
      <c r="BZ237" s="542">
        <v>192</v>
      </c>
      <c r="CA237" s="542">
        <v>670722.12</v>
      </c>
      <c r="CB237" s="542">
        <v>0</v>
      </c>
      <c r="CC237" s="542">
        <v>13420.25</v>
      </c>
      <c r="CD237" s="542">
        <v>495201.7</v>
      </c>
      <c r="CE237" s="542">
        <v>0</v>
      </c>
      <c r="CF237" s="542">
        <v>10106.16</v>
      </c>
      <c r="CG237" s="542">
        <v>175520</v>
      </c>
      <c r="CH237" s="542">
        <v>0</v>
      </c>
      <c r="CI237" s="542">
        <v>3314</v>
      </c>
      <c r="CJ237" s="542">
        <v>0</v>
      </c>
      <c r="CK237" s="542">
        <v>0</v>
      </c>
      <c r="CL237" s="542">
        <v>0</v>
      </c>
      <c r="CM237" s="542">
        <v>0</v>
      </c>
      <c r="CN237" s="542">
        <v>0</v>
      </c>
      <c r="CO237" s="542">
        <v>0</v>
      </c>
      <c r="CP237" s="542">
        <v>0</v>
      </c>
      <c r="CQ237" s="542">
        <v>0</v>
      </c>
      <c r="CR237" s="542">
        <v>0</v>
      </c>
      <c r="CS237" s="542">
        <v>0</v>
      </c>
      <c r="CT237" s="542">
        <v>0</v>
      </c>
      <c r="CU237" s="542">
        <v>0</v>
      </c>
      <c r="CV237" s="542">
        <v>1062136.4099999999</v>
      </c>
      <c r="CW237" s="542">
        <v>0</v>
      </c>
      <c r="CX237" s="542">
        <v>21596.57</v>
      </c>
      <c r="CY237" s="542">
        <v>1079358</v>
      </c>
      <c r="CZ237" s="542">
        <v>0</v>
      </c>
      <c r="DA237" s="542">
        <v>21847</v>
      </c>
      <c r="DB237" s="542">
        <v>-17222</v>
      </c>
      <c r="DC237" s="542">
        <v>0</v>
      </c>
      <c r="DD237" s="542">
        <v>-250</v>
      </c>
      <c r="DE237" s="153" t="s">
        <v>339</v>
      </c>
      <c r="DF237" s="103" t="s">
        <v>763</v>
      </c>
      <c r="DG237" s="104" t="s">
        <v>764</v>
      </c>
      <c r="DH237" s="549" t="s">
        <v>1182</v>
      </c>
      <c r="DI237" s="549" t="s">
        <v>1189</v>
      </c>
    </row>
    <row r="238" spans="1:113" x14ac:dyDescent="0.2">
      <c r="A238" s="93">
        <v>232</v>
      </c>
      <c r="B238" s="145" t="s">
        <v>342</v>
      </c>
      <c r="C238" s="141" t="s">
        <v>866</v>
      </c>
      <c r="D238" s="142" t="s">
        <v>867</v>
      </c>
      <c r="E238" s="149" t="s">
        <v>341</v>
      </c>
      <c r="F238" s="542">
        <v>-85030</v>
      </c>
      <c r="G238" s="542">
        <v>0</v>
      </c>
      <c r="H238" s="542">
        <v>-85030</v>
      </c>
      <c r="I238" s="542">
        <v>33956</v>
      </c>
      <c r="J238" s="542">
        <v>0</v>
      </c>
      <c r="K238" s="542">
        <v>33956</v>
      </c>
      <c r="L238" s="542">
        <v>-118986</v>
      </c>
      <c r="M238" s="542">
        <v>0</v>
      </c>
      <c r="N238" s="542">
        <v>-118986</v>
      </c>
      <c r="O238" s="543">
        <v>0.5</v>
      </c>
      <c r="P238" s="543">
        <v>0.4</v>
      </c>
      <c r="Q238" s="543">
        <v>0.09</v>
      </c>
      <c r="R238" s="543">
        <v>0.01</v>
      </c>
      <c r="S238" s="542">
        <v>151655</v>
      </c>
      <c r="T238" s="542">
        <v>151655</v>
      </c>
      <c r="U238" s="542">
        <v>0</v>
      </c>
      <c r="V238" s="542">
        <v>0</v>
      </c>
      <c r="W238" s="542">
        <v>0</v>
      </c>
      <c r="X238" s="542">
        <v>0</v>
      </c>
      <c r="Y238" s="542">
        <v>0</v>
      </c>
      <c r="Z238" s="542">
        <v>0</v>
      </c>
      <c r="AA238" s="542">
        <v>0</v>
      </c>
      <c r="AB238" s="542">
        <v>0</v>
      </c>
      <c r="AC238" s="542">
        <v>0</v>
      </c>
      <c r="AD238" s="542">
        <v>0</v>
      </c>
      <c r="AE238" s="542">
        <v>0</v>
      </c>
      <c r="AF238" s="542">
        <v>0</v>
      </c>
      <c r="AG238" s="542">
        <v>0</v>
      </c>
      <c r="AH238" s="542">
        <v>0</v>
      </c>
      <c r="AI238" s="542">
        <v>0</v>
      </c>
      <c r="AJ238" s="542">
        <v>0</v>
      </c>
      <c r="AK238" s="542">
        <v>0</v>
      </c>
      <c r="AL238" s="542">
        <v>0</v>
      </c>
      <c r="AM238" s="542">
        <v>0</v>
      </c>
      <c r="AN238" s="542">
        <v>0</v>
      </c>
      <c r="AO238" s="542">
        <v>0</v>
      </c>
      <c r="AP238" s="542">
        <v>0</v>
      </c>
      <c r="AQ238" s="542">
        <v>546643.85699999996</v>
      </c>
      <c r="AR238" s="542">
        <v>122994.867</v>
      </c>
      <c r="AS238" s="542">
        <v>13666.0964</v>
      </c>
      <c r="AT238" s="542">
        <v>485304</v>
      </c>
      <c r="AU238" s="542">
        <v>109194</v>
      </c>
      <c r="AV238" s="542">
        <v>12133</v>
      </c>
      <c r="AW238" s="542">
        <v>61340</v>
      </c>
      <c r="AX238" s="542">
        <v>13801</v>
      </c>
      <c r="AY238" s="542">
        <v>1533</v>
      </c>
      <c r="AZ238" s="542">
        <v>3166.4611399999999</v>
      </c>
      <c r="BA238" s="542">
        <v>712.45375799999999</v>
      </c>
      <c r="BB238" s="542">
        <v>79.161528599999997</v>
      </c>
      <c r="BC238" s="542">
        <v>14780</v>
      </c>
      <c r="BD238" s="542">
        <v>3326</v>
      </c>
      <c r="BE238" s="542">
        <v>370</v>
      </c>
      <c r="BF238" s="542">
        <v>-11614</v>
      </c>
      <c r="BG238" s="542">
        <v>-2614</v>
      </c>
      <c r="BH238" s="542">
        <v>-291</v>
      </c>
      <c r="BI238" s="542">
        <v>4697.3418199999996</v>
      </c>
      <c r="BJ238" s="542">
        <v>1056.90191</v>
      </c>
      <c r="BK238" s="542">
        <v>117.433545</v>
      </c>
      <c r="BL238" s="542">
        <v>11177</v>
      </c>
      <c r="BM238" s="542">
        <v>2515</v>
      </c>
      <c r="BN238" s="542">
        <v>279</v>
      </c>
      <c r="BO238" s="542">
        <v>-6480</v>
      </c>
      <c r="BP238" s="542">
        <v>-1458</v>
      </c>
      <c r="BQ238" s="542">
        <v>-162</v>
      </c>
      <c r="BR238" s="542">
        <v>0</v>
      </c>
      <c r="BS238" s="542">
        <v>0</v>
      </c>
      <c r="BT238" s="542">
        <v>0</v>
      </c>
      <c r="BU238" s="542">
        <v>10074.221600000001</v>
      </c>
      <c r="BV238" s="542">
        <v>2266.6998699999999</v>
      </c>
      <c r="BW238" s="542">
        <v>251.85554099999999</v>
      </c>
      <c r="BX238" s="542">
        <v>-10074</v>
      </c>
      <c r="BY238" s="542">
        <v>-2267</v>
      </c>
      <c r="BZ238" s="542">
        <v>-252</v>
      </c>
      <c r="CA238" s="542">
        <v>196073.19200000001</v>
      </c>
      <c r="CB238" s="542">
        <v>44116.468200000003</v>
      </c>
      <c r="CC238" s="542">
        <v>4901.8298000000004</v>
      </c>
      <c r="CD238" s="542">
        <v>174019.13200000001</v>
      </c>
      <c r="CE238" s="542">
        <v>39154.304700000001</v>
      </c>
      <c r="CF238" s="542">
        <v>4350.4782999999998</v>
      </c>
      <c r="CG238" s="542">
        <v>22054</v>
      </c>
      <c r="CH238" s="542">
        <v>4962</v>
      </c>
      <c r="CI238" s="542">
        <v>551</v>
      </c>
      <c r="CJ238" s="542">
        <v>0</v>
      </c>
      <c r="CK238" s="542">
        <v>0</v>
      </c>
      <c r="CL238" s="542">
        <v>0</v>
      </c>
      <c r="CM238" s="542">
        <v>4825.8921399999999</v>
      </c>
      <c r="CN238" s="542">
        <v>1085.82573</v>
      </c>
      <c r="CO238" s="542">
        <v>120.64730299999999</v>
      </c>
      <c r="CP238" s="542">
        <v>0</v>
      </c>
      <c r="CQ238" s="542">
        <v>0</v>
      </c>
      <c r="CR238" s="542">
        <v>0</v>
      </c>
      <c r="CS238" s="542">
        <v>4826</v>
      </c>
      <c r="CT238" s="542">
        <v>1086</v>
      </c>
      <c r="CU238" s="542">
        <v>121</v>
      </c>
      <c r="CV238" s="542">
        <v>113668.16099999999</v>
      </c>
      <c r="CW238" s="542">
        <v>25575.336299999999</v>
      </c>
      <c r="CX238" s="542">
        <v>2841.7040299999999</v>
      </c>
      <c r="CY238" s="542">
        <v>111464</v>
      </c>
      <c r="CZ238" s="542">
        <v>24717</v>
      </c>
      <c r="DA238" s="542">
        <v>2746</v>
      </c>
      <c r="DB238" s="542">
        <v>2204</v>
      </c>
      <c r="DC238" s="542">
        <v>858</v>
      </c>
      <c r="DD238" s="542">
        <v>96</v>
      </c>
      <c r="DE238" s="153" t="s">
        <v>341</v>
      </c>
      <c r="DF238" s="103" t="s">
        <v>757</v>
      </c>
      <c r="DG238" s="104" t="s">
        <v>758</v>
      </c>
      <c r="DH238" s="547"/>
      <c r="DI238" s="547"/>
    </row>
    <row r="239" spans="1:113" x14ac:dyDescent="0.2">
      <c r="A239" s="93">
        <v>233</v>
      </c>
      <c r="B239" s="145" t="s">
        <v>344</v>
      </c>
      <c r="C239" s="141" t="s">
        <v>770</v>
      </c>
      <c r="D239" s="142" t="s">
        <v>876</v>
      </c>
      <c r="E239" s="149" t="s">
        <v>343</v>
      </c>
      <c r="F239" s="542">
        <v>-256692</v>
      </c>
      <c r="G239" s="542">
        <v>0</v>
      </c>
      <c r="H239" s="542">
        <v>-256692</v>
      </c>
      <c r="I239" s="542">
        <v>150427</v>
      </c>
      <c r="J239" s="542">
        <v>0</v>
      </c>
      <c r="K239" s="542">
        <v>150427</v>
      </c>
      <c r="L239" s="542">
        <v>-407119</v>
      </c>
      <c r="M239" s="542">
        <v>0</v>
      </c>
      <c r="N239" s="542">
        <v>-407119</v>
      </c>
      <c r="O239" s="543">
        <v>0.5</v>
      </c>
      <c r="P239" s="543">
        <v>0.49</v>
      </c>
      <c r="Q239" s="543">
        <v>0</v>
      </c>
      <c r="R239" s="543">
        <v>0.01</v>
      </c>
      <c r="S239" s="542">
        <v>464476</v>
      </c>
      <c r="T239" s="542">
        <v>464476</v>
      </c>
      <c r="U239" s="542">
        <v>0</v>
      </c>
      <c r="V239" s="542">
        <v>0</v>
      </c>
      <c r="W239" s="542">
        <v>0</v>
      </c>
      <c r="X239" s="542">
        <v>0</v>
      </c>
      <c r="Y239" s="542">
        <v>2184357</v>
      </c>
      <c r="Z239" s="542">
        <v>0</v>
      </c>
      <c r="AA239" s="542">
        <v>0</v>
      </c>
      <c r="AB239" s="542">
        <v>0</v>
      </c>
      <c r="AC239" s="542">
        <v>2184357</v>
      </c>
      <c r="AD239" s="542">
        <v>0</v>
      </c>
      <c r="AE239" s="542">
        <v>0</v>
      </c>
      <c r="AF239" s="542">
        <v>0</v>
      </c>
      <c r="AG239" s="542">
        <v>0</v>
      </c>
      <c r="AH239" s="542">
        <v>0</v>
      </c>
      <c r="AI239" s="542">
        <v>0</v>
      </c>
      <c r="AJ239" s="542">
        <v>0</v>
      </c>
      <c r="AK239" s="542">
        <v>0</v>
      </c>
      <c r="AL239" s="542">
        <v>0</v>
      </c>
      <c r="AM239" s="542">
        <v>0</v>
      </c>
      <c r="AN239" s="542">
        <v>0</v>
      </c>
      <c r="AO239" s="542">
        <v>0</v>
      </c>
      <c r="AP239" s="542">
        <v>0</v>
      </c>
      <c r="AQ239" s="542">
        <v>1985300.5</v>
      </c>
      <c r="AR239" s="542">
        <v>0</v>
      </c>
      <c r="AS239" s="542">
        <v>40516.339999999997</v>
      </c>
      <c r="AT239" s="542">
        <v>1798927</v>
      </c>
      <c r="AU239" s="542">
        <v>0</v>
      </c>
      <c r="AV239" s="542">
        <v>36713</v>
      </c>
      <c r="AW239" s="542">
        <v>186374</v>
      </c>
      <c r="AX239" s="542">
        <v>0</v>
      </c>
      <c r="AY239" s="542">
        <v>3803</v>
      </c>
      <c r="AZ239" s="542">
        <v>4468.7</v>
      </c>
      <c r="BA239" s="542">
        <v>0</v>
      </c>
      <c r="BB239" s="542">
        <v>91.2</v>
      </c>
      <c r="BC239" s="542">
        <v>149911</v>
      </c>
      <c r="BD239" s="542">
        <v>0</v>
      </c>
      <c r="BE239" s="542">
        <v>3059</v>
      </c>
      <c r="BF239" s="542">
        <v>-145442</v>
      </c>
      <c r="BG239" s="542">
        <v>0</v>
      </c>
      <c r="BH239" s="542">
        <v>-2968</v>
      </c>
      <c r="BI239" s="542">
        <v>15435.44</v>
      </c>
      <c r="BJ239" s="542">
        <v>0</v>
      </c>
      <c r="BK239" s="542">
        <v>315.01</v>
      </c>
      <c r="BL239" s="542">
        <v>32484</v>
      </c>
      <c r="BM239" s="542">
        <v>0</v>
      </c>
      <c r="BN239" s="542">
        <v>663</v>
      </c>
      <c r="BO239" s="542">
        <v>-17049</v>
      </c>
      <c r="BP239" s="542">
        <v>0</v>
      </c>
      <c r="BQ239" s="542">
        <v>-348</v>
      </c>
      <c r="BR239" s="542">
        <v>14451.47</v>
      </c>
      <c r="BS239" s="542">
        <v>0</v>
      </c>
      <c r="BT239" s="542">
        <v>294.93</v>
      </c>
      <c r="BU239" s="542">
        <v>126859</v>
      </c>
      <c r="BV239" s="542">
        <v>0</v>
      </c>
      <c r="BW239" s="542">
        <v>2589</v>
      </c>
      <c r="BX239" s="542">
        <v>-112408</v>
      </c>
      <c r="BY239" s="542">
        <v>0</v>
      </c>
      <c r="BZ239" s="542">
        <v>-2294</v>
      </c>
      <c r="CA239" s="542">
        <v>452411.32</v>
      </c>
      <c r="CB239" s="542">
        <v>0</v>
      </c>
      <c r="CC239" s="542">
        <v>9232.8799999999992</v>
      </c>
      <c r="CD239" s="542">
        <v>554428</v>
      </c>
      <c r="CE239" s="542">
        <v>0</v>
      </c>
      <c r="CF239" s="542">
        <v>11315</v>
      </c>
      <c r="CG239" s="542">
        <v>-102017</v>
      </c>
      <c r="CH239" s="542">
        <v>0</v>
      </c>
      <c r="CI239" s="542">
        <v>-2082</v>
      </c>
      <c r="CJ239" s="542">
        <v>0</v>
      </c>
      <c r="CK239" s="542">
        <v>0</v>
      </c>
      <c r="CL239" s="542">
        <v>0</v>
      </c>
      <c r="CM239" s="542">
        <v>13119.38</v>
      </c>
      <c r="CN239" s="542">
        <v>0</v>
      </c>
      <c r="CO239" s="542">
        <v>267.74</v>
      </c>
      <c r="CP239" s="542">
        <v>11229</v>
      </c>
      <c r="CQ239" s="542">
        <v>0</v>
      </c>
      <c r="CR239" s="542">
        <v>229.16</v>
      </c>
      <c r="CS239" s="542">
        <v>1890</v>
      </c>
      <c r="CT239" s="542">
        <v>0</v>
      </c>
      <c r="CU239" s="542">
        <v>39</v>
      </c>
      <c r="CV239" s="542">
        <v>373471.65</v>
      </c>
      <c r="CW239" s="542">
        <v>0</v>
      </c>
      <c r="CX239" s="542">
        <v>7148.64</v>
      </c>
      <c r="CY239" s="542">
        <v>402026</v>
      </c>
      <c r="CZ239" s="542">
        <v>0</v>
      </c>
      <c r="DA239" s="542">
        <v>8104</v>
      </c>
      <c r="DB239" s="542">
        <v>-28554</v>
      </c>
      <c r="DC239" s="542">
        <v>0</v>
      </c>
      <c r="DD239" s="542">
        <v>-955</v>
      </c>
      <c r="DE239" s="153" t="s">
        <v>343</v>
      </c>
      <c r="DF239" s="103" t="s">
        <v>770</v>
      </c>
      <c r="DG239" s="104" t="s">
        <v>818</v>
      </c>
      <c r="DH239" s="547"/>
      <c r="DI239" s="547"/>
    </row>
    <row r="240" spans="1:113" x14ac:dyDescent="0.2">
      <c r="A240" s="93">
        <v>234</v>
      </c>
      <c r="B240" s="145" t="s">
        <v>346</v>
      </c>
      <c r="C240" s="141" t="s">
        <v>770</v>
      </c>
      <c r="D240" s="142" t="s">
        <v>867</v>
      </c>
      <c r="E240" s="149" t="s">
        <v>723</v>
      </c>
      <c r="F240" s="542">
        <v>-1519221</v>
      </c>
      <c r="G240" s="542">
        <v>0</v>
      </c>
      <c r="H240" s="542">
        <v>-1519221</v>
      </c>
      <c r="I240" s="542">
        <v>-259018</v>
      </c>
      <c r="J240" s="542">
        <v>0</v>
      </c>
      <c r="K240" s="542">
        <v>-259018</v>
      </c>
      <c r="L240" s="542">
        <v>-1260203</v>
      </c>
      <c r="M240" s="542">
        <v>0</v>
      </c>
      <c r="N240" s="542">
        <v>-1260203</v>
      </c>
      <c r="O240" s="543">
        <v>0.5</v>
      </c>
      <c r="P240" s="543">
        <v>0.49</v>
      </c>
      <c r="Q240" s="543">
        <v>0</v>
      </c>
      <c r="R240" s="543">
        <v>0.01</v>
      </c>
      <c r="S240" s="542">
        <v>207441</v>
      </c>
      <c r="T240" s="542">
        <v>207441</v>
      </c>
      <c r="U240" s="542">
        <v>0</v>
      </c>
      <c r="V240" s="542">
        <v>0</v>
      </c>
      <c r="W240" s="542">
        <v>0</v>
      </c>
      <c r="X240" s="542">
        <v>0</v>
      </c>
      <c r="Y240" s="542">
        <v>0</v>
      </c>
      <c r="Z240" s="542">
        <v>0</v>
      </c>
      <c r="AA240" s="542">
        <v>0</v>
      </c>
      <c r="AB240" s="542">
        <v>0</v>
      </c>
      <c r="AC240" s="542">
        <v>0</v>
      </c>
      <c r="AD240" s="542">
        <v>0</v>
      </c>
      <c r="AE240" s="542">
        <v>0</v>
      </c>
      <c r="AF240" s="542">
        <v>0</v>
      </c>
      <c r="AG240" s="542">
        <v>0</v>
      </c>
      <c r="AH240" s="542">
        <v>0</v>
      </c>
      <c r="AI240" s="542">
        <v>0</v>
      </c>
      <c r="AJ240" s="542">
        <v>0</v>
      </c>
      <c r="AK240" s="542">
        <v>0</v>
      </c>
      <c r="AL240" s="542">
        <v>0</v>
      </c>
      <c r="AM240" s="542">
        <v>0</v>
      </c>
      <c r="AN240" s="542">
        <v>0</v>
      </c>
      <c r="AO240" s="542">
        <v>0</v>
      </c>
      <c r="AP240" s="542">
        <v>0</v>
      </c>
      <c r="AQ240" s="542">
        <v>319193.15000000002</v>
      </c>
      <c r="AR240" s="542">
        <v>0</v>
      </c>
      <c r="AS240" s="542">
        <v>6514.15</v>
      </c>
      <c r="AT240" s="542">
        <v>261528</v>
      </c>
      <c r="AU240" s="542">
        <v>0</v>
      </c>
      <c r="AV240" s="542">
        <v>5337</v>
      </c>
      <c r="AW240" s="542">
        <v>57665</v>
      </c>
      <c r="AX240" s="542">
        <v>0</v>
      </c>
      <c r="AY240" s="542">
        <v>1177</v>
      </c>
      <c r="AZ240" s="542">
        <v>833.92</v>
      </c>
      <c r="BA240" s="542">
        <v>0</v>
      </c>
      <c r="BB240" s="542">
        <v>17.02</v>
      </c>
      <c r="BC240" s="542">
        <v>0</v>
      </c>
      <c r="BD240" s="542">
        <v>0</v>
      </c>
      <c r="BE240" s="542">
        <v>0</v>
      </c>
      <c r="BF240" s="542">
        <v>834</v>
      </c>
      <c r="BG240" s="542">
        <v>0</v>
      </c>
      <c r="BH240" s="542">
        <v>17</v>
      </c>
      <c r="BI240" s="542">
        <v>0</v>
      </c>
      <c r="BJ240" s="542">
        <v>0</v>
      </c>
      <c r="BK240" s="542">
        <v>0</v>
      </c>
      <c r="BL240" s="542">
        <v>303678</v>
      </c>
      <c r="BM240" s="542">
        <v>0</v>
      </c>
      <c r="BN240" s="542">
        <v>6198</v>
      </c>
      <c r="BO240" s="542">
        <v>-303678</v>
      </c>
      <c r="BP240" s="542">
        <v>0</v>
      </c>
      <c r="BQ240" s="542">
        <v>-6198</v>
      </c>
      <c r="BR240" s="542">
        <v>1717.85</v>
      </c>
      <c r="BS240" s="542">
        <v>0</v>
      </c>
      <c r="BT240" s="542">
        <v>35.06</v>
      </c>
      <c r="BU240" s="542">
        <v>13152.56</v>
      </c>
      <c r="BV240" s="542">
        <v>0</v>
      </c>
      <c r="BW240" s="542">
        <v>268.42</v>
      </c>
      <c r="BX240" s="542">
        <v>-11435</v>
      </c>
      <c r="BY240" s="542">
        <v>0</v>
      </c>
      <c r="BZ240" s="542">
        <v>-233</v>
      </c>
      <c r="CA240" s="542">
        <v>259943.26</v>
      </c>
      <c r="CB240" s="542">
        <v>0</v>
      </c>
      <c r="CC240" s="542">
        <v>5304.96</v>
      </c>
      <c r="CD240" s="542">
        <v>309038.05</v>
      </c>
      <c r="CE240" s="542">
        <v>0</v>
      </c>
      <c r="CF240" s="542">
        <v>6306.9</v>
      </c>
      <c r="CG240" s="542">
        <v>-49095</v>
      </c>
      <c r="CH240" s="542">
        <v>0</v>
      </c>
      <c r="CI240" s="542">
        <v>-1002</v>
      </c>
      <c r="CJ240" s="542">
        <v>0</v>
      </c>
      <c r="CK240" s="542">
        <v>0</v>
      </c>
      <c r="CL240" s="542">
        <v>0</v>
      </c>
      <c r="CM240" s="542">
        <v>0</v>
      </c>
      <c r="CN240" s="542">
        <v>0</v>
      </c>
      <c r="CO240" s="542">
        <v>0</v>
      </c>
      <c r="CP240" s="542">
        <v>0</v>
      </c>
      <c r="CQ240" s="542">
        <v>0</v>
      </c>
      <c r="CR240" s="542">
        <v>0</v>
      </c>
      <c r="CS240" s="542">
        <v>0</v>
      </c>
      <c r="CT240" s="542">
        <v>0</v>
      </c>
      <c r="CU240" s="542">
        <v>0</v>
      </c>
      <c r="CV240" s="542">
        <v>478797.12</v>
      </c>
      <c r="CW240" s="542">
        <v>0</v>
      </c>
      <c r="CX240" s="542">
        <v>9771.3700000000008</v>
      </c>
      <c r="CY240" s="542">
        <v>480077</v>
      </c>
      <c r="CZ240" s="542">
        <v>0</v>
      </c>
      <c r="DA240" s="542">
        <v>9753</v>
      </c>
      <c r="DB240" s="542">
        <v>-1280</v>
      </c>
      <c r="DC240" s="542">
        <v>0</v>
      </c>
      <c r="DD240" s="542">
        <v>18</v>
      </c>
      <c r="DE240" s="153" t="s">
        <v>723</v>
      </c>
      <c r="DF240" s="103" t="s">
        <v>770</v>
      </c>
      <c r="DG240" s="104" t="s">
        <v>780</v>
      </c>
      <c r="DH240" s="547"/>
      <c r="DI240" s="547"/>
    </row>
    <row r="241" spans="1:113" x14ac:dyDescent="0.2">
      <c r="A241" s="93">
        <v>235</v>
      </c>
      <c r="B241" s="145" t="s">
        <v>348</v>
      </c>
      <c r="C241" s="141" t="s">
        <v>873</v>
      </c>
      <c r="D241" s="142" t="s">
        <v>876</v>
      </c>
      <c r="E241" s="149" t="s">
        <v>347</v>
      </c>
      <c r="F241" s="542">
        <v>-674865</v>
      </c>
      <c r="G241" s="542">
        <v>0</v>
      </c>
      <c r="H241" s="542">
        <v>-674865</v>
      </c>
      <c r="I241" s="542">
        <v>-1206396</v>
      </c>
      <c r="J241" s="542">
        <v>0</v>
      </c>
      <c r="K241" s="542">
        <v>-1206396</v>
      </c>
      <c r="L241" s="542">
        <v>531531</v>
      </c>
      <c r="M241" s="542">
        <v>0</v>
      </c>
      <c r="N241" s="542">
        <v>531531</v>
      </c>
      <c r="O241" s="543">
        <v>0.5</v>
      </c>
      <c r="P241" s="543">
        <v>0.49</v>
      </c>
      <c r="Q241" s="543">
        <v>0</v>
      </c>
      <c r="R241" s="543">
        <v>0.01</v>
      </c>
      <c r="S241" s="542">
        <v>242823</v>
      </c>
      <c r="T241" s="542">
        <v>242823</v>
      </c>
      <c r="U241" s="542">
        <v>0</v>
      </c>
      <c r="V241" s="542">
        <v>0</v>
      </c>
      <c r="W241" s="542">
        <v>0</v>
      </c>
      <c r="X241" s="542">
        <v>0</v>
      </c>
      <c r="Y241" s="542">
        <v>0</v>
      </c>
      <c r="Z241" s="542">
        <v>0</v>
      </c>
      <c r="AA241" s="542">
        <v>0</v>
      </c>
      <c r="AB241" s="542">
        <v>0</v>
      </c>
      <c r="AC241" s="542">
        <v>0</v>
      </c>
      <c r="AD241" s="542">
        <v>0</v>
      </c>
      <c r="AE241" s="542">
        <v>0</v>
      </c>
      <c r="AF241" s="542">
        <v>0</v>
      </c>
      <c r="AG241" s="542">
        <v>0</v>
      </c>
      <c r="AH241" s="542">
        <v>0</v>
      </c>
      <c r="AI241" s="542">
        <v>0</v>
      </c>
      <c r="AJ241" s="542">
        <v>0</v>
      </c>
      <c r="AK241" s="542">
        <v>0</v>
      </c>
      <c r="AL241" s="542">
        <v>0</v>
      </c>
      <c r="AM241" s="542">
        <v>0</v>
      </c>
      <c r="AN241" s="542">
        <v>0</v>
      </c>
      <c r="AO241" s="542">
        <v>0</v>
      </c>
      <c r="AP241" s="542">
        <v>0</v>
      </c>
      <c r="AQ241" s="542">
        <v>548340.80000000005</v>
      </c>
      <c r="AR241" s="542">
        <v>0</v>
      </c>
      <c r="AS241" s="542">
        <v>11190.63</v>
      </c>
      <c r="AT241" s="542">
        <v>496816</v>
      </c>
      <c r="AU241" s="542">
        <v>0</v>
      </c>
      <c r="AV241" s="542">
        <v>10139</v>
      </c>
      <c r="AW241" s="542">
        <v>51525</v>
      </c>
      <c r="AX241" s="542">
        <v>0</v>
      </c>
      <c r="AY241" s="542">
        <v>1052</v>
      </c>
      <c r="AZ241" s="542">
        <v>1323.18</v>
      </c>
      <c r="BA241" s="542">
        <v>0</v>
      </c>
      <c r="BB241" s="542">
        <v>27</v>
      </c>
      <c r="BC241" s="542">
        <v>14113</v>
      </c>
      <c r="BD241" s="542">
        <v>0</v>
      </c>
      <c r="BE241" s="542">
        <v>288</v>
      </c>
      <c r="BF241" s="542">
        <v>-12790</v>
      </c>
      <c r="BG241" s="542">
        <v>0</v>
      </c>
      <c r="BH241" s="542">
        <v>-261</v>
      </c>
      <c r="BI241" s="542">
        <v>4578.1400000000003</v>
      </c>
      <c r="BJ241" s="542">
        <v>0</v>
      </c>
      <c r="BK241" s="542">
        <v>93.43</v>
      </c>
      <c r="BL241" s="542">
        <v>136181</v>
      </c>
      <c r="BM241" s="542">
        <v>0</v>
      </c>
      <c r="BN241" s="542">
        <v>2779</v>
      </c>
      <c r="BO241" s="542">
        <v>-131603</v>
      </c>
      <c r="BP241" s="542">
        <v>0</v>
      </c>
      <c r="BQ241" s="542">
        <v>-2686</v>
      </c>
      <c r="BR241" s="542">
        <v>10142.719999999999</v>
      </c>
      <c r="BS241" s="542">
        <v>0</v>
      </c>
      <c r="BT241" s="542">
        <v>206.99</v>
      </c>
      <c r="BU241" s="542">
        <v>22284</v>
      </c>
      <c r="BV241" s="542">
        <v>0</v>
      </c>
      <c r="BW241" s="542">
        <v>455</v>
      </c>
      <c r="BX241" s="542">
        <v>-12141</v>
      </c>
      <c r="BY241" s="542">
        <v>0</v>
      </c>
      <c r="BZ241" s="542">
        <v>-248</v>
      </c>
      <c r="CA241" s="542">
        <v>362801.11</v>
      </c>
      <c r="CB241" s="542">
        <v>0</v>
      </c>
      <c r="CC241" s="542">
        <v>7404.1</v>
      </c>
      <c r="CD241" s="542">
        <v>383782</v>
      </c>
      <c r="CE241" s="542">
        <v>0</v>
      </c>
      <c r="CF241" s="542">
        <v>7832</v>
      </c>
      <c r="CG241" s="542">
        <v>-20981</v>
      </c>
      <c r="CH241" s="542">
        <v>0</v>
      </c>
      <c r="CI241" s="542">
        <v>-428</v>
      </c>
      <c r="CJ241" s="542">
        <v>0</v>
      </c>
      <c r="CK241" s="542">
        <v>0</v>
      </c>
      <c r="CL241" s="542">
        <v>0</v>
      </c>
      <c r="CM241" s="542">
        <v>0</v>
      </c>
      <c r="CN241" s="542">
        <v>0</v>
      </c>
      <c r="CO241" s="542">
        <v>0</v>
      </c>
      <c r="CP241" s="542">
        <v>0</v>
      </c>
      <c r="CQ241" s="542">
        <v>0</v>
      </c>
      <c r="CR241" s="542">
        <v>0</v>
      </c>
      <c r="CS241" s="542">
        <v>0</v>
      </c>
      <c r="CT241" s="542">
        <v>0</v>
      </c>
      <c r="CU241" s="542">
        <v>0</v>
      </c>
      <c r="CV241" s="542">
        <v>549989.69999999995</v>
      </c>
      <c r="CW241" s="542">
        <v>0</v>
      </c>
      <c r="CX241" s="542">
        <v>11224.28</v>
      </c>
      <c r="CY241" s="542">
        <v>588456</v>
      </c>
      <c r="CZ241" s="542">
        <v>0</v>
      </c>
      <c r="DA241" s="542">
        <v>11957</v>
      </c>
      <c r="DB241" s="542">
        <v>-38466</v>
      </c>
      <c r="DC241" s="542">
        <v>0</v>
      </c>
      <c r="DD241" s="542">
        <v>-733</v>
      </c>
      <c r="DE241" s="153" t="s">
        <v>347</v>
      </c>
      <c r="DF241" s="103" t="s">
        <v>763</v>
      </c>
      <c r="DG241" s="104" t="s">
        <v>773</v>
      </c>
      <c r="DH241" s="547"/>
      <c r="DI241" s="547"/>
    </row>
    <row r="242" spans="1:113" x14ac:dyDescent="0.2">
      <c r="A242" s="93">
        <v>236</v>
      </c>
      <c r="B242" s="145" t="s">
        <v>350</v>
      </c>
      <c r="C242" s="141" t="s">
        <v>866</v>
      </c>
      <c r="D242" s="142" t="s">
        <v>867</v>
      </c>
      <c r="E242" s="149" t="s">
        <v>349</v>
      </c>
      <c r="F242" s="542">
        <v>-322502</v>
      </c>
      <c r="G242" s="542">
        <v>0</v>
      </c>
      <c r="H242" s="542">
        <v>-322502</v>
      </c>
      <c r="I242" s="542">
        <v>16486</v>
      </c>
      <c r="J242" s="542">
        <v>0</v>
      </c>
      <c r="K242" s="542">
        <v>16486</v>
      </c>
      <c r="L242" s="542">
        <v>-338988</v>
      </c>
      <c r="M242" s="542">
        <v>0</v>
      </c>
      <c r="N242" s="542">
        <v>-338988</v>
      </c>
      <c r="O242" s="543">
        <v>0.5</v>
      </c>
      <c r="P242" s="543">
        <v>0.4</v>
      </c>
      <c r="Q242" s="543">
        <v>0.09</v>
      </c>
      <c r="R242" s="543">
        <v>0.01</v>
      </c>
      <c r="S242" s="542">
        <v>97601</v>
      </c>
      <c r="T242" s="542">
        <v>97601</v>
      </c>
      <c r="U242" s="542">
        <v>0</v>
      </c>
      <c r="V242" s="542">
        <v>0</v>
      </c>
      <c r="W242" s="542">
        <v>0</v>
      </c>
      <c r="X242" s="542">
        <v>0</v>
      </c>
      <c r="Y242" s="542">
        <v>0</v>
      </c>
      <c r="Z242" s="542">
        <v>0</v>
      </c>
      <c r="AA242" s="542">
        <v>0</v>
      </c>
      <c r="AB242" s="542">
        <v>0</v>
      </c>
      <c r="AC242" s="542">
        <v>0</v>
      </c>
      <c r="AD242" s="542">
        <v>0</v>
      </c>
      <c r="AE242" s="542">
        <v>0</v>
      </c>
      <c r="AF242" s="542">
        <v>0</v>
      </c>
      <c r="AG242" s="542">
        <v>0</v>
      </c>
      <c r="AH242" s="542">
        <v>0</v>
      </c>
      <c r="AI242" s="542">
        <v>0</v>
      </c>
      <c r="AJ242" s="542">
        <v>0</v>
      </c>
      <c r="AK242" s="542">
        <v>0</v>
      </c>
      <c r="AL242" s="542">
        <v>0</v>
      </c>
      <c r="AM242" s="542">
        <v>0</v>
      </c>
      <c r="AN242" s="542">
        <v>0</v>
      </c>
      <c r="AO242" s="542">
        <v>0</v>
      </c>
      <c r="AP242" s="542">
        <v>0</v>
      </c>
      <c r="AQ242" s="542">
        <v>179578.731</v>
      </c>
      <c r="AR242" s="542">
        <v>40405.214500000002</v>
      </c>
      <c r="AS242" s="542">
        <v>4489.46828</v>
      </c>
      <c r="AT242" s="542">
        <v>172544</v>
      </c>
      <c r="AU242" s="542">
        <v>38823</v>
      </c>
      <c r="AV242" s="542">
        <v>4314</v>
      </c>
      <c r="AW242" s="542">
        <v>7035</v>
      </c>
      <c r="AX242" s="542">
        <v>1582</v>
      </c>
      <c r="AY242" s="542">
        <v>175</v>
      </c>
      <c r="AZ242" s="542">
        <v>0</v>
      </c>
      <c r="BA242" s="542">
        <v>0</v>
      </c>
      <c r="BB242" s="542">
        <v>0</v>
      </c>
      <c r="BC242" s="542">
        <v>0</v>
      </c>
      <c r="BD242" s="542">
        <v>0</v>
      </c>
      <c r="BE242" s="542">
        <v>0</v>
      </c>
      <c r="BF242" s="542">
        <v>0</v>
      </c>
      <c r="BG242" s="542">
        <v>0</v>
      </c>
      <c r="BH242" s="542">
        <v>0</v>
      </c>
      <c r="BI242" s="542">
        <v>0</v>
      </c>
      <c r="BJ242" s="542">
        <v>0</v>
      </c>
      <c r="BK242" s="542">
        <v>0</v>
      </c>
      <c r="BL242" s="542">
        <v>0</v>
      </c>
      <c r="BM242" s="542">
        <v>0</v>
      </c>
      <c r="BN242" s="542">
        <v>0</v>
      </c>
      <c r="BO242" s="542">
        <v>0</v>
      </c>
      <c r="BP242" s="542">
        <v>0</v>
      </c>
      <c r="BQ242" s="542">
        <v>0</v>
      </c>
      <c r="BR242" s="542">
        <v>0</v>
      </c>
      <c r="BS242" s="542">
        <v>0</v>
      </c>
      <c r="BT242" s="542">
        <v>0</v>
      </c>
      <c r="BU242" s="542">
        <v>0</v>
      </c>
      <c r="BV242" s="542">
        <v>0</v>
      </c>
      <c r="BW242" s="542">
        <v>0</v>
      </c>
      <c r="BX242" s="542">
        <v>0</v>
      </c>
      <c r="BY242" s="542">
        <v>0</v>
      </c>
      <c r="BZ242" s="542">
        <v>0</v>
      </c>
      <c r="CA242" s="542">
        <v>68562.999500000005</v>
      </c>
      <c r="CB242" s="542">
        <v>15426.6749</v>
      </c>
      <c r="CC242" s="542">
        <v>1714.0749800000001</v>
      </c>
      <c r="CD242" s="542">
        <v>108339</v>
      </c>
      <c r="CE242" s="542">
        <v>24376</v>
      </c>
      <c r="CF242" s="542">
        <v>2708</v>
      </c>
      <c r="CG242" s="542">
        <v>-39776</v>
      </c>
      <c r="CH242" s="542">
        <v>-8949</v>
      </c>
      <c r="CI242" s="542">
        <v>-994</v>
      </c>
      <c r="CJ242" s="542">
        <v>0</v>
      </c>
      <c r="CK242" s="542">
        <v>0</v>
      </c>
      <c r="CL242" s="542">
        <v>0</v>
      </c>
      <c r="CM242" s="542">
        <v>6174.8619900000003</v>
      </c>
      <c r="CN242" s="542">
        <v>1389.34394</v>
      </c>
      <c r="CO242" s="542">
        <v>154.37154899999999</v>
      </c>
      <c r="CP242" s="542">
        <v>0</v>
      </c>
      <c r="CQ242" s="542">
        <v>0</v>
      </c>
      <c r="CR242" s="542">
        <v>0</v>
      </c>
      <c r="CS242" s="542">
        <v>6175</v>
      </c>
      <c r="CT242" s="542">
        <v>1389</v>
      </c>
      <c r="CU242" s="542">
        <v>154</v>
      </c>
      <c r="CV242" s="542">
        <v>113229.14200000001</v>
      </c>
      <c r="CW242" s="542">
        <v>25476.557000000001</v>
      </c>
      <c r="CX242" s="542">
        <v>2830.7285499999998</v>
      </c>
      <c r="CY242" s="542">
        <v>113839</v>
      </c>
      <c r="CZ242" s="542">
        <v>25381</v>
      </c>
      <c r="DA242" s="542">
        <v>2820</v>
      </c>
      <c r="DB242" s="542">
        <v>-610</v>
      </c>
      <c r="DC242" s="542">
        <v>96</v>
      </c>
      <c r="DD242" s="542">
        <v>11</v>
      </c>
      <c r="DE242" s="153" t="s">
        <v>349</v>
      </c>
      <c r="DF242" s="103" t="s">
        <v>759</v>
      </c>
      <c r="DG242" s="104" t="s">
        <v>760</v>
      </c>
      <c r="DH242" s="547"/>
      <c r="DI242" s="547"/>
    </row>
    <row r="243" spans="1:113" x14ac:dyDescent="0.2">
      <c r="A243" s="93">
        <v>237</v>
      </c>
      <c r="B243" s="145" t="s">
        <v>352</v>
      </c>
      <c r="C243" s="141" t="s">
        <v>866</v>
      </c>
      <c r="D243" s="142" t="s">
        <v>870</v>
      </c>
      <c r="E243" s="149" t="s">
        <v>351</v>
      </c>
      <c r="F243" s="542">
        <v>-96651</v>
      </c>
      <c r="G243" s="542">
        <v>0</v>
      </c>
      <c r="H243" s="542">
        <v>-96651</v>
      </c>
      <c r="I243" s="542">
        <v>75093</v>
      </c>
      <c r="J243" s="542">
        <v>0</v>
      </c>
      <c r="K243" s="542">
        <v>75093</v>
      </c>
      <c r="L243" s="542">
        <v>-171744</v>
      </c>
      <c r="M243" s="542">
        <v>0</v>
      </c>
      <c r="N243" s="542">
        <v>-171744</v>
      </c>
      <c r="O243" s="543">
        <v>0.5</v>
      </c>
      <c r="P243" s="543">
        <v>0.4</v>
      </c>
      <c r="Q243" s="543">
        <v>0.09</v>
      </c>
      <c r="R243" s="543">
        <v>0.01</v>
      </c>
      <c r="S243" s="542">
        <v>219672</v>
      </c>
      <c r="T243" s="542">
        <v>219672</v>
      </c>
      <c r="U243" s="542">
        <v>0</v>
      </c>
      <c r="V243" s="542">
        <v>0</v>
      </c>
      <c r="W243" s="542">
        <v>0</v>
      </c>
      <c r="X243" s="542">
        <v>0</v>
      </c>
      <c r="Y243" s="542">
        <v>0</v>
      </c>
      <c r="Z243" s="542">
        <v>0</v>
      </c>
      <c r="AA243" s="542">
        <v>0</v>
      </c>
      <c r="AB243" s="542">
        <v>0</v>
      </c>
      <c r="AC243" s="542">
        <v>0</v>
      </c>
      <c r="AD243" s="542">
        <v>0</v>
      </c>
      <c r="AE243" s="542">
        <v>0</v>
      </c>
      <c r="AF243" s="542">
        <v>0</v>
      </c>
      <c r="AG243" s="542">
        <v>0</v>
      </c>
      <c r="AH243" s="542">
        <v>0</v>
      </c>
      <c r="AI243" s="542">
        <v>0</v>
      </c>
      <c r="AJ243" s="542">
        <v>0</v>
      </c>
      <c r="AK243" s="542">
        <v>0</v>
      </c>
      <c r="AL243" s="542">
        <v>0</v>
      </c>
      <c r="AM243" s="542">
        <v>0</v>
      </c>
      <c r="AN243" s="542">
        <v>0</v>
      </c>
      <c r="AO243" s="542">
        <v>0</v>
      </c>
      <c r="AP243" s="542">
        <v>0</v>
      </c>
      <c r="AQ243" s="542">
        <v>476489.13799999998</v>
      </c>
      <c r="AR243" s="542">
        <v>107210.056</v>
      </c>
      <c r="AS243" s="542">
        <v>11912.2284</v>
      </c>
      <c r="AT243" s="542">
        <v>506969</v>
      </c>
      <c r="AU243" s="542">
        <v>114068</v>
      </c>
      <c r="AV243" s="542">
        <v>12674</v>
      </c>
      <c r="AW243" s="542">
        <v>-30480</v>
      </c>
      <c r="AX243" s="542">
        <v>-6858</v>
      </c>
      <c r="AY243" s="542">
        <v>-762</v>
      </c>
      <c r="AZ243" s="542">
        <v>53852.072999999997</v>
      </c>
      <c r="BA243" s="542">
        <v>12116.716399999999</v>
      </c>
      <c r="BB243" s="542">
        <v>1346.3018199999999</v>
      </c>
      <c r="BC243" s="542">
        <v>0</v>
      </c>
      <c r="BD243" s="542">
        <v>0</v>
      </c>
      <c r="BE243" s="542">
        <v>0</v>
      </c>
      <c r="BF243" s="542">
        <v>53852</v>
      </c>
      <c r="BG243" s="542">
        <v>12117</v>
      </c>
      <c r="BH243" s="542">
        <v>1346</v>
      </c>
      <c r="BI243" s="542">
        <v>2781.61868</v>
      </c>
      <c r="BJ243" s="542">
        <v>625.86420299999997</v>
      </c>
      <c r="BK243" s="542">
        <v>69.540467000000007</v>
      </c>
      <c r="BL243" s="542">
        <v>40424</v>
      </c>
      <c r="BM243" s="542">
        <v>9096</v>
      </c>
      <c r="BN243" s="542">
        <v>1011</v>
      </c>
      <c r="BO243" s="542">
        <v>-37642</v>
      </c>
      <c r="BP243" s="542">
        <v>-8470</v>
      </c>
      <c r="BQ243" s="542">
        <v>-941</v>
      </c>
      <c r="BR243" s="542">
        <v>1616.98513</v>
      </c>
      <c r="BS243" s="542">
        <v>363.82165600000002</v>
      </c>
      <c r="BT243" s="542">
        <v>40.424628400000003</v>
      </c>
      <c r="BU243" s="542">
        <v>3638.2165599999998</v>
      </c>
      <c r="BV243" s="542">
        <v>818.59872600000006</v>
      </c>
      <c r="BW243" s="542">
        <v>90.955414000000005</v>
      </c>
      <c r="BX243" s="542">
        <v>-2021</v>
      </c>
      <c r="BY243" s="542">
        <v>-455</v>
      </c>
      <c r="BZ243" s="542">
        <v>-51</v>
      </c>
      <c r="CA243" s="542">
        <v>99568.285300000003</v>
      </c>
      <c r="CB243" s="542">
        <v>22402.8642</v>
      </c>
      <c r="CC243" s="542">
        <v>2489.2071299999998</v>
      </c>
      <c r="CD243" s="542">
        <v>179081.10399999999</v>
      </c>
      <c r="CE243" s="542">
        <v>40293.248399999997</v>
      </c>
      <c r="CF243" s="542">
        <v>4477.0276000000003</v>
      </c>
      <c r="CG243" s="542">
        <v>-79513</v>
      </c>
      <c r="CH243" s="542">
        <v>-17890</v>
      </c>
      <c r="CI243" s="542">
        <v>-1988</v>
      </c>
      <c r="CJ243" s="542">
        <v>0</v>
      </c>
      <c r="CK243" s="542">
        <v>0</v>
      </c>
      <c r="CL243" s="542">
        <v>0</v>
      </c>
      <c r="CM243" s="542">
        <v>0</v>
      </c>
      <c r="CN243" s="542">
        <v>0</v>
      </c>
      <c r="CO243" s="542">
        <v>0</v>
      </c>
      <c r="CP243" s="542">
        <v>0</v>
      </c>
      <c r="CQ243" s="542">
        <v>0</v>
      </c>
      <c r="CR243" s="542">
        <v>0</v>
      </c>
      <c r="CS243" s="542">
        <v>0</v>
      </c>
      <c r="CT243" s="542">
        <v>0</v>
      </c>
      <c r="CU243" s="542">
        <v>0</v>
      </c>
      <c r="CV243" s="542">
        <v>285952.10600000003</v>
      </c>
      <c r="CW243" s="542">
        <v>64339.2238</v>
      </c>
      <c r="CX243" s="542">
        <v>7148.8026499999996</v>
      </c>
      <c r="CY243" s="542">
        <v>289612</v>
      </c>
      <c r="CZ243" s="542">
        <v>64638</v>
      </c>
      <c r="DA243" s="542">
        <v>7182</v>
      </c>
      <c r="DB243" s="542">
        <v>-3660</v>
      </c>
      <c r="DC243" s="542">
        <v>-299</v>
      </c>
      <c r="DD243" s="542">
        <v>-33</v>
      </c>
      <c r="DE243" s="153" t="s">
        <v>351</v>
      </c>
      <c r="DF243" s="103" t="s">
        <v>790</v>
      </c>
      <c r="DG243" s="104" t="s">
        <v>791</v>
      </c>
      <c r="DH243" s="547"/>
      <c r="DI243" s="547"/>
    </row>
    <row r="244" spans="1:113" x14ac:dyDescent="0.2">
      <c r="A244" s="93">
        <v>238</v>
      </c>
      <c r="B244" s="145" t="s">
        <v>354</v>
      </c>
      <c r="C244" s="141" t="s">
        <v>866</v>
      </c>
      <c r="D244" s="142" t="s">
        <v>869</v>
      </c>
      <c r="E244" s="149" t="s">
        <v>353</v>
      </c>
      <c r="F244" s="542">
        <v>40713</v>
      </c>
      <c r="G244" s="542">
        <v>0</v>
      </c>
      <c r="H244" s="542">
        <v>40713</v>
      </c>
      <c r="I244" s="542">
        <v>11353</v>
      </c>
      <c r="J244" s="542">
        <v>0</v>
      </c>
      <c r="K244" s="542">
        <v>11353</v>
      </c>
      <c r="L244" s="542">
        <v>29360</v>
      </c>
      <c r="M244" s="542">
        <v>0</v>
      </c>
      <c r="N244" s="542">
        <v>29360</v>
      </c>
      <c r="O244" s="543">
        <v>0.5</v>
      </c>
      <c r="P244" s="543">
        <v>0.4</v>
      </c>
      <c r="Q244" s="543">
        <v>0.09</v>
      </c>
      <c r="R244" s="543">
        <v>0.01</v>
      </c>
      <c r="S244" s="542">
        <v>90918</v>
      </c>
      <c r="T244" s="542">
        <v>90918</v>
      </c>
      <c r="U244" s="542">
        <v>0</v>
      </c>
      <c r="V244" s="542">
        <v>0</v>
      </c>
      <c r="W244" s="542">
        <v>0</v>
      </c>
      <c r="X244" s="542">
        <v>0</v>
      </c>
      <c r="Y244" s="542">
        <v>0</v>
      </c>
      <c r="Z244" s="542">
        <v>0</v>
      </c>
      <c r="AA244" s="542">
        <v>0</v>
      </c>
      <c r="AB244" s="542">
        <v>0</v>
      </c>
      <c r="AC244" s="542">
        <v>0</v>
      </c>
      <c r="AD244" s="542">
        <v>0</v>
      </c>
      <c r="AE244" s="542">
        <v>0</v>
      </c>
      <c r="AF244" s="542">
        <v>0</v>
      </c>
      <c r="AG244" s="542">
        <v>0</v>
      </c>
      <c r="AH244" s="542">
        <v>0</v>
      </c>
      <c r="AI244" s="542">
        <v>0</v>
      </c>
      <c r="AJ244" s="542">
        <v>0</v>
      </c>
      <c r="AK244" s="542">
        <v>0</v>
      </c>
      <c r="AL244" s="542">
        <v>0</v>
      </c>
      <c r="AM244" s="542">
        <v>0</v>
      </c>
      <c r="AN244" s="542">
        <v>0</v>
      </c>
      <c r="AO244" s="542">
        <v>0</v>
      </c>
      <c r="AP244" s="542">
        <v>0</v>
      </c>
      <c r="AQ244" s="542">
        <v>293748.19</v>
      </c>
      <c r="AR244" s="542">
        <v>66093.342799999999</v>
      </c>
      <c r="AS244" s="542">
        <v>7343.7047499999999</v>
      </c>
      <c r="AT244" s="542">
        <v>263527</v>
      </c>
      <c r="AU244" s="542">
        <v>59294</v>
      </c>
      <c r="AV244" s="542">
        <v>6588</v>
      </c>
      <c r="AW244" s="542">
        <v>30221</v>
      </c>
      <c r="AX244" s="542">
        <v>6799</v>
      </c>
      <c r="AY244" s="542">
        <v>756</v>
      </c>
      <c r="AZ244" s="542">
        <v>390.50191000000001</v>
      </c>
      <c r="BA244" s="542">
        <v>87.862929899999997</v>
      </c>
      <c r="BB244" s="542">
        <v>9.7625477699999994</v>
      </c>
      <c r="BC244" s="542">
        <v>0</v>
      </c>
      <c r="BD244" s="542">
        <v>0</v>
      </c>
      <c r="BE244" s="542">
        <v>0</v>
      </c>
      <c r="BF244" s="542">
        <v>391</v>
      </c>
      <c r="BG244" s="542">
        <v>88</v>
      </c>
      <c r="BH244" s="542">
        <v>10</v>
      </c>
      <c r="BI244" s="542">
        <v>0</v>
      </c>
      <c r="BJ244" s="542">
        <v>0</v>
      </c>
      <c r="BK244" s="542">
        <v>0</v>
      </c>
      <c r="BL244" s="542">
        <v>7728</v>
      </c>
      <c r="BM244" s="542">
        <v>1739</v>
      </c>
      <c r="BN244" s="542">
        <v>193</v>
      </c>
      <c r="BO244" s="542">
        <v>-7728</v>
      </c>
      <c r="BP244" s="542">
        <v>-1739</v>
      </c>
      <c r="BQ244" s="542">
        <v>-193</v>
      </c>
      <c r="BR244" s="542">
        <v>1525.2212300000001</v>
      </c>
      <c r="BS244" s="542">
        <v>343.17477700000001</v>
      </c>
      <c r="BT244" s="542">
        <v>38.130530700000001</v>
      </c>
      <c r="BU244" s="542">
        <v>29474</v>
      </c>
      <c r="BV244" s="542">
        <v>6632</v>
      </c>
      <c r="BW244" s="542">
        <v>737</v>
      </c>
      <c r="BX244" s="542">
        <v>-27949</v>
      </c>
      <c r="BY244" s="542">
        <v>-6289</v>
      </c>
      <c r="BZ244" s="542">
        <v>-699</v>
      </c>
      <c r="CA244" s="542">
        <v>51264.088300000003</v>
      </c>
      <c r="CB244" s="542">
        <v>11534.4198</v>
      </c>
      <c r="CC244" s="542">
        <v>1281.6022</v>
      </c>
      <c r="CD244" s="542">
        <v>35170</v>
      </c>
      <c r="CE244" s="542">
        <v>7913</v>
      </c>
      <c r="CF244" s="542">
        <v>879</v>
      </c>
      <c r="CG244" s="542">
        <v>16094</v>
      </c>
      <c r="CH244" s="542">
        <v>3621</v>
      </c>
      <c r="CI244" s="542">
        <v>403</v>
      </c>
      <c r="CJ244" s="542">
        <v>0</v>
      </c>
      <c r="CK244" s="542">
        <v>0</v>
      </c>
      <c r="CL244" s="542">
        <v>0</v>
      </c>
      <c r="CM244" s="542">
        <v>12876.456899999999</v>
      </c>
      <c r="CN244" s="542">
        <v>2897.2028</v>
      </c>
      <c r="CO244" s="542">
        <v>321.91142200000002</v>
      </c>
      <c r="CP244" s="542">
        <v>0</v>
      </c>
      <c r="CQ244" s="542">
        <v>0</v>
      </c>
      <c r="CR244" s="542">
        <v>0</v>
      </c>
      <c r="CS244" s="542">
        <v>12876</v>
      </c>
      <c r="CT244" s="542">
        <v>2897</v>
      </c>
      <c r="CU244" s="542">
        <v>322</v>
      </c>
      <c r="CV244" s="542">
        <v>96023.914999999994</v>
      </c>
      <c r="CW244" s="542">
        <v>21605.380799999999</v>
      </c>
      <c r="CX244" s="542">
        <v>2400.5978700000001</v>
      </c>
      <c r="CY244" s="542">
        <v>90477</v>
      </c>
      <c r="CZ244" s="542">
        <v>20140</v>
      </c>
      <c r="DA244" s="542">
        <v>2238</v>
      </c>
      <c r="DB244" s="542">
        <v>5547</v>
      </c>
      <c r="DC244" s="542">
        <v>1465</v>
      </c>
      <c r="DD244" s="542">
        <v>163</v>
      </c>
      <c r="DE244" s="153" t="s">
        <v>353</v>
      </c>
      <c r="DF244" s="103" t="s">
        <v>753</v>
      </c>
      <c r="DG244" s="104" t="s">
        <v>754</v>
      </c>
      <c r="DH244" s="547"/>
      <c r="DI244" s="547"/>
    </row>
    <row r="245" spans="1:113" x14ac:dyDescent="0.2">
      <c r="A245" s="93">
        <v>239</v>
      </c>
      <c r="B245" s="145" t="s">
        <v>356</v>
      </c>
      <c r="C245" s="141" t="s">
        <v>770</v>
      </c>
      <c r="D245" s="142" t="s">
        <v>875</v>
      </c>
      <c r="E245" s="149" t="s">
        <v>724</v>
      </c>
      <c r="F245" s="542">
        <v>97020</v>
      </c>
      <c r="G245" s="542">
        <v>0</v>
      </c>
      <c r="H245" s="542">
        <v>97020</v>
      </c>
      <c r="I245" s="542">
        <v>309644</v>
      </c>
      <c r="J245" s="542">
        <v>0</v>
      </c>
      <c r="K245" s="542">
        <v>309644</v>
      </c>
      <c r="L245" s="542">
        <v>-212624</v>
      </c>
      <c r="M245" s="542">
        <v>0</v>
      </c>
      <c r="N245" s="542">
        <v>-212624</v>
      </c>
      <c r="O245" s="543">
        <v>0.5</v>
      </c>
      <c r="P245" s="543">
        <v>0.49</v>
      </c>
      <c r="Q245" s="543">
        <v>0</v>
      </c>
      <c r="R245" s="543">
        <v>0.01</v>
      </c>
      <c r="S245" s="542">
        <v>332372</v>
      </c>
      <c r="T245" s="542">
        <v>332372</v>
      </c>
      <c r="U245" s="542">
        <v>0</v>
      </c>
      <c r="V245" s="542">
        <v>3031485</v>
      </c>
      <c r="W245" s="542">
        <v>536371</v>
      </c>
      <c r="X245" s="542">
        <v>2495114</v>
      </c>
      <c r="Y245" s="542">
        <v>72977</v>
      </c>
      <c r="Z245" s="542">
        <v>0</v>
      </c>
      <c r="AA245" s="542">
        <v>0</v>
      </c>
      <c r="AB245" s="542">
        <v>0</v>
      </c>
      <c r="AC245" s="542">
        <v>72977</v>
      </c>
      <c r="AD245" s="542">
        <v>0</v>
      </c>
      <c r="AE245" s="542">
        <v>0</v>
      </c>
      <c r="AF245" s="542">
        <v>0</v>
      </c>
      <c r="AG245" s="542">
        <v>0</v>
      </c>
      <c r="AH245" s="542">
        <v>0</v>
      </c>
      <c r="AI245" s="542">
        <v>0</v>
      </c>
      <c r="AJ245" s="542">
        <v>0</v>
      </c>
      <c r="AK245" s="542">
        <v>0</v>
      </c>
      <c r="AL245" s="542">
        <v>0</v>
      </c>
      <c r="AM245" s="542">
        <v>0</v>
      </c>
      <c r="AN245" s="542">
        <v>0</v>
      </c>
      <c r="AO245" s="542">
        <v>0</v>
      </c>
      <c r="AP245" s="542">
        <v>0</v>
      </c>
      <c r="AQ245" s="542">
        <v>896968.02</v>
      </c>
      <c r="AR245" s="542">
        <v>0</v>
      </c>
      <c r="AS245" s="542">
        <v>18212.98</v>
      </c>
      <c r="AT245" s="542">
        <v>801474</v>
      </c>
      <c r="AU245" s="542">
        <v>0</v>
      </c>
      <c r="AV245" s="542">
        <v>16357</v>
      </c>
      <c r="AW245" s="542">
        <v>95494</v>
      </c>
      <c r="AX245" s="542">
        <v>0</v>
      </c>
      <c r="AY245" s="542">
        <v>1856</v>
      </c>
      <c r="AZ245" s="542">
        <v>1913.95</v>
      </c>
      <c r="BA245" s="542">
        <v>0</v>
      </c>
      <c r="BB245" s="542">
        <v>39.06</v>
      </c>
      <c r="BC245" s="542">
        <v>49710</v>
      </c>
      <c r="BD245" s="542">
        <v>0</v>
      </c>
      <c r="BE245" s="542">
        <v>1014</v>
      </c>
      <c r="BF245" s="542">
        <v>-47796</v>
      </c>
      <c r="BG245" s="542">
        <v>0</v>
      </c>
      <c r="BH245" s="542">
        <v>-975</v>
      </c>
      <c r="BI245" s="542">
        <v>0</v>
      </c>
      <c r="BJ245" s="542">
        <v>0</v>
      </c>
      <c r="BK245" s="542">
        <v>0</v>
      </c>
      <c r="BL245" s="542">
        <v>31000</v>
      </c>
      <c r="BM245" s="542">
        <v>0</v>
      </c>
      <c r="BN245" s="542">
        <v>633</v>
      </c>
      <c r="BO245" s="542">
        <v>-31000</v>
      </c>
      <c r="BP245" s="542">
        <v>0</v>
      </c>
      <c r="BQ245" s="542">
        <v>-633</v>
      </c>
      <c r="BR245" s="542">
        <v>8792.7999999999993</v>
      </c>
      <c r="BS245" s="542">
        <v>0</v>
      </c>
      <c r="BT245" s="542">
        <v>179.44</v>
      </c>
      <c r="BU245" s="542">
        <v>148560.51</v>
      </c>
      <c r="BV245" s="542">
        <v>0</v>
      </c>
      <c r="BW245" s="542">
        <v>3031.85</v>
      </c>
      <c r="BX245" s="542">
        <v>-139768</v>
      </c>
      <c r="BY245" s="542">
        <v>0</v>
      </c>
      <c r="BZ245" s="542">
        <v>-2852</v>
      </c>
      <c r="CA245" s="542">
        <v>273519.21000000002</v>
      </c>
      <c r="CB245" s="542">
        <v>0</v>
      </c>
      <c r="CC245" s="542">
        <v>5582.02</v>
      </c>
      <c r="CD245" s="542">
        <v>666046.28</v>
      </c>
      <c r="CE245" s="542">
        <v>0</v>
      </c>
      <c r="CF245" s="542">
        <v>13592.78</v>
      </c>
      <c r="CG245" s="542">
        <v>-392527</v>
      </c>
      <c r="CH245" s="542">
        <v>0</v>
      </c>
      <c r="CI245" s="542">
        <v>-8011</v>
      </c>
      <c r="CJ245" s="542">
        <v>3218.09</v>
      </c>
      <c r="CK245" s="542">
        <v>0</v>
      </c>
      <c r="CL245" s="542">
        <v>65.680000000000007</v>
      </c>
      <c r="CM245" s="542">
        <v>1293.96</v>
      </c>
      <c r="CN245" s="542">
        <v>0</v>
      </c>
      <c r="CO245" s="542">
        <v>26.41</v>
      </c>
      <c r="CP245" s="542">
        <v>4395</v>
      </c>
      <c r="CQ245" s="542">
        <v>0</v>
      </c>
      <c r="CR245" s="542">
        <v>89.7</v>
      </c>
      <c r="CS245" s="542">
        <v>117</v>
      </c>
      <c r="CT245" s="542">
        <v>0</v>
      </c>
      <c r="CU245" s="542">
        <v>2</v>
      </c>
      <c r="CV245" s="542">
        <v>667733.81000000006</v>
      </c>
      <c r="CW245" s="542">
        <v>0</v>
      </c>
      <c r="CX245" s="542">
        <v>12954.65</v>
      </c>
      <c r="CY245" s="542">
        <v>723525</v>
      </c>
      <c r="CZ245" s="542">
        <v>0</v>
      </c>
      <c r="DA245" s="542">
        <v>13851</v>
      </c>
      <c r="DB245" s="542">
        <v>-55791</v>
      </c>
      <c r="DC245" s="542">
        <v>0</v>
      </c>
      <c r="DD245" s="542">
        <v>-896</v>
      </c>
      <c r="DE245" s="153" t="s">
        <v>724</v>
      </c>
      <c r="DF245" s="103" t="s">
        <v>770</v>
      </c>
      <c r="DG245" s="104" t="s">
        <v>771</v>
      </c>
      <c r="DH245" s="549" t="s">
        <v>1178</v>
      </c>
      <c r="DI245" s="549"/>
    </row>
    <row r="246" spans="1:113" x14ac:dyDescent="0.2">
      <c r="A246" s="93">
        <v>240</v>
      </c>
      <c r="B246" s="145" t="s">
        <v>358</v>
      </c>
      <c r="C246" s="141" t="s">
        <v>866</v>
      </c>
      <c r="D246" s="142" t="s">
        <v>875</v>
      </c>
      <c r="E246" s="149" t="s">
        <v>357</v>
      </c>
      <c r="F246" s="542">
        <v>1623526</v>
      </c>
      <c r="G246" s="542">
        <v>0</v>
      </c>
      <c r="H246" s="542">
        <v>1623526</v>
      </c>
      <c r="I246" s="542">
        <v>1523875</v>
      </c>
      <c r="J246" s="542">
        <v>0</v>
      </c>
      <c r="K246" s="542">
        <v>1523875</v>
      </c>
      <c r="L246" s="542">
        <v>99651</v>
      </c>
      <c r="M246" s="542">
        <v>0</v>
      </c>
      <c r="N246" s="542">
        <v>99651</v>
      </c>
      <c r="O246" s="543">
        <v>0.5</v>
      </c>
      <c r="P246" s="543">
        <v>0.4</v>
      </c>
      <c r="Q246" s="543">
        <v>0.09</v>
      </c>
      <c r="R246" s="543">
        <v>0.01</v>
      </c>
      <c r="S246" s="542">
        <v>206162</v>
      </c>
      <c r="T246" s="542">
        <v>206162</v>
      </c>
      <c r="U246" s="542">
        <v>0</v>
      </c>
      <c r="V246" s="542">
        <v>0</v>
      </c>
      <c r="W246" s="542">
        <v>0</v>
      </c>
      <c r="X246" s="542">
        <v>0</v>
      </c>
      <c r="Y246" s="542">
        <v>0</v>
      </c>
      <c r="Z246" s="542">
        <v>0</v>
      </c>
      <c r="AA246" s="542">
        <v>0</v>
      </c>
      <c r="AB246" s="542">
        <v>0</v>
      </c>
      <c r="AC246" s="542">
        <v>0</v>
      </c>
      <c r="AD246" s="542">
        <v>0</v>
      </c>
      <c r="AE246" s="542">
        <v>0</v>
      </c>
      <c r="AF246" s="542">
        <v>0</v>
      </c>
      <c r="AG246" s="542">
        <v>0</v>
      </c>
      <c r="AH246" s="542">
        <v>0</v>
      </c>
      <c r="AI246" s="542">
        <v>0</v>
      </c>
      <c r="AJ246" s="542">
        <v>0</v>
      </c>
      <c r="AK246" s="542">
        <v>0</v>
      </c>
      <c r="AL246" s="542">
        <v>0</v>
      </c>
      <c r="AM246" s="542">
        <v>0</v>
      </c>
      <c r="AN246" s="542">
        <v>0</v>
      </c>
      <c r="AO246" s="542">
        <v>0</v>
      </c>
      <c r="AP246" s="542">
        <v>0</v>
      </c>
      <c r="AQ246" s="542">
        <v>833035.16899999999</v>
      </c>
      <c r="AR246" s="542">
        <v>187432.913</v>
      </c>
      <c r="AS246" s="542">
        <v>20825.879199999999</v>
      </c>
      <c r="AT246" s="542">
        <v>800982</v>
      </c>
      <c r="AU246" s="542">
        <v>180221</v>
      </c>
      <c r="AV246" s="542">
        <v>20025</v>
      </c>
      <c r="AW246" s="542">
        <v>32053</v>
      </c>
      <c r="AX246" s="542">
        <v>7212</v>
      </c>
      <c r="AY246" s="542">
        <v>801</v>
      </c>
      <c r="AZ246" s="542">
        <v>0</v>
      </c>
      <c r="BA246" s="542">
        <v>0</v>
      </c>
      <c r="BB246" s="542">
        <v>0</v>
      </c>
      <c r="BC246" s="542">
        <v>8085</v>
      </c>
      <c r="BD246" s="542">
        <v>1819</v>
      </c>
      <c r="BE246" s="542">
        <v>202</v>
      </c>
      <c r="BF246" s="542">
        <v>-8085</v>
      </c>
      <c r="BG246" s="542">
        <v>-1819</v>
      </c>
      <c r="BH246" s="542">
        <v>-202</v>
      </c>
      <c r="BI246" s="542">
        <v>0</v>
      </c>
      <c r="BJ246" s="542">
        <v>0</v>
      </c>
      <c r="BK246" s="542">
        <v>0</v>
      </c>
      <c r="BL246" s="542">
        <v>8085</v>
      </c>
      <c r="BM246" s="542">
        <v>1819</v>
      </c>
      <c r="BN246" s="542">
        <v>202</v>
      </c>
      <c r="BO246" s="542">
        <v>-8085</v>
      </c>
      <c r="BP246" s="542">
        <v>-1819</v>
      </c>
      <c r="BQ246" s="542">
        <v>-202</v>
      </c>
      <c r="BR246" s="542">
        <v>1087.8267499999999</v>
      </c>
      <c r="BS246" s="542">
        <v>244.761019</v>
      </c>
      <c r="BT246" s="542">
        <v>27.195668699999999</v>
      </c>
      <c r="BU246" s="542">
        <v>16169.8513</v>
      </c>
      <c r="BV246" s="542">
        <v>3638.2165599999998</v>
      </c>
      <c r="BW246" s="542">
        <v>404.246284</v>
      </c>
      <c r="BX246" s="542">
        <v>-15082</v>
      </c>
      <c r="BY246" s="542">
        <v>-3393</v>
      </c>
      <c r="BZ246" s="542">
        <v>-377</v>
      </c>
      <c r="CA246" s="542">
        <v>259902.06299999999</v>
      </c>
      <c r="CB246" s="542">
        <v>58477.9643</v>
      </c>
      <c r="CC246" s="542">
        <v>6497.55159</v>
      </c>
      <c r="CD246" s="542">
        <v>323397.027</v>
      </c>
      <c r="CE246" s="542">
        <v>72764.331200000001</v>
      </c>
      <c r="CF246" s="542">
        <v>8084.92569</v>
      </c>
      <c r="CG246" s="542">
        <v>-63495</v>
      </c>
      <c r="CH246" s="542">
        <v>-14286</v>
      </c>
      <c r="CI246" s="542">
        <v>-1587</v>
      </c>
      <c r="CJ246" s="542">
        <v>0</v>
      </c>
      <c r="CK246" s="542">
        <v>0</v>
      </c>
      <c r="CL246" s="542">
        <v>0</v>
      </c>
      <c r="CM246" s="542">
        <v>11084.837299999999</v>
      </c>
      <c r="CN246" s="542">
        <v>2494.0884000000001</v>
      </c>
      <c r="CO246" s="542">
        <v>277.12093399999998</v>
      </c>
      <c r="CP246" s="542">
        <v>0</v>
      </c>
      <c r="CQ246" s="542">
        <v>0</v>
      </c>
      <c r="CR246" s="542">
        <v>0</v>
      </c>
      <c r="CS246" s="542">
        <v>11085</v>
      </c>
      <c r="CT246" s="542">
        <v>2494</v>
      </c>
      <c r="CU246" s="542">
        <v>277</v>
      </c>
      <c r="CV246" s="542">
        <v>125347.961</v>
      </c>
      <c r="CW246" s="542">
        <v>28203.291399999998</v>
      </c>
      <c r="CX246" s="542">
        <v>3133.69904</v>
      </c>
      <c r="CY246" s="542">
        <v>129021</v>
      </c>
      <c r="CZ246" s="542">
        <v>28537</v>
      </c>
      <c r="DA246" s="542">
        <v>3171</v>
      </c>
      <c r="DB246" s="542">
        <v>-3673</v>
      </c>
      <c r="DC246" s="542">
        <v>-334</v>
      </c>
      <c r="DD246" s="542">
        <v>-37</v>
      </c>
      <c r="DE246" s="153" t="s">
        <v>357</v>
      </c>
      <c r="DF246" s="103" t="s">
        <v>803</v>
      </c>
      <c r="DG246" s="104" t="s">
        <v>804</v>
      </c>
      <c r="DH246" s="547"/>
      <c r="DI246" s="547"/>
    </row>
    <row r="247" spans="1:113" x14ac:dyDescent="0.2">
      <c r="A247" s="93">
        <v>241</v>
      </c>
      <c r="B247" s="145" t="s">
        <v>360</v>
      </c>
      <c r="C247" s="141" t="s">
        <v>866</v>
      </c>
      <c r="D247" s="142" t="s">
        <v>869</v>
      </c>
      <c r="E247" s="149" t="s">
        <v>359</v>
      </c>
      <c r="F247" s="542">
        <v>242699</v>
      </c>
      <c r="G247" s="542">
        <v>0</v>
      </c>
      <c r="H247" s="542">
        <v>242699</v>
      </c>
      <c r="I247" s="542">
        <v>416785</v>
      </c>
      <c r="J247" s="542">
        <v>0</v>
      </c>
      <c r="K247" s="542">
        <v>416785</v>
      </c>
      <c r="L247" s="542">
        <v>-174086</v>
      </c>
      <c r="M247" s="542">
        <v>0</v>
      </c>
      <c r="N247" s="542">
        <v>-174086</v>
      </c>
      <c r="O247" s="543">
        <v>0.5</v>
      </c>
      <c r="P247" s="543">
        <v>0.4</v>
      </c>
      <c r="Q247" s="543">
        <v>0.1</v>
      </c>
      <c r="R247" s="543">
        <v>0</v>
      </c>
      <c r="S247" s="542">
        <v>113332</v>
      </c>
      <c r="T247" s="542">
        <v>113332</v>
      </c>
      <c r="U247" s="542">
        <v>0</v>
      </c>
      <c r="V247" s="542">
        <v>0</v>
      </c>
      <c r="W247" s="542">
        <v>0</v>
      </c>
      <c r="X247" s="542">
        <v>0</v>
      </c>
      <c r="Y247" s="542">
        <v>207260</v>
      </c>
      <c r="Z247" s="542">
        <v>0</v>
      </c>
      <c r="AA247" s="542">
        <v>207260</v>
      </c>
      <c r="AB247" s="542">
        <v>0</v>
      </c>
      <c r="AC247" s="542">
        <v>0</v>
      </c>
      <c r="AD247" s="542">
        <v>0</v>
      </c>
      <c r="AE247" s="542">
        <v>0</v>
      </c>
      <c r="AF247" s="542">
        <v>0</v>
      </c>
      <c r="AG247" s="542">
        <v>0</v>
      </c>
      <c r="AH247" s="542">
        <v>0</v>
      </c>
      <c r="AI247" s="542">
        <v>0</v>
      </c>
      <c r="AJ247" s="542">
        <v>0</v>
      </c>
      <c r="AK247" s="542">
        <v>0</v>
      </c>
      <c r="AL247" s="542">
        <v>0</v>
      </c>
      <c r="AM247" s="542">
        <v>0</v>
      </c>
      <c r="AN247" s="542">
        <v>0</v>
      </c>
      <c r="AO247" s="542">
        <v>0</v>
      </c>
      <c r="AP247" s="542">
        <v>0</v>
      </c>
      <c r="AQ247" s="542">
        <v>355133.79700000002</v>
      </c>
      <c r="AR247" s="542">
        <v>88783.449200000003</v>
      </c>
      <c r="AS247" s="542">
        <v>0</v>
      </c>
      <c r="AT247" s="542">
        <v>344162</v>
      </c>
      <c r="AU247" s="542">
        <v>86040</v>
      </c>
      <c r="AV247" s="542">
        <v>0</v>
      </c>
      <c r="AW247" s="542">
        <v>10972</v>
      </c>
      <c r="AX247" s="542">
        <v>2743</v>
      </c>
      <c r="AY247" s="542">
        <v>0</v>
      </c>
      <c r="AZ247" s="542">
        <v>0</v>
      </c>
      <c r="BA247" s="542">
        <v>0</v>
      </c>
      <c r="BB247" s="542">
        <v>0</v>
      </c>
      <c r="BC247" s="542">
        <v>9922</v>
      </c>
      <c r="BD247" s="542">
        <v>2481</v>
      </c>
      <c r="BE247" s="542">
        <v>0</v>
      </c>
      <c r="BF247" s="542">
        <v>-9922</v>
      </c>
      <c r="BG247" s="542">
        <v>-2481</v>
      </c>
      <c r="BH247" s="542">
        <v>0</v>
      </c>
      <c r="BI247" s="542">
        <v>0</v>
      </c>
      <c r="BJ247" s="542">
        <v>0</v>
      </c>
      <c r="BK247" s="542">
        <v>0</v>
      </c>
      <c r="BL247" s="542">
        <v>0</v>
      </c>
      <c r="BM247" s="542">
        <v>0</v>
      </c>
      <c r="BN247" s="542">
        <v>0</v>
      </c>
      <c r="BO247" s="542">
        <v>0</v>
      </c>
      <c r="BP247" s="542">
        <v>0</v>
      </c>
      <c r="BQ247" s="542">
        <v>0</v>
      </c>
      <c r="BR247" s="542">
        <v>0</v>
      </c>
      <c r="BS247" s="542">
        <v>0</v>
      </c>
      <c r="BT247" s="542">
        <v>0</v>
      </c>
      <c r="BU247" s="542">
        <v>1242</v>
      </c>
      <c r="BV247" s="542">
        <v>310</v>
      </c>
      <c r="BW247" s="542">
        <v>0</v>
      </c>
      <c r="BX247" s="542">
        <v>-1242</v>
      </c>
      <c r="BY247" s="542">
        <v>-310</v>
      </c>
      <c r="BZ247" s="542">
        <v>0</v>
      </c>
      <c r="CA247" s="542">
        <v>82956.997000000003</v>
      </c>
      <c r="CB247" s="542">
        <v>20739.249199999998</v>
      </c>
      <c r="CC247" s="542">
        <v>0</v>
      </c>
      <c r="CD247" s="542">
        <v>134716</v>
      </c>
      <c r="CE247" s="542">
        <v>33679</v>
      </c>
      <c r="CF247" s="542">
        <v>0</v>
      </c>
      <c r="CG247" s="542">
        <v>-51759</v>
      </c>
      <c r="CH247" s="542">
        <v>-12940</v>
      </c>
      <c r="CI247" s="542">
        <v>0</v>
      </c>
      <c r="CJ247" s="542">
        <v>0</v>
      </c>
      <c r="CK247" s="542">
        <v>0</v>
      </c>
      <c r="CL247" s="542">
        <v>0</v>
      </c>
      <c r="CM247" s="542">
        <v>0</v>
      </c>
      <c r="CN247" s="542">
        <v>0</v>
      </c>
      <c r="CO247" s="542">
        <v>0</v>
      </c>
      <c r="CP247" s="542">
        <v>0</v>
      </c>
      <c r="CQ247" s="542">
        <v>0</v>
      </c>
      <c r="CR247" s="542">
        <v>0</v>
      </c>
      <c r="CS247" s="542">
        <v>0</v>
      </c>
      <c r="CT247" s="542">
        <v>0</v>
      </c>
      <c r="CU247" s="542">
        <v>0</v>
      </c>
      <c r="CV247" s="542">
        <v>105519.549</v>
      </c>
      <c r="CW247" s="542">
        <v>25829.834299999999</v>
      </c>
      <c r="CX247" s="542">
        <v>0</v>
      </c>
      <c r="CY247" s="542">
        <v>110398</v>
      </c>
      <c r="CZ247" s="542">
        <v>26749</v>
      </c>
      <c r="DA247" s="542">
        <v>0</v>
      </c>
      <c r="DB247" s="542">
        <v>-4878</v>
      </c>
      <c r="DC247" s="542">
        <v>-919</v>
      </c>
      <c r="DD247" s="542">
        <v>0</v>
      </c>
      <c r="DE247" s="153" t="s">
        <v>359</v>
      </c>
      <c r="DF247" s="103" t="s">
        <v>778</v>
      </c>
      <c r="DG247" s="104" t="s">
        <v>751</v>
      </c>
      <c r="DH247" s="547"/>
      <c r="DI247" s="547"/>
    </row>
    <row r="248" spans="1:113" x14ac:dyDescent="0.2">
      <c r="A248" s="93">
        <v>242</v>
      </c>
      <c r="B248" s="145" t="s">
        <v>362</v>
      </c>
      <c r="C248" s="141" t="s">
        <v>866</v>
      </c>
      <c r="D248" s="142" t="s">
        <v>869</v>
      </c>
      <c r="E248" s="149" t="s">
        <v>361</v>
      </c>
      <c r="F248" s="542">
        <v>-166565</v>
      </c>
      <c r="G248" s="542">
        <v>0</v>
      </c>
      <c r="H248" s="542">
        <v>-166565</v>
      </c>
      <c r="I248" s="542">
        <v>42188</v>
      </c>
      <c r="J248" s="542">
        <v>0</v>
      </c>
      <c r="K248" s="542">
        <v>42188</v>
      </c>
      <c r="L248" s="542">
        <v>-208753</v>
      </c>
      <c r="M248" s="542">
        <v>0</v>
      </c>
      <c r="N248" s="542">
        <v>-208753</v>
      </c>
      <c r="O248" s="543">
        <v>0.5</v>
      </c>
      <c r="P248" s="543">
        <v>0.4</v>
      </c>
      <c r="Q248" s="543">
        <v>0.1</v>
      </c>
      <c r="R248" s="543">
        <v>0</v>
      </c>
      <c r="S248" s="542">
        <v>179909</v>
      </c>
      <c r="T248" s="542">
        <v>179909</v>
      </c>
      <c r="U248" s="542">
        <v>0</v>
      </c>
      <c r="V248" s="542">
        <v>0</v>
      </c>
      <c r="W248" s="542">
        <v>0</v>
      </c>
      <c r="X248" s="542">
        <v>0</v>
      </c>
      <c r="Y248" s="542">
        <v>0</v>
      </c>
      <c r="Z248" s="542">
        <v>0</v>
      </c>
      <c r="AA248" s="542">
        <v>0</v>
      </c>
      <c r="AB248" s="542">
        <v>0</v>
      </c>
      <c r="AC248" s="542">
        <v>0</v>
      </c>
      <c r="AD248" s="542">
        <v>0</v>
      </c>
      <c r="AE248" s="542">
        <v>0</v>
      </c>
      <c r="AF248" s="542">
        <v>0</v>
      </c>
      <c r="AG248" s="542">
        <v>0</v>
      </c>
      <c r="AH248" s="542">
        <v>0</v>
      </c>
      <c r="AI248" s="542">
        <v>0</v>
      </c>
      <c r="AJ248" s="542">
        <v>0</v>
      </c>
      <c r="AK248" s="542">
        <v>0</v>
      </c>
      <c r="AL248" s="542">
        <v>0</v>
      </c>
      <c r="AM248" s="542">
        <v>0</v>
      </c>
      <c r="AN248" s="542">
        <v>0</v>
      </c>
      <c r="AO248" s="542">
        <v>0</v>
      </c>
      <c r="AP248" s="542">
        <v>0</v>
      </c>
      <c r="AQ248" s="542">
        <v>563016.03399999999</v>
      </c>
      <c r="AR248" s="542">
        <v>140754.008</v>
      </c>
      <c r="AS248" s="542">
        <v>0</v>
      </c>
      <c r="AT248" s="542">
        <v>523499</v>
      </c>
      <c r="AU248" s="542">
        <v>130875</v>
      </c>
      <c r="AV248" s="542">
        <v>0</v>
      </c>
      <c r="AW248" s="542">
        <v>39517</v>
      </c>
      <c r="AX248" s="542">
        <v>9879</v>
      </c>
      <c r="AY248" s="542">
        <v>0</v>
      </c>
      <c r="AZ248" s="542">
        <v>0</v>
      </c>
      <c r="BA248" s="542">
        <v>0</v>
      </c>
      <c r="BB248" s="542">
        <v>0</v>
      </c>
      <c r="BC248" s="542">
        <v>4042</v>
      </c>
      <c r="BD248" s="542">
        <v>1011</v>
      </c>
      <c r="BE248" s="542">
        <v>0</v>
      </c>
      <c r="BF248" s="542">
        <v>-4042</v>
      </c>
      <c r="BG248" s="542">
        <v>-1011</v>
      </c>
      <c r="BH248" s="542">
        <v>0</v>
      </c>
      <c r="BI248" s="542">
        <v>22316.0118</v>
      </c>
      <c r="BJ248" s="542">
        <v>5579.0029699999996</v>
      </c>
      <c r="BK248" s="542">
        <v>0</v>
      </c>
      <c r="BL248" s="542">
        <v>20212</v>
      </c>
      <c r="BM248" s="542">
        <v>5053</v>
      </c>
      <c r="BN248" s="542">
        <v>0</v>
      </c>
      <c r="BO248" s="542">
        <v>2104</v>
      </c>
      <c r="BP248" s="542">
        <v>526</v>
      </c>
      <c r="BQ248" s="542">
        <v>0</v>
      </c>
      <c r="BR248" s="542">
        <v>7917.9719699999996</v>
      </c>
      <c r="BS248" s="542">
        <v>1979.49299</v>
      </c>
      <c r="BT248" s="542">
        <v>0</v>
      </c>
      <c r="BU248" s="542">
        <v>32340</v>
      </c>
      <c r="BV248" s="542">
        <v>8085</v>
      </c>
      <c r="BW248" s="542">
        <v>0</v>
      </c>
      <c r="BX248" s="542">
        <v>-24422</v>
      </c>
      <c r="BY248" s="542">
        <v>-6106</v>
      </c>
      <c r="BZ248" s="542">
        <v>0</v>
      </c>
      <c r="CA248" s="542">
        <v>272560.22700000001</v>
      </c>
      <c r="CB248" s="542">
        <v>68140.056899999996</v>
      </c>
      <c r="CC248" s="542">
        <v>0</v>
      </c>
      <c r="CD248" s="542">
        <v>323397</v>
      </c>
      <c r="CE248" s="542">
        <v>80849</v>
      </c>
      <c r="CF248" s="542">
        <v>0</v>
      </c>
      <c r="CG248" s="542">
        <v>-50837</v>
      </c>
      <c r="CH248" s="542">
        <v>-12709</v>
      </c>
      <c r="CI248" s="542">
        <v>0</v>
      </c>
      <c r="CJ248" s="542">
        <v>0</v>
      </c>
      <c r="CK248" s="542">
        <v>0</v>
      </c>
      <c r="CL248" s="542">
        <v>0</v>
      </c>
      <c r="CM248" s="542">
        <v>0</v>
      </c>
      <c r="CN248" s="542">
        <v>0</v>
      </c>
      <c r="CO248" s="542">
        <v>0</v>
      </c>
      <c r="CP248" s="542">
        <v>0</v>
      </c>
      <c r="CQ248" s="542">
        <v>0</v>
      </c>
      <c r="CR248" s="542">
        <v>0</v>
      </c>
      <c r="CS248" s="542">
        <v>0</v>
      </c>
      <c r="CT248" s="542">
        <v>0</v>
      </c>
      <c r="CU248" s="542">
        <v>0</v>
      </c>
      <c r="CV248" s="542">
        <v>159087.57500000001</v>
      </c>
      <c r="CW248" s="542">
        <v>39771.893799999998</v>
      </c>
      <c r="CX248" s="542">
        <v>0</v>
      </c>
      <c r="CY248" s="542">
        <v>169564</v>
      </c>
      <c r="CZ248" s="542">
        <v>41914</v>
      </c>
      <c r="DA248" s="542">
        <v>0</v>
      </c>
      <c r="DB248" s="542">
        <v>-10476</v>
      </c>
      <c r="DC248" s="542">
        <v>-2142</v>
      </c>
      <c r="DD248" s="542">
        <v>0</v>
      </c>
      <c r="DE248" s="153" t="s">
        <v>361</v>
      </c>
      <c r="DF248" s="103" t="s">
        <v>778</v>
      </c>
      <c r="DG248" s="104" t="s">
        <v>751</v>
      </c>
      <c r="DH248" s="547"/>
      <c r="DI248" s="547"/>
    </row>
    <row r="249" spans="1:113" x14ac:dyDescent="0.2">
      <c r="A249" s="93">
        <v>243</v>
      </c>
      <c r="B249" s="145" t="s">
        <v>364</v>
      </c>
      <c r="C249" s="141" t="s">
        <v>866</v>
      </c>
      <c r="D249" s="142" t="s">
        <v>868</v>
      </c>
      <c r="E249" s="149" t="s">
        <v>363</v>
      </c>
      <c r="F249" s="542">
        <v>-64830</v>
      </c>
      <c r="G249" s="542">
        <v>0</v>
      </c>
      <c r="H249" s="542">
        <v>-64830</v>
      </c>
      <c r="I249" s="542">
        <v>49827</v>
      </c>
      <c r="J249" s="542">
        <v>0</v>
      </c>
      <c r="K249" s="542">
        <v>49827</v>
      </c>
      <c r="L249" s="542">
        <v>-114657</v>
      </c>
      <c r="M249" s="542">
        <v>0</v>
      </c>
      <c r="N249" s="542">
        <v>-114657</v>
      </c>
      <c r="O249" s="543">
        <v>0.5</v>
      </c>
      <c r="P249" s="543">
        <v>0.4</v>
      </c>
      <c r="Q249" s="543">
        <v>0.1</v>
      </c>
      <c r="R249" s="543">
        <v>0</v>
      </c>
      <c r="S249" s="542">
        <v>297725</v>
      </c>
      <c r="T249" s="542">
        <v>297725</v>
      </c>
      <c r="U249" s="542">
        <v>0</v>
      </c>
      <c r="V249" s="542">
        <v>0</v>
      </c>
      <c r="W249" s="542">
        <v>0</v>
      </c>
      <c r="X249" s="542">
        <v>0</v>
      </c>
      <c r="Y249" s="542">
        <v>0</v>
      </c>
      <c r="Z249" s="542">
        <v>0</v>
      </c>
      <c r="AA249" s="542">
        <v>0</v>
      </c>
      <c r="AB249" s="542">
        <v>0</v>
      </c>
      <c r="AC249" s="542">
        <v>0</v>
      </c>
      <c r="AD249" s="542">
        <v>0</v>
      </c>
      <c r="AE249" s="542">
        <v>0</v>
      </c>
      <c r="AF249" s="542">
        <v>0</v>
      </c>
      <c r="AG249" s="542">
        <v>0</v>
      </c>
      <c r="AH249" s="542">
        <v>0</v>
      </c>
      <c r="AI249" s="542">
        <v>0</v>
      </c>
      <c r="AJ249" s="542">
        <v>0</v>
      </c>
      <c r="AK249" s="542">
        <v>0</v>
      </c>
      <c r="AL249" s="542">
        <v>0</v>
      </c>
      <c r="AM249" s="542">
        <v>0</v>
      </c>
      <c r="AN249" s="542">
        <v>0</v>
      </c>
      <c r="AO249" s="542">
        <v>0</v>
      </c>
      <c r="AP249" s="542">
        <v>0</v>
      </c>
      <c r="AQ249" s="542">
        <v>1199540.4099999999</v>
      </c>
      <c r="AR249" s="542">
        <v>299885.103</v>
      </c>
      <c r="AS249" s="542">
        <v>0</v>
      </c>
      <c r="AT249" s="542">
        <v>1118024</v>
      </c>
      <c r="AU249" s="542">
        <v>279506</v>
      </c>
      <c r="AV249" s="542">
        <v>0</v>
      </c>
      <c r="AW249" s="542">
        <v>81516</v>
      </c>
      <c r="AX249" s="542">
        <v>20379</v>
      </c>
      <c r="AY249" s="542">
        <v>0</v>
      </c>
      <c r="AZ249" s="542">
        <v>6561.3214399999997</v>
      </c>
      <c r="BA249" s="542">
        <v>1640.3303599999999</v>
      </c>
      <c r="BB249" s="542">
        <v>0</v>
      </c>
      <c r="BC249" s="542">
        <v>9497</v>
      </c>
      <c r="BD249" s="542">
        <v>2374</v>
      </c>
      <c r="BE249" s="542">
        <v>0</v>
      </c>
      <c r="BF249" s="542">
        <v>-2936</v>
      </c>
      <c r="BG249" s="542">
        <v>-734</v>
      </c>
      <c r="BH249" s="542">
        <v>0</v>
      </c>
      <c r="BI249" s="542">
        <v>1613.34692</v>
      </c>
      <c r="BJ249" s="542">
        <v>403.33672999999999</v>
      </c>
      <c r="BK249" s="542">
        <v>0</v>
      </c>
      <c r="BL249" s="542">
        <v>0</v>
      </c>
      <c r="BM249" s="542">
        <v>0</v>
      </c>
      <c r="BN249" s="542">
        <v>0</v>
      </c>
      <c r="BO249" s="542">
        <v>1613</v>
      </c>
      <c r="BP249" s="542">
        <v>403</v>
      </c>
      <c r="BQ249" s="542">
        <v>0</v>
      </c>
      <c r="BR249" s="542">
        <v>7571.5329000000002</v>
      </c>
      <c r="BS249" s="542">
        <v>1892.8832199999999</v>
      </c>
      <c r="BT249" s="542">
        <v>0</v>
      </c>
      <c r="BU249" s="542">
        <v>30318</v>
      </c>
      <c r="BV249" s="542">
        <v>7580</v>
      </c>
      <c r="BW249" s="542">
        <v>0</v>
      </c>
      <c r="BX249" s="542">
        <v>-22746</v>
      </c>
      <c r="BY249" s="542">
        <v>-5687</v>
      </c>
      <c r="BZ249" s="542">
        <v>0</v>
      </c>
      <c r="CA249" s="542">
        <v>324359.94199999998</v>
      </c>
      <c r="CB249" s="542">
        <v>81089.985499999995</v>
      </c>
      <c r="CC249" s="542">
        <v>0</v>
      </c>
      <c r="CD249" s="542">
        <v>408632</v>
      </c>
      <c r="CE249" s="542">
        <v>102158</v>
      </c>
      <c r="CF249" s="542">
        <v>0</v>
      </c>
      <c r="CG249" s="542">
        <v>-84272</v>
      </c>
      <c r="CH249" s="542">
        <v>-21068</v>
      </c>
      <c r="CI249" s="542">
        <v>0</v>
      </c>
      <c r="CJ249" s="542">
        <v>1139.2</v>
      </c>
      <c r="CK249" s="542">
        <v>284.8</v>
      </c>
      <c r="CL249" s="542">
        <v>0</v>
      </c>
      <c r="CM249" s="542">
        <v>1386.1605099999999</v>
      </c>
      <c r="CN249" s="542">
        <v>346.54012699999998</v>
      </c>
      <c r="CO249" s="542">
        <v>0</v>
      </c>
      <c r="CP249" s="542">
        <v>1139</v>
      </c>
      <c r="CQ249" s="542">
        <v>284.8</v>
      </c>
      <c r="CR249" s="542">
        <v>0</v>
      </c>
      <c r="CS249" s="542">
        <v>1386</v>
      </c>
      <c r="CT249" s="542">
        <v>347</v>
      </c>
      <c r="CU249" s="542">
        <v>0</v>
      </c>
      <c r="CV249" s="542">
        <v>166996.348</v>
      </c>
      <c r="CW249" s="542">
        <v>41749.087</v>
      </c>
      <c r="CX249" s="542">
        <v>0</v>
      </c>
      <c r="CY249" s="542">
        <v>171191</v>
      </c>
      <c r="CZ249" s="542">
        <v>42008</v>
      </c>
      <c r="DA249" s="542">
        <v>0</v>
      </c>
      <c r="DB249" s="542">
        <v>-4195</v>
      </c>
      <c r="DC249" s="542">
        <v>-259</v>
      </c>
      <c r="DD249" s="542">
        <v>0</v>
      </c>
      <c r="DE249" s="153" t="s">
        <v>363</v>
      </c>
      <c r="DF249" s="103" t="s">
        <v>752</v>
      </c>
      <c r="DG249" s="104" t="s">
        <v>751</v>
      </c>
      <c r="DH249" s="547"/>
      <c r="DI249" s="547"/>
    </row>
    <row r="250" spans="1:113" x14ac:dyDescent="0.2">
      <c r="A250" s="93">
        <v>244</v>
      </c>
      <c r="B250" s="145" t="s">
        <v>366</v>
      </c>
      <c r="C250" s="141" t="s">
        <v>866</v>
      </c>
      <c r="D250" s="142" t="s">
        <v>870</v>
      </c>
      <c r="E250" s="149" t="s">
        <v>365</v>
      </c>
      <c r="F250" s="542">
        <v>-99135</v>
      </c>
      <c r="G250" s="542">
        <v>0</v>
      </c>
      <c r="H250" s="542">
        <v>-99135</v>
      </c>
      <c r="I250" s="542">
        <v>70882</v>
      </c>
      <c r="J250" s="542">
        <v>0</v>
      </c>
      <c r="K250" s="542">
        <v>70882</v>
      </c>
      <c r="L250" s="542">
        <v>-170017</v>
      </c>
      <c r="M250" s="542">
        <v>0</v>
      </c>
      <c r="N250" s="542">
        <v>-170017</v>
      </c>
      <c r="O250" s="543">
        <v>0.5</v>
      </c>
      <c r="P250" s="543">
        <v>0.4</v>
      </c>
      <c r="Q250" s="543">
        <v>0.1</v>
      </c>
      <c r="R250" s="543">
        <v>0</v>
      </c>
      <c r="S250" s="542">
        <v>152442</v>
      </c>
      <c r="T250" s="542">
        <v>152442</v>
      </c>
      <c r="U250" s="542">
        <v>0</v>
      </c>
      <c r="V250" s="542">
        <v>0</v>
      </c>
      <c r="W250" s="542">
        <v>0</v>
      </c>
      <c r="X250" s="542">
        <v>0</v>
      </c>
      <c r="Y250" s="542">
        <v>0</v>
      </c>
      <c r="Z250" s="542">
        <v>0</v>
      </c>
      <c r="AA250" s="542">
        <v>0</v>
      </c>
      <c r="AB250" s="542">
        <v>0</v>
      </c>
      <c r="AC250" s="542">
        <v>0</v>
      </c>
      <c r="AD250" s="542">
        <v>0</v>
      </c>
      <c r="AE250" s="542">
        <v>0</v>
      </c>
      <c r="AF250" s="542">
        <v>0</v>
      </c>
      <c r="AG250" s="542">
        <v>0</v>
      </c>
      <c r="AH250" s="542">
        <v>0</v>
      </c>
      <c r="AI250" s="542">
        <v>0</v>
      </c>
      <c r="AJ250" s="542">
        <v>0</v>
      </c>
      <c r="AK250" s="542">
        <v>0</v>
      </c>
      <c r="AL250" s="542">
        <v>0</v>
      </c>
      <c r="AM250" s="542">
        <v>0</v>
      </c>
      <c r="AN250" s="542">
        <v>0</v>
      </c>
      <c r="AO250" s="542">
        <v>0</v>
      </c>
      <c r="AP250" s="542">
        <v>0</v>
      </c>
      <c r="AQ250" s="542">
        <v>518391.69</v>
      </c>
      <c r="AR250" s="542">
        <v>129597.92200000001</v>
      </c>
      <c r="AS250" s="542">
        <v>0</v>
      </c>
      <c r="AT250" s="542">
        <v>454050</v>
      </c>
      <c r="AU250" s="542">
        <v>113512</v>
      </c>
      <c r="AV250" s="542">
        <v>0</v>
      </c>
      <c r="AW250" s="542">
        <v>64342</v>
      </c>
      <c r="AX250" s="542">
        <v>16086</v>
      </c>
      <c r="AY250" s="542">
        <v>0</v>
      </c>
      <c r="AZ250" s="542">
        <v>269.228025</v>
      </c>
      <c r="BA250" s="542">
        <v>67.307006299999998</v>
      </c>
      <c r="BB250" s="542">
        <v>0</v>
      </c>
      <c r="BC250" s="542">
        <v>4851</v>
      </c>
      <c r="BD250" s="542">
        <v>1213</v>
      </c>
      <c r="BE250" s="542">
        <v>0</v>
      </c>
      <c r="BF250" s="542">
        <v>-4582</v>
      </c>
      <c r="BG250" s="542">
        <v>-1146</v>
      </c>
      <c r="BH250" s="542">
        <v>0</v>
      </c>
      <c r="BI250" s="542">
        <v>39846.960500000001</v>
      </c>
      <c r="BJ250" s="542">
        <v>9961.7401200000004</v>
      </c>
      <c r="BK250" s="542">
        <v>0</v>
      </c>
      <c r="BL250" s="542">
        <v>32340</v>
      </c>
      <c r="BM250" s="542">
        <v>8085</v>
      </c>
      <c r="BN250" s="542">
        <v>0</v>
      </c>
      <c r="BO250" s="542">
        <v>7507</v>
      </c>
      <c r="BP250" s="542">
        <v>1877</v>
      </c>
      <c r="BQ250" s="542">
        <v>0</v>
      </c>
      <c r="BR250" s="542">
        <v>3591.7282300000002</v>
      </c>
      <c r="BS250" s="542">
        <v>897.93205899999998</v>
      </c>
      <c r="BT250" s="542">
        <v>0</v>
      </c>
      <c r="BU250" s="542">
        <v>8085</v>
      </c>
      <c r="BV250" s="542">
        <v>2021</v>
      </c>
      <c r="BW250" s="542">
        <v>0</v>
      </c>
      <c r="BX250" s="542">
        <v>-4493</v>
      </c>
      <c r="BY250" s="542">
        <v>-1123</v>
      </c>
      <c r="BZ250" s="542">
        <v>0</v>
      </c>
      <c r="CA250" s="542">
        <v>161565.11199999999</v>
      </c>
      <c r="CB250" s="542">
        <v>40391.278100000003</v>
      </c>
      <c r="CC250" s="542">
        <v>0</v>
      </c>
      <c r="CD250" s="542">
        <v>222335</v>
      </c>
      <c r="CE250" s="542">
        <v>55584</v>
      </c>
      <c r="CF250" s="542">
        <v>0</v>
      </c>
      <c r="CG250" s="542">
        <v>-60770</v>
      </c>
      <c r="CH250" s="542">
        <v>-15193</v>
      </c>
      <c r="CI250" s="542">
        <v>0</v>
      </c>
      <c r="CJ250" s="542">
        <v>0</v>
      </c>
      <c r="CK250" s="542">
        <v>0</v>
      </c>
      <c r="CL250" s="542">
        <v>0</v>
      </c>
      <c r="CM250" s="542">
        <v>5927.4632700000002</v>
      </c>
      <c r="CN250" s="542">
        <v>1481.86581</v>
      </c>
      <c r="CO250" s="542">
        <v>0</v>
      </c>
      <c r="CP250" s="542">
        <v>0</v>
      </c>
      <c r="CQ250" s="542">
        <v>0</v>
      </c>
      <c r="CR250" s="542">
        <v>0</v>
      </c>
      <c r="CS250" s="542">
        <v>5927</v>
      </c>
      <c r="CT250" s="542">
        <v>1482</v>
      </c>
      <c r="CU250" s="542">
        <v>0</v>
      </c>
      <c r="CV250" s="542">
        <v>119227.189</v>
      </c>
      <c r="CW250" s="542">
        <v>29806.797200000001</v>
      </c>
      <c r="CX250" s="542">
        <v>0</v>
      </c>
      <c r="CY250" s="542">
        <v>121765</v>
      </c>
      <c r="CZ250" s="542">
        <v>30037</v>
      </c>
      <c r="DA250" s="542">
        <v>0</v>
      </c>
      <c r="DB250" s="542">
        <v>-2538</v>
      </c>
      <c r="DC250" s="542">
        <v>-230</v>
      </c>
      <c r="DD250" s="542">
        <v>0</v>
      </c>
      <c r="DE250" s="153" t="s">
        <v>365</v>
      </c>
      <c r="DF250" s="103" t="s">
        <v>782</v>
      </c>
      <c r="DG250" s="104" t="s">
        <v>751</v>
      </c>
      <c r="DH250" s="547"/>
      <c r="DI250" s="547"/>
    </row>
    <row r="251" spans="1:113" ht="12.75" x14ac:dyDescent="0.2">
      <c r="A251" s="93">
        <v>245</v>
      </c>
      <c r="B251" s="145" t="s">
        <v>368</v>
      </c>
      <c r="C251" s="141" t="s">
        <v>866</v>
      </c>
      <c r="D251" s="142" t="s">
        <v>869</v>
      </c>
      <c r="E251" s="149" t="s">
        <v>367</v>
      </c>
      <c r="F251" s="542">
        <v>-339402</v>
      </c>
      <c r="G251" s="542">
        <v>0</v>
      </c>
      <c r="H251" s="542">
        <v>-339402</v>
      </c>
      <c r="I251" s="542">
        <v>10857</v>
      </c>
      <c r="J251" s="542">
        <v>0</v>
      </c>
      <c r="K251" s="542">
        <v>10857</v>
      </c>
      <c r="L251" s="542">
        <v>-350259</v>
      </c>
      <c r="M251" s="542">
        <v>0</v>
      </c>
      <c r="N251" s="542">
        <v>-350259</v>
      </c>
      <c r="O251" s="543">
        <v>0.5</v>
      </c>
      <c r="P251" s="543">
        <v>0.4</v>
      </c>
      <c r="Q251" s="543">
        <v>0.1</v>
      </c>
      <c r="R251" s="543">
        <v>0</v>
      </c>
      <c r="S251" s="542">
        <v>107204</v>
      </c>
      <c r="T251" s="542">
        <v>107204</v>
      </c>
      <c r="U251" s="542">
        <v>0</v>
      </c>
      <c r="V251" s="542">
        <v>0</v>
      </c>
      <c r="W251" s="542">
        <v>0</v>
      </c>
      <c r="X251" s="542">
        <v>0</v>
      </c>
      <c r="Y251" s="542">
        <v>78282</v>
      </c>
      <c r="Z251" s="542">
        <v>0</v>
      </c>
      <c r="AA251" s="542">
        <v>0</v>
      </c>
      <c r="AB251" s="542">
        <v>0</v>
      </c>
      <c r="AC251" s="542">
        <v>78282</v>
      </c>
      <c r="AD251" s="542">
        <v>0</v>
      </c>
      <c r="AE251" s="542">
        <v>0</v>
      </c>
      <c r="AF251" s="542">
        <v>0</v>
      </c>
      <c r="AG251" s="542">
        <v>0</v>
      </c>
      <c r="AH251" s="542">
        <v>0</v>
      </c>
      <c r="AI251" s="542">
        <v>0</v>
      </c>
      <c r="AJ251" s="542">
        <v>0</v>
      </c>
      <c r="AK251" s="542">
        <v>0</v>
      </c>
      <c r="AL251" s="542">
        <v>0</v>
      </c>
      <c r="AM251" s="542">
        <v>0</v>
      </c>
      <c r="AN251" s="542">
        <v>0</v>
      </c>
      <c r="AO251" s="542">
        <v>0</v>
      </c>
      <c r="AP251" s="542">
        <v>0</v>
      </c>
      <c r="AQ251" s="542">
        <v>395137.40299999999</v>
      </c>
      <c r="AR251" s="542">
        <v>98784.350699999995</v>
      </c>
      <c r="AS251" s="542">
        <v>0</v>
      </c>
      <c r="AT251" s="542">
        <v>329047</v>
      </c>
      <c r="AU251" s="542">
        <v>82262</v>
      </c>
      <c r="AV251" s="542">
        <v>0</v>
      </c>
      <c r="AW251" s="542">
        <v>66090</v>
      </c>
      <c r="AX251" s="542">
        <v>16522</v>
      </c>
      <c r="AY251" s="542">
        <v>0</v>
      </c>
      <c r="AZ251" s="542">
        <v>0</v>
      </c>
      <c r="BA251" s="542">
        <v>0</v>
      </c>
      <c r="BB251" s="542">
        <v>0</v>
      </c>
      <c r="BC251" s="542">
        <v>0</v>
      </c>
      <c r="BD251" s="542">
        <v>0</v>
      </c>
      <c r="BE251" s="542">
        <v>0</v>
      </c>
      <c r="BF251" s="542">
        <v>0</v>
      </c>
      <c r="BG251" s="542">
        <v>0</v>
      </c>
      <c r="BH251" s="542">
        <v>0</v>
      </c>
      <c r="BI251" s="542">
        <v>0</v>
      </c>
      <c r="BJ251" s="542">
        <v>0</v>
      </c>
      <c r="BK251" s="542">
        <v>0</v>
      </c>
      <c r="BL251" s="542">
        <v>0</v>
      </c>
      <c r="BM251" s="542">
        <v>0</v>
      </c>
      <c r="BN251" s="542">
        <v>0</v>
      </c>
      <c r="BO251" s="542">
        <v>0</v>
      </c>
      <c r="BP251" s="542">
        <v>0</v>
      </c>
      <c r="BQ251" s="542">
        <v>0</v>
      </c>
      <c r="BR251" s="542">
        <v>2611.8352399999999</v>
      </c>
      <c r="BS251" s="542">
        <v>652.95881099999997</v>
      </c>
      <c r="BT251" s="542">
        <v>0</v>
      </c>
      <c r="BU251" s="542">
        <v>3855</v>
      </c>
      <c r="BV251" s="542">
        <v>964</v>
      </c>
      <c r="BW251" s="542">
        <v>0</v>
      </c>
      <c r="BX251" s="542">
        <v>-1243</v>
      </c>
      <c r="BY251" s="542">
        <v>-311</v>
      </c>
      <c r="BZ251" s="542">
        <v>0</v>
      </c>
      <c r="CA251" s="542">
        <v>96901.068299999999</v>
      </c>
      <c r="CB251" s="542">
        <v>24225.267</v>
      </c>
      <c r="CC251" s="542">
        <v>0</v>
      </c>
      <c r="CD251" s="542">
        <v>99651</v>
      </c>
      <c r="CE251" s="542">
        <v>24913</v>
      </c>
      <c r="CF251" s="542">
        <v>0</v>
      </c>
      <c r="CG251" s="542">
        <v>-2750</v>
      </c>
      <c r="CH251" s="542">
        <v>-688</v>
      </c>
      <c r="CI251" s="542">
        <v>0</v>
      </c>
      <c r="CJ251" s="542">
        <v>0</v>
      </c>
      <c r="CK251" s="542">
        <v>0</v>
      </c>
      <c r="CL251" s="542">
        <v>0</v>
      </c>
      <c r="CM251" s="542">
        <v>0</v>
      </c>
      <c r="CN251" s="542">
        <v>0</v>
      </c>
      <c r="CO251" s="542">
        <v>0</v>
      </c>
      <c r="CP251" s="542">
        <v>0</v>
      </c>
      <c r="CQ251" s="542">
        <v>0</v>
      </c>
      <c r="CR251" s="542">
        <v>0</v>
      </c>
      <c r="CS251" s="542">
        <v>0</v>
      </c>
      <c r="CT251" s="542">
        <v>0</v>
      </c>
      <c r="CU251" s="542">
        <v>0</v>
      </c>
      <c r="CV251" s="542">
        <v>77353.974499999997</v>
      </c>
      <c r="CW251" s="542">
        <v>19130.738799999999</v>
      </c>
      <c r="CX251" s="542">
        <v>0</v>
      </c>
      <c r="CY251" s="542">
        <v>89663</v>
      </c>
      <c r="CZ251" s="542">
        <v>22131</v>
      </c>
      <c r="DA251" s="542">
        <v>0</v>
      </c>
      <c r="DB251" s="542">
        <v>-12309</v>
      </c>
      <c r="DC251" s="542">
        <v>-3000</v>
      </c>
      <c r="DD251" s="542">
        <v>0</v>
      </c>
      <c r="DE251" s="153" t="s">
        <v>367</v>
      </c>
      <c r="DF251" s="103" t="s">
        <v>799</v>
      </c>
      <c r="DG251" s="104" t="s">
        <v>751</v>
      </c>
      <c r="DH251" s="548"/>
      <c r="DI251" s="548"/>
    </row>
    <row r="252" spans="1:113" x14ac:dyDescent="0.2">
      <c r="A252" s="93">
        <v>246</v>
      </c>
      <c r="B252" s="145" t="s">
        <v>370</v>
      </c>
      <c r="C252" s="141" t="s">
        <v>866</v>
      </c>
      <c r="D252" s="142" t="s">
        <v>867</v>
      </c>
      <c r="E252" s="149" t="s">
        <v>369</v>
      </c>
      <c r="F252" s="542">
        <v>-83210</v>
      </c>
      <c r="G252" s="542">
        <v>0</v>
      </c>
      <c r="H252" s="542">
        <v>-83210</v>
      </c>
      <c r="I252" s="542">
        <v>36459</v>
      </c>
      <c r="J252" s="542">
        <v>0</v>
      </c>
      <c r="K252" s="542">
        <v>36459</v>
      </c>
      <c r="L252" s="542">
        <v>-119669</v>
      </c>
      <c r="M252" s="542">
        <v>0</v>
      </c>
      <c r="N252" s="542">
        <v>-119669</v>
      </c>
      <c r="O252" s="543">
        <v>0.5</v>
      </c>
      <c r="P252" s="543">
        <v>0.4</v>
      </c>
      <c r="Q252" s="543">
        <v>0.1</v>
      </c>
      <c r="R252" s="543">
        <v>0</v>
      </c>
      <c r="S252" s="542">
        <v>189708</v>
      </c>
      <c r="T252" s="542">
        <v>187208</v>
      </c>
      <c r="U252" s="542">
        <v>2500</v>
      </c>
      <c r="V252" s="542">
        <v>0</v>
      </c>
      <c r="W252" s="542">
        <v>0</v>
      </c>
      <c r="X252" s="542">
        <v>0</v>
      </c>
      <c r="Y252" s="542">
        <v>0</v>
      </c>
      <c r="Z252" s="542">
        <v>0</v>
      </c>
      <c r="AA252" s="542">
        <v>0</v>
      </c>
      <c r="AB252" s="542">
        <v>0</v>
      </c>
      <c r="AC252" s="542">
        <v>0</v>
      </c>
      <c r="AD252" s="542">
        <v>0</v>
      </c>
      <c r="AE252" s="542">
        <v>0</v>
      </c>
      <c r="AF252" s="542">
        <v>0</v>
      </c>
      <c r="AG252" s="542">
        <v>0</v>
      </c>
      <c r="AH252" s="542">
        <v>0</v>
      </c>
      <c r="AI252" s="542">
        <v>0</v>
      </c>
      <c r="AJ252" s="542">
        <v>0</v>
      </c>
      <c r="AK252" s="542">
        <v>0</v>
      </c>
      <c r="AL252" s="542">
        <v>0</v>
      </c>
      <c r="AM252" s="542">
        <v>0</v>
      </c>
      <c r="AN252" s="542">
        <v>0</v>
      </c>
      <c r="AO252" s="542">
        <v>0</v>
      </c>
      <c r="AP252" s="542">
        <v>0</v>
      </c>
      <c r="AQ252" s="542">
        <v>502326.74</v>
      </c>
      <c r="AR252" s="542">
        <v>125581.69</v>
      </c>
      <c r="AS252" s="542">
        <v>0</v>
      </c>
      <c r="AT252" s="542">
        <v>472339</v>
      </c>
      <c r="AU252" s="542">
        <v>118085</v>
      </c>
      <c r="AV252" s="542">
        <v>0</v>
      </c>
      <c r="AW252" s="542">
        <v>29988</v>
      </c>
      <c r="AX252" s="542">
        <v>7497</v>
      </c>
      <c r="AY252" s="542">
        <v>0</v>
      </c>
      <c r="AZ252" s="542">
        <v>0</v>
      </c>
      <c r="BA252" s="542">
        <v>0</v>
      </c>
      <c r="BB252" s="542">
        <v>0</v>
      </c>
      <c r="BC252" s="542">
        <v>0</v>
      </c>
      <c r="BD252" s="542">
        <v>0</v>
      </c>
      <c r="BE252" s="542">
        <v>0</v>
      </c>
      <c r="BF252" s="542">
        <v>0</v>
      </c>
      <c r="BG252" s="542">
        <v>0</v>
      </c>
      <c r="BH252" s="542">
        <v>0</v>
      </c>
      <c r="BI252" s="542">
        <v>0</v>
      </c>
      <c r="BJ252" s="542">
        <v>0</v>
      </c>
      <c r="BK252" s="542">
        <v>0</v>
      </c>
      <c r="BL252" s="542">
        <v>0</v>
      </c>
      <c r="BM252" s="542">
        <v>0</v>
      </c>
      <c r="BN252" s="542">
        <v>0</v>
      </c>
      <c r="BO252" s="542">
        <v>0</v>
      </c>
      <c r="BP252" s="542">
        <v>0</v>
      </c>
      <c r="BQ252" s="542">
        <v>0</v>
      </c>
      <c r="BR252" s="542">
        <v>5182.84</v>
      </c>
      <c r="BS252" s="542">
        <v>1295.71</v>
      </c>
      <c r="BT252" s="542">
        <v>0</v>
      </c>
      <c r="BU252" s="542">
        <v>42850</v>
      </c>
      <c r="BV252" s="542">
        <v>10713</v>
      </c>
      <c r="BW252" s="542">
        <v>0</v>
      </c>
      <c r="BX252" s="542">
        <v>-37667</v>
      </c>
      <c r="BY252" s="542">
        <v>-9417</v>
      </c>
      <c r="BZ252" s="542">
        <v>0</v>
      </c>
      <c r="CA252" s="542">
        <v>202856.04</v>
      </c>
      <c r="CB252" s="542">
        <v>50714.01</v>
      </c>
      <c r="CC252" s="542">
        <v>0</v>
      </c>
      <c r="CD252" s="542">
        <v>270239</v>
      </c>
      <c r="CE252" s="542">
        <v>67560</v>
      </c>
      <c r="CF252" s="542">
        <v>0</v>
      </c>
      <c r="CG252" s="542">
        <v>-67383</v>
      </c>
      <c r="CH252" s="542">
        <v>-16846</v>
      </c>
      <c r="CI252" s="542">
        <v>0</v>
      </c>
      <c r="CJ252" s="542">
        <v>27591.599999999999</v>
      </c>
      <c r="CK252" s="542">
        <v>6897.9</v>
      </c>
      <c r="CL252" s="542">
        <v>0</v>
      </c>
      <c r="CM252" s="542">
        <v>972.21</v>
      </c>
      <c r="CN252" s="542">
        <v>243.05</v>
      </c>
      <c r="CO252" s="542">
        <v>0</v>
      </c>
      <c r="CP252" s="542">
        <v>34420</v>
      </c>
      <c r="CQ252" s="542">
        <v>8604.9</v>
      </c>
      <c r="CR252" s="542">
        <v>0</v>
      </c>
      <c r="CS252" s="542">
        <v>-5856</v>
      </c>
      <c r="CT252" s="542">
        <v>-1464</v>
      </c>
      <c r="CU252" s="542">
        <v>0</v>
      </c>
      <c r="CV252" s="542">
        <v>174053.09</v>
      </c>
      <c r="CW252" s="542">
        <v>43513.27</v>
      </c>
      <c r="CX252" s="542">
        <v>0</v>
      </c>
      <c r="CY252" s="542">
        <v>180913</v>
      </c>
      <c r="CZ252" s="542">
        <v>44725</v>
      </c>
      <c r="DA252" s="542">
        <v>0</v>
      </c>
      <c r="DB252" s="542">
        <v>-6860</v>
      </c>
      <c r="DC252" s="542">
        <v>-1212</v>
      </c>
      <c r="DD252" s="542">
        <v>0</v>
      </c>
      <c r="DE252" s="153" t="s">
        <v>369</v>
      </c>
      <c r="DF252" s="103" t="s">
        <v>795</v>
      </c>
      <c r="DG252" s="104" t="s">
        <v>751</v>
      </c>
      <c r="DH252" s="547"/>
      <c r="DI252" s="547"/>
    </row>
    <row r="253" spans="1:113" x14ac:dyDescent="0.2">
      <c r="A253" s="93">
        <v>247</v>
      </c>
      <c r="B253" s="145" t="s">
        <v>372</v>
      </c>
      <c r="C253" s="141" t="s">
        <v>866</v>
      </c>
      <c r="D253" s="142" t="s">
        <v>868</v>
      </c>
      <c r="E253" s="149" t="s">
        <v>371</v>
      </c>
      <c r="F253" s="542">
        <v>-182747</v>
      </c>
      <c r="G253" s="542">
        <v>0</v>
      </c>
      <c r="H253" s="542">
        <v>-182747</v>
      </c>
      <c r="I253" s="542">
        <v>30972</v>
      </c>
      <c r="J253" s="542">
        <v>0</v>
      </c>
      <c r="K253" s="542">
        <v>30972</v>
      </c>
      <c r="L253" s="542">
        <v>-213719</v>
      </c>
      <c r="M253" s="542">
        <v>0</v>
      </c>
      <c r="N253" s="542">
        <v>-213719</v>
      </c>
      <c r="O253" s="543">
        <v>0.5</v>
      </c>
      <c r="P253" s="543">
        <v>0.4</v>
      </c>
      <c r="Q253" s="543">
        <v>0.09</v>
      </c>
      <c r="R253" s="543">
        <v>0.01</v>
      </c>
      <c r="S253" s="542">
        <v>124547</v>
      </c>
      <c r="T253" s="542">
        <v>124547</v>
      </c>
      <c r="U253" s="542">
        <v>0</v>
      </c>
      <c r="V253" s="542">
        <v>0</v>
      </c>
      <c r="W253" s="542">
        <v>0</v>
      </c>
      <c r="X253" s="542">
        <v>0</v>
      </c>
      <c r="Y253" s="542">
        <v>0</v>
      </c>
      <c r="Z253" s="542">
        <v>0</v>
      </c>
      <c r="AA253" s="542">
        <v>0</v>
      </c>
      <c r="AB253" s="542">
        <v>0</v>
      </c>
      <c r="AC253" s="542">
        <v>0</v>
      </c>
      <c r="AD253" s="542">
        <v>0</v>
      </c>
      <c r="AE253" s="542">
        <v>0</v>
      </c>
      <c r="AF253" s="542">
        <v>0</v>
      </c>
      <c r="AG253" s="542">
        <v>0</v>
      </c>
      <c r="AH253" s="542">
        <v>0</v>
      </c>
      <c r="AI253" s="542">
        <v>0</v>
      </c>
      <c r="AJ253" s="542">
        <v>0</v>
      </c>
      <c r="AK253" s="542">
        <v>0</v>
      </c>
      <c r="AL253" s="542">
        <v>0</v>
      </c>
      <c r="AM253" s="542">
        <v>0</v>
      </c>
      <c r="AN253" s="542">
        <v>0</v>
      </c>
      <c r="AO253" s="542">
        <v>0</v>
      </c>
      <c r="AP253" s="542">
        <v>0</v>
      </c>
      <c r="AQ253" s="542">
        <v>441686.96899999998</v>
      </c>
      <c r="AR253" s="542">
        <v>99379.567999999999</v>
      </c>
      <c r="AS253" s="542">
        <v>11042.174199999999</v>
      </c>
      <c r="AT253" s="542">
        <v>403898</v>
      </c>
      <c r="AU253" s="542">
        <v>90877</v>
      </c>
      <c r="AV253" s="542">
        <v>10097</v>
      </c>
      <c r="AW253" s="542">
        <v>37789</v>
      </c>
      <c r="AX253" s="542">
        <v>8503</v>
      </c>
      <c r="AY253" s="542">
        <v>945</v>
      </c>
      <c r="AZ253" s="542">
        <v>0</v>
      </c>
      <c r="BA253" s="542">
        <v>0</v>
      </c>
      <c r="BB253" s="542">
        <v>0</v>
      </c>
      <c r="BC253" s="542">
        <v>4042</v>
      </c>
      <c r="BD253" s="542">
        <v>910</v>
      </c>
      <c r="BE253" s="542">
        <v>101</v>
      </c>
      <c r="BF253" s="542">
        <v>-4042</v>
      </c>
      <c r="BG253" s="542">
        <v>-910</v>
      </c>
      <c r="BH253" s="542">
        <v>-101</v>
      </c>
      <c r="BI253" s="542">
        <v>66840.910399999993</v>
      </c>
      <c r="BJ253" s="542">
        <v>15039.2048</v>
      </c>
      <c r="BK253" s="542">
        <v>1671.0227600000001</v>
      </c>
      <c r="BL253" s="542">
        <v>20212</v>
      </c>
      <c r="BM253" s="542">
        <v>4548</v>
      </c>
      <c r="BN253" s="542">
        <v>505</v>
      </c>
      <c r="BO253" s="542">
        <v>46629</v>
      </c>
      <c r="BP253" s="542">
        <v>10491</v>
      </c>
      <c r="BQ253" s="542">
        <v>1166</v>
      </c>
      <c r="BR253" s="542">
        <v>1792.4280200000001</v>
      </c>
      <c r="BS253" s="542">
        <v>403.29630500000002</v>
      </c>
      <c r="BT253" s="542">
        <v>44.810700599999997</v>
      </c>
      <c r="BU253" s="542">
        <v>10106</v>
      </c>
      <c r="BV253" s="542">
        <v>2274</v>
      </c>
      <c r="BW253" s="542">
        <v>253</v>
      </c>
      <c r="BX253" s="542">
        <v>-8314</v>
      </c>
      <c r="BY253" s="542">
        <v>-1871</v>
      </c>
      <c r="BZ253" s="542">
        <v>-208</v>
      </c>
      <c r="CA253" s="542">
        <v>111863.84</v>
      </c>
      <c r="CB253" s="542">
        <v>25169.364000000001</v>
      </c>
      <c r="CC253" s="542">
        <v>2796.596</v>
      </c>
      <c r="CD253" s="542">
        <v>303184</v>
      </c>
      <c r="CE253" s="542">
        <v>68217</v>
      </c>
      <c r="CF253" s="542">
        <v>7580</v>
      </c>
      <c r="CG253" s="542">
        <v>-191320</v>
      </c>
      <c r="CH253" s="542">
        <v>-43048</v>
      </c>
      <c r="CI253" s="542">
        <v>-4783</v>
      </c>
      <c r="CJ253" s="542">
        <v>0</v>
      </c>
      <c r="CK253" s="542">
        <v>0</v>
      </c>
      <c r="CL253" s="542">
        <v>0</v>
      </c>
      <c r="CM253" s="542">
        <v>0</v>
      </c>
      <c r="CN253" s="542">
        <v>0</v>
      </c>
      <c r="CO253" s="542">
        <v>0</v>
      </c>
      <c r="CP253" s="542">
        <v>0</v>
      </c>
      <c r="CQ253" s="542">
        <v>0</v>
      </c>
      <c r="CR253" s="542">
        <v>0</v>
      </c>
      <c r="CS253" s="542">
        <v>0</v>
      </c>
      <c r="CT253" s="542">
        <v>0</v>
      </c>
      <c r="CU253" s="542">
        <v>0</v>
      </c>
      <c r="CV253" s="542">
        <v>161262.75099999999</v>
      </c>
      <c r="CW253" s="542">
        <v>36284.119100000004</v>
      </c>
      <c r="CX253" s="542">
        <v>4031.5687899999998</v>
      </c>
      <c r="CY253" s="542">
        <v>152027</v>
      </c>
      <c r="CZ253" s="542">
        <v>33909</v>
      </c>
      <c r="DA253" s="542">
        <v>3768</v>
      </c>
      <c r="DB253" s="542">
        <v>9236</v>
      </c>
      <c r="DC253" s="542">
        <v>2375</v>
      </c>
      <c r="DD253" s="542">
        <v>264</v>
      </c>
      <c r="DE253" s="153" t="s">
        <v>371</v>
      </c>
      <c r="DF253" s="103" t="s">
        <v>789</v>
      </c>
      <c r="DG253" s="104" t="s">
        <v>776</v>
      </c>
      <c r="DH253" s="547"/>
      <c r="DI253" s="547"/>
    </row>
    <row r="254" spans="1:113" x14ac:dyDescent="0.2">
      <c r="A254" s="93">
        <v>248</v>
      </c>
      <c r="B254" s="145" t="s">
        <v>374</v>
      </c>
      <c r="C254" s="141" t="s">
        <v>866</v>
      </c>
      <c r="D254" s="142" t="s">
        <v>875</v>
      </c>
      <c r="E254" s="149" t="s">
        <v>373</v>
      </c>
      <c r="F254" s="542">
        <v>-4857</v>
      </c>
      <c r="G254" s="542">
        <v>0</v>
      </c>
      <c r="H254" s="542">
        <v>-4857</v>
      </c>
      <c r="I254" s="542">
        <v>130615</v>
      </c>
      <c r="J254" s="542">
        <v>0</v>
      </c>
      <c r="K254" s="542">
        <v>130615</v>
      </c>
      <c r="L254" s="542">
        <v>-135472</v>
      </c>
      <c r="M254" s="542">
        <v>0</v>
      </c>
      <c r="N254" s="542">
        <v>-135472</v>
      </c>
      <c r="O254" s="543">
        <v>0.5</v>
      </c>
      <c r="P254" s="543">
        <v>0.4</v>
      </c>
      <c r="Q254" s="543">
        <v>0.09</v>
      </c>
      <c r="R254" s="543">
        <v>0.01</v>
      </c>
      <c r="S254" s="542">
        <v>224259</v>
      </c>
      <c r="T254" s="542">
        <v>224259</v>
      </c>
      <c r="U254" s="542">
        <v>0</v>
      </c>
      <c r="V254" s="542">
        <v>0</v>
      </c>
      <c r="W254" s="542">
        <v>0</v>
      </c>
      <c r="X254" s="542">
        <v>0</v>
      </c>
      <c r="Y254" s="542">
        <v>142864</v>
      </c>
      <c r="Z254" s="542">
        <v>0</v>
      </c>
      <c r="AA254" s="542">
        <v>40000</v>
      </c>
      <c r="AB254" s="542">
        <v>0</v>
      </c>
      <c r="AC254" s="542">
        <v>102864</v>
      </c>
      <c r="AD254" s="542">
        <v>0</v>
      </c>
      <c r="AE254" s="542">
        <v>0</v>
      </c>
      <c r="AF254" s="542">
        <v>0</v>
      </c>
      <c r="AG254" s="542">
        <v>0</v>
      </c>
      <c r="AH254" s="542">
        <v>0</v>
      </c>
      <c r="AI254" s="542">
        <v>0</v>
      </c>
      <c r="AJ254" s="542">
        <v>0</v>
      </c>
      <c r="AK254" s="542">
        <v>0</v>
      </c>
      <c r="AL254" s="542">
        <v>0</v>
      </c>
      <c r="AM254" s="542">
        <v>0</v>
      </c>
      <c r="AN254" s="542">
        <v>0</v>
      </c>
      <c r="AO254" s="542">
        <v>0</v>
      </c>
      <c r="AP254" s="542">
        <v>0</v>
      </c>
      <c r="AQ254" s="542">
        <v>763415.87399999995</v>
      </c>
      <c r="AR254" s="542">
        <v>171768.571</v>
      </c>
      <c r="AS254" s="542">
        <v>19085.396799999999</v>
      </c>
      <c r="AT254" s="542">
        <v>702616</v>
      </c>
      <c r="AU254" s="542">
        <v>158089</v>
      </c>
      <c r="AV254" s="542">
        <v>17565</v>
      </c>
      <c r="AW254" s="542">
        <v>60800</v>
      </c>
      <c r="AX254" s="542">
        <v>13680</v>
      </c>
      <c r="AY254" s="542">
        <v>1520</v>
      </c>
      <c r="AZ254" s="542">
        <v>0</v>
      </c>
      <c r="BA254" s="542">
        <v>0</v>
      </c>
      <c r="BB254" s="542">
        <v>0</v>
      </c>
      <c r="BC254" s="542">
        <v>11424</v>
      </c>
      <c r="BD254" s="542">
        <v>2570</v>
      </c>
      <c r="BE254" s="542">
        <v>286</v>
      </c>
      <c r="BF254" s="542">
        <v>-11424</v>
      </c>
      <c r="BG254" s="542">
        <v>-2570</v>
      </c>
      <c r="BH254" s="542">
        <v>-286</v>
      </c>
      <c r="BI254" s="542">
        <v>0</v>
      </c>
      <c r="BJ254" s="542">
        <v>0</v>
      </c>
      <c r="BK254" s="542">
        <v>0</v>
      </c>
      <c r="BL254" s="542">
        <v>19477</v>
      </c>
      <c r="BM254" s="542">
        <v>4382</v>
      </c>
      <c r="BN254" s="542">
        <v>487</v>
      </c>
      <c r="BO254" s="542">
        <v>-19477</v>
      </c>
      <c r="BP254" s="542">
        <v>-4382</v>
      </c>
      <c r="BQ254" s="542">
        <v>-487</v>
      </c>
      <c r="BR254" s="542">
        <v>1158.1656</v>
      </c>
      <c r="BS254" s="542">
        <v>260.58726100000001</v>
      </c>
      <c r="BT254" s="542">
        <v>28.9541401</v>
      </c>
      <c r="BU254" s="542">
        <v>28170</v>
      </c>
      <c r="BV254" s="542">
        <v>6338</v>
      </c>
      <c r="BW254" s="542">
        <v>704</v>
      </c>
      <c r="BX254" s="542">
        <v>-27012</v>
      </c>
      <c r="BY254" s="542">
        <v>-6077</v>
      </c>
      <c r="BZ254" s="542">
        <v>-675</v>
      </c>
      <c r="CA254" s="542">
        <v>174635.60699999999</v>
      </c>
      <c r="CB254" s="542">
        <v>39293.011700000003</v>
      </c>
      <c r="CC254" s="542">
        <v>4365.8901900000001</v>
      </c>
      <c r="CD254" s="542">
        <v>293189</v>
      </c>
      <c r="CE254" s="542">
        <v>65967</v>
      </c>
      <c r="CF254" s="542">
        <v>7330</v>
      </c>
      <c r="CG254" s="542">
        <v>-118553</v>
      </c>
      <c r="CH254" s="542">
        <v>-26674</v>
      </c>
      <c r="CI254" s="542">
        <v>-2964</v>
      </c>
      <c r="CJ254" s="542">
        <v>0</v>
      </c>
      <c r="CK254" s="542">
        <v>0</v>
      </c>
      <c r="CL254" s="542">
        <v>0</v>
      </c>
      <c r="CM254" s="542">
        <v>12521.5286</v>
      </c>
      <c r="CN254" s="542">
        <v>2817.3439400000002</v>
      </c>
      <c r="CO254" s="542">
        <v>313.03821599999998</v>
      </c>
      <c r="CP254" s="542">
        <v>7293</v>
      </c>
      <c r="CQ254" s="542">
        <v>1640.88</v>
      </c>
      <c r="CR254" s="542">
        <v>182.32</v>
      </c>
      <c r="CS254" s="542">
        <v>5229</v>
      </c>
      <c r="CT254" s="542">
        <v>1176</v>
      </c>
      <c r="CU254" s="542">
        <v>131</v>
      </c>
      <c r="CV254" s="542">
        <v>175970.37</v>
      </c>
      <c r="CW254" s="542">
        <v>39252.097699999998</v>
      </c>
      <c r="CX254" s="542">
        <v>4361.3441899999998</v>
      </c>
      <c r="CY254" s="542">
        <v>184340</v>
      </c>
      <c r="CZ254" s="542">
        <v>40845</v>
      </c>
      <c r="DA254" s="542">
        <v>4538</v>
      </c>
      <c r="DB254" s="542">
        <v>-8370</v>
      </c>
      <c r="DC254" s="542">
        <v>-1593</v>
      </c>
      <c r="DD254" s="542">
        <v>-177</v>
      </c>
      <c r="DE254" s="153" t="s">
        <v>373</v>
      </c>
      <c r="DF254" s="103" t="s">
        <v>815</v>
      </c>
      <c r="DG254" s="104" t="s">
        <v>804</v>
      </c>
      <c r="DH254" s="547"/>
      <c r="DI254" s="547"/>
    </row>
    <row r="255" spans="1:113" x14ac:dyDescent="0.2">
      <c r="A255" s="93">
        <v>249</v>
      </c>
      <c r="B255" s="145" t="s">
        <v>376</v>
      </c>
      <c r="C255" s="141" t="s">
        <v>866</v>
      </c>
      <c r="D255" s="142" t="s">
        <v>876</v>
      </c>
      <c r="E255" s="149" t="s">
        <v>375</v>
      </c>
      <c r="F255" s="542">
        <v>-302646</v>
      </c>
      <c r="G255" s="542">
        <v>0</v>
      </c>
      <c r="H255" s="542">
        <v>-302646</v>
      </c>
      <c r="I255" s="542">
        <v>82539</v>
      </c>
      <c r="J255" s="542">
        <v>0</v>
      </c>
      <c r="K255" s="542">
        <v>82539</v>
      </c>
      <c r="L255" s="542">
        <v>-385185</v>
      </c>
      <c r="M255" s="542">
        <v>0</v>
      </c>
      <c r="N255" s="542">
        <v>-385185</v>
      </c>
      <c r="O255" s="543">
        <v>0.5</v>
      </c>
      <c r="P255" s="543">
        <v>0.4</v>
      </c>
      <c r="Q255" s="543">
        <v>0.09</v>
      </c>
      <c r="R255" s="543">
        <v>0.01</v>
      </c>
      <c r="S255" s="542">
        <v>103969</v>
      </c>
      <c r="T255" s="542">
        <v>103969</v>
      </c>
      <c r="U255" s="542">
        <v>0</v>
      </c>
      <c r="V255" s="542">
        <v>1653887</v>
      </c>
      <c r="W255" s="542">
        <v>933668</v>
      </c>
      <c r="X255" s="542">
        <v>720219</v>
      </c>
      <c r="Y255" s="542">
        <v>0</v>
      </c>
      <c r="Z255" s="542">
        <v>215668</v>
      </c>
      <c r="AA255" s="542">
        <v>0</v>
      </c>
      <c r="AB255" s="542">
        <v>0</v>
      </c>
      <c r="AC255" s="542">
        <v>0</v>
      </c>
      <c r="AD255" s="542">
        <v>215668</v>
      </c>
      <c r="AE255" s="542">
        <v>54608.619899999998</v>
      </c>
      <c r="AF255" s="542">
        <v>54608.619899999998</v>
      </c>
      <c r="AG255" s="542">
        <v>0</v>
      </c>
      <c r="AH255" s="542">
        <v>0</v>
      </c>
      <c r="AI255" s="542">
        <v>108070</v>
      </c>
      <c r="AJ255" s="542">
        <v>108070</v>
      </c>
      <c r="AK255" s="542">
        <v>0</v>
      </c>
      <c r="AL255" s="542">
        <v>0</v>
      </c>
      <c r="AM255" s="542">
        <v>-53461</v>
      </c>
      <c r="AN255" s="542">
        <v>-53461</v>
      </c>
      <c r="AO255" s="542">
        <v>0</v>
      </c>
      <c r="AP255" s="542">
        <v>0</v>
      </c>
      <c r="AQ255" s="542">
        <v>416332.23700000002</v>
      </c>
      <c r="AR255" s="542">
        <v>93674.753500000006</v>
      </c>
      <c r="AS255" s="542">
        <v>10408.305899999999</v>
      </c>
      <c r="AT255" s="542">
        <v>387664</v>
      </c>
      <c r="AU255" s="542">
        <v>87224</v>
      </c>
      <c r="AV255" s="542">
        <v>9692</v>
      </c>
      <c r="AW255" s="542">
        <v>28668</v>
      </c>
      <c r="AX255" s="542">
        <v>6451</v>
      </c>
      <c r="AY255" s="542">
        <v>716</v>
      </c>
      <c r="AZ255" s="542">
        <v>275.695966</v>
      </c>
      <c r="BA255" s="542">
        <v>62.0315923</v>
      </c>
      <c r="BB255" s="542">
        <v>6.8923991500000001</v>
      </c>
      <c r="BC255" s="542">
        <v>0</v>
      </c>
      <c r="BD255" s="542">
        <v>0</v>
      </c>
      <c r="BE255" s="542">
        <v>0</v>
      </c>
      <c r="BF255" s="542">
        <v>276</v>
      </c>
      <c r="BG255" s="542">
        <v>62</v>
      </c>
      <c r="BH255" s="542">
        <v>7</v>
      </c>
      <c r="BI255" s="542">
        <v>0</v>
      </c>
      <c r="BJ255" s="542">
        <v>0</v>
      </c>
      <c r="BK255" s="542">
        <v>0</v>
      </c>
      <c r="BL255" s="542">
        <v>0</v>
      </c>
      <c r="BM255" s="542">
        <v>0</v>
      </c>
      <c r="BN255" s="542">
        <v>0</v>
      </c>
      <c r="BO255" s="542">
        <v>0</v>
      </c>
      <c r="BP255" s="542">
        <v>0</v>
      </c>
      <c r="BQ255" s="542">
        <v>0</v>
      </c>
      <c r="BR255" s="542">
        <v>0</v>
      </c>
      <c r="BS255" s="542">
        <v>0</v>
      </c>
      <c r="BT255" s="542">
        <v>0</v>
      </c>
      <c r="BU255" s="542">
        <v>1616.98513</v>
      </c>
      <c r="BV255" s="542">
        <v>363.82165600000002</v>
      </c>
      <c r="BW255" s="542">
        <v>40.424628400000003</v>
      </c>
      <c r="BX255" s="542">
        <v>-1617</v>
      </c>
      <c r="BY255" s="542">
        <v>-364</v>
      </c>
      <c r="BZ255" s="542">
        <v>-40</v>
      </c>
      <c r="CA255" s="542">
        <v>113301.74400000001</v>
      </c>
      <c r="CB255" s="542">
        <v>25492.892400000001</v>
      </c>
      <c r="CC255" s="542">
        <v>2832.5436</v>
      </c>
      <c r="CD255" s="542">
        <v>139982.40299999999</v>
      </c>
      <c r="CE255" s="542">
        <v>31496.040700000001</v>
      </c>
      <c r="CF255" s="542">
        <v>3499.5600800000002</v>
      </c>
      <c r="CG255" s="542">
        <v>-26681</v>
      </c>
      <c r="CH255" s="542">
        <v>-6003</v>
      </c>
      <c r="CI255" s="542">
        <v>-667</v>
      </c>
      <c r="CJ255" s="542">
        <v>0</v>
      </c>
      <c r="CK255" s="542">
        <v>0</v>
      </c>
      <c r="CL255" s="542">
        <v>0</v>
      </c>
      <c r="CM255" s="542">
        <v>0</v>
      </c>
      <c r="CN255" s="542">
        <v>0</v>
      </c>
      <c r="CO255" s="542">
        <v>0</v>
      </c>
      <c r="CP255" s="542">
        <v>0</v>
      </c>
      <c r="CQ255" s="542">
        <v>0</v>
      </c>
      <c r="CR255" s="542">
        <v>0</v>
      </c>
      <c r="CS255" s="542">
        <v>0</v>
      </c>
      <c r="CT255" s="542">
        <v>0</v>
      </c>
      <c r="CU255" s="542">
        <v>0</v>
      </c>
      <c r="CV255" s="542">
        <v>89198.2399</v>
      </c>
      <c r="CW255" s="542">
        <v>18408.706099999999</v>
      </c>
      <c r="CX255" s="542">
        <v>1791.0263199999999</v>
      </c>
      <c r="CY255" s="542">
        <v>99994</v>
      </c>
      <c r="CZ255" s="542">
        <v>19762</v>
      </c>
      <c r="DA255" s="542">
        <v>2196</v>
      </c>
      <c r="DB255" s="542">
        <v>-10796</v>
      </c>
      <c r="DC255" s="542">
        <v>-1353</v>
      </c>
      <c r="DD255" s="542">
        <v>-405</v>
      </c>
      <c r="DE255" s="153" t="s">
        <v>375</v>
      </c>
      <c r="DF255" s="103" t="s">
        <v>792</v>
      </c>
      <c r="DG255" s="104" t="s">
        <v>793</v>
      </c>
      <c r="DH255" s="549" t="s">
        <v>1207</v>
      </c>
      <c r="DI255" s="549"/>
    </row>
    <row r="256" spans="1:113" ht="12.75" x14ac:dyDescent="0.2">
      <c r="A256" s="93">
        <v>250</v>
      </c>
      <c r="B256" s="145" t="s">
        <v>378</v>
      </c>
      <c r="C256" s="141" t="s">
        <v>873</v>
      </c>
      <c r="D256" s="142" t="s">
        <v>878</v>
      </c>
      <c r="E256" s="149" t="s">
        <v>377</v>
      </c>
      <c r="F256" s="542">
        <v>-49960</v>
      </c>
      <c r="G256" s="542">
        <v>0</v>
      </c>
      <c r="H256" s="542">
        <v>-49960</v>
      </c>
      <c r="I256" s="542">
        <v>55242</v>
      </c>
      <c r="J256" s="542">
        <v>0</v>
      </c>
      <c r="K256" s="542">
        <v>55242</v>
      </c>
      <c r="L256" s="542">
        <v>-105202</v>
      </c>
      <c r="M256" s="542">
        <v>0</v>
      </c>
      <c r="N256" s="542">
        <v>-105202</v>
      </c>
      <c r="O256" s="543">
        <v>0.5</v>
      </c>
      <c r="P256" s="543">
        <v>0.49</v>
      </c>
      <c r="Q256" s="543">
        <v>0</v>
      </c>
      <c r="R256" s="543">
        <v>0.01</v>
      </c>
      <c r="S256" s="542">
        <v>150815</v>
      </c>
      <c r="T256" s="542">
        <v>150815</v>
      </c>
      <c r="U256" s="542">
        <v>0</v>
      </c>
      <c r="V256" s="542">
        <v>0</v>
      </c>
      <c r="W256" s="542">
        <v>0</v>
      </c>
      <c r="X256" s="542">
        <v>0</v>
      </c>
      <c r="Y256" s="542">
        <v>0</v>
      </c>
      <c r="Z256" s="542">
        <v>0</v>
      </c>
      <c r="AA256" s="542">
        <v>0</v>
      </c>
      <c r="AB256" s="542">
        <v>0</v>
      </c>
      <c r="AC256" s="542">
        <v>0</v>
      </c>
      <c r="AD256" s="542">
        <v>0</v>
      </c>
      <c r="AE256" s="542">
        <v>0</v>
      </c>
      <c r="AF256" s="542">
        <v>0</v>
      </c>
      <c r="AG256" s="542">
        <v>0</v>
      </c>
      <c r="AH256" s="542">
        <v>0</v>
      </c>
      <c r="AI256" s="542">
        <v>0</v>
      </c>
      <c r="AJ256" s="542">
        <v>0</v>
      </c>
      <c r="AK256" s="542">
        <v>0</v>
      </c>
      <c r="AL256" s="542">
        <v>0</v>
      </c>
      <c r="AM256" s="542">
        <v>0</v>
      </c>
      <c r="AN256" s="542">
        <v>0</v>
      </c>
      <c r="AO256" s="542">
        <v>0</v>
      </c>
      <c r="AP256" s="542">
        <v>0</v>
      </c>
      <c r="AQ256" s="542">
        <v>658397.89</v>
      </c>
      <c r="AR256" s="542">
        <v>0</v>
      </c>
      <c r="AS256" s="542">
        <v>13436.69</v>
      </c>
      <c r="AT256" s="542">
        <v>584718</v>
      </c>
      <c r="AU256" s="542">
        <v>0</v>
      </c>
      <c r="AV256" s="542">
        <v>11933</v>
      </c>
      <c r="AW256" s="542">
        <v>73680</v>
      </c>
      <c r="AX256" s="542">
        <v>0</v>
      </c>
      <c r="AY256" s="542">
        <v>1504</v>
      </c>
      <c r="AZ256" s="542">
        <v>0</v>
      </c>
      <c r="BA256" s="542">
        <v>0</v>
      </c>
      <c r="BB256" s="542">
        <v>0</v>
      </c>
      <c r="BC256" s="542">
        <v>0</v>
      </c>
      <c r="BD256" s="542">
        <v>0</v>
      </c>
      <c r="BE256" s="542">
        <v>0</v>
      </c>
      <c r="BF256" s="542">
        <v>0</v>
      </c>
      <c r="BG256" s="542">
        <v>0</v>
      </c>
      <c r="BH256" s="542">
        <v>0</v>
      </c>
      <c r="BI256" s="542">
        <v>0</v>
      </c>
      <c r="BJ256" s="542">
        <v>0</v>
      </c>
      <c r="BK256" s="542">
        <v>0</v>
      </c>
      <c r="BL256" s="542">
        <v>0</v>
      </c>
      <c r="BM256" s="542">
        <v>0</v>
      </c>
      <c r="BN256" s="542">
        <v>0</v>
      </c>
      <c r="BO256" s="542">
        <v>0</v>
      </c>
      <c r="BP256" s="542">
        <v>0</v>
      </c>
      <c r="BQ256" s="542">
        <v>0</v>
      </c>
      <c r="BR256" s="542">
        <v>3872.97</v>
      </c>
      <c r="BS256" s="542">
        <v>0</v>
      </c>
      <c r="BT256" s="542">
        <v>79.040000000000006</v>
      </c>
      <c r="BU256" s="542">
        <v>24760</v>
      </c>
      <c r="BV256" s="542">
        <v>0</v>
      </c>
      <c r="BW256" s="542">
        <v>505</v>
      </c>
      <c r="BX256" s="542">
        <v>-20887</v>
      </c>
      <c r="BY256" s="542">
        <v>0</v>
      </c>
      <c r="BZ256" s="542">
        <v>-426</v>
      </c>
      <c r="CA256" s="542">
        <v>228419.21</v>
      </c>
      <c r="CB256" s="542">
        <v>0</v>
      </c>
      <c r="CC256" s="542">
        <v>4661.62</v>
      </c>
      <c r="CD256" s="542">
        <v>272361</v>
      </c>
      <c r="CE256" s="542">
        <v>0</v>
      </c>
      <c r="CF256" s="542">
        <v>5558</v>
      </c>
      <c r="CG256" s="542">
        <v>-43942</v>
      </c>
      <c r="CH256" s="542">
        <v>0</v>
      </c>
      <c r="CI256" s="542">
        <v>-896</v>
      </c>
      <c r="CJ256" s="542">
        <v>0</v>
      </c>
      <c r="CK256" s="542">
        <v>0</v>
      </c>
      <c r="CL256" s="542">
        <v>0</v>
      </c>
      <c r="CM256" s="542">
        <v>0</v>
      </c>
      <c r="CN256" s="542">
        <v>0</v>
      </c>
      <c r="CO256" s="542">
        <v>0</v>
      </c>
      <c r="CP256" s="542">
        <v>0</v>
      </c>
      <c r="CQ256" s="542">
        <v>0</v>
      </c>
      <c r="CR256" s="542">
        <v>0</v>
      </c>
      <c r="CS256" s="542">
        <v>0</v>
      </c>
      <c r="CT256" s="542">
        <v>0</v>
      </c>
      <c r="CU256" s="542">
        <v>0</v>
      </c>
      <c r="CV256" s="542">
        <v>157171.29</v>
      </c>
      <c r="CW256" s="542">
        <v>0</v>
      </c>
      <c r="CX256" s="542">
        <v>3207.58</v>
      </c>
      <c r="CY256" s="542">
        <v>157411</v>
      </c>
      <c r="CZ256" s="542">
        <v>0</v>
      </c>
      <c r="DA256" s="542">
        <v>3180</v>
      </c>
      <c r="DB256" s="542">
        <v>-240</v>
      </c>
      <c r="DC256" s="542">
        <v>0</v>
      </c>
      <c r="DD256" s="542">
        <v>28</v>
      </c>
      <c r="DE256" s="153" t="s">
        <v>377</v>
      </c>
      <c r="DF256" s="103" t="s">
        <v>763</v>
      </c>
      <c r="DG256" s="104" t="s">
        <v>808</v>
      </c>
      <c r="DH256" s="548"/>
      <c r="DI256" s="548"/>
    </row>
    <row r="257" spans="1:113" x14ac:dyDescent="0.2">
      <c r="A257" s="93">
        <v>251</v>
      </c>
      <c r="B257" s="145" t="s">
        <v>380</v>
      </c>
      <c r="C257" s="141" t="s">
        <v>770</v>
      </c>
      <c r="D257" s="142" t="s">
        <v>867</v>
      </c>
      <c r="E257" s="149" t="s">
        <v>725</v>
      </c>
      <c r="F257" s="542">
        <v>-1493198</v>
      </c>
      <c r="G257" s="542">
        <v>0</v>
      </c>
      <c r="H257" s="542">
        <v>-1493198</v>
      </c>
      <c r="I257" s="542">
        <v>-201031</v>
      </c>
      <c r="J257" s="542">
        <v>0</v>
      </c>
      <c r="K257" s="542">
        <v>-201031</v>
      </c>
      <c r="L257" s="542">
        <v>-1292167</v>
      </c>
      <c r="M257" s="542">
        <v>0</v>
      </c>
      <c r="N257" s="542">
        <v>-1292167</v>
      </c>
      <c r="O257" s="543">
        <v>0.5</v>
      </c>
      <c r="P257" s="543">
        <v>0.49</v>
      </c>
      <c r="Q257" s="543">
        <v>0</v>
      </c>
      <c r="R257" s="543">
        <v>0.01</v>
      </c>
      <c r="S257" s="542">
        <v>317986</v>
      </c>
      <c r="T257" s="542">
        <v>317986</v>
      </c>
      <c r="U257" s="542">
        <v>0</v>
      </c>
      <c r="V257" s="542">
        <v>0</v>
      </c>
      <c r="W257" s="542">
        <v>0</v>
      </c>
      <c r="X257" s="542">
        <v>0</v>
      </c>
      <c r="Y257" s="542">
        <v>0</v>
      </c>
      <c r="Z257" s="542">
        <v>0</v>
      </c>
      <c r="AA257" s="542">
        <v>0</v>
      </c>
      <c r="AB257" s="542">
        <v>0</v>
      </c>
      <c r="AC257" s="542">
        <v>0</v>
      </c>
      <c r="AD257" s="542">
        <v>0</v>
      </c>
      <c r="AE257" s="542">
        <v>0</v>
      </c>
      <c r="AF257" s="542">
        <v>0</v>
      </c>
      <c r="AG257" s="542">
        <v>0</v>
      </c>
      <c r="AH257" s="542">
        <v>0</v>
      </c>
      <c r="AI257" s="542">
        <v>0</v>
      </c>
      <c r="AJ257" s="542">
        <v>0</v>
      </c>
      <c r="AK257" s="542">
        <v>0</v>
      </c>
      <c r="AL257" s="542">
        <v>0</v>
      </c>
      <c r="AM257" s="542">
        <v>0</v>
      </c>
      <c r="AN257" s="542">
        <v>0</v>
      </c>
      <c r="AO257" s="542">
        <v>0</v>
      </c>
      <c r="AP257" s="542">
        <v>0</v>
      </c>
      <c r="AQ257" s="542">
        <v>833527.96</v>
      </c>
      <c r="AR257" s="542">
        <v>0</v>
      </c>
      <c r="AS257" s="542">
        <v>17010.77</v>
      </c>
      <c r="AT257" s="542">
        <v>781312</v>
      </c>
      <c r="AU257" s="542">
        <v>0</v>
      </c>
      <c r="AV257" s="542">
        <v>15945</v>
      </c>
      <c r="AW257" s="542">
        <v>52216</v>
      </c>
      <c r="AX257" s="542">
        <v>0</v>
      </c>
      <c r="AY257" s="542">
        <v>1066</v>
      </c>
      <c r="AZ257" s="542">
        <v>10192.74</v>
      </c>
      <c r="BA257" s="542">
        <v>0</v>
      </c>
      <c r="BB257" s="542">
        <v>208.02</v>
      </c>
      <c r="BC257" s="542">
        <v>0</v>
      </c>
      <c r="BD257" s="542">
        <v>0</v>
      </c>
      <c r="BE257" s="542">
        <v>0</v>
      </c>
      <c r="BF257" s="542">
        <v>10193</v>
      </c>
      <c r="BG257" s="542">
        <v>0</v>
      </c>
      <c r="BH257" s="542">
        <v>208</v>
      </c>
      <c r="BI257" s="542">
        <v>0</v>
      </c>
      <c r="BJ257" s="542">
        <v>0</v>
      </c>
      <c r="BK257" s="542">
        <v>0</v>
      </c>
      <c r="BL257" s="542">
        <v>0</v>
      </c>
      <c r="BM257" s="542">
        <v>0</v>
      </c>
      <c r="BN257" s="542">
        <v>0</v>
      </c>
      <c r="BO257" s="542">
        <v>0</v>
      </c>
      <c r="BP257" s="542">
        <v>0</v>
      </c>
      <c r="BQ257" s="542">
        <v>0</v>
      </c>
      <c r="BR257" s="542">
        <v>2781.05</v>
      </c>
      <c r="BS257" s="542">
        <v>0</v>
      </c>
      <c r="BT257" s="542">
        <v>56.76</v>
      </c>
      <c r="BU257" s="542">
        <v>148560.51</v>
      </c>
      <c r="BV257" s="542">
        <v>0</v>
      </c>
      <c r="BW257" s="542">
        <v>3031.85</v>
      </c>
      <c r="BX257" s="542">
        <v>-145779</v>
      </c>
      <c r="BY257" s="542">
        <v>0</v>
      </c>
      <c r="BZ257" s="542">
        <v>-2975</v>
      </c>
      <c r="CA257" s="542">
        <v>341332.13</v>
      </c>
      <c r="CB257" s="542">
        <v>0</v>
      </c>
      <c r="CC257" s="542">
        <v>6965.96</v>
      </c>
      <c r="CD257" s="542">
        <v>544721.87</v>
      </c>
      <c r="CE257" s="542">
        <v>0</v>
      </c>
      <c r="CF257" s="542">
        <v>11116.77</v>
      </c>
      <c r="CG257" s="542">
        <v>-203390</v>
      </c>
      <c r="CH257" s="542">
        <v>0</v>
      </c>
      <c r="CI257" s="542">
        <v>-4151</v>
      </c>
      <c r="CJ257" s="542">
        <v>7740.04</v>
      </c>
      <c r="CK257" s="542">
        <v>0</v>
      </c>
      <c r="CL257" s="542">
        <v>157.96</v>
      </c>
      <c r="CM257" s="542">
        <v>2087.77</v>
      </c>
      <c r="CN257" s="542">
        <v>0</v>
      </c>
      <c r="CO257" s="542">
        <v>42.61</v>
      </c>
      <c r="CP257" s="542">
        <v>9806</v>
      </c>
      <c r="CQ257" s="542">
        <v>0</v>
      </c>
      <c r="CR257" s="542">
        <v>200.12</v>
      </c>
      <c r="CS257" s="542">
        <v>22</v>
      </c>
      <c r="CT257" s="542">
        <v>0</v>
      </c>
      <c r="CU257" s="542">
        <v>0</v>
      </c>
      <c r="CV257" s="542">
        <v>514565.53</v>
      </c>
      <c r="CW257" s="542">
        <v>0</v>
      </c>
      <c r="CX257" s="542">
        <v>10501.34</v>
      </c>
      <c r="CY257" s="542">
        <v>487050</v>
      </c>
      <c r="CZ257" s="542">
        <v>0</v>
      </c>
      <c r="DA257" s="542">
        <v>9871</v>
      </c>
      <c r="DB257" s="542">
        <v>27516</v>
      </c>
      <c r="DC257" s="542">
        <v>0</v>
      </c>
      <c r="DD257" s="542">
        <v>630</v>
      </c>
      <c r="DE257" s="153" t="s">
        <v>725</v>
      </c>
      <c r="DF257" s="103" t="s">
        <v>770</v>
      </c>
      <c r="DG257" s="104" t="s">
        <v>768</v>
      </c>
      <c r="DH257" s="547"/>
      <c r="DI257" s="547"/>
    </row>
    <row r="258" spans="1:113" x14ac:dyDescent="0.2">
      <c r="A258" s="93">
        <v>252</v>
      </c>
      <c r="B258" s="145" t="s">
        <v>382</v>
      </c>
      <c r="C258" s="141" t="s">
        <v>770</v>
      </c>
      <c r="D258" s="142" t="s">
        <v>870</v>
      </c>
      <c r="E258" s="149" t="s">
        <v>726</v>
      </c>
      <c r="F258" s="542">
        <v>211095</v>
      </c>
      <c r="G258" s="542">
        <v>0</v>
      </c>
      <c r="H258" s="542">
        <v>211095</v>
      </c>
      <c r="I258" s="542">
        <v>46566</v>
      </c>
      <c r="J258" s="542">
        <v>0</v>
      </c>
      <c r="K258" s="542">
        <v>46566</v>
      </c>
      <c r="L258" s="542">
        <v>164529</v>
      </c>
      <c r="M258" s="542">
        <v>0</v>
      </c>
      <c r="N258" s="542">
        <v>164529</v>
      </c>
      <c r="O258" s="543">
        <v>0.5</v>
      </c>
      <c r="P258" s="543">
        <v>0.49</v>
      </c>
      <c r="Q258" s="543">
        <v>0</v>
      </c>
      <c r="R258" s="543">
        <v>0.01</v>
      </c>
      <c r="S258" s="542">
        <v>239791</v>
      </c>
      <c r="T258" s="542">
        <v>239791</v>
      </c>
      <c r="U258" s="542">
        <v>0</v>
      </c>
      <c r="V258" s="542">
        <v>0</v>
      </c>
      <c r="W258" s="542">
        <v>0</v>
      </c>
      <c r="X258" s="542">
        <v>0</v>
      </c>
      <c r="Y258" s="542">
        <v>0</v>
      </c>
      <c r="Z258" s="542">
        <v>0</v>
      </c>
      <c r="AA258" s="542">
        <v>0</v>
      </c>
      <c r="AB258" s="542">
        <v>0</v>
      </c>
      <c r="AC258" s="542">
        <v>0</v>
      </c>
      <c r="AD258" s="542">
        <v>0</v>
      </c>
      <c r="AE258" s="542">
        <v>0</v>
      </c>
      <c r="AF258" s="542">
        <v>0</v>
      </c>
      <c r="AG258" s="542">
        <v>0</v>
      </c>
      <c r="AH258" s="542">
        <v>0</v>
      </c>
      <c r="AI258" s="542">
        <v>0</v>
      </c>
      <c r="AJ258" s="542">
        <v>0</v>
      </c>
      <c r="AK258" s="542">
        <v>0</v>
      </c>
      <c r="AL258" s="542">
        <v>0</v>
      </c>
      <c r="AM258" s="542">
        <v>0</v>
      </c>
      <c r="AN258" s="542">
        <v>0</v>
      </c>
      <c r="AO258" s="542">
        <v>0</v>
      </c>
      <c r="AP258" s="542">
        <v>0</v>
      </c>
      <c r="AQ258" s="542">
        <v>1166847.48</v>
      </c>
      <c r="AR258" s="542">
        <v>0</v>
      </c>
      <c r="AS258" s="542">
        <v>23813.21</v>
      </c>
      <c r="AT258" s="542">
        <v>1138156</v>
      </c>
      <c r="AU258" s="542">
        <v>0</v>
      </c>
      <c r="AV258" s="542">
        <v>23228</v>
      </c>
      <c r="AW258" s="542">
        <v>28691</v>
      </c>
      <c r="AX258" s="542">
        <v>0</v>
      </c>
      <c r="AY258" s="542">
        <v>585</v>
      </c>
      <c r="AZ258" s="542">
        <v>9594.5300000000007</v>
      </c>
      <c r="BA258" s="542">
        <v>0</v>
      </c>
      <c r="BB258" s="542">
        <v>195.81</v>
      </c>
      <c r="BC258" s="542">
        <v>5571</v>
      </c>
      <c r="BD258" s="542">
        <v>0</v>
      </c>
      <c r="BE258" s="542">
        <v>114</v>
      </c>
      <c r="BF258" s="542">
        <v>4024</v>
      </c>
      <c r="BG258" s="542">
        <v>0</v>
      </c>
      <c r="BH258" s="542">
        <v>82</v>
      </c>
      <c r="BI258" s="542">
        <v>29206.5</v>
      </c>
      <c r="BJ258" s="542">
        <v>0</v>
      </c>
      <c r="BK258" s="542">
        <v>596.04999999999995</v>
      </c>
      <c r="BL258" s="542">
        <v>35803</v>
      </c>
      <c r="BM258" s="542">
        <v>0</v>
      </c>
      <c r="BN258" s="542">
        <v>731</v>
      </c>
      <c r="BO258" s="542">
        <v>-6596</v>
      </c>
      <c r="BP258" s="542">
        <v>0</v>
      </c>
      <c r="BQ258" s="542">
        <v>-135</v>
      </c>
      <c r="BR258" s="542">
        <v>0</v>
      </c>
      <c r="BS258" s="542">
        <v>0</v>
      </c>
      <c r="BT258" s="542">
        <v>0</v>
      </c>
      <c r="BU258" s="542">
        <v>49520</v>
      </c>
      <c r="BV258" s="542">
        <v>0</v>
      </c>
      <c r="BW258" s="542">
        <v>1011</v>
      </c>
      <c r="BX258" s="542">
        <v>-49520</v>
      </c>
      <c r="BY258" s="542">
        <v>0</v>
      </c>
      <c r="BZ258" s="542">
        <v>-1011</v>
      </c>
      <c r="CA258" s="542">
        <v>288591.17</v>
      </c>
      <c r="CB258" s="542">
        <v>0</v>
      </c>
      <c r="CC258" s="542">
        <v>5889.62</v>
      </c>
      <c r="CD258" s="542">
        <v>643762</v>
      </c>
      <c r="CE258" s="542">
        <v>0</v>
      </c>
      <c r="CF258" s="542">
        <v>13138</v>
      </c>
      <c r="CG258" s="542">
        <v>-355171</v>
      </c>
      <c r="CH258" s="542">
        <v>0</v>
      </c>
      <c r="CI258" s="542">
        <v>-7248</v>
      </c>
      <c r="CJ258" s="542">
        <v>0</v>
      </c>
      <c r="CK258" s="542">
        <v>0</v>
      </c>
      <c r="CL258" s="542">
        <v>0</v>
      </c>
      <c r="CM258" s="542">
        <v>0</v>
      </c>
      <c r="CN258" s="542">
        <v>0</v>
      </c>
      <c r="CO258" s="542">
        <v>0</v>
      </c>
      <c r="CP258" s="542">
        <v>0</v>
      </c>
      <c r="CQ258" s="542">
        <v>0</v>
      </c>
      <c r="CR258" s="542">
        <v>0</v>
      </c>
      <c r="CS258" s="542">
        <v>0</v>
      </c>
      <c r="CT258" s="542">
        <v>0</v>
      </c>
      <c r="CU258" s="542">
        <v>0</v>
      </c>
      <c r="CV258" s="542">
        <v>229832.86</v>
      </c>
      <c r="CW258" s="542">
        <v>0</v>
      </c>
      <c r="CX258" s="542">
        <v>4690.47</v>
      </c>
      <c r="CY258" s="542">
        <v>239121</v>
      </c>
      <c r="CZ258" s="542">
        <v>0</v>
      </c>
      <c r="DA258" s="542">
        <v>4826</v>
      </c>
      <c r="DB258" s="542">
        <v>-9288</v>
      </c>
      <c r="DC258" s="542">
        <v>0</v>
      </c>
      <c r="DD258" s="542">
        <v>-136</v>
      </c>
      <c r="DE258" s="153" t="s">
        <v>726</v>
      </c>
      <c r="DF258" s="103" t="s">
        <v>770</v>
      </c>
      <c r="DG258" s="104" t="s">
        <v>766</v>
      </c>
      <c r="DH258" s="547"/>
      <c r="DI258" s="547"/>
    </row>
    <row r="259" spans="1:113" x14ac:dyDescent="0.2">
      <c r="A259" s="93">
        <v>253</v>
      </c>
      <c r="B259" s="145" t="s">
        <v>384</v>
      </c>
      <c r="C259" s="141" t="s">
        <v>877</v>
      </c>
      <c r="D259" s="142" t="s">
        <v>872</v>
      </c>
      <c r="E259" s="149" t="s">
        <v>383</v>
      </c>
      <c r="F259" s="542">
        <v>-535794</v>
      </c>
      <c r="G259" s="542">
        <v>0</v>
      </c>
      <c r="H259" s="542">
        <v>-535794</v>
      </c>
      <c r="I259" s="542">
        <v>229920</v>
      </c>
      <c r="J259" s="542">
        <v>0</v>
      </c>
      <c r="K259" s="542">
        <v>229920</v>
      </c>
      <c r="L259" s="542">
        <v>-765714</v>
      </c>
      <c r="M259" s="542">
        <v>0</v>
      </c>
      <c r="N259" s="542">
        <v>-765714</v>
      </c>
      <c r="O259" s="543">
        <v>0.5</v>
      </c>
      <c r="P259" s="543">
        <v>0.3</v>
      </c>
      <c r="Q259" s="543">
        <v>0.2</v>
      </c>
      <c r="R259" s="543">
        <v>0</v>
      </c>
      <c r="S259" s="542">
        <v>654521</v>
      </c>
      <c r="T259" s="542">
        <v>654521</v>
      </c>
      <c r="U259" s="542">
        <v>0</v>
      </c>
      <c r="V259" s="542">
        <v>0</v>
      </c>
      <c r="W259" s="542">
        <v>0</v>
      </c>
      <c r="X259" s="542">
        <v>0</v>
      </c>
      <c r="Y259" s="542">
        <v>0</v>
      </c>
      <c r="Z259" s="542">
        <v>0</v>
      </c>
      <c r="AA259" s="542">
        <v>0</v>
      </c>
      <c r="AB259" s="542">
        <v>0</v>
      </c>
      <c r="AC259" s="542">
        <v>0</v>
      </c>
      <c r="AD259" s="542">
        <v>0</v>
      </c>
      <c r="AE259" s="542">
        <v>0</v>
      </c>
      <c r="AF259" s="542">
        <v>0</v>
      </c>
      <c r="AG259" s="542">
        <v>0</v>
      </c>
      <c r="AH259" s="542">
        <v>0</v>
      </c>
      <c r="AI259" s="542">
        <v>0</v>
      </c>
      <c r="AJ259" s="542">
        <v>0</v>
      </c>
      <c r="AK259" s="542">
        <v>0</v>
      </c>
      <c r="AL259" s="542">
        <v>0</v>
      </c>
      <c r="AM259" s="542">
        <v>0</v>
      </c>
      <c r="AN259" s="542">
        <v>0</v>
      </c>
      <c r="AO259" s="542">
        <v>0</v>
      </c>
      <c r="AP259" s="542">
        <v>0</v>
      </c>
      <c r="AQ259" s="542">
        <v>855379.12699999998</v>
      </c>
      <c r="AR259" s="542">
        <v>570252.75100000005</v>
      </c>
      <c r="AS259" s="542">
        <v>0</v>
      </c>
      <c r="AT259" s="542">
        <v>787258</v>
      </c>
      <c r="AU259" s="542">
        <v>524839</v>
      </c>
      <c r="AV259" s="542">
        <v>0</v>
      </c>
      <c r="AW259" s="542">
        <v>68121</v>
      </c>
      <c r="AX259" s="542">
        <v>45414</v>
      </c>
      <c r="AY259" s="542">
        <v>0</v>
      </c>
      <c r="AZ259" s="542">
        <v>2883.5898000000002</v>
      </c>
      <c r="BA259" s="542">
        <v>1922.3932</v>
      </c>
      <c r="BB259" s="542">
        <v>0</v>
      </c>
      <c r="BC259" s="542">
        <v>0</v>
      </c>
      <c r="BD259" s="542">
        <v>0</v>
      </c>
      <c r="BE259" s="542">
        <v>0</v>
      </c>
      <c r="BF259" s="542">
        <v>2884</v>
      </c>
      <c r="BG259" s="542">
        <v>1922</v>
      </c>
      <c r="BH259" s="542">
        <v>0</v>
      </c>
      <c r="BI259" s="542">
        <v>0</v>
      </c>
      <c r="BJ259" s="542">
        <v>0</v>
      </c>
      <c r="BK259" s="542">
        <v>0</v>
      </c>
      <c r="BL259" s="542">
        <v>0</v>
      </c>
      <c r="BM259" s="542">
        <v>0</v>
      </c>
      <c r="BN259" s="542">
        <v>0</v>
      </c>
      <c r="BO259" s="542">
        <v>0</v>
      </c>
      <c r="BP259" s="542">
        <v>0</v>
      </c>
      <c r="BQ259" s="542">
        <v>0</v>
      </c>
      <c r="BR259" s="542">
        <v>2760.1936300000002</v>
      </c>
      <c r="BS259" s="542">
        <v>1840.1290799999999</v>
      </c>
      <c r="BT259" s="542">
        <v>0</v>
      </c>
      <c r="BU259" s="542">
        <v>0</v>
      </c>
      <c r="BV259" s="542">
        <v>0</v>
      </c>
      <c r="BW259" s="542">
        <v>0</v>
      </c>
      <c r="BX259" s="542">
        <v>2760</v>
      </c>
      <c r="BY259" s="542">
        <v>1840</v>
      </c>
      <c r="BZ259" s="542">
        <v>0</v>
      </c>
      <c r="CA259" s="542">
        <v>209719.83900000001</v>
      </c>
      <c r="CB259" s="542">
        <v>139813.226</v>
      </c>
      <c r="CC259" s="542">
        <v>0</v>
      </c>
      <c r="CD259" s="542">
        <v>0</v>
      </c>
      <c r="CE259" s="542">
        <v>0</v>
      </c>
      <c r="CF259" s="542">
        <v>0</v>
      </c>
      <c r="CG259" s="542">
        <v>209720</v>
      </c>
      <c r="CH259" s="542">
        <v>139813</v>
      </c>
      <c r="CI259" s="542">
        <v>0</v>
      </c>
      <c r="CJ259" s="542">
        <v>0</v>
      </c>
      <c r="CK259" s="542">
        <v>0</v>
      </c>
      <c r="CL259" s="542">
        <v>0</v>
      </c>
      <c r="CM259" s="542">
        <v>0</v>
      </c>
      <c r="CN259" s="542">
        <v>0</v>
      </c>
      <c r="CO259" s="542">
        <v>0</v>
      </c>
      <c r="CP259" s="542">
        <v>0</v>
      </c>
      <c r="CQ259" s="542">
        <v>0</v>
      </c>
      <c r="CR259" s="542">
        <v>0</v>
      </c>
      <c r="CS259" s="542">
        <v>0</v>
      </c>
      <c r="CT259" s="542">
        <v>0</v>
      </c>
      <c r="CU259" s="542">
        <v>0</v>
      </c>
      <c r="CV259" s="542">
        <v>665119.77300000004</v>
      </c>
      <c r="CW259" s="542">
        <v>443413.18199999997</v>
      </c>
      <c r="CX259" s="542">
        <v>0</v>
      </c>
      <c r="CY259" s="542">
        <v>660587</v>
      </c>
      <c r="CZ259" s="542">
        <v>435759</v>
      </c>
      <c r="DA259" s="542">
        <v>0</v>
      </c>
      <c r="DB259" s="542">
        <v>4533</v>
      </c>
      <c r="DC259" s="542">
        <v>7654</v>
      </c>
      <c r="DD259" s="542">
        <v>0</v>
      </c>
      <c r="DE259" s="153" t="s">
        <v>383</v>
      </c>
      <c r="DF259" s="103" t="s">
        <v>762</v>
      </c>
      <c r="DG259" s="103" t="s">
        <v>750</v>
      </c>
      <c r="DH259" s="547"/>
      <c r="DI259" s="547"/>
    </row>
    <row r="260" spans="1:113" x14ac:dyDescent="0.2">
      <c r="A260" s="93">
        <v>254</v>
      </c>
      <c r="B260" s="145" t="s">
        <v>386</v>
      </c>
      <c r="C260" s="141" t="s">
        <v>866</v>
      </c>
      <c r="D260" s="142" t="s">
        <v>867</v>
      </c>
      <c r="E260" s="149" t="s">
        <v>385</v>
      </c>
      <c r="F260" s="542">
        <v>50771</v>
      </c>
      <c r="G260" s="542">
        <v>0</v>
      </c>
      <c r="H260" s="542">
        <v>50771</v>
      </c>
      <c r="I260" s="542">
        <v>157590</v>
      </c>
      <c r="J260" s="542">
        <v>0</v>
      </c>
      <c r="K260" s="542">
        <v>157590</v>
      </c>
      <c r="L260" s="542">
        <v>-106819</v>
      </c>
      <c r="M260" s="542">
        <v>0</v>
      </c>
      <c r="N260" s="542">
        <v>-106819</v>
      </c>
      <c r="O260" s="543">
        <v>0.5</v>
      </c>
      <c r="P260" s="543">
        <v>0.4</v>
      </c>
      <c r="Q260" s="543">
        <v>0.1</v>
      </c>
      <c r="R260" s="543">
        <v>0</v>
      </c>
      <c r="S260" s="542">
        <v>130309</v>
      </c>
      <c r="T260" s="542">
        <v>130309</v>
      </c>
      <c r="U260" s="542">
        <v>0</v>
      </c>
      <c r="V260" s="542">
        <v>0</v>
      </c>
      <c r="W260" s="542">
        <v>0</v>
      </c>
      <c r="X260" s="542">
        <v>0</v>
      </c>
      <c r="Y260" s="542">
        <v>0</v>
      </c>
      <c r="Z260" s="542">
        <v>0</v>
      </c>
      <c r="AA260" s="542">
        <v>0</v>
      </c>
      <c r="AB260" s="542">
        <v>0</v>
      </c>
      <c r="AC260" s="542">
        <v>0</v>
      </c>
      <c r="AD260" s="542">
        <v>0</v>
      </c>
      <c r="AE260" s="542">
        <v>0</v>
      </c>
      <c r="AF260" s="542">
        <v>0</v>
      </c>
      <c r="AG260" s="542">
        <v>0</v>
      </c>
      <c r="AH260" s="542">
        <v>0</v>
      </c>
      <c r="AI260" s="542">
        <v>0</v>
      </c>
      <c r="AJ260" s="542">
        <v>0</v>
      </c>
      <c r="AK260" s="542">
        <v>0</v>
      </c>
      <c r="AL260" s="542">
        <v>0</v>
      </c>
      <c r="AM260" s="542">
        <v>0</v>
      </c>
      <c r="AN260" s="542">
        <v>0</v>
      </c>
      <c r="AO260" s="542">
        <v>0</v>
      </c>
      <c r="AP260" s="542">
        <v>0</v>
      </c>
      <c r="AQ260" s="542">
        <v>248833.19399999999</v>
      </c>
      <c r="AR260" s="542">
        <v>62208.298499999997</v>
      </c>
      <c r="AS260" s="542">
        <v>0</v>
      </c>
      <c r="AT260" s="542">
        <v>237894</v>
      </c>
      <c r="AU260" s="542">
        <v>59473</v>
      </c>
      <c r="AV260" s="542">
        <v>0</v>
      </c>
      <c r="AW260" s="542">
        <v>10939</v>
      </c>
      <c r="AX260" s="542">
        <v>2735</v>
      </c>
      <c r="AY260" s="542">
        <v>0</v>
      </c>
      <c r="AZ260" s="542">
        <v>0</v>
      </c>
      <c r="BA260" s="542">
        <v>0</v>
      </c>
      <c r="BB260" s="542">
        <v>0</v>
      </c>
      <c r="BC260" s="542">
        <v>0</v>
      </c>
      <c r="BD260" s="542">
        <v>0</v>
      </c>
      <c r="BE260" s="542">
        <v>0</v>
      </c>
      <c r="BF260" s="542">
        <v>0</v>
      </c>
      <c r="BG260" s="542">
        <v>0</v>
      </c>
      <c r="BH260" s="542">
        <v>0</v>
      </c>
      <c r="BI260" s="542">
        <v>0</v>
      </c>
      <c r="BJ260" s="542">
        <v>0</v>
      </c>
      <c r="BK260" s="542">
        <v>0</v>
      </c>
      <c r="BL260" s="542">
        <v>20212</v>
      </c>
      <c r="BM260" s="542">
        <v>5053</v>
      </c>
      <c r="BN260" s="542">
        <v>0</v>
      </c>
      <c r="BO260" s="542">
        <v>-20212</v>
      </c>
      <c r="BP260" s="542">
        <v>-5053</v>
      </c>
      <c r="BQ260" s="542">
        <v>0</v>
      </c>
      <c r="BR260" s="542">
        <v>0</v>
      </c>
      <c r="BS260" s="542">
        <v>0</v>
      </c>
      <c r="BT260" s="542">
        <v>0</v>
      </c>
      <c r="BU260" s="542">
        <v>8183</v>
      </c>
      <c r="BV260" s="542">
        <v>2046</v>
      </c>
      <c r="BW260" s="542">
        <v>0</v>
      </c>
      <c r="BX260" s="542">
        <v>-8183</v>
      </c>
      <c r="BY260" s="542">
        <v>-2046</v>
      </c>
      <c r="BZ260" s="542">
        <v>0</v>
      </c>
      <c r="CA260" s="542">
        <v>113473.144</v>
      </c>
      <c r="CB260" s="542">
        <v>28368.286199999999</v>
      </c>
      <c r="CC260" s="542">
        <v>0</v>
      </c>
      <c r="CD260" s="542">
        <v>197874</v>
      </c>
      <c r="CE260" s="542">
        <v>49469</v>
      </c>
      <c r="CF260" s="542">
        <v>0</v>
      </c>
      <c r="CG260" s="542">
        <v>-84401</v>
      </c>
      <c r="CH260" s="542">
        <v>-21101</v>
      </c>
      <c r="CI260" s="542">
        <v>0</v>
      </c>
      <c r="CJ260" s="542">
        <v>21138.799999999999</v>
      </c>
      <c r="CK260" s="542">
        <v>5284.7</v>
      </c>
      <c r="CL260" s="542">
        <v>0</v>
      </c>
      <c r="CM260" s="542">
        <v>64945.803800000002</v>
      </c>
      <c r="CN260" s="542">
        <v>16236.4509</v>
      </c>
      <c r="CO260" s="542">
        <v>0</v>
      </c>
      <c r="CP260" s="542">
        <v>60227</v>
      </c>
      <c r="CQ260" s="542">
        <v>15056.8</v>
      </c>
      <c r="CR260" s="542">
        <v>0</v>
      </c>
      <c r="CS260" s="542">
        <v>25858</v>
      </c>
      <c r="CT260" s="542">
        <v>6464</v>
      </c>
      <c r="CU260" s="542">
        <v>0</v>
      </c>
      <c r="CV260" s="542">
        <v>168363.21</v>
      </c>
      <c r="CW260" s="542">
        <v>42090.802499999998</v>
      </c>
      <c r="CX260" s="542">
        <v>0</v>
      </c>
      <c r="CY260" s="542">
        <v>180840</v>
      </c>
      <c r="CZ260" s="542">
        <v>44864</v>
      </c>
      <c r="DA260" s="542">
        <v>0</v>
      </c>
      <c r="DB260" s="542">
        <v>-12477</v>
      </c>
      <c r="DC260" s="542">
        <v>-2773</v>
      </c>
      <c r="DD260" s="542">
        <v>0</v>
      </c>
      <c r="DE260" s="153" t="s">
        <v>385</v>
      </c>
      <c r="DF260" s="103" t="s">
        <v>807</v>
      </c>
      <c r="DG260" s="104" t="s">
        <v>751</v>
      </c>
      <c r="DH260" s="547"/>
      <c r="DI260" s="547"/>
    </row>
    <row r="261" spans="1:113" x14ac:dyDescent="0.2">
      <c r="A261" s="93">
        <v>255</v>
      </c>
      <c r="B261" s="145" t="s">
        <v>388</v>
      </c>
      <c r="C261" s="141" t="s">
        <v>866</v>
      </c>
      <c r="D261" s="142" t="s">
        <v>870</v>
      </c>
      <c r="E261" s="149" t="s">
        <v>387</v>
      </c>
      <c r="F261" s="542">
        <v>-301478</v>
      </c>
      <c r="G261" s="542">
        <v>0</v>
      </c>
      <c r="H261" s="542">
        <v>-301478</v>
      </c>
      <c r="I261" s="542">
        <v>89165</v>
      </c>
      <c r="J261" s="542">
        <v>0</v>
      </c>
      <c r="K261" s="542">
        <v>89165</v>
      </c>
      <c r="L261" s="542">
        <v>-390643</v>
      </c>
      <c r="M261" s="542">
        <v>0</v>
      </c>
      <c r="N261" s="542">
        <v>-390643</v>
      </c>
      <c r="O261" s="543">
        <v>0.5</v>
      </c>
      <c r="P261" s="543">
        <v>0.4</v>
      </c>
      <c r="Q261" s="543">
        <v>0.1</v>
      </c>
      <c r="R261" s="543">
        <v>0</v>
      </c>
      <c r="S261" s="542">
        <v>197300</v>
      </c>
      <c r="T261" s="542">
        <v>197300</v>
      </c>
      <c r="U261" s="542">
        <v>0</v>
      </c>
      <c r="V261" s="542">
        <v>0</v>
      </c>
      <c r="W261" s="542">
        <v>0</v>
      </c>
      <c r="X261" s="542">
        <v>0</v>
      </c>
      <c r="Y261" s="542">
        <v>0</v>
      </c>
      <c r="Z261" s="542">
        <v>0</v>
      </c>
      <c r="AA261" s="542">
        <v>0</v>
      </c>
      <c r="AB261" s="542">
        <v>0</v>
      </c>
      <c r="AC261" s="542">
        <v>0</v>
      </c>
      <c r="AD261" s="542">
        <v>0</v>
      </c>
      <c r="AE261" s="542">
        <v>0</v>
      </c>
      <c r="AF261" s="542">
        <v>0</v>
      </c>
      <c r="AG261" s="542">
        <v>0</v>
      </c>
      <c r="AH261" s="542">
        <v>0</v>
      </c>
      <c r="AI261" s="542">
        <v>0</v>
      </c>
      <c r="AJ261" s="542">
        <v>0</v>
      </c>
      <c r="AK261" s="542">
        <v>0</v>
      </c>
      <c r="AL261" s="542">
        <v>0</v>
      </c>
      <c r="AM261" s="542">
        <v>0</v>
      </c>
      <c r="AN261" s="542">
        <v>0</v>
      </c>
      <c r="AO261" s="542">
        <v>0</v>
      </c>
      <c r="AP261" s="542">
        <v>0</v>
      </c>
      <c r="AQ261" s="542">
        <v>365139.701</v>
      </c>
      <c r="AR261" s="542">
        <v>91284.925199999998</v>
      </c>
      <c r="AS261" s="542">
        <v>0</v>
      </c>
      <c r="AT261" s="542">
        <v>275530</v>
      </c>
      <c r="AU261" s="542">
        <v>68883</v>
      </c>
      <c r="AV261" s="542">
        <v>0</v>
      </c>
      <c r="AW261" s="542">
        <v>89610</v>
      </c>
      <c r="AX261" s="542">
        <v>22402</v>
      </c>
      <c r="AY261" s="542">
        <v>0</v>
      </c>
      <c r="AZ261" s="542">
        <v>0</v>
      </c>
      <c r="BA261" s="542">
        <v>0</v>
      </c>
      <c r="BB261" s="542">
        <v>0</v>
      </c>
      <c r="BC261" s="542">
        <v>48510</v>
      </c>
      <c r="BD261" s="542">
        <v>12127</v>
      </c>
      <c r="BE261" s="542">
        <v>0</v>
      </c>
      <c r="BF261" s="542">
        <v>-48510</v>
      </c>
      <c r="BG261" s="542">
        <v>-12127</v>
      </c>
      <c r="BH261" s="542">
        <v>0</v>
      </c>
      <c r="BI261" s="542">
        <v>0</v>
      </c>
      <c r="BJ261" s="542">
        <v>0</v>
      </c>
      <c r="BK261" s="542">
        <v>0</v>
      </c>
      <c r="BL261" s="542">
        <v>0</v>
      </c>
      <c r="BM261" s="542">
        <v>0</v>
      </c>
      <c r="BN261" s="542">
        <v>0</v>
      </c>
      <c r="BO261" s="542">
        <v>0</v>
      </c>
      <c r="BP261" s="542">
        <v>0</v>
      </c>
      <c r="BQ261" s="542">
        <v>0</v>
      </c>
      <c r="BR261" s="542">
        <v>3554.94182</v>
      </c>
      <c r="BS261" s="542">
        <v>888.735456</v>
      </c>
      <c r="BT261" s="542">
        <v>0</v>
      </c>
      <c r="BU261" s="542">
        <v>34361</v>
      </c>
      <c r="BV261" s="542">
        <v>8590</v>
      </c>
      <c r="BW261" s="542">
        <v>0</v>
      </c>
      <c r="BX261" s="542">
        <v>-30806</v>
      </c>
      <c r="BY261" s="542">
        <v>-7701</v>
      </c>
      <c r="BZ261" s="542">
        <v>0</v>
      </c>
      <c r="CA261" s="542">
        <v>307930.96899999998</v>
      </c>
      <c r="CB261" s="542">
        <v>76982.742199999993</v>
      </c>
      <c r="CC261" s="542">
        <v>0</v>
      </c>
      <c r="CD261" s="542">
        <v>368673</v>
      </c>
      <c r="CE261" s="542">
        <v>92168</v>
      </c>
      <c r="CF261" s="542">
        <v>0</v>
      </c>
      <c r="CG261" s="542">
        <v>-60742</v>
      </c>
      <c r="CH261" s="542">
        <v>-15185</v>
      </c>
      <c r="CI261" s="542">
        <v>0</v>
      </c>
      <c r="CJ261" s="542">
        <v>0</v>
      </c>
      <c r="CK261" s="542">
        <v>0</v>
      </c>
      <c r="CL261" s="542">
        <v>0</v>
      </c>
      <c r="CM261" s="542">
        <v>0</v>
      </c>
      <c r="CN261" s="542">
        <v>0</v>
      </c>
      <c r="CO261" s="542">
        <v>0</v>
      </c>
      <c r="CP261" s="542">
        <v>0</v>
      </c>
      <c r="CQ261" s="542">
        <v>0</v>
      </c>
      <c r="CR261" s="542">
        <v>0</v>
      </c>
      <c r="CS261" s="542">
        <v>0</v>
      </c>
      <c r="CT261" s="542">
        <v>0</v>
      </c>
      <c r="CU261" s="542">
        <v>0</v>
      </c>
      <c r="CV261" s="542">
        <v>241669.36300000001</v>
      </c>
      <c r="CW261" s="542">
        <v>60417.340700000001</v>
      </c>
      <c r="CX261" s="542">
        <v>0</v>
      </c>
      <c r="CY261" s="542">
        <v>265822</v>
      </c>
      <c r="CZ261" s="542">
        <v>65932</v>
      </c>
      <c r="DA261" s="542">
        <v>0</v>
      </c>
      <c r="DB261" s="542">
        <v>-24153</v>
      </c>
      <c r="DC261" s="542">
        <v>-5515</v>
      </c>
      <c r="DD261" s="542">
        <v>0</v>
      </c>
      <c r="DE261" s="153" t="s">
        <v>387</v>
      </c>
      <c r="DF261" s="103" t="s">
        <v>788</v>
      </c>
      <c r="DG261" s="104" t="s">
        <v>751</v>
      </c>
      <c r="DH261" s="547"/>
      <c r="DI261" s="547"/>
    </row>
    <row r="262" spans="1:113" x14ac:dyDescent="0.2">
      <c r="A262" s="93">
        <v>256</v>
      </c>
      <c r="B262" s="145" t="s">
        <v>390</v>
      </c>
      <c r="C262" s="141" t="s">
        <v>866</v>
      </c>
      <c r="D262" s="142" t="s">
        <v>870</v>
      </c>
      <c r="E262" s="149" t="s">
        <v>389</v>
      </c>
      <c r="F262" s="542">
        <v>-30459</v>
      </c>
      <c r="G262" s="542">
        <v>0</v>
      </c>
      <c r="H262" s="542">
        <v>-30459</v>
      </c>
      <c r="I262" s="542">
        <v>30020</v>
      </c>
      <c r="J262" s="542">
        <v>0</v>
      </c>
      <c r="K262" s="542">
        <v>30020</v>
      </c>
      <c r="L262" s="542">
        <v>-60479</v>
      </c>
      <c r="M262" s="542">
        <v>0</v>
      </c>
      <c r="N262" s="542">
        <v>-60479</v>
      </c>
      <c r="O262" s="543">
        <v>0.5</v>
      </c>
      <c r="P262" s="543">
        <v>0.4</v>
      </c>
      <c r="Q262" s="543">
        <v>0.1</v>
      </c>
      <c r="R262" s="543">
        <v>0</v>
      </c>
      <c r="S262" s="542">
        <v>162652</v>
      </c>
      <c r="T262" s="542">
        <v>162652</v>
      </c>
      <c r="U262" s="542">
        <v>0</v>
      </c>
      <c r="V262" s="542">
        <v>0</v>
      </c>
      <c r="W262" s="542">
        <v>0</v>
      </c>
      <c r="X262" s="542">
        <v>0</v>
      </c>
      <c r="Y262" s="542">
        <v>254610</v>
      </c>
      <c r="Z262" s="542">
        <v>0</v>
      </c>
      <c r="AA262" s="542">
        <v>118927</v>
      </c>
      <c r="AB262" s="542">
        <v>0</v>
      </c>
      <c r="AC262" s="542">
        <v>135683</v>
      </c>
      <c r="AD262" s="542">
        <v>0</v>
      </c>
      <c r="AE262" s="542">
        <v>0</v>
      </c>
      <c r="AF262" s="542">
        <v>0</v>
      </c>
      <c r="AG262" s="542">
        <v>0</v>
      </c>
      <c r="AH262" s="542">
        <v>0</v>
      </c>
      <c r="AI262" s="542">
        <v>0</v>
      </c>
      <c r="AJ262" s="542">
        <v>0</v>
      </c>
      <c r="AK262" s="542">
        <v>0</v>
      </c>
      <c r="AL262" s="542">
        <v>0</v>
      </c>
      <c r="AM262" s="542">
        <v>0</v>
      </c>
      <c r="AN262" s="542">
        <v>0</v>
      </c>
      <c r="AO262" s="542">
        <v>0</v>
      </c>
      <c r="AP262" s="542">
        <v>0</v>
      </c>
      <c r="AQ262" s="542">
        <v>399775.92700000003</v>
      </c>
      <c r="AR262" s="542">
        <v>99943.981700000004</v>
      </c>
      <c r="AS262" s="542">
        <v>0</v>
      </c>
      <c r="AT262" s="542">
        <v>381144</v>
      </c>
      <c r="AU262" s="542">
        <v>95286</v>
      </c>
      <c r="AV262" s="542">
        <v>0</v>
      </c>
      <c r="AW262" s="542">
        <v>18632</v>
      </c>
      <c r="AX262" s="542">
        <v>4658</v>
      </c>
      <c r="AY262" s="542">
        <v>0</v>
      </c>
      <c r="AZ262" s="542">
        <v>2066.5070000000001</v>
      </c>
      <c r="BA262" s="542">
        <v>516.62675100000001</v>
      </c>
      <c r="BB262" s="542">
        <v>0</v>
      </c>
      <c r="BC262" s="542">
        <v>0</v>
      </c>
      <c r="BD262" s="542">
        <v>0</v>
      </c>
      <c r="BE262" s="542">
        <v>0</v>
      </c>
      <c r="BF262" s="542">
        <v>2067</v>
      </c>
      <c r="BG262" s="542">
        <v>517</v>
      </c>
      <c r="BH262" s="542">
        <v>0</v>
      </c>
      <c r="BI262" s="542">
        <v>4643.9813100000001</v>
      </c>
      <c r="BJ262" s="542">
        <v>1160.99532</v>
      </c>
      <c r="BK262" s="542">
        <v>0</v>
      </c>
      <c r="BL262" s="542">
        <v>0</v>
      </c>
      <c r="BM262" s="542">
        <v>0</v>
      </c>
      <c r="BN262" s="542">
        <v>0</v>
      </c>
      <c r="BO262" s="542">
        <v>4644</v>
      </c>
      <c r="BP262" s="542">
        <v>1161</v>
      </c>
      <c r="BQ262" s="542">
        <v>0</v>
      </c>
      <c r="BR262" s="542">
        <v>969.78683599999999</v>
      </c>
      <c r="BS262" s="542">
        <v>242.446709</v>
      </c>
      <c r="BT262" s="542">
        <v>0</v>
      </c>
      <c r="BU262" s="542">
        <v>57754</v>
      </c>
      <c r="BV262" s="542">
        <v>14438</v>
      </c>
      <c r="BW262" s="542">
        <v>0</v>
      </c>
      <c r="BX262" s="542">
        <v>-56784</v>
      </c>
      <c r="BY262" s="542">
        <v>-14196</v>
      </c>
      <c r="BZ262" s="542">
        <v>0</v>
      </c>
      <c r="CA262" s="542">
        <v>203052.50399999999</v>
      </c>
      <c r="CB262" s="542">
        <v>50763.126100000001</v>
      </c>
      <c r="CC262" s="542">
        <v>0</v>
      </c>
      <c r="CD262" s="542">
        <v>220950</v>
      </c>
      <c r="CE262" s="542">
        <v>55237</v>
      </c>
      <c r="CF262" s="542">
        <v>0</v>
      </c>
      <c r="CG262" s="542">
        <v>-17897</v>
      </c>
      <c r="CH262" s="542">
        <v>-4474</v>
      </c>
      <c r="CI262" s="542">
        <v>0</v>
      </c>
      <c r="CJ262" s="542">
        <v>0</v>
      </c>
      <c r="CK262" s="542">
        <v>0</v>
      </c>
      <c r="CL262" s="542">
        <v>0</v>
      </c>
      <c r="CM262" s="542">
        <v>0</v>
      </c>
      <c r="CN262" s="542">
        <v>0</v>
      </c>
      <c r="CO262" s="542">
        <v>0</v>
      </c>
      <c r="CP262" s="542">
        <v>0</v>
      </c>
      <c r="CQ262" s="542">
        <v>0</v>
      </c>
      <c r="CR262" s="542">
        <v>0</v>
      </c>
      <c r="CS262" s="542">
        <v>0</v>
      </c>
      <c r="CT262" s="542">
        <v>0</v>
      </c>
      <c r="CU262" s="542">
        <v>0</v>
      </c>
      <c r="CV262" s="542">
        <v>196263.685</v>
      </c>
      <c r="CW262" s="542">
        <v>48390.2048</v>
      </c>
      <c r="CX262" s="542">
        <v>0</v>
      </c>
      <c r="CY262" s="542">
        <v>194485</v>
      </c>
      <c r="CZ262" s="542">
        <v>47874</v>
      </c>
      <c r="DA262" s="542">
        <v>0</v>
      </c>
      <c r="DB262" s="542">
        <v>1779</v>
      </c>
      <c r="DC262" s="542">
        <v>516</v>
      </c>
      <c r="DD262" s="542">
        <v>0</v>
      </c>
      <c r="DE262" s="153" t="s">
        <v>389</v>
      </c>
      <c r="DF262" s="103" t="s">
        <v>761</v>
      </c>
      <c r="DG262" s="104" t="s">
        <v>751</v>
      </c>
      <c r="DH262" s="547"/>
      <c r="DI262" s="547"/>
    </row>
    <row r="263" spans="1:113" ht="12.75" x14ac:dyDescent="0.2">
      <c r="A263" s="93">
        <v>257</v>
      </c>
      <c r="B263" s="145" t="s">
        <v>392</v>
      </c>
      <c r="C263" s="141" t="s">
        <v>873</v>
      </c>
      <c r="D263" s="142" t="s">
        <v>868</v>
      </c>
      <c r="E263" s="149" t="s">
        <v>391</v>
      </c>
      <c r="F263" s="542">
        <v>-122309</v>
      </c>
      <c r="G263" s="542">
        <v>0</v>
      </c>
      <c r="H263" s="542">
        <v>-122309</v>
      </c>
      <c r="I263" s="542">
        <v>-3153</v>
      </c>
      <c r="J263" s="542">
        <v>0</v>
      </c>
      <c r="K263" s="542">
        <v>-3153</v>
      </c>
      <c r="L263" s="542">
        <v>-119156</v>
      </c>
      <c r="M263" s="542">
        <v>0</v>
      </c>
      <c r="N263" s="542">
        <v>-119156</v>
      </c>
      <c r="O263" s="543">
        <v>0.5</v>
      </c>
      <c r="P263" s="543">
        <v>0.49</v>
      </c>
      <c r="Q263" s="543">
        <v>0</v>
      </c>
      <c r="R263" s="543">
        <v>0.01</v>
      </c>
      <c r="S263" s="542">
        <v>198553</v>
      </c>
      <c r="T263" s="542">
        <v>198553</v>
      </c>
      <c r="U263" s="542">
        <v>0</v>
      </c>
      <c r="V263" s="542">
        <v>0</v>
      </c>
      <c r="W263" s="542">
        <v>0</v>
      </c>
      <c r="X263" s="542">
        <v>0</v>
      </c>
      <c r="Y263" s="542">
        <v>0</v>
      </c>
      <c r="Z263" s="542">
        <v>0</v>
      </c>
      <c r="AA263" s="542">
        <v>0</v>
      </c>
      <c r="AB263" s="542">
        <v>0</v>
      </c>
      <c r="AC263" s="542">
        <v>0</v>
      </c>
      <c r="AD263" s="542">
        <v>0</v>
      </c>
      <c r="AE263" s="542">
        <v>0</v>
      </c>
      <c r="AF263" s="542">
        <v>0</v>
      </c>
      <c r="AG263" s="542">
        <v>0</v>
      </c>
      <c r="AH263" s="542">
        <v>0</v>
      </c>
      <c r="AI263" s="542">
        <v>0</v>
      </c>
      <c r="AJ263" s="542">
        <v>0</v>
      </c>
      <c r="AK263" s="542">
        <v>0</v>
      </c>
      <c r="AL263" s="542">
        <v>0</v>
      </c>
      <c r="AM263" s="542">
        <v>0</v>
      </c>
      <c r="AN263" s="542">
        <v>0</v>
      </c>
      <c r="AO263" s="542">
        <v>0</v>
      </c>
      <c r="AP263" s="542">
        <v>0</v>
      </c>
      <c r="AQ263" s="542">
        <v>792470.54</v>
      </c>
      <c r="AR263" s="542">
        <v>0</v>
      </c>
      <c r="AS263" s="542">
        <v>16172.87</v>
      </c>
      <c r="AT263" s="542">
        <v>738769</v>
      </c>
      <c r="AU263" s="542">
        <v>0</v>
      </c>
      <c r="AV263" s="542">
        <v>15077</v>
      </c>
      <c r="AW263" s="542">
        <v>53702</v>
      </c>
      <c r="AX263" s="542">
        <v>0</v>
      </c>
      <c r="AY263" s="542">
        <v>1096</v>
      </c>
      <c r="AZ263" s="542">
        <v>1202.3499999999999</v>
      </c>
      <c r="BA263" s="542">
        <v>0</v>
      </c>
      <c r="BB263" s="542">
        <v>24.54</v>
      </c>
      <c r="BC263" s="542">
        <v>0</v>
      </c>
      <c r="BD263" s="542">
        <v>0</v>
      </c>
      <c r="BE263" s="542">
        <v>0</v>
      </c>
      <c r="BF263" s="542">
        <v>1202</v>
      </c>
      <c r="BG263" s="542">
        <v>0</v>
      </c>
      <c r="BH263" s="542">
        <v>25</v>
      </c>
      <c r="BI263" s="542">
        <v>0</v>
      </c>
      <c r="BJ263" s="542">
        <v>0</v>
      </c>
      <c r="BK263" s="542">
        <v>0</v>
      </c>
      <c r="BL263" s="542">
        <v>24760</v>
      </c>
      <c r="BM263" s="542">
        <v>0</v>
      </c>
      <c r="BN263" s="542">
        <v>505</v>
      </c>
      <c r="BO263" s="542">
        <v>-24760</v>
      </c>
      <c r="BP263" s="542">
        <v>0</v>
      </c>
      <c r="BQ263" s="542">
        <v>-505</v>
      </c>
      <c r="BR263" s="542">
        <v>0</v>
      </c>
      <c r="BS263" s="542">
        <v>0</v>
      </c>
      <c r="BT263" s="542">
        <v>0</v>
      </c>
      <c r="BU263" s="542">
        <v>37140</v>
      </c>
      <c r="BV263" s="542">
        <v>0</v>
      </c>
      <c r="BW263" s="542">
        <v>758</v>
      </c>
      <c r="BX263" s="542">
        <v>-37140</v>
      </c>
      <c r="BY263" s="542">
        <v>0</v>
      </c>
      <c r="BZ263" s="542">
        <v>-758</v>
      </c>
      <c r="CA263" s="542">
        <v>251153.92000000001</v>
      </c>
      <c r="CB263" s="542">
        <v>0</v>
      </c>
      <c r="CC263" s="542">
        <v>5125.59</v>
      </c>
      <c r="CD263" s="542">
        <v>284741</v>
      </c>
      <c r="CE263" s="542">
        <v>0</v>
      </c>
      <c r="CF263" s="542">
        <v>5811</v>
      </c>
      <c r="CG263" s="542">
        <v>-33587</v>
      </c>
      <c r="CH263" s="542">
        <v>0</v>
      </c>
      <c r="CI263" s="542">
        <v>-685</v>
      </c>
      <c r="CJ263" s="542">
        <v>0</v>
      </c>
      <c r="CK263" s="542">
        <v>0</v>
      </c>
      <c r="CL263" s="542">
        <v>0</v>
      </c>
      <c r="CM263" s="542">
        <v>0</v>
      </c>
      <c r="CN263" s="542">
        <v>0</v>
      </c>
      <c r="CO263" s="542">
        <v>0</v>
      </c>
      <c r="CP263" s="542">
        <v>0</v>
      </c>
      <c r="CQ263" s="542">
        <v>0</v>
      </c>
      <c r="CR263" s="542">
        <v>0</v>
      </c>
      <c r="CS263" s="542">
        <v>0</v>
      </c>
      <c r="CT263" s="542">
        <v>0</v>
      </c>
      <c r="CU263" s="542">
        <v>0</v>
      </c>
      <c r="CV263" s="542">
        <v>248212.98</v>
      </c>
      <c r="CW263" s="542">
        <v>0</v>
      </c>
      <c r="CX263" s="542">
        <v>5065.57</v>
      </c>
      <c r="CY263" s="542">
        <v>249472</v>
      </c>
      <c r="CZ263" s="542">
        <v>0</v>
      </c>
      <c r="DA263" s="542">
        <v>5048</v>
      </c>
      <c r="DB263" s="542">
        <v>-1259</v>
      </c>
      <c r="DC263" s="542">
        <v>0</v>
      </c>
      <c r="DD263" s="542">
        <v>18</v>
      </c>
      <c r="DE263" s="153" t="s">
        <v>391</v>
      </c>
      <c r="DF263" s="103" t="s">
        <v>763</v>
      </c>
      <c r="DG263" s="104" t="s">
        <v>814</v>
      </c>
      <c r="DH263" s="548"/>
      <c r="DI263" s="548"/>
    </row>
    <row r="264" spans="1:113" ht="12.75" x14ac:dyDescent="0.2">
      <c r="A264" s="93">
        <v>258</v>
      </c>
      <c r="B264" s="145" t="s">
        <v>394</v>
      </c>
      <c r="C264" s="141" t="s">
        <v>866</v>
      </c>
      <c r="D264" s="142" t="s">
        <v>876</v>
      </c>
      <c r="E264" s="149" t="s">
        <v>393</v>
      </c>
      <c r="F264" s="542">
        <v>-3421</v>
      </c>
      <c r="G264" s="542">
        <v>0</v>
      </c>
      <c r="H264" s="542">
        <v>-3421</v>
      </c>
      <c r="I264" s="542">
        <v>61469</v>
      </c>
      <c r="J264" s="542">
        <v>0</v>
      </c>
      <c r="K264" s="542">
        <v>61469</v>
      </c>
      <c r="L264" s="542">
        <v>-64890</v>
      </c>
      <c r="M264" s="542">
        <v>0</v>
      </c>
      <c r="N264" s="542">
        <v>-64890</v>
      </c>
      <c r="O264" s="543">
        <v>0.5</v>
      </c>
      <c r="P264" s="543">
        <v>0.4</v>
      </c>
      <c r="Q264" s="543">
        <v>0.09</v>
      </c>
      <c r="R264" s="543">
        <v>0.01</v>
      </c>
      <c r="S264" s="542">
        <v>171533</v>
      </c>
      <c r="T264" s="542">
        <v>171533</v>
      </c>
      <c r="U264" s="542">
        <v>0</v>
      </c>
      <c r="V264" s="542">
        <v>0</v>
      </c>
      <c r="W264" s="542">
        <v>0</v>
      </c>
      <c r="X264" s="542">
        <v>0</v>
      </c>
      <c r="Y264" s="542">
        <v>0</v>
      </c>
      <c r="Z264" s="542">
        <v>0</v>
      </c>
      <c r="AA264" s="542">
        <v>0</v>
      </c>
      <c r="AB264" s="542">
        <v>0</v>
      </c>
      <c r="AC264" s="542">
        <v>0</v>
      </c>
      <c r="AD264" s="542">
        <v>0</v>
      </c>
      <c r="AE264" s="542">
        <v>0</v>
      </c>
      <c r="AF264" s="542">
        <v>0</v>
      </c>
      <c r="AG264" s="542">
        <v>0</v>
      </c>
      <c r="AH264" s="542">
        <v>0</v>
      </c>
      <c r="AI264" s="542">
        <v>0</v>
      </c>
      <c r="AJ264" s="542">
        <v>0</v>
      </c>
      <c r="AK264" s="542">
        <v>0</v>
      </c>
      <c r="AL264" s="542">
        <v>0</v>
      </c>
      <c r="AM264" s="542">
        <v>0</v>
      </c>
      <c r="AN264" s="542">
        <v>0</v>
      </c>
      <c r="AO264" s="542">
        <v>0</v>
      </c>
      <c r="AP264" s="542">
        <v>0</v>
      </c>
      <c r="AQ264" s="542">
        <v>477588.68699999998</v>
      </c>
      <c r="AR264" s="542">
        <v>107457.454</v>
      </c>
      <c r="AS264" s="542">
        <v>11939.717199999999</v>
      </c>
      <c r="AT264" s="542">
        <v>455406</v>
      </c>
      <c r="AU264" s="542">
        <v>102466</v>
      </c>
      <c r="AV264" s="542">
        <v>11385</v>
      </c>
      <c r="AW264" s="542">
        <v>22183</v>
      </c>
      <c r="AX264" s="542">
        <v>4991</v>
      </c>
      <c r="AY264" s="542">
        <v>555</v>
      </c>
      <c r="AZ264" s="542">
        <v>0</v>
      </c>
      <c r="BA264" s="542">
        <v>0</v>
      </c>
      <c r="BB264" s="542">
        <v>0</v>
      </c>
      <c r="BC264" s="542">
        <v>0</v>
      </c>
      <c r="BD264" s="542">
        <v>0</v>
      </c>
      <c r="BE264" s="542">
        <v>0</v>
      </c>
      <c r="BF264" s="542">
        <v>0</v>
      </c>
      <c r="BG264" s="542">
        <v>0</v>
      </c>
      <c r="BH264" s="542">
        <v>0</v>
      </c>
      <c r="BI264" s="542">
        <v>0</v>
      </c>
      <c r="BJ264" s="542">
        <v>0</v>
      </c>
      <c r="BK264" s="542">
        <v>0</v>
      </c>
      <c r="BL264" s="542">
        <v>0</v>
      </c>
      <c r="BM264" s="542">
        <v>0</v>
      </c>
      <c r="BN264" s="542">
        <v>0</v>
      </c>
      <c r="BO264" s="542">
        <v>0</v>
      </c>
      <c r="BP264" s="542">
        <v>0</v>
      </c>
      <c r="BQ264" s="542">
        <v>0</v>
      </c>
      <c r="BR264" s="542">
        <v>0</v>
      </c>
      <c r="BS264" s="542">
        <v>0</v>
      </c>
      <c r="BT264" s="542">
        <v>0</v>
      </c>
      <c r="BU264" s="542">
        <v>0</v>
      </c>
      <c r="BV264" s="542">
        <v>0</v>
      </c>
      <c r="BW264" s="542">
        <v>0</v>
      </c>
      <c r="BX264" s="542">
        <v>0</v>
      </c>
      <c r="BY264" s="542">
        <v>0</v>
      </c>
      <c r="BZ264" s="542">
        <v>0</v>
      </c>
      <c r="CA264" s="542">
        <v>127474.21400000001</v>
      </c>
      <c r="CB264" s="542">
        <v>28681.6983</v>
      </c>
      <c r="CC264" s="542">
        <v>3186.8553700000002</v>
      </c>
      <c r="CD264" s="542">
        <v>242109</v>
      </c>
      <c r="CE264" s="542">
        <v>54474</v>
      </c>
      <c r="CF264" s="542">
        <v>6053</v>
      </c>
      <c r="CG264" s="542">
        <v>-114635</v>
      </c>
      <c r="CH264" s="542">
        <v>-25792</v>
      </c>
      <c r="CI264" s="542">
        <v>-2866</v>
      </c>
      <c r="CJ264" s="542">
        <v>0</v>
      </c>
      <c r="CK264" s="542">
        <v>0</v>
      </c>
      <c r="CL264" s="542">
        <v>0</v>
      </c>
      <c r="CM264" s="542">
        <v>0</v>
      </c>
      <c r="CN264" s="542">
        <v>0</v>
      </c>
      <c r="CO264" s="542">
        <v>0</v>
      </c>
      <c r="CP264" s="542">
        <v>0</v>
      </c>
      <c r="CQ264" s="542">
        <v>0</v>
      </c>
      <c r="CR264" s="542">
        <v>0</v>
      </c>
      <c r="CS264" s="542">
        <v>0</v>
      </c>
      <c r="CT264" s="542">
        <v>0</v>
      </c>
      <c r="CU264" s="542">
        <v>0</v>
      </c>
      <c r="CV264" s="542">
        <v>172651.16699999999</v>
      </c>
      <c r="CW264" s="542">
        <v>38846.512699999999</v>
      </c>
      <c r="CX264" s="542">
        <v>4316.2791900000002</v>
      </c>
      <c r="CY264" s="542">
        <v>185898</v>
      </c>
      <c r="CZ264" s="542">
        <v>41417</v>
      </c>
      <c r="DA264" s="542">
        <v>4602</v>
      </c>
      <c r="DB264" s="542">
        <v>-13247</v>
      </c>
      <c r="DC264" s="542">
        <v>-2570</v>
      </c>
      <c r="DD264" s="542">
        <v>-286</v>
      </c>
      <c r="DE264" s="153" t="s">
        <v>393</v>
      </c>
      <c r="DF264" s="103" t="s">
        <v>792</v>
      </c>
      <c r="DG264" s="104" t="s">
        <v>793</v>
      </c>
      <c r="DH264" s="548"/>
      <c r="DI264" s="548"/>
    </row>
    <row r="265" spans="1:113" x14ac:dyDescent="0.2">
      <c r="A265" s="93">
        <v>259</v>
      </c>
      <c r="B265" s="145" t="s">
        <v>396</v>
      </c>
      <c r="C265" s="141" t="s">
        <v>866</v>
      </c>
      <c r="D265" s="142" t="s">
        <v>876</v>
      </c>
      <c r="E265" s="149" t="s">
        <v>395</v>
      </c>
      <c r="F265" s="542">
        <v>66102</v>
      </c>
      <c r="G265" s="542">
        <v>0</v>
      </c>
      <c r="H265" s="542">
        <v>66102</v>
      </c>
      <c r="I265" s="542">
        <v>74889</v>
      </c>
      <c r="J265" s="542">
        <v>0</v>
      </c>
      <c r="K265" s="542">
        <v>74889</v>
      </c>
      <c r="L265" s="542">
        <v>-8787</v>
      </c>
      <c r="M265" s="542">
        <v>0</v>
      </c>
      <c r="N265" s="542">
        <v>-8787</v>
      </c>
      <c r="O265" s="543">
        <v>0.5</v>
      </c>
      <c r="P265" s="543">
        <v>0.4</v>
      </c>
      <c r="Q265" s="543">
        <v>0.09</v>
      </c>
      <c r="R265" s="543">
        <v>0.01</v>
      </c>
      <c r="S265" s="542">
        <v>116661</v>
      </c>
      <c r="T265" s="542">
        <v>116661</v>
      </c>
      <c r="U265" s="542">
        <v>0</v>
      </c>
      <c r="V265" s="542">
        <v>0</v>
      </c>
      <c r="W265" s="542">
        <v>0</v>
      </c>
      <c r="X265" s="542">
        <v>0</v>
      </c>
      <c r="Y265" s="542">
        <v>0</v>
      </c>
      <c r="Z265" s="542">
        <v>0</v>
      </c>
      <c r="AA265" s="542">
        <v>0</v>
      </c>
      <c r="AB265" s="542">
        <v>0</v>
      </c>
      <c r="AC265" s="542">
        <v>0</v>
      </c>
      <c r="AD265" s="542">
        <v>0</v>
      </c>
      <c r="AE265" s="542">
        <v>0</v>
      </c>
      <c r="AF265" s="542">
        <v>0</v>
      </c>
      <c r="AG265" s="542">
        <v>0</v>
      </c>
      <c r="AH265" s="542">
        <v>0</v>
      </c>
      <c r="AI265" s="542">
        <v>0</v>
      </c>
      <c r="AJ265" s="542">
        <v>0</v>
      </c>
      <c r="AK265" s="542">
        <v>0</v>
      </c>
      <c r="AL265" s="542">
        <v>0</v>
      </c>
      <c r="AM265" s="542">
        <v>0</v>
      </c>
      <c r="AN265" s="542">
        <v>0</v>
      </c>
      <c r="AO265" s="542">
        <v>0</v>
      </c>
      <c r="AP265" s="542">
        <v>0</v>
      </c>
      <c r="AQ265" s="542">
        <v>457049.136</v>
      </c>
      <c r="AR265" s="542">
        <v>102836.05499999999</v>
      </c>
      <c r="AS265" s="542">
        <v>11426.2284</v>
      </c>
      <c r="AT265" s="542">
        <v>430448</v>
      </c>
      <c r="AU265" s="542">
        <v>96851</v>
      </c>
      <c r="AV265" s="542">
        <v>10761</v>
      </c>
      <c r="AW265" s="542">
        <v>26601</v>
      </c>
      <c r="AX265" s="542">
        <v>5985</v>
      </c>
      <c r="AY265" s="542">
        <v>665</v>
      </c>
      <c r="AZ265" s="542">
        <v>733.70700599999998</v>
      </c>
      <c r="BA265" s="542">
        <v>165.08407600000001</v>
      </c>
      <c r="BB265" s="542">
        <v>18.342675100000001</v>
      </c>
      <c r="BC265" s="542">
        <v>0</v>
      </c>
      <c r="BD265" s="542">
        <v>0</v>
      </c>
      <c r="BE265" s="542">
        <v>0</v>
      </c>
      <c r="BF265" s="542">
        <v>734</v>
      </c>
      <c r="BG265" s="542">
        <v>165</v>
      </c>
      <c r="BH265" s="542">
        <v>18</v>
      </c>
      <c r="BI265" s="542">
        <v>4174.6513800000002</v>
      </c>
      <c r="BJ265" s="542">
        <v>939.29656</v>
      </c>
      <c r="BK265" s="542">
        <v>104.36628399999999</v>
      </c>
      <c r="BL265" s="542">
        <v>0</v>
      </c>
      <c r="BM265" s="542">
        <v>0</v>
      </c>
      <c r="BN265" s="542">
        <v>0</v>
      </c>
      <c r="BO265" s="542">
        <v>4175</v>
      </c>
      <c r="BP265" s="542">
        <v>939</v>
      </c>
      <c r="BQ265" s="542">
        <v>104</v>
      </c>
      <c r="BR265" s="542">
        <v>1971.91337</v>
      </c>
      <c r="BS265" s="542">
        <v>443.68050899999997</v>
      </c>
      <c r="BT265" s="542">
        <v>49.297834299999998</v>
      </c>
      <c r="BU265" s="542">
        <v>0</v>
      </c>
      <c r="BV265" s="542">
        <v>0</v>
      </c>
      <c r="BW265" s="542">
        <v>0</v>
      </c>
      <c r="BX265" s="542">
        <v>1972</v>
      </c>
      <c r="BY265" s="542">
        <v>444</v>
      </c>
      <c r="BZ265" s="542">
        <v>49</v>
      </c>
      <c r="CA265" s="542">
        <v>148396.78899999999</v>
      </c>
      <c r="CB265" s="542">
        <v>33389.277699999999</v>
      </c>
      <c r="CC265" s="542">
        <v>3709.9197399999998</v>
      </c>
      <c r="CD265" s="542">
        <v>167210</v>
      </c>
      <c r="CE265" s="542">
        <v>37622</v>
      </c>
      <c r="CF265" s="542">
        <v>4180</v>
      </c>
      <c r="CG265" s="542">
        <v>-18813</v>
      </c>
      <c r="CH265" s="542">
        <v>-4233</v>
      </c>
      <c r="CI265" s="542">
        <v>-470</v>
      </c>
      <c r="CJ265" s="542">
        <v>0</v>
      </c>
      <c r="CK265" s="542">
        <v>0</v>
      </c>
      <c r="CL265" s="542">
        <v>0</v>
      </c>
      <c r="CM265" s="542">
        <v>0</v>
      </c>
      <c r="CN265" s="542">
        <v>0</v>
      </c>
      <c r="CO265" s="542">
        <v>0</v>
      </c>
      <c r="CP265" s="542">
        <v>0</v>
      </c>
      <c r="CQ265" s="542">
        <v>0</v>
      </c>
      <c r="CR265" s="542">
        <v>0</v>
      </c>
      <c r="CS265" s="542">
        <v>0</v>
      </c>
      <c r="CT265" s="542">
        <v>0</v>
      </c>
      <c r="CU265" s="542">
        <v>0</v>
      </c>
      <c r="CV265" s="542">
        <v>72773.793699999995</v>
      </c>
      <c r="CW265" s="542">
        <v>16374.103499999999</v>
      </c>
      <c r="CX265" s="542">
        <v>1819.34484</v>
      </c>
      <c r="CY265" s="542">
        <v>78102</v>
      </c>
      <c r="CZ265" s="542">
        <v>17294</v>
      </c>
      <c r="DA265" s="542">
        <v>1922</v>
      </c>
      <c r="DB265" s="542">
        <v>-5328</v>
      </c>
      <c r="DC265" s="542">
        <v>-920</v>
      </c>
      <c r="DD265" s="542">
        <v>-103</v>
      </c>
      <c r="DE265" s="153" t="s">
        <v>395</v>
      </c>
      <c r="DF265" s="103" t="s">
        <v>792</v>
      </c>
      <c r="DG265" s="104" t="s">
        <v>793</v>
      </c>
      <c r="DH265" s="547"/>
      <c r="DI265" s="547"/>
    </row>
    <row r="266" spans="1:113" x14ac:dyDescent="0.2">
      <c r="A266" s="93">
        <v>260</v>
      </c>
      <c r="B266" s="145" t="s">
        <v>398</v>
      </c>
      <c r="C266" s="141" t="s">
        <v>866</v>
      </c>
      <c r="D266" s="142" t="s">
        <v>870</v>
      </c>
      <c r="E266" s="149" t="s">
        <v>397</v>
      </c>
      <c r="F266" s="542">
        <v>-246853</v>
      </c>
      <c r="G266" s="542">
        <v>0</v>
      </c>
      <c r="H266" s="542">
        <v>-246853</v>
      </c>
      <c r="I266" s="542">
        <v>18238</v>
      </c>
      <c r="J266" s="542">
        <v>0</v>
      </c>
      <c r="K266" s="542">
        <v>18238</v>
      </c>
      <c r="L266" s="542">
        <v>-265091</v>
      </c>
      <c r="M266" s="542">
        <v>0</v>
      </c>
      <c r="N266" s="542">
        <v>-265091</v>
      </c>
      <c r="O266" s="543">
        <v>0.5</v>
      </c>
      <c r="P266" s="543">
        <v>0.4</v>
      </c>
      <c r="Q266" s="543">
        <v>0.1</v>
      </c>
      <c r="R266" s="543">
        <v>0</v>
      </c>
      <c r="S266" s="542">
        <v>112556</v>
      </c>
      <c r="T266" s="542">
        <v>112556</v>
      </c>
      <c r="U266" s="542">
        <v>0</v>
      </c>
      <c r="V266" s="542">
        <v>0</v>
      </c>
      <c r="W266" s="542">
        <v>0</v>
      </c>
      <c r="X266" s="542">
        <v>0</v>
      </c>
      <c r="Y266" s="542">
        <v>0</v>
      </c>
      <c r="Z266" s="542">
        <v>0</v>
      </c>
      <c r="AA266" s="542">
        <v>0</v>
      </c>
      <c r="AB266" s="542">
        <v>0</v>
      </c>
      <c r="AC266" s="542">
        <v>0</v>
      </c>
      <c r="AD266" s="542">
        <v>0</v>
      </c>
      <c r="AE266" s="542">
        <v>0</v>
      </c>
      <c r="AF266" s="542">
        <v>0</v>
      </c>
      <c r="AG266" s="542">
        <v>0</v>
      </c>
      <c r="AH266" s="542">
        <v>0</v>
      </c>
      <c r="AI266" s="542">
        <v>0</v>
      </c>
      <c r="AJ266" s="542">
        <v>0</v>
      </c>
      <c r="AK266" s="542">
        <v>0</v>
      </c>
      <c r="AL266" s="542">
        <v>0</v>
      </c>
      <c r="AM266" s="542">
        <v>0</v>
      </c>
      <c r="AN266" s="542">
        <v>0</v>
      </c>
      <c r="AO266" s="542">
        <v>0</v>
      </c>
      <c r="AP266" s="542">
        <v>0</v>
      </c>
      <c r="AQ266" s="542">
        <v>177253.91</v>
      </c>
      <c r="AR266" s="542">
        <v>44313.477700000003</v>
      </c>
      <c r="AS266" s="542">
        <v>0</v>
      </c>
      <c r="AT266" s="542">
        <v>162574</v>
      </c>
      <c r="AU266" s="542">
        <v>40644</v>
      </c>
      <c r="AV266" s="542">
        <v>0</v>
      </c>
      <c r="AW266" s="542">
        <v>14680</v>
      </c>
      <c r="AX266" s="542">
        <v>3669</v>
      </c>
      <c r="AY266" s="542">
        <v>0</v>
      </c>
      <c r="AZ266" s="542">
        <v>0</v>
      </c>
      <c r="BA266" s="542">
        <v>0</v>
      </c>
      <c r="BB266" s="542">
        <v>0</v>
      </c>
      <c r="BC266" s="542">
        <v>0</v>
      </c>
      <c r="BD266" s="542">
        <v>0</v>
      </c>
      <c r="BE266" s="542">
        <v>0</v>
      </c>
      <c r="BF266" s="542">
        <v>0</v>
      </c>
      <c r="BG266" s="542">
        <v>0</v>
      </c>
      <c r="BH266" s="542">
        <v>0</v>
      </c>
      <c r="BI266" s="542">
        <v>18220.592700000001</v>
      </c>
      <c r="BJ266" s="542">
        <v>4555.1481899999999</v>
      </c>
      <c r="BK266" s="542">
        <v>0</v>
      </c>
      <c r="BL266" s="542">
        <v>114240</v>
      </c>
      <c r="BM266" s="542">
        <v>28560</v>
      </c>
      <c r="BN266" s="542">
        <v>0</v>
      </c>
      <c r="BO266" s="542">
        <v>-96019</v>
      </c>
      <c r="BP266" s="542">
        <v>-24005</v>
      </c>
      <c r="BQ266" s="542">
        <v>0</v>
      </c>
      <c r="BR266" s="542">
        <v>918.04331200000001</v>
      </c>
      <c r="BS266" s="542">
        <v>229.510828</v>
      </c>
      <c r="BT266" s="542">
        <v>0</v>
      </c>
      <c r="BU266" s="542">
        <v>109920.224</v>
      </c>
      <c r="BV266" s="542">
        <v>27480.056</v>
      </c>
      <c r="BW266" s="542">
        <v>0</v>
      </c>
      <c r="BX266" s="542">
        <v>-109002</v>
      </c>
      <c r="BY266" s="542">
        <v>-27251</v>
      </c>
      <c r="BZ266" s="542">
        <v>0</v>
      </c>
      <c r="CA266" s="542">
        <v>70897.117599999998</v>
      </c>
      <c r="CB266" s="542">
        <v>17724.279399999999</v>
      </c>
      <c r="CC266" s="542">
        <v>0</v>
      </c>
      <c r="CD266" s="542">
        <v>157776.92000000001</v>
      </c>
      <c r="CE266" s="542">
        <v>39444.230100000001</v>
      </c>
      <c r="CF266" s="542">
        <v>0</v>
      </c>
      <c r="CG266" s="542">
        <v>-86880</v>
      </c>
      <c r="CH266" s="542">
        <v>-21720</v>
      </c>
      <c r="CI266" s="542">
        <v>0</v>
      </c>
      <c r="CJ266" s="542">
        <v>0</v>
      </c>
      <c r="CK266" s="542">
        <v>0</v>
      </c>
      <c r="CL266" s="542">
        <v>0</v>
      </c>
      <c r="CM266" s="542">
        <v>0</v>
      </c>
      <c r="CN266" s="542">
        <v>0</v>
      </c>
      <c r="CO266" s="542">
        <v>0</v>
      </c>
      <c r="CP266" s="542">
        <v>0</v>
      </c>
      <c r="CQ266" s="542">
        <v>0</v>
      </c>
      <c r="CR266" s="542">
        <v>0</v>
      </c>
      <c r="CS266" s="542">
        <v>0</v>
      </c>
      <c r="CT266" s="542">
        <v>0</v>
      </c>
      <c r="CU266" s="542">
        <v>0</v>
      </c>
      <c r="CV266" s="542">
        <v>188887.86799999999</v>
      </c>
      <c r="CW266" s="542">
        <v>47221.966999999997</v>
      </c>
      <c r="CX266" s="542">
        <v>0</v>
      </c>
      <c r="CY266" s="542">
        <v>192857</v>
      </c>
      <c r="CZ266" s="542">
        <v>47916</v>
      </c>
      <c r="DA266" s="542">
        <v>0</v>
      </c>
      <c r="DB266" s="542">
        <v>-3969</v>
      </c>
      <c r="DC266" s="542">
        <v>-694</v>
      </c>
      <c r="DD266" s="542">
        <v>0</v>
      </c>
      <c r="DE266" s="153" t="s">
        <v>397</v>
      </c>
      <c r="DF266" s="103" t="s">
        <v>788</v>
      </c>
      <c r="DG266" s="104" t="s">
        <v>751</v>
      </c>
      <c r="DH266" s="547"/>
      <c r="DI266" s="547"/>
    </row>
    <row r="267" spans="1:113" x14ac:dyDescent="0.2">
      <c r="A267" s="93">
        <v>261</v>
      </c>
      <c r="B267" s="145" t="s">
        <v>400</v>
      </c>
      <c r="C267" s="141" t="s">
        <v>873</v>
      </c>
      <c r="D267" s="142" t="s">
        <v>868</v>
      </c>
      <c r="E267" s="149" t="s">
        <v>399</v>
      </c>
      <c r="F267" s="542">
        <v>-577796</v>
      </c>
      <c r="G267" s="542">
        <v>0</v>
      </c>
      <c r="H267" s="542">
        <v>-577796</v>
      </c>
      <c r="I267" s="542">
        <v>63616</v>
      </c>
      <c r="J267" s="542">
        <v>0</v>
      </c>
      <c r="K267" s="542">
        <v>63616</v>
      </c>
      <c r="L267" s="542">
        <v>-641412</v>
      </c>
      <c r="M267" s="542">
        <v>0</v>
      </c>
      <c r="N267" s="542">
        <v>-641412</v>
      </c>
      <c r="O267" s="543">
        <v>0.5</v>
      </c>
      <c r="P267" s="543">
        <v>0.49</v>
      </c>
      <c r="Q267" s="543">
        <v>0</v>
      </c>
      <c r="R267" s="543">
        <v>0.01</v>
      </c>
      <c r="S267" s="542">
        <v>429803</v>
      </c>
      <c r="T267" s="542">
        <v>429803</v>
      </c>
      <c r="U267" s="542">
        <v>0</v>
      </c>
      <c r="V267" s="542">
        <v>0</v>
      </c>
      <c r="W267" s="542">
        <v>0</v>
      </c>
      <c r="X267" s="542">
        <v>0</v>
      </c>
      <c r="Y267" s="542">
        <v>0</v>
      </c>
      <c r="Z267" s="542">
        <v>0</v>
      </c>
      <c r="AA267" s="542">
        <v>0</v>
      </c>
      <c r="AB267" s="542">
        <v>0</v>
      </c>
      <c r="AC267" s="542">
        <v>0</v>
      </c>
      <c r="AD267" s="542">
        <v>0</v>
      </c>
      <c r="AE267" s="542">
        <v>0</v>
      </c>
      <c r="AF267" s="542">
        <v>0</v>
      </c>
      <c r="AG267" s="542">
        <v>0</v>
      </c>
      <c r="AH267" s="542">
        <v>0</v>
      </c>
      <c r="AI267" s="542">
        <v>0</v>
      </c>
      <c r="AJ267" s="542">
        <v>0</v>
      </c>
      <c r="AK267" s="542">
        <v>0</v>
      </c>
      <c r="AL267" s="542">
        <v>0</v>
      </c>
      <c r="AM267" s="542">
        <v>0</v>
      </c>
      <c r="AN267" s="542">
        <v>0</v>
      </c>
      <c r="AO267" s="542">
        <v>0</v>
      </c>
      <c r="AP267" s="542">
        <v>0</v>
      </c>
      <c r="AQ267" s="542">
        <v>1709266.41</v>
      </c>
      <c r="AR267" s="542">
        <v>0</v>
      </c>
      <c r="AS267" s="542">
        <v>34882.99</v>
      </c>
      <c r="AT267" s="542">
        <v>1500000</v>
      </c>
      <c r="AU267" s="542">
        <v>0</v>
      </c>
      <c r="AV267" s="542">
        <v>30612</v>
      </c>
      <c r="AW267" s="542">
        <v>209266</v>
      </c>
      <c r="AX267" s="542">
        <v>0</v>
      </c>
      <c r="AY267" s="542">
        <v>4271</v>
      </c>
      <c r="AZ267" s="542">
        <v>10900.38</v>
      </c>
      <c r="BA267" s="542">
        <v>0</v>
      </c>
      <c r="BB267" s="542">
        <v>222.46</v>
      </c>
      <c r="BC267" s="542">
        <v>0</v>
      </c>
      <c r="BD267" s="542">
        <v>0</v>
      </c>
      <c r="BE267" s="542">
        <v>0</v>
      </c>
      <c r="BF267" s="542">
        <v>10900</v>
      </c>
      <c r="BG267" s="542">
        <v>0</v>
      </c>
      <c r="BH267" s="542">
        <v>222</v>
      </c>
      <c r="BI267" s="542">
        <v>17836.169999999998</v>
      </c>
      <c r="BJ267" s="542">
        <v>0</v>
      </c>
      <c r="BK267" s="542">
        <v>364</v>
      </c>
      <c r="BL267" s="542">
        <v>0</v>
      </c>
      <c r="BM267" s="542">
        <v>0</v>
      </c>
      <c r="BN267" s="542">
        <v>0</v>
      </c>
      <c r="BO267" s="542">
        <v>17836</v>
      </c>
      <c r="BP267" s="542">
        <v>0</v>
      </c>
      <c r="BQ267" s="542">
        <v>364</v>
      </c>
      <c r="BR267" s="542">
        <v>4239.92</v>
      </c>
      <c r="BS267" s="542">
        <v>0</v>
      </c>
      <c r="BT267" s="542">
        <v>86.53</v>
      </c>
      <c r="BU267" s="542">
        <v>0</v>
      </c>
      <c r="BV267" s="542">
        <v>0</v>
      </c>
      <c r="BW267" s="542">
        <v>0</v>
      </c>
      <c r="BX267" s="542">
        <v>4240</v>
      </c>
      <c r="BY267" s="542">
        <v>0</v>
      </c>
      <c r="BZ267" s="542">
        <v>87</v>
      </c>
      <c r="CA267" s="542">
        <v>557906.61</v>
      </c>
      <c r="CB267" s="542">
        <v>0</v>
      </c>
      <c r="CC267" s="542">
        <v>11385.85</v>
      </c>
      <c r="CD267" s="542">
        <v>1150848</v>
      </c>
      <c r="CE267" s="542">
        <v>0</v>
      </c>
      <c r="CF267" s="542">
        <v>23487</v>
      </c>
      <c r="CG267" s="542">
        <v>-592941</v>
      </c>
      <c r="CH267" s="542">
        <v>0</v>
      </c>
      <c r="CI267" s="542">
        <v>-12101</v>
      </c>
      <c r="CJ267" s="542">
        <v>0</v>
      </c>
      <c r="CK267" s="542">
        <v>0</v>
      </c>
      <c r="CL267" s="542">
        <v>0</v>
      </c>
      <c r="CM267" s="542">
        <v>0</v>
      </c>
      <c r="CN267" s="542">
        <v>0</v>
      </c>
      <c r="CO267" s="542">
        <v>0</v>
      </c>
      <c r="CP267" s="542">
        <v>0</v>
      </c>
      <c r="CQ267" s="542">
        <v>0</v>
      </c>
      <c r="CR267" s="542">
        <v>0</v>
      </c>
      <c r="CS267" s="542">
        <v>0</v>
      </c>
      <c r="CT267" s="542">
        <v>0</v>
      </c>
      <c r="CU267" s="542">
        <v>0</v>
      </c>
      <c r="CV267" s="542">
        <v>469676.96</v>
      </c>
      <c r="CW267" s="542">
        <v>0</v>
      </c>
      <c r="CX267" s="542">
        <v>9585.24</v>
      </c>
      <c r="CY267" s="542">
        <v>463399</v>
      </c>
      <c r="CZ267" s="542">
        <v>0</v>
      </c>
      <c r="DA267" s="542">
        <v>9364</v>
      </c>
      <c r="DB267" s="542">
        <v>6278</v>
      </c>
      <c r="DC267" s="542">
        <v>0</v>
      </c>
      <c r="DD267" s="542">
        <v>221</v>
      </c>
      <c r="DE267" s="153" t="s">
        <v>399</v>
      </c>
      <c r="DF267" s="103" t="s">
        <v>763</v>
      </c>
      <c r="DG267" s="104" t="s">
        <v>777</v>
      </c>
      <c r="DH267" s="549" t="s">
        <v>1208</v>
      </c>
      <c r="DI267" s="549"/>
    </row>
    <row r="268" spans="1:113" x14ac:dyDescent="0.2">
      <c r="A268" s="93">
        <v>262</v>
      </c>
      <c r="B268" s="145" t="s">
        <v>402</v>
      </c>
      <c r="C268" s="141" t="s">
        <v>770</v>
      </c>
      <c r="D268" s="142" t="s">
        <v>878</v>
      </c>
      <c r="E268" s="149" t="s">
        <v>727</v>
      </c>
      <c r="F268" s="542">
        <v>-907638</v>
      </c>
      <c r="G268" s="542">
        <v>0</v>
      </c>
      <c r="H268" s="542">
        <v>-907638</v>
      </c>
      <c r="I268" s="542">
        <v>1648</v>
      </c>
      <c r="J268" s="542">
        <v>0</v>
      </c>
      <c r="K268" s="542">
        <v>1648</v>
      </c>
      <c r="L268" s="542">
        <v>-909286</v>
      </c>
      <c r="M268" s="542">
        <v>0</v>
      </c>
      <c r="N268" s="542">
        <v>-909286</v>
      </c>
      <c r="O268" s="543">
        <v>0.5</v>
      </c>
      <c r="P268" s="543">
        <v>0.49</v>
      </c>
      <c r="Q268" s="543">
        <v>0</v>
      </c>
      <c r="R268" s="543">
        <v>0.01</v>
      </c>
      <c r="S268" s="542">
        <v>238978</v>
      </c>
      <c r="T268" s="542">
        <v>238978</v>
      </c>
      <c r="U268" s="542">
        <v>0</v>
      </c>
      <c r="V268" s="542">
        <v>112030</v>
      </c>
      <c r="W268" s="542">
        <v>906439</v>
      </c>
      <c r="X268" s="542">
        <v>-794409</v>
      </c>
      <c r="Y268" s="542">
        <v>0</v>
      </c>
      <c r="Z268" s="542">
        <v>0</v>
      </c>
      <c r="AA268" s="542">
        <v>0</v>
      </c>
      <c r="AB268" s="542">
        <v>0</v>
      </c>
      <c r="AC268" s="542">
        <v>0</v>
      </c>
      <c r="AD268" s="542">
        <v>0</v>
      </c>
      <c r="AE268" s="542">
        <v>80632.479999999996</v>
      </c>
      <c r="AF268" s="542">
        <v>79904.240000000005</v>
      </c>
      <c r="AG268" s="542">
        <v>0</v>
      </c>
      <c r="AH268" s="542">
        <v>728.24</v>
      </c>
      <c r="AI268" s="542">
        <v>82112.5</v>
      </c>
      <c r="AJ268" s="542">
        <v>81391.5</v>
      </c>
      <c r="AK268" s="542">
        <v>0</v>
      </c>
      <c r="AL268" s="542">
        <v>721</v>
      </c>
      <c r="AM268" s="542">
        <v>-1480</v>
      </c>
      <c r="AN268" s="542">
        <v>-1487</v>
      </c>
      <c r="AO268" s="542">
        <v>0</v>
      </c>
      <c r="AP268" s="542">
        <v>7</v>
      </c>
      <c r="AQ268" s="542">
        <v>721454.4</v>
      </c>
      <c r="AR268" s="542">
        <v>0</v>
      </c>
      <c r="AS268" s="542">
        <v>14723.56</v>
      </c>
      <c r="AT268" s="542">
        <v>639165</v>
      </c>
      <c r="AU268" s="542">
        <v>0</v>
      </c>
      <c r="AV268" s="542">
        <v>13044</v>
      </c>
      <c r="AW268" s="542">
        <v>82289</v>
      </c>
      <c r="AX268" s="542">
        <v>0</v>
      </c>
      <c r="AY268" s="542">
        <v>1680</v>
      </c>
      <c r="AZ268" s="542">
        <v>0</v>
      </c>
      <c r="BA268" s="542">
        <v>0</v>
      </c>
      <c r="BB268" s="542">
        <v>0</v>
      </c>
      <c r="BC268" s="542">
        <v>50818</v>
      </c>
      <c r="BD268" s="542">
        <v>0</v>
      </c>
      <c r="BE268" s="542">
        <v>1037</v>
      </c>
      <c r="BF268" s="542">
        <v>-50818</v>
      </c>
      <c r="BG268" s="542">
        <v>0</v>
      </c>
      <c r="BH268" s="542">
        <v>-1037</v>
      </c>
      <c r="BI268" s="542">
        <v>0</v>
      </c>
      <c r="BJ268" s="542">
        <v>0</v>
      </c>
      <c r="BK268" s="542">
        <v>0</v>
      </c>
      <c r="BL268" s="542">
        <v>0</v>
      </c>
      <c r="BM268" s="542">
        <v>0</v>
      </c>
      <c r="BN268" s="542">
        <v>0</v>
      </c>
      <c r="BO268" s="542">
        <v>0</v>
      </c>
      <c r="BP268" s="542">
        <v>0</v>
      </c>
      <c r="BQ268" s="542">
        <v>0</v>
      </c>
      <c r="BR268" s="542">
        <v>5883</v>
      </c>
      <c r="BS268" s="542">
        <v>0</v>
      </c>
      <c r="BT268" s="542">
        <v>120.06</v>
      </c>
      <c r="BU268" s="542">
        <v>277625.42</v>
      </c>
      <c r="BV268" s="542">
        <v>0</v>
      </c>
      <c r="BW268" s="542">
        <v>5665.82</v>
      </c>
      <c r="BX268" s="542">
        <v>-271742</v>
      </c>
      <c r="BY268" s="542">
        <v>0</v>
      </c>
      <c r="BZ268" s="542">
        <v>-5546</v>
      </c>
      <c r="CA268" s="542">
        <v>283609.94</v>
      </c>
      <c r="CB268" s="542">
        <v>0</v>
      </c>
      <c r="CC268" s="542">
        <v>5787.96</v>
      </c>
      <c r="CD268" s="542">
        <v>742802.55</v>
      </c>
      <c r="CE268" s="542">
        <v>0</v>
      </c>
      <c r="CF268" s="542">
        <v>15159.24</v>
      </c>
      <c r="CG268" s="542">
        <v>-459193</v>
      </c>
      <c r="CH268" s="542">
        <v>0</v>
      </c>
      <c r="CI268" s="542">
        <v>-9371</v>
      </c>
      <c r="CJ268" s="542">
        <v>0</v>
      </c>
      <c r="CK268" s="542">
        <v>0</v>
      </c>
      <c r="CL268" s="542">
        <v>0</v>
      </c>
      <c r="CM268" s="542">
        <v>160099.20000000001</v>
      </c>
      <c r="CN268" s="542">
        <v>0</v>
      </c>
      <c r="CO268" s="542">
        <v>3267.33</v>
      </c>
      <c r="CP268" s="542">
        <v>0</v>
      </c>
      <c r="CQ268" s="542">
        <v>0</v>
      </c>
      <c r="CR268" s="542">
        <v>0</v>
      </c>
      <c r="CS268" s="542">
        <v>160099</v>
      </c>
      <c r="CT268" s="542">
        <v>0</v>
      </c>
      <c r="CU268" s="542">
        <v>3267</v>
      </c>
      <c r="CV268" s="542">
        <v>394500.88</v>
      </c>
      <c r="CW268" s="542">
        <v>0</v>
      </c>
      <c r="CX268" s="542">
        <v>8026.77</v>
      </c>
      <c r="CY268" s="542">
        <v>424819</v>
      </c>
      <c r="CZ268" s="542">
        <v>0</v>
      </c>
      <c r="DA268" s="542">
        <v>8412</v>
      </c>
      <c r="DB268" s="542">
        <v>-30318</v>
      </c>
      <c r="DC268" s="542">
        <v>0</v>
      </c>
      <c r="DD268" s="542">
        <v>-385</v>
      </c>
      <c r="DE268" s="153" t="s">
        <v>727</v>
      </c>
      <c r="DF268" s="103" t="s">
        <v>770</v>
      </c>
      <c r="DG268" s="104" t="s">
        <v>809</v>
      </c>
      <c r="DH268" s="549" t="s">
        <v>1192</v>
      </c>
      <c r="DI268" s="549"/>
    </row>
    <row r="269" spans="1:113" x14ac:dyDescent="0.2">
      <c r="A269" s="93">
        <v>263</v>
      </c>
      <c r="B269" s="145" t="s">
        <v>404</v>
      </c>
      <c r="C269" s="141" t="s">
        <v>770</v>
      </c>
      <c r="D269" s="142" t="s">
        <v>876</v>
      </c>
      <c r="E269" s="149" t="s">
        <v>728</v>
      </c>
      <c r="F269" s="542">
        <v>-1873944</v>
      </c>
      <c r="G269" s="542">
        <v>0</v>
      </c>
      <c r="H269" s="542">
        <v>-1873944</v>
      </c>
      <c r="I269" s="542">
        <v>53460</v>
      </c>
      <c r="J269" s="542">
        <v>0</v>
      </c>
      <c r="K269" s="542">
        <v>53460</v>
      </c>
      <c r="L269" s="542">
        <v>-1927404</v>
      </c>
      <c r="M269" s="542">
        <v>0</v>
      </c>
      <c r="N269" s="542">
        <v>-1927404</v>
      </c>
      <c r="O269" s="543">
        <v>0.5</v>
      </c>
      <c r="P269" s="543">
        <v>0.49</v>
      </c>
      <c r="Q269" s="543">
        <v>0</v>
      </c>
      <c r="R269" s="543">
        <v>0.01</v>
      </c>
      <c r="S269" s="542">
        <v>365172</v>
      </c>
      <c r="T269" s="542">
        <v>365172</v>
      </c>
      <c r="U269" s="542">
        <v>0</v>
      </c>
      <c r="V269" s="542">
        <v>0</v>
      </c>
      <c r="W269" s="542">
        <v>0</v>
      </c>
      <c r="X269" s="542">
        <v>0</v>
      </c>
      <c r="Y269" s="542">
        <v>0</v>
      </c>
      <c r="Z269" s="542">
        <v>0</v>
      </c>
      <c r="AA269" s="542">
        <v>0</v>
      </c>
      <c r="AB269" s="542">
        <v>0</v>
      </c>
      <c r="AC269" s="542">
        <v>0</v>
      </c>
      <c r="AD269" s="542">
        <v>0</v>
      </c>
      <c r="AE269" s="542">
        <v>0</v>
      </c>
      <c r="AF269" s="542">
        <v>0</v>
      </c>
      <c r="AG269" s="542">
        <v>0</v>
      </c>
      <c r="AH269" s="542">
        <v>0</v>
      </c>
      <c r="AI269" s="542">
        <v>0</v>
      </c>
      <c r="AJ269" s="542">
        <v>0</v>
      </c>
      <c r="AK269" s="542">
        <v>0</v>
      </c>
      <c r="AL269" s="542">
        <v>0</v>
      </c>
      <c r="AM269" s="542">
        <v>0</v>
      </c>
      <c r="AN269" s="542">
        <v>0</v>
      </c>
      <c r="AO269" s="542">
        <v>0</v>
      </c>
      <c r="AP269" s="542">
        <v>0</v>
      </c>
      <c r="AQ269" s="542">
        <v>1539709.84</v>
      </c>
      <c r="AR269" s="542">
        <v>0</v>
      </c>
      <c r="AS269" s="542">
        <v>31422.65</v>
      </c>
      <c r="AT269" s="542">
        <v>1407058</v>
      </c>
      <c r="AU269" s="542">
        <v>0</v>
      </c>
      <c r="AV269" s="542">
        <v>28715</v>
      </c>
      <c r="AW269" s="542">
        <v>132652</v>
      </c>
      <c r="AX269" s="542">
        <v>0</v>
      </c>
      <c r="AY269" s="542">
        <v>2708</v>
      </c>
      <c r="AZ269" s="542">
        <v>4568.24</v>
      </c>
      <c r="BA269" s="542">
        <v>0</v>
      </c>
      <c r="BB269" s="542">
        <v>93.23</v>
      </c>
      <c r="BC269" s="542">
        <v>3961</v>
      </c>
      <c r="BD269" s="542">
        <v>0</v>
      </c>
      <c r="BE269" s="542">
        <v>81</v>
      </c>
      <c r="BF269" s="542">
        <v>607</v>
      </c>
      <c r="BG269" s="542">
        <v>0</v>
      </c>
      <c r="BH269" s="542">
        <v>12</v>
      </c>
      <c r="BI269" s="542">
        <v>0</v>
      </c>
      <c r="BJ269" s="542">
        <v>0</v>
      </c>
      <c r="BK269" s="542">
        <v>0</v>
      </c>
      <c r="BL269" s="542">
        <v>0</v>
      </c>
      <c r="BM269" s="542">
        <v>0</v>
      </c>
      <c r="BN269" s="542">
        <v>0</v>
      </c>
      <c r="BO269" s="542">
        <v>0</v>
      </c>
      <c r="BP269" s="542">
        <v>0</v>
      </c>
      <c r="BQ269" s="542">
        <v>0</v>
      </c>
      <c r="BR269" s="542">
        <v>9067.14</v>
      </c>
      <c r="BS269" s="542">
        <v>0</v>
      </c>
      <c r="BT269" s="542">
        <v>185.04</v>
      </c>
      <c r="BU269" s="542">
        <v>36644.93</v>
      </c>
      <c r="BV269" s="542">
        <v>0</v>
      </c>
      <c r="BW269" s="542">
        <v>747.86</v>
      </c>
      <c r="BX269" s="542">
        <v>-27578</v>
      </c>
      <c r="BY269" s="542">
        <v>0</v>
      </c>
      <c r="BZ269" s="542">
        <v>-563</v>
      </c>
      <c r="CA269" s="542">
        <v>378789.68</v>
      </c>
      <c r="CB269" s="542">
        <v>0</v>
      </c>
      <c r="CC269" s="542">
        <v>7730.4</v>
      </c>
      <c r="CD269" s="542">
        <v>408541.4</v>
      </c>
      <c r="CE269" s="542">
        <v>0</v>
      </c>
      <c r="CF269" s="542">
        <v>8337.58</v>
      </c>
      <c r="CG269" s="542">
        <v>-29752</v>
      </c>
      <c r="CH269" s="542">
        <v>0</v>
      </c>
      <c r="CI269" s="542">
        <v>-607</v>
      </c>
      <c r="CJ269" s="542">
        <v>0</v>
      </c>
      <c r="CK269" s="542">
        <v>0</v>
      </c>
      <c r="CL269" s="542">
        <v>0</v>
      </c>
      <c r="CM269" s="542">
        <v>0</v>
      </c>
      <c r="CN269" s="542">
        <v>0</v>
      </c>
      <c r="CO269" s="542">
        <v>0</v>
      </c>
      <c r="CP269" s="542">
        <v>0</v>
      </c>
      <c r="CQ269" s="542">
        <v>0</v>
      </c>
      <c r="CR269" s="542">
        <v>0</v>
      </c>
      <c r="CS269" s="542">
        <v>0</v>
      </c>
      <c r="CT269" s="542">
        <v>0</v>
      </c>
      <c r="CU269" s="542">
        <v>0</v>
      </c>
      <c r="CV269" s="542">
        <v>395732.28</v>
      </c>
      <c r="CW269" s="542">
        <v>0</v>
      </c>
      <c r="CX269" s="542">
        <v>8076.17</v>
      </c>
      <c r="CY269" s="542">
        <v>428755</v>
      </c>
      <c r="CZ269" s="542">
        <v>0</v>
      </c>
      <c r="DA269" s="542">
        <v>8671</v>
      </c>
      <c r="DB269" s="542">
        <v>-33023</v>
      </c>
      <c r="DC269" s="542">
        <v>0</v>
      </c>
      <c r="DD269" s="542">
        <v>-595</v>
      </c>
      <c r="DE269" s="153" t="s">
        <v>728</v>
      </c>
      <c r="DF269" s="103" t="s">
        <v>770</v>
      </c>
      <c r="DG269" s="104" t="s">
        <v>793</v>
      </c>
      <c r="DH269" s="547"/>
      <c r="DI269" s="547"/>
    </row>
    <row r="270" spans="1:113" x14ac:dyDescent="0.2">
      <c r="A270" s="93">
        <v>264</v>
      </c>
      <c r="B270" s="145" t="s">
        <v>406</v>
      </c>
      <c r="C270" s="141" t="s">
        <v>866</v>
      </c>
      <c r="D270" s="142" t="s">
        <v>876</v>
      </c>
      <c r="E270" s="149" t="s">
        <v>405</v>
      </c>
      <c r="F270" s="542">
        <v>-208321</v>
      </c>
      <c r="G270" s="542">
        <v>0</v>
      </c>
      <c r="H270" s="542">
        <v>-208321</v>
      </c>
      <c r="I270" s="542">
        <v>56698</v>
      </c>
      <c r="J270" s="542">
        <v>0</v>
      </c>
      <c r="K270" s="542">
        <v>56698</v>
      </c>
      <c r="L270" s="542">
        <v>-265019</v>
      </c>
      <c r="M270" s="542">
        <v>0</v>
      </c>
      <c r="N270" s="542">
        <v>-265019</v>
      </c>
      <c r="O270" s="543">
        <v>0.5</v>
      </c>
      <c r="P270" s="543">
        <v>0.4</v>
      </c>
      <c r="Q270" s="543">
        <v>0.1</v>
      </c>
      <c r="R270" s="543">
        <v>0</v>
      </c>
      <c r="S270" s="542">
        <v>218813</v>
      </c>
      <c r="T270" s="542">
        <v>218813</v>
      </c>
      <c r="U270" s="542">
        <v>0</v>
      </c>
      <c r="V270" s="542">
        <v>0</v>
      </c>
      <c r="W270" s="542">
        <v>0</v>
      </c>
      <c r="X270" s="542">
        <v>0</v>
      </c>
      <c r="Y270" s="542">
        <v>0</v>
      </c>
      <c r="Z270" s="542">
        <v>0</v>
      </c>
      <c r="AA270" s="542">
        <v>0</v>
      </c>
      <c r="AB270" s="542">
        <v>0</v>
      </c>
      <c r="AC270" s="542">
        <v>0</v>
      </c>
      <c r="AD270" s="542">
        <v>0</v>
      </c>
      <c r="AE270" s="542">
        <v>0</v>
      </c>
      <c r="AF270" s="542">
        <v>0</v>
      </c>
      <c r="AG270" s="542">
        <v>0</v>
      </c>
      <c r="AH270" s="542">
        <v>0</v>
      </c>
      <c r="AI270" s="542">
        <v>0</v>
      </c>
      <c r="AJ270" s="542">
        <v>0</v>
      </c>
      <c r="AK270" s="542">
        <v>0</v>
      </c>
      <c r="AL270" s="542">
        <v>0</v>
      </c>
      <c r="AM270" s="542">
        <v>0</v>
      </c>
      <c r="AN270" s="542">
        <v>0</v>
      </c>
      <c r="AO270" s="542">
        <v>0</v>
      </c>
      <c r="AP270" s="542">
        <v>0</v>
      </c>
      <c r="AQ270" s="542">
        <v>682329.527</v>
      </c>
      <c r="AR270" s="542">
        <v>170582.38099999999</v>
      </c>
      <c r="AS270" s="542">
        <v>0</v>
      </c>
      <c r="AT270" s="542">
        <v>647338</v>
      </c>
      <c r="AU270" s="542">
        <v>161834</v>
      </c>
      <c r="AV270" s="542">
        <v>0</v>
      </c>
      <c r="AW270" s="542">
        <v>34992</v>
      </c>
      <c r="AX270" s="542">
        <v>8748</v>
      </c>
      <c r="AY270" s="542">
        <v>0</v>
      </c>
      <c r="AZ270" s="542">
        <v>0</v>
      </c>
      <c r="BA270" s="542">
        <v>0</v>
      </c>
      <c r="BB270" s="542">
        <v>0</v>
      </c>
      <c r="BC270" s="542">
        <v>0</v>
      </c>
      <c r="BD270" s="542">
        <v>0</v>
      </c>
      <c r="BE270" s="542">
        <v>0</v>
      </c>
      <c r="BF270" s="542">
        <v>0</v>
      </c>
      <c r="BG270" s="542">
        <v>0</v>
      </c>
      <c r="BH270" s="542">
        <v>0</v>
      </c>
      <c r="BI270" s="542">
        <v>747.45137999999997</v>
      </c>
      <c r="BJ270" s="542">
        <v>186.86284499999999</v>
      </c>
      <c r="BK270" s="542">
        <v>0</v>
      </c>
      <c r="BL270" s="542">
        <v>0</v>
      </c>
      <c r="BM270" s="542">
        <v>0</v>
      </c>
      <c r="BN270" s="542">
        <v>0</v>
      </c>
      <c r="BO270" s="542">
        <v>747</v>
      </c>
      <c r="BP270" s="542">
        <v>187</v>
      </c>
      <c r="BQ270" s="542">
        <v>0</v>
      </c>
      <c r="BR270" s="542">
        <v>0</v>
      </c>
      <c r="BS270" s="542">
        <v>0</v>
      </c>
      <c r="BT270" s="542">
        <v>0</v>
      </c>
      <c r="BU270" s="542">
        <v>0</v>
      </c>
      <c r="BV270" s="542">
        <v>0</v>
      </c>
      <c r="BW270" s="542">
        <v>0</v>
      </c>
      <c r="BX270" s="542">
        <v>0</v>
      </c>
      <c r="BY270" s="542">
        <v>0</v>
      </c>
      <c r="BZ270" s="542">
        <v>0</v>
      </c>
      <c r="CA270" s="542">
        <v>87064.947700000004</v>
      </c>
      <c r="CB270" s="542">
        <v>21766.2369</v>
      </c>
      <c r="CC270" s="542">
        <v>0</v>
      </c>
      <c r="CD270" s="542">
        <v>296717</v>
      </c>
      <c r="CE270" s="542">
        <v>74179</v>
      </c>
      <c r="CF270" s="542">
        <v>0</v>
      </c>
      <c r="CG270" s="542">
        <v>-209652</v>
      </c>
      <c r="CH270" s="542">
        <v>-52413</v>
      </c>
      <c r="CI270" s="542">
        <v>0</v>
      </c>
      <c r="CJ270" s="542">
        <v>0</v>
      </c>
      <c r="CK270" s="542">
        <v>0</v>
      </c>
      <c r="CL270" s="542">
        <v>0</v>
      </c>
      <c r="CM270" s="542">
        <v>0</v>
      </c>
      <c r="CN270" s="542">
        <v>0</v>
      </c>
      <c r="CO270" s="542">
        <v>0</v>
      </c>
      <c r="CP270" s="542">
        <v>0</v>
      </c>
      <c r="CQ270" s="542">
        <v>0</v>
      </c>
      <c r="CR270" s="542">
        <v>0</v>
      </c>
      <c r="CS270" s="542">
        <v>0</v>
      </c>
      <c r="CT270" s="542">
        <v>0</v>
      </c>
      <c r="CU270" s="542">
        <v>0</v>
      </c>
      <c r="CV270" s="542">
        <v>219174.55600000001</v>
      </c>
      <c r="CW270" s="542">
        <v>54793.639000000003</v>
      </c>
      <c r="CX270" s="542">
        <v>0</v>
      </c>
      <c r="CY270" s="542">
        <v>225473</v>
      </c>
      <c r="CZ270" s="542">
        <v>55787</v>
      </c>
      <c r="DA270" s="542">
        <v>0</v>
      </c>
      <c r="DB270" s="542">
        <v>-6298</v>
      </c>
      <c r="DC270" s="542">
        <v>-993</v>
      </c>
      <c r="DD270" s="542">
        <v>0</v>
      </c>
      <c r="DE270" s="153" t="s">
        <v>405</v>
      </c>
      <c r="DF270" s="103" t="s">
        <v>816</v>
      </c>
      <c r="DG270" s="104" t="s">
        <v>751</v>
      </c>
      <c r="DH270" s="547"/>
      <c r="DI270" s="547"/>
    </row>
    <row r="271" spans="1:113" x14ac:dyDescent="0.2">
      <c r="A271" s="93">
        <v>265</v>
      </c>
      <c r="B271" s="145" t="s">
        <v>408</v>
      </c>
      <c r="C271" s="141" t="s">
        <v>866</v>
      </c>
      <c r="D271" s="142" t="s">
        <v>875</v>
      </c>
      <c r="E271" s="149" t="s">
        <v>407</v>
      </c>
      <c r="F271" s="542">
        <v>-137656</v>
      </c>
      <c r="G271" s="542">
        <v>0</v>
      </c>
      <c r="H271" s="542">
        <v>-137656</v>
      </c>
      <c r="I271" s="542">
        <v>30001</v>
      </c>
      <c r="J271" s="542">
        <v>0</v>
      </c>
      <c r="K271" s="542">
        <v>30001</v>
      </c>
      <c r="L271" s="542">
        <v>-167657</v>
      </c>
      <c r="M271" s="542">
        <v>0</v>
      </c>
      <c r="N271" s="542">
        <v>-167657</v>
      </c>
      <c r="O271" s="543">
        <v>0.5</v>
      </c>
      <c r="P271" s="543">
        <v>0.4</v>
      </c>
      <c r="Q271" s="543">
        <v>0.1</v>
      </c>
      <c r="R271" s="543">
        <v>0</v>
      </c>
      <c r="S271" s="542">
        <v>156641</v>
      </c>
      <c r="T271" s="542">
        <v>156641</v>
      </c>
      <c r="U271" s="542">
        <v>0</v>
      </c>
      <c r="V271" s="542">
        <v>0</v>
      </c>
      <c r="W271" s="542">
        <v>0</v>
      </c>
      <c r="X271" s="542">
        <v>0</v>
      </c>
      <c r="Y271" s="542">
        <v>699</v>
      </c>
      <c r="Z271" s="542">
        <v>0</v>
      </c>
      <c r="AA271" s="542">
        <v>0</v>
      </c>
      <c r="AB271" s="542">
        <v>0</v>
      </c>
      <c r="AC271" s="542">
        <v>699</v>
      </c>
      <c r="AD271" s="542">
        <v>0</v>
      </c>
      <c r="AE271" s="542">
        <v>0</v>
      </c>
      <c r="AF271" s="542">
        <v>0</v>
      </c>
      <c r="AG271" s="542">
        <v>0</v>
      </c>
      <c r="AH271" s="542">
        <v>0</v>
      </c>
      <c r="AI271" s="542">
        <v>0</v>
      </c>
      <c r="AJ271" s="542">
        <v>0</v>
      </c>
      <c r="AK271" s="542">
        <v>0</v>
      </c>
      <c r="AL271" s="542">
        <v>0</v>
      </c>
      <c r="AM271" s="542">
        <v>0</v>
      </c>
      <c r="AN271" s="542">
        <v>0</v>
      </c>
      <c r="AO271" s="542">
        <v>0</v>
      </c>
      <c r="AP271" s="542">
        <v>0</v>
      </c>
      <c r="AQ271" s="542">
        <v>505390.72600000002</v>
      </c>
      <c r="AR271" s="542">
        <v>126347.681</v>
      </c>
      <c r="AS271" s="542">
        <v>0</v>
      </c>
      <c r="AT271" s="542">
        <v>409683</v>
      </c>
      <c r="AU271" s="542">
        <v>102421</v>
      </c>
      <c r="AV271" s="542">
        <v>0</v>
      </c>
      <c r="AW271" s="542">
        <v>95708</v>
      </c>
      <c r="AX271" s="542">
        <v>23927</v>
      </c>
      <c r="AY271" s="542">
        <v>0</v>
      </c>
      <c r="AZ271" s="542">
        <v>0</v>
      </c>
      <c r="BA271" s="542">
        <v>0</v>
      </c>
      <c r="BB271" s="542">
        <v>0</v>
      </c>
      <c r="BC271" s="542">
        <v>5659</v>
      </c>
      <c r="BD271" s="542">
        <v>1415</v>
      </c>
      <c r="BE271" s="542">
        <v>0</v>
      </c>
      <c r="BF271" s="542">
        <v>-5659</v>
      </c>
      <c r="BG271" s="542">
        <v>-1415</v>
      </c>
      <c r="BH271" s="542">
        <v>0</v>
      </c>
      <c r="BI271" s="542">
        <v>0</v>
      </c>
      <c r="BJ271" s="542">
        <v>0</v>
      </c>
      <c r="BK271" s="542">
        <v>0</v>
      </c>
      <c r="BL271" s="542">
        <v>0</v>
      </c>
      <c r="BM271" s="542">
        <v>0</v>
      </c>
      <c r="BN271" s="542">
        <v>0</v>
      </c>
      <c r="BO271" s="542">
        <v>0</v>
      </c>
      <c r="BP271" s="542">
        <v>0</v>
      </c>
      <c r="BQ271" s="542">
        <v>0</v>
      </c>
      <c r="BR271" s="542">
        <v>0</v>
      </c>
      <c r="BS271" s="542">
        <v>0</v>
      </c>
      <c r="BT271" s="542">
        <v>0</v>
      </c>
      <c r="BU271" s="542">
        <v>20212.314200000001</v>
      </c>
      <c r="BV271" s="542">
        <v>5053.0785500000002</v>
      </c>
      <c r="BW271" s="542">
        <v>0</v>
      </c>
      <c r="BX271" s="542">
        <v>-20212</v>
      </c>
      <c r="BY271" s="542">
        <v>-5053</v>
      </c>
      <c r="BZ271" s="542">
        <v>0</v>
      </c>
      <c r="CA271" s="542">
        <v>159624.73000000001</v>
      </c>
      <c r="CB271" s="542">
        <v>39906.182500000003</v>
      </c>
      <c r="CC271" s="542">
        <v>0</v>
      </c>
      <c r="CD271" s="542">
        <v>222335.45600000001</v>
      </c>
      <c r="CE271" s="542">
        <v>55583.864099999999</v>
      </c>
      <c r="CF271" s="542">
        <v>0</v>
      </c>
      <c r="CG271" s="542">
        <v>-62711</v>
      </c>
      <c r="CH271" s="542">
        <v>-15678</v>
      </c>
      <c r="CI271" s="542">
        <v>0</v>
      </c>
      <c r="CJ271" s="542">
        <v>0</v>
      </c>
      <c r="CK271" s="542">
        <v>0</v>
      </c>
      <c r="CL271" s="542">
        <v>0</v>
      </c>
      <c r="CM271" s="542">
        <v>0</v>
      </c>
      <c r="CN271" s="542">
        <v>0</v>
      </c>
      <c r="CO271" s="542">
        <v>0</v>
      </c>
      <c r="CP271" s="542">
        <v>0</v>
      </c>
      <c r="CQ271" s="542">
        <v>0</v>
      </c>
      <c r="CR271" s="542">
        <v>0</v>
      </c>
      <c r="CS271" s="542">
        <v>0</v>
      </c>
      <c r="CT271" s="542">
        <v>0</v>
      </c>
      <c r="CU271" s="542">
        <v>0</v>
      </c>
      <c r="CV271" s="542">
        <v>98333.110400000005</v>
      </c>
      <c r="CW271" s="542">
        <v>24581.422500000001</v>
      </c>
      <c r="CX271" s="542">
        <v>0</v>
      </c>
      <c r="CY271" s="542">
        <v>107914</v>
      </c>
      <c r="CZ271" s="542">
        <v>26563</v>
      </c>
      <c r="DA271" s="542">
        <v>0</v>
      </c>
      <c r="DB271" s="542">
        <v>-9581</v>
      </c>
      <c r="DC271" s="542">
        <v>-1982</v>
      </c>
      <c r="DD271" s="542">
        <v>0</v>
      </c>
      <c r="DE271" s="153" t="s">
        <v>407</v>
      </c>
      <c r="DF271" s="103" t="s">
        <v>794</v>
      </c>
      <c r="DG271" s="104" t="s">
        <v>751</v>
      </c>
      <c r="DH271" s="547"/>
      <c r="DI271" s="547"/>
    </row>
    <row r="272" spans="1:113" x14ac:dyDescent="0.2">
      <c r="A272" s="93">
        <v>266</v>
      </c>
      <c r="B272" s="145" t="s">
        <v>410</v>
      </c>
      <c r="C272" s="141" t="s">
        <v>866</v>
      </c>
      <c r="D272" s="142" t="s">
        <v>870</v>
      </c>
      <c r="E272" s="149" t="s">
        <v>409</v>
      </c>
      <c r="F272" s="542">
        <v>4125702</v>
      </c>
      <c r="G272" s="542">
        <v>0</v>
      </c>
      <c r="H272" s="542">
        <v>4125702</v>
      </c>
      <c r="I272" s="542">
        <v>16980748</v>
      </c>
      <c r="J272" s="542">
        <v>0</v>
      </c>
      <c r="K272" s="542">
        <v>16980748</v>
      </c>
      <c r="L272" s="542">
        <v>-12855046</v>
      </c>
      <c r="M272" s="542">
        <v>0</v>
      </c>
      <c r="N272" s="542">
        <v>-12855046</v>
      </c>
      <c r="O272" s="543">
        <v>0.5</v>
      </c>
      <c r="P272" s="543">
        <v>0.4</v>
      </c>
      <c r="Q272" s="543">
        <v>0.1</v>
      </c>
      <c r="R272" s="543">
        <v>0</v>
      </c>
      <c r="S272" s="542">
        <v>278728</v>
      </c>
      <c r="T272" s="542">
        <v>278728</v>
      </c>
      <c r="U272" s="542">
        <v>0</v>
      </c>
      <c r="V272" s="542">
        <v>0</v>
      </c>
      <c r="W272" s="542">
        <v>0</v>
      </c>
      <c r="X272" s="542">
        <v>0</v>
      </c>
      <c r="Y272" s="542">
        <v>48462</v>
      </c>
      <c r="Z272" s="542">
        <v>0</v>
      </c>
      <c r="AA272" s="542">
        <v>0</v>
      </c>
      <c r="AB272" s="542">
        <v>0</v>
      </c>
      <c r="AC272" s="542">
        <v>48462</v>
      </c>
      <c r="AD272" s="542">
        <v>0</v>
      </c>
      <c r="AE272" s="542">
        <v>0</v>
      </c>
      <c r="AF272" s="542">
        <v>0</v>
      </c>
      <c r="AG272" s="542">
        <v>0</v>
      </c>
      <c r="AH272" s="542">
        <v>0</v>
      </c>
      <c r="AI272" s="542">
        <v>0</v>
      </c>
      <c r="AJ272" s="542">
        <v>0</v>
      </c>
      <c r="AK272" s="542">
        <v>0</v>
      </c>
      <c r="AL272" s="542">
        <v>0</v>
      </c>
      <c r="AM272" s="542">
        <v>0</v>
      </c>
      <c r="AN272" s="542">
        <v>0</v>
      </c>
      <c r="AO272" s="542">
        <v>0</v>
      </c>
      <c r="AP272" s="542">
        <v>0</v>
      </c>
      <c r="AQ272" s="542">
        <v>741980.51300000004</v>
      </c>
      <c r="AR272" s="542">
        <v>185495.128</v>
      </c>
      <c r="AS272" s="542">
        <v>0</v>
      </c>
      <c r="AT272" s="542">
        <v>687013</v>
      </c>
      <c r="AU272" s="542">
        <v>171753</v>
      </c>
      <c r="AV272" s="542">
        <v>0</v>
      </c>
      <c r="AW272" s="542">
        <v>54968</v>
      </c>
      <c r="AX272" s="542">
        <v>13742</v>
      </c>
      <c r="AY272" s="542">
        <v>0</v>
      </c>
      <c r="AZ272" s="542">
        <v>4046.5052999999998</v>
      </c>
      <c r="BA272" s="542">
        <v>1011.62632</v>
      </c>
      <c r="BB272" s="542">
        <v>0</v>
      </c>
      <c r="BC272" s="542">
        <v>0</v>
      </c>
      <c r="BD272" s="542">
        <v>0</v>
      </c>
      <c r="BE272" s="542">
        <v>0</v>
      </c>
      <c r="BF272" s="542">
        <v>4047</v>
      </c>
      <c r="BG272" s="542">
        <v>1012</v>
      </c>
      <c r="BH272" s="542">
        <v>0</v>
      </c>
      <c r="BI272" s="542">
        <v>0</v>
      </c>
      <c r="BJ272" s="542">
        <v>0</v>
      </c>
      <c r="BK272" s="542">
        <v>0</v>
      </c>
      <c r="BL272" s="542">
        <v>0</v>
      </c>
      <c r="BM272" s="542">
        <v>0</v>
      </c>
      <c r="BN272" s="542">
        <v>0</v>
      </c>
      <c r="BO272" s="542">
        <v>0</v>
      </c>
      <c r="BP272" s="542">
        <v>0</v>
      </c>
      <c r="BQ272" s="542">
        <v>0</v>
      </c>
      <c r="BR272" s="542">
        <v>332.29044499999998</v>
      </c>
      <c r="BS272" s="542">
        <v>83.0726114</v>
      </c>
      <c r="BT272" s="542">
        <v>0</v>
      </c>
      <c r="BU272" s="542">
        <v>14914</v>
      </c>
      <c r="BV272" s="542">
        <v>3728</v>
      </c>
      <c r="BW272" s="542">
        <v>0</v>
      </c>
      <c r="BX272" s="542">
        <v>-14582</v>
      </c>
      <c r="BY272" s="542">
        <v>-3645</v>
      </c>
      <c r="BZ272" s="542">
        <v>0</v>
      </c>
      <c r="CA272" s="542">
        <v>221634.49299999999</v>
      </c>
      <c r="CB272" s="542">
        <v>55408.623299999999</v>
      </c>
      <c r="CC272" s="542">
        <v>0</v>
      </c>
      <c r="CD272" s="542">
        <v>243593</v>
      </c>
      <c r="CE272" s="542">
        <v>60898</v>
      </c>
      <c r="CF272" s="542">
        <v>0</v>
      </c>
      <c r="CG272" s="542">
        <v>-21959</v>
      </c>
      <c r="CH272" s="542">
        <v>-5489</v>
      </c>
      <c r="CI272" s="542">
        <v>0</v>
      </c>
      <c r="CJ272" s="542">
        <v>843.6</v>
      </c>
      <c r="CK272" s="542">
        <v>210.9</v>
      </c>
      <c r="CL272" s="542">
        <v>0</v>
      </c>
      <c r="CM272" s="542">
        <v>1645.2823699999999</v>
      </c>
      <c r="CN272" s="542">
        <v>411.32059400000003</v>
      </c>
      <c r="CO272" s="542">
        <v>0</v>
      </c>
      <c r="CP272" s="542">
        <v>843</v>
      </c>
      <c r="CQ272" s="542">
        <v>210.85300000000001</v>
      </c>
      <c r="CR272" s="542">
        <v>0</v>
      </c>
      <c r="CS272" s="542">
        <v>1646</v>
      </c>
      <c r="CT272" s="542">
        <v>411</v>
      </c>
      <c r="CU272" s="542">
        <v>0</v>
      </c>
      <c r="CV272" s="542">
        <v>300461.05699999997</v>
      </c>
      <c r="CW272" s="542">
        <v>74986.649600000004</v>
      </c>
      <c r="CX272" s="542">
        <v>0</v>
      </c>
      <c r="CY272" s="542">
        <v>264063</v>
      </c>
      <c r="CZ272" s="542">
        <v>65276</v>
      </c>
      <c r="DA272" s="542">
        <v>0</v>
      </c>
      <c r="DB272" s="542">
        <v>36398</v>
      </c>
      <c r="DC272" s="542">
        <v>9711</v>
      </c>
      <c r="DD272" s="542">
        <v>0</v>
      </c>
      <c r="DE272" s="153" t="s">
        <v>409</v>
      </c>
      <c r="DF272" s="103" t="s">
        <v>761</v>
      </c>
      <c r="DG272" s="104" t="s">
        <v>751</v>
      </c>
      <c r="DH272" s="547"/>
      <c r="DI272" s="547"/>
    </row>
    <row r="273" spans="1:113" x14ac:dyDescent="0.2">
      <c r="A273" s="93">
        <v>267</v>
      </c>
      <c r="B273" s="145" t="s">
        <v>412</v>
      </c>
      <c r="C273" s="141" t="s">
        <v>873</v>
      </c>
      <c r="D273" s="142" t="s">
        <v>878</v>
      </c>
      <c r="E273" s="149" t="s">
        <v>411</v>
      </c>
      <c r="F273" s="542">
        <v>-1075916</v>
      </c>
      <c r="G273" s="542">
        <v>0</v>
      </c>
      <c r="H273" s="542">
        <v>-1075916</v>
      </c>
      <c r="I273" s="542">
        <v>81095</v>
      </c>
      <c r="J273" s="542">
        <v>0</v>
      </c>
      <c r="K273" s="542">
        <v>81095</v>
      </c>
      <c r="L273" s="542">
        <v>-1157011</v>
      </c>
      <c r="M273" s="542">
        <v>0</v>
      </c>
      <c r="N273" s="542">
        <v>-1157011</v>
      </c>
      <c r="O273" s="543">
        <v>0.5</v>
      </c>
      <c r="P273" s="543">
        <v>0.49</v>
      </c>
      <c r="Q273" s="543">
        <v>0</v>
      </c>
      <c r="R273" s="543">
        <v>0.01</v>
      </c>
      <c r="S273" s="542">
        <v>333613</v>
      </c>
      <c r="T273" s="542">
        <v>333613</v>
      </c>
      <c r="U273" s="542">
        <v>0</v>
      </c>
      <c r="V273" s="542">
        <v>652913</v>
      </c>
      <c r="W273" s="542">
        <v>705287</v>
      </c>
      <c r="X273" s="542">
        <v>-52374</v>
      </c>
      <c r="Y273" s="542">
        <v>0</v>
      </c>
      <c r="Z273" s="542">
        <v>0</v>
      </c>
      <c r="AA273" s="542">
        <v>0</v>
      </c>
      <c r="AB273" s="542">
        <v>0</v>
      </c>
      <c r="AC273" s="542">
        <v>0</v>
      </c>
      <c r="AD273" s="542">
        <v>0</v>
      </c>
      <c r="AE273" s="542">
        <v>34098.17</v>
      </c>
      <c r="AF273" s="542">
        <v>34098.17</v>
      </c>
      <c r="AG273" s="542">
        <v>0</v>
      </c>
      <c r="AH273" s="542">
        <v>0</v>
      </c>
      <c r="AI273" s="542">
        <v>16870</v>
      </c>
      <c r="AJ273" s="542">
        <v>16533</v>
      </c>
      <c r="AK273" s="542">
        <v>0</v>
      </c>
      <c r="AL273" s="542">
        <v>337</v>
      </c>
      <c r="AM273" s="542">
        <v>17228</v>
      </c>
      <c r="AN273" s="542">
        <v>17565</v>
      </c>
      <c r="AO273" s="542">
        <v>0</v>
      </c>
      <c r="AP273" s="542">
        <v>-337</v>
      </c>
      <c r="AQ273" s="542">
        <v>1099192.28</v>
      </c>
      <c r="AR273" s="542">
        <v>0</v>
      </c>
      <c r="AS273" s="542">
        <v>22432.5</v>
      </c>
      <c r="AT273" s="542">
        <v>1036276</v>
      </c>
      <c r="AU273" s="542">
        <v>0</v>
      </c>
      <c r="AV273" s="542">
        <v>21148</v>
      </c>
      <c r="AW273" s="542">
        <v>62916</v>
      </c>
      <c r="AX273" s="542">
        <v>0</v>
      </c>
      <c r="AY273" s="542">
        <v>1284</v>
      </c>
      <c r="AZ273" s="542">
        <v>6401.97</v>
      </c>
      <c r="BA273" s="542">
        <v>0</v>
      </c>
      <c r="BB273" s="542">
        <v>130.65</v>
      </c>
      <c r="BC273" s="542">
        <v>27454</v>
      </c>
      <c r="BD273" s="542">
        <v>0</v>
      </c>
      <c r="BE273" s="542">
        <v>560</v>
      </c>
      <c r="BF273" s="542">
        <v>-21052</v>
      </c>
      <c r="BG273" s="542">
        <v>0</v>
      </c>
      <c r="BH273" s="542">
        <v>-429</v>
      </c>
      <c r="BI273" s="542">
        <v>0</v>
      </c>
      <c r="BJ273" s="542">
        <v>0</v>
      </c>
      <c r="BK273" s="542">
        <v>0</v>
      </c>
      <c r="BL273" s="542">
        <v>0</v>
      </c>
      <c r="BM273" s="542">
        <v>0</v>
      </c>
      <c r="BN273" s="542">
        <v>0</v>
      </c>
      <c r="BO273" s="542">
        <v>0</v>
      </c>
      <c r="BP273" s="542">
        <v>0</v>
      </c>
      <c r="BQ273" s="542">
        <v>0</v>
      </c>
      <c r="BR273" s="542">
        <v>26700.78</v>
      </c>
      <c r="BS273" s="542">
        <v>0</v>
      </c>
      <c r="BT273" s="542">
        <v>544.91</v>
      </c>
      <c r="BU273" s="542">
        <v>32993.800000000003</v>
      </c>
      <c r="BV273" s="542">
        <v>0</v>
      </c>
      <c r="BW273" s="542">
        <v>673.34</v>
      </c>
      <c r="BX273" s="542">
        <v>-6293</v>
      </c>
      <c r="BY273" s="542">
        <v>0</v>
      </c>
      <c r="BZ273" s="542">
        <v>-128</v>
      </c>
      <c r="CA273" s="542">
        <v>404913.06</v>
      </c>
      <c r="CB273" s="542">
        <v>0</v>
      </c>
      <c r="CC273" s="542">
        <v>8263.5300000000007</v>
      </c>
      <c r="CD273" s="542">
        <v>361497.24</v>
      </c>
      <c r="CE273" s="542">
        <v>0</v>
      </c>
      <c r="CF273" s="542">
        <v>7377.49</v>
      </c>
      <c r="CG273" s="542">
        <v>43416</v>
      </c>
      <c r="CH273" s="542">
        <v>0</v>
      </c>
      <c r="CI273" s="542">
        <v>886</v>
      </c>
      <c r="CJ273" s="542">
        <v>0</v>
      </c>
      <c r="CK273" s="542">
        <v>0</v>
      </c>
      <c r="CL273" s="542">
        <v>0</v>
      </c>
      <c r="CM273" s="542">
        <v>0</v>
      </c>
      <c r="CN273" s="542">
        <v>0</v>
      </c>
      <c r="CO273" s="542">
        <v>0</v>
      </c>
      <c r="CP273" s="542">
        <v>0</v>
      </c>
      <c r="CQ273" s="542">
        <v>0</v>
      </c>
      <c r="CR273" s="542">
        <v>0</v>
      </c>
      <c r="CS273" s="542">
        <v>0</v>
      </c>
      <c r="CT273" s="542">
        <v>0</v>
      </c>
      <c r="CU273" s="542">
        <v>0</v>
      </c>
      <c r="CV273" s="542">
        <v>440307.52</v>
      </c>
      <c r="CW273" s="542">
        <v>0</v>
      </c>
      <c r="CX273" s="542">
        <v>8844.42</v>
      </c>
      <c r="CY273" s="542">
        <v>441652</v>
      </c>
      <c r="CZ273" s="542">
        <v>0</v>
      </c>
      <c r="DA273" s="542">
        <v>8788</v>
      </c>
      <c r="DB273" s="542">
        <v>-1344</v>
      </c>
      <c r="DC273" s="542">
        <v>0</v>
      </c>
      <c r="DD273" s="542">
        <v>56</v>
      </c>
      <c r="DE273" s="153" t="s">
        <v>411</v>
      </c>
      <c r="DF273" s="103" t="s">
        <v>763</v>
      </c>
      <c r="DG273" s="104" t="s">
        <v>808</v>
      </c>
      <c r="DH273" s="549" t="s">
        <v>1204</v>
      </c>
      <c r="DI273" s="549"/>
    </row>
    <row r="274" spans="1:113" x14ac:dyDescent="0.2">
      <c r="A274" s="93">
        <v>268</v>
      </c>
      <c r="B274" s="145" t="s">
        <v>414</v>
      </c>
      <c r="C274" s="141" t="s">
        <v>866</v>
      </c>
      <c r="D274" s="142" t="s">
        <v>867</v>
      </c>
      <c r="E274" s="149" t="s">
        <v>413</v>
      </c>
      <c r="F274" s="542">
        <v>-389</v>
      </c>
      <c r="G274" s="542">
        <v>0</v>
      </c>
      <c r="H274" s="542">
        <v>-389</v>
      </c>
      <c r="I274" s="542">
        <v>-393193</v>
      </c>
      <c r="J274" s="542">
        <v>0</v>
      </c>
      <c r="K274" s="542">
        <v>-393193</v>
      </c>
      <c r="L274" s="542">
        <v>392804</v>
      </c>
      <c r="M274" s="542">
        <v>0</v>
      </c>
      <c r="N274" s="542">
        <v>392804</v>
      </c>
      <c r="O274" s="543">
        <v>0.5</v>
      </c>
      <c r="P274" s="543">
        <v>0.4</v>
      </c>
      <c r="Q274" s="543">
        <v>0.1</v>
      </c>
      <c r="R274" s="543">
        <v>0</v>
      </c>
      <c r="S274" s="542">
        <v>121859</v>
      </c>
      <c r="T274" s="542">
        <v>121859</v>
      </c>
      <c r="U274" s="542">
        <v>0</v>
      </c>
      <c r="V274" s="542">
        <v>0</v>
      </c>
      <c r="W274" s="542">
        <v>0</v>
      </c>
      <c r="X274" s="542">
        <v>0</v>
      </c>
      <c r="Y274" s="542">
        <v>0</v>
      </c>
      <c r="Z274" s="542">
        <v>0</v>
      </c>
      <c r="AA274" s="542">
        <v>0</v>
      </c>
      <c r="AB274" s="542">
        <v>0</v>
      </c>
      <c r="AC274" s="542">
        <v>0</v>
      </c>
      <c r="AD274" s="542">
        <v>0</v>
      </c>
      <c r="AE274" s="542">
        <v>0</v>
      </c>
      <c r="AF274" s="542">
        <v>0</v>
      </c>
      <c r="AG274" s="542">
        <v>0</v>
      </c>
      <c r="AH274" s="542">
        <v>0</v>
      </c>
      <c r="AI274" s="542">
        <v>0</v>
      </c>
      <c r="AJ274" s="542">
        <v>0</v>
      </c>
      <c r="AK274" s="542">
        <v>0</v>
      </c>
      <c r="AL274" s="542">
        <v>0</v>
      </c>
      <c r="AM274" s="542">
        <v>0</v>
      </c>
      <c r="AN274" s="542">
        <v>0</v>
      </c>
      <c r="AO274" s="542">
        <v>0</v>
      </c>
      <c r="AP274" s="542">
        <v>0</v>
      </c>
      <c r="AQ274" s="542">
        <v>256108.61600000001</v>
      </c>
      <c r="AR274" s="542">
        <v>64027.1541</v>
      </c>
      <c r="AS274" s="542">
        <v>0</v>
      </c>
      <c r="AT274" s="542">
        <v>240745</v>
      </c>
      <c r="AU274" s="542">
        <v>60186</v>
      </c>
      <c r="AV274" s="542">
        <v>0</v>
      </c>
      <c r="AW274" s="542">
        <v>15364</v>
      </c>
      <c r="AX274" s="542">
        <v>3841</v>
      </c>
      <c r="AY274" s="542">
        <v>0</v>
      </c>
      <c r="AZ274" s="542">
        <v>0</v>
      </c>
      <c r="BA274" s="542">
        <v>0</v>
      </c>
      <c r="BB274" s="542">
        <v>0</v>
      </c>
      <c r="BC274" s="542">
        <v>404</v>
      </c>
      <c r="BD274" s="542">
        <v>101</v>
      </c>
      <c r="BE274" s="542">
        <v>0</v>
      </c>
      <c r="BF274" s="542">
        <v>-404</v>
      </c>
      <c r="BG274" s="542">
        <v>-101</v>
      </c>
      <c r="BH274" s="542">
        <v>0</v>
      </c>
      <c r="BI274" s="542">
        <v>41.637367300000001</v>
      </c>
      <c r="BJ274" s="542">
        <v>10.4093418</v>
      </c>
      <c r="BK274" s="542">
        <v>0</v>
      </c>
      <c r="BL274" s="542">
        <v>8085</v>
      </c>
      <c r="BM274" s="542">
        <v>2021</v>
      </c>
      <c r="BN274" s="542">
        <v>0</v>
      </c>
      <c r="BO274" s="542">
        <v>-8043</v>
      </c>
      <c r="BP274" s="542">
        <v>-2011</v>
      </c>
      <c r="BQ274" s="542">
        <v>0</v>
      </c>
      <c r="BR274" s="542">
        <v>2552.41104</v>
      </c>
      <c r="BS274" s="542">
        <v>638.10275999999999</v>
      </c>
      <c r="BT274" s="542">
        <v>0</v>
      </c>
      <c r="BU274" s="542">
        <v>4042.4628400000001</v>
      </c>
      <c r="BV274" s="542">
        <v>1010.61571</v>
      </c>
      <c r="BW274" s="542">
        <v>0</v>
      </c>
      <c r="BX274" s="542">
        <v>-1490</v>
      </c>
      <c r="BY274" s="542">
        <v>-373</v>
      </c>
      <c r="BZ274" s="542">
        <v>0</v>
      </c>
      <c r="CA274" s="542">
        <v>117560.07399999999</v>
      </c>
      <c r="CB274" s="542">
        <v>29390.018599999999</v>
      </c>
      <c r="CC274" s="542">
        <v>0</v>
      </c>
      <c r="CD274" s="542">
        <v>218697.239</v>
      </c>
      <c r="CE274" s="542">
        <v>54674.3099</v>
      </c>
      <c r="CF274" s="542">
        <v>0</v>
      </c>
      <c r="CG274" s="542">
        <v>-101137</v>
      </c>
      <c r="CH274" s="542">
        <v>-25284</v>
      </c>
      <c r="CI274" s="542">
        <v>0</v>
      </c>
      <c r="CJ274" s="542">
        <v>0</v>
      </c>
      <c r="CK274" s="542">
        <v>0</v>
      </c>
      <c r="CL274" s="542">
        <v>0</v>
      </c>
      <c r="CM274" s="542">
        <v>0</v>
      </c>
      <c r="CN274" s="542">
        <v>0</v>
      </c>
      <c r="CO274" s="542">
        <v>0</v>
      </c>
      <c r="CP274" s="542">
        <v>0</v>
      </c>
      <c r="CQ274" s="542">
        <v>0</v>
      </c>
      <c r="CR274" s="542">
        <v>0</v>
      </c>
      <c r="CS274" s="542">
        <v>0</v>
      </c>
      <c r="CT274" s="542">
        <v>0</v>
      </c>
      <c r="CU274" s="542">
        <v>0</v>
      </c>
      <c r="CV274" s="542">
        <v>138729.231</v>
      </c>
      <c r="CW274" s="542">
        <v>34682.307800000002</v>
      </c>
      <c r="CX274" s="542">
        <v>0</v>
      </c>
      <c r="CY274" s="542">
        <v>141095</v>
      </c>
      <c r="CZ274" s="542">
        <v>34950</v>
      </c>
      <c r="DA274" s="542">
        <v>0</v>
      </c>
      <c r="DB274" s="542">
        <v>-2366</v>
      </c>
      <c r="DC274" s="542">
        <v>-268</v>
      </c>
      <c r="DD274" s="542">
        <v>0</v>
      </c>
      <c r="DE274" s="153" t="s">
        <v>413</v>
      </c>
      <c r="DF274" s="103" t="s">
        <v>807</v>
      </c>
      <c r="DG274" s="104" t="s">
        <v>751</v>
      </c>
      <c r="DH274" s="547"/>
      <c r="DI274" s="547"/>
    </row>
    <row r="275" spans="1:113" x14ac:dyDescent="0.2">
      <c r="A275" s="93">
        <v>269</v>
      </c>
      <c r="B275" s="145" t="s">
        <v>416</v>
      </c>
      <c r="C275" s="141" t="s">
        <v>871</v>
      </c>
      <c r="D275" s="142" t="s">
        <v>872</v>
      </c>
      <c r="E275" s="149" t="s">
        <v>415</v>
      </c>
      <c r="F275" s="542">
        <v>-266883</v>
      </c>
      <c r="G275" s="542">
        <v>0</v>
      </c>
      <c r="H275" s="542">
        <v>-266883</v>
      </c>
      <c r="I275" s="542">
        <v>8229</v>
      </c>
      <c r="J275" s="542">
        <v>0</v>
      </c>
      <c r="K275" s="542">
        <v>8229</v>
      </c>
      <c r="L275" s="542">
        <v>-275112</v>
      </c>
      <c r="M275" s="542">
        <v>0</v>
      </c>
      <c r="N275" s="542">
        <v>-275112</v>
      </c>
      <c r="O275" s="543">
        <v>0.5</v>
      </c>
      <c r="P275" s="543">
        <v>0.3</v>
      </c>
      <c r="Q275" s="543">
        <v>0.2</v>
      </c>
      <c r="R275" s="543">
        <v>0</v>
      </c>
      <c r="S275" s="542">
        <v>207257</v>
      </c>
      <c r="T275" s="542">
        <v>207257</v>
      </c>
      <c r="U275" s="542">
        <v>0</v>
      </c>
      <c r="V275" s="542">
        <v>0</v>
      </c>
      <c r="W275" s="542">
        <v>0</v>
      </c>
      <c r="X275" s="542">
        <v>0</v>
      </c>
      <c r="Y275" s="542">
        <v>0</v>
      </c>
      <c r="Z275" s="542">
        <v>0</v>
      </c>
      <c r="AA275" s="542">
        <v>0</v>
      </c>
      <c r="AB275" s="542">
        <v>0</v>
      </c>
      <c r="AC275" s="542">
        <v>0</v>
      </c>
      <c r="AD275" s="542">
        <v>0</v>
      </c>
      <c r="AE275" s="542">
        <v>0</v>
      </c>
      <c r="AF275" s="542">
        <v>0</v>
      </c>
      <c r="AG275" s="542">
        <v>0</v>
      </c>
      <c r="AH275" s="542">
        <v>0</v>
      </c>
      <c r="AI275" s="542">
        <v>0</v>
      </c>
      <c r="AJ275" s="542">
        <v>0</v>
      </c>
      <c r="AK275" s="542">
        <v>0</v>
      </c>
      <c r="AL275" s="542">
        <v>0</v>
      </c>
      <c r="AM275" s="542">
        <v>0</v>
      </c>
      <c r="AN275" s="542">
        <v>0</v>
      </c>
      <c r="AO275" s="542">
        <v>0</v>
      </c>
      <c r="AP275" s="542">
        <v>0</v>
      </c>
      <c r="AQ275" s="542">
        <v>414115.603</v>
      </c>
      <c r="AR275" s="542">
        <v>276077.06900000002</v>
      </c>
      <c r="AS275" s="542">
        <v>0</v>
      </c>
      <c r="AT275" s="542">
        <v>394184</v>
      </c>
      <c r="AU275" s="542">
        <v>262790</v>
      </c>
      <c r="AV275" s="542">
        <v>0</v>
      </c>
      <c r="AW275" s="542">
        <v>19932</v>
      </c>
      <c r="AX275" s="542">
        <v>13287</v>
      </c>
      <c r="AY275" s="542">
        <v>0</v>
      </c>
      <c r="AZ275" s="542">
        <v>1103.28917</v>
      </c>
      <c r="BA275" s="542">
        <v>735.52611400000001</v>
      </c>
      <c r="BB275" s="542">
        <v>0</v>
      </c>
      <c r="BC275" s="542">
        <v>15159</v>
      </c>
      <c r="BD275" s="542">
        <v>10106</v>
      </c>
      <c r="BE275" s="542">
        <v>0</v>
      </c>
      <c r="BF275" s="542">
        <v>-14056</v>
      </c>
      <c r="BG275" s="542">
        <v>-9370</v>
      </c>
      <c r="BH275" s="542">
        <v>0</v>
      </c>
      <c r="BI275" s="542">
        <v>9274.1171900000008</v>
      </c>
      <c r="BJ275" s="542">
        <v>6182.7447899999997</v>
      </c>
      <c r="BK275" s="542">
        <v>0</v>
      </c>
      <c r="BL275" s="542">
        <v>75796</v>
      </c>
      <c r="BM275" s="542">
        <v>50531</v>
      </c>
      <c r="BN275" s="542">
        <v>0</v>
      </c>
      <c r="BO275" s="542">
        <v>-66522</v>
      </c>
      <c r="BP275" s="542">
        <v>-44348</v>
      </c>
      <c r="BQ275" s="542">
        <v>0</v>
      </c>
      <c r="BR275" s="542">
        <v>633.35286599999995</v>
      </c>
      <c r="BS275" s="542">
        <v>422.23524400000002</v>
      </c>
      <c r="BT275" s="542">
        <v>0</v>
      </c>
      <c r="BU275" s="542">
        <v>30318.471300000001</v>
      </c>
      <c r="BV275" s="542">
        <v>20212.314200000001</v>
      </c>
      <c r="BW275" s="542">
        <v>0</v>
      </c>
      <c r="BX275" s="542">
        <v>-29685</v>
      </c>
      <c r="BY275" s="542">
        <v>-19790</v>
      </c>
      <c r="BZ275" s="542">
        <v>0</v>
      </c>
      <c r="CA275" s="542">
        <v>160647.57399999999</v>
      </c>
      <c r="CB275" s="542">
        <v>107098.383</v>
      </c>
      <c r="CC275" s="542">
        <v>0</v>
      </c>
      <c r="CD275" s="542">
        <v>522690.44500000001</v>
      </c>
      <c r="CE275" s="542">
        <v>348460.29700000002</v>
      </c>
      <c r="CF275" s="542">
        <v>0</v>
      </c>
      <c r="CG275" s="542">
        <v>-362043</v>
      </c>
      <c r="CH275" s="542">
        <v>-241362</v>
      </c>
      <c r="CI275" s="542">
        <v>0</v>
      </c>
      <c r="CJ275" s="542">
        <v>0</v>
      </c>
      <c r="CK275" s="542">
        <v>0</v>
      </c>
      <c r="CL275" s="542">
        <v>0</v>
      </c>
      <c r="CM275" s="542">
        <v>0</v>
      </c>
      <c r="CN275" s="542">
        <v>0</v>
      </c>
      <c r="CO275" s="542">
        <v>0</v>
      </c>
      <c r="CP275" s="542">
        <v>0</v>
      </c>
      <c r="CQ275" s="542">
        <v>0</v>
      </c>
      <c r="CR275" s="542">
        <v>0</v>
      </c>
      <c r="CS275" s="542">
        <v>0</v>
      </c>
      <c r="CT275" s="542">
        <v>0</v>
      </c>
      <c r="CU275" s="542">
        <v>0</v>
      </c>
      <c r="CV275" s="542">
        <v>146815.71299999999</v>
      </c>
      <c r="CW275" s="542">
        <v>97877.142200000002</v>
      </c>
      <c r="CX275" s="542">
        <v>0</v>
      </c>
      <c r="CY275" s="542">
        <v>166512</v>
      </c>
      <c r="CZ275" s="542">
        <v>109541</v>
      </c>
      <c r="DA275" s="542">
        <v>0</v>
      </c>
      <c r="DB275" s="542">
        <v>-19696</v>
      </c>
      <c r="DC275" s="542">
        <v>-11664</v>
      </c>
      <c r="DD275" s="542">
        <v>0</v>
      </c>
      <c r="DE275" s="153" t="s">
        <v>415</v>
      </c>
      <c r="DF275" s="103" t="s">
        <v>762</v>
      </c>
      <c r="DG275" s="103" t="s">
        <v>750</v>
      </c>
      <c r="DH275" s="547"/>
      <c r="DI275" s="547"/>
    </row>
    <row r="276" spans="1:113" x14ac:dyDescent="0.2">
      <c r="A276" s="93">
        <v>270</v>
      </c>
      <c r="B276" s="145" t="s">
        <v>418</v>
      </c>
      <c r="C276" s="141" t="s">
        <v>866</v>
      </c>
      <c r="D276" s="142" t="s">
        <v>867</v>
      </c>
      <c r="E276" s="149" t="s">
        <v>417</v>
      </c>
      <c r="F276" s="542">
        <v>5745</v>
      </c>
      <c r="G276" s="542">
        <v>0</v>
      </c>
      <c r="H276" s="542">
        <v>5745</v>
      </c>
      <c r="I276" s="542">
        <v>43704</v>
      </c>
      <c r="J276" s="542">
        <v>0</v>
      </c>
      <c r="K276" s="542">
        <v>43704</v>
      </c>
      <c r="L276" s="542">
        <v>-37959</v>
      </c>
      <c r="M276" s="542">
        <v>0</v>
      </c>
      <c r="N276" s="542">
        <v>-37959</v>
      </c>
      <c r="O276" s="543">
        <v>0.5</v>
      </c>
      <c r="P276" s="543">
        <v>0.4</v>
      </c>
      <c r="Q276" s="543">
        <v>0.09</v>
      </c>
      <c r="R276" s="543">
        <v>0.01</v>
      </c>
      <c r="S276" s="542">
        <v>180544</v>
      </c>
      <c r="T276" s="542">
        <v>180544</v>
      </c>
      <c r="U276" s="542">
        <v>0</v>
      </c>
      <c r="V276" s="542">
        <v>0</v>
      </c>
      <c r="W276" s="542">
        <v>0</v>
      </c>
      <c r="X276" s="542">
        <v>0</v>
      </c>
      <c r="Y276" s="542">
        <v>69964</v>
      </c>
      <c r="Z276" s="542">
        <v>0</v>
      </c>
      <c r="AA276" s="542">
        <v>24550</v>
      </c>
      <c r="AB276" s="542">
        <v>175450</v>
      </c>
      <c r="AC276" s="542">
        <v>45414</v>
      </c>
      <c r="AD276" s="542">
        <v>-175450</v>
      </c>
      <c r="AE276" s="542">
        <v>0</v>
      </c>
      <c r="AF276" s="542">
        <v>0</v>
      </c>
      <c r="AG276" s="542">
        <v>0</v>
      </c>
      <c r="AH276" s="542">
        <v>0</v>
      </c>
      <c r="AI276" s="542">
        <v>0</v>
      </c>
      <c r="AJ276" s="542">
        <v>0</v>
      </c>
      <c r="AK276" s="542">
        <v>0</v>
      </c>
      <c r="AL276" s="542">
        <v>0</v>
      </c>
      <c r="AM276" s="542">
        <v>0</v>
      </c>
      <c r="AN276" s="542">
        <v>0</v>
      </c>
      <c r="AO276" s="542">
        <v>0</v>
      </c>
      <c r="AP276" s="542">
        <v>0</v>
      </c>
      <c r="AQ276" s="542">
        <v>641165.12699999998</v>
      </c>
      <c r="AR276" s="542">
        <v>144262.15299999999</v>
      </c>
      <c r="AS276" s="542">
        <v>16029.128199999999</v>
      </c>
      <c r="AT276" s="542">
        <v>606284</v>
      </c>
      <c r="AU276" s="542">
        <v>136414</v>
      </c>
      <c r="AV276" s="542">
        <v>15157</v>
      </c>
      <c r="AW276" s="542">
        <v>34881</v>
      </c>
      <c r="AX276" s="542">
        <v>7848</v>
      </c>
      <c r="AY276" s="542">
        <v>872</v>
      </c>
      <c r="AZ276" s="542">
        <v>404.65053</v>
      </c>
      <c r="BA276" s="542">
        <v>91.046369400000003</v>
      </c>
      <c r="BB276" s="542">
        <v>10.116263200000001</v>
      </c>
      <c r="BC276" s="542">
        <v>0</v>
      </c>
      <c r="BD276" s="542">
        <v>0</v>
      </c>
      <c r="BE276" s="542">
        <v>0</v>
      </c>
      <c r="BF276" s="542">
        <v>405</v>
      </c>
      <c r="BG276" s="542">
        <v>91</v>
      </c>
      <c r="BH276" s="542">
        <v>10</v>
      </c>
      <c r="BI276" s="542">
        <v>7699.2747300000001</v>
      </c>
      <c r="BJ276" s="542">
        <v>1732.33681</v>
      </c>
      <c r="BK276" s="542">
        <v>192.48186799999999</v>
      </c>
      <c r="BL276" s="542">
        <v>4042</v>
      </c>
      <c r="BM276" s="542">
        <v>910</v>
      </c>
      <c r="BN276" s="542">
        <v>101</v>
      </c>
      <c r="BO276" s="542">
        <v>3657</v>
      </c>
      <c r="BP276" s="542">
        <v>822</v>
      </c>
      <c r="BQ276" s="542">
        <v>91</v>
      </c>
      <c r="BR276" s="542">
        <v>361.39617800000002</v>
      </c>
      <c r="BS276" s="542">
        <v>81.314140100000003</v>
      </c>
      <c r="BT276" s="542">
        <v>9.0349044500000009</v>
      </c>
      <c r="BU276" s="542">
        <v>8770</v>
      </c>
      <c r="BV276" s="542">
        <v>1973</v>
      </c>
      <c r="BW276" s="542">
        <v>219</v>
      </c>
      <c r="BX276" s="542">
        <v>-8409</v>
      </c>
      <c r="BY276" s="542">
        <v>-1892</v>
      </c>
      <c r="BZ276" s="542">
        <v>-210</v>
      </c>
      <c r="CA276" s="542">
        <v>186071.73499999999</v>
      </c>
      <c r="CB276" s="542">
        <v>41866.140299999999</v>
      </c>
      <c r="CC276" s="542">
        <v>4651.7933700000003</v>
      </c>
      <c r="CD276" s="542">
        <v>222336</v>
      </c>
      <c r="CE276" s="542">
        <v>50025</v>
      </c>
      <c r="CF276" s="542">
        <v>5558</v>
      </c>
      <c r="CG276" s="542">
        <v>-36264</v>
      </c>
      <c r="CH276" s="542">
        <v>-8159</v>
      </c>
      <c r="CI276" s="542">
        <v>-906</v>
      </c>
      <c r="CJ276" s="542">
        <v>0</v>
      </c>
      <c r="CK276" s="542">
        <v>0</v>
      </c>
      <c r="CL276" s="542">
        <v>0</v>
      </c>
      <c r="CM276" s="542">
        <v>10547.998299999999</v>
      </c>
      <c r="CN276" s="542">
        <v>2373.29961</v>
      </c>
      <c r="CO276" s="542">
        <v>263.69995699999998</v>
      </c>
      <c r="CP276" s="542">
        <v>9394</v>
      </c>
      <c r="CQ276" s="542">
        <v>2113.65</v>
      </c>
      <c r="CR276" s="542">
        <v>234.85</v>
      </c>
      <c r="CS276" s="542">
        <v>1154</v>
      </c>
      <c r="CT276" s="542">
        <v>260</v>
      </c>
      <c r="CU276" s="542">
        <v>29</v>
      </c>
      <c r="CV276" s="542">
        <v>174629.19099999999</v>
      </c>
      <c r="CW276" s="542">
        <v>39124.456599999998</v>
      </c>
      <c r="CX276" s="542">
        <v>4347.1618500000004</v>
      </c>
      <c r="CY276" s="542">
        <v>176611</v>
      </c>
      <c r="CZ276" s="542">
        <v>41110</v>
      </c>
      <c r="DA276" s="542">
        <v>4361</v>
      </c>
      <c r="DB276" s="542">
        <v>-1982</v>
      </c>
      <c r="DC276" s="542">
        <v>-1986</v>
      </c>
      <c r="DD276" s="542">
        <v>-14</v>
      </c>
      <c r="DE276" s="153" t="s">
        <v>417</v>
      </c>
      <c r="DF276" s="103" t="s">
        <v>757</v>
      </c>
      <c r="DG276" s="104" t="s">
        <v>758</v>
      </c>
      <c r="DH276" s="547"/>
      <c r="DI276" s="547"/>
    </row>
    <row r="277" spans="1:113" x14ac:dyDescent="0.2">
      <c r="A277" s="93">
        <v>271</v>
      </c>
      <c r="B277" s="145" t="s">
        <v>420</v>
      </c>
      <c r="C277" s="141" t="s">
        <v>770</v>
      </c>
      <c r="D277" s="142" t="s">
        <v>875</v>
      </c>
      <c r="E277" s="149" t="s">
        <v>729</v>
      </c>
      <c r="F277" s="542">
        <v>-1004218</v>
      </c>
      <c r="G277" s="542">
        <v>0</v>
      </c>
      <c r="H277" s="542">
        <v>-1004218</v>
      </c>
      <c r="I277" s="542">
        <v>-135035</v>
      </c>
      <c r="J277" s="542">
        <v>0</v>
      </c>
      <c r="K277" s="542">
        <v>-135035</v>
      </c>
      <c r="L277" s="542">
        <v>-869183</v>
      </c>
      <c r="M277" s="542">
        <v>0</v>
      </c>
      <c r="N277" s="542">
        <v>-869183</v>
      </c>
      <c r="O277" s="543">
        <v>0.5</v>
      </c>
      <c r="P277" s="543">
        <v>0.49</v>
      </c>
      <c r="Q277" s="543">
        <v>0</v>
      </c>
      <c r="R277" s="543">
        <v>0.01</v>
      </c>
      <c r="S277" s="542">
        <v>270650</v>
      </c>
      <c r="T277" s="542">
        <v>270650</v>
      </c>
      <c r="U277" s="542">
        <v>0</v>
      </c>
      <c r="V277" s="542">
        <v>0</v>
      </c>
      <c r="W277" s="542">
        <v>0</v>
      </c>
      <c r="X277" s="542">
        <v>0</v>
      </c>
      <c r="Y277" s="542">
        <v>183308</v>
      </c>
      <c r="Z277" s="542">
        <v>0</v>
      </c>
      <c r="AA277" s="542">
        <v>0</v>
      </c>
      <c r="AB277" s="542">
        <v>0</v>
      </c>
      <c r="AC277" s="542">
        <v>183308</v>
      </c>
      <c r="AD277" s="542">
        <v>0</v>
      </c>
      <c r="AE277" s="542">
        <v>0</v>
      </c>
      <c r="AF277" s="542">
        <v>0</v>
      </c>
      <c r="AG277" s="542">
        <v>0</v>
      </c>
      <c r="AH277" s="542">
        <v>0</v>
      </c>
      <c r="AI277" s="542">
        <v>0</v>
      </c>
      <c r="AJ277" s="542">
        <v>0</v>
      </c>
      <c r="AK277" s="542">
        <v>0</v>
      </c>
      <c r="AL277" s="542">
        <v>0</v>
      </c>
      <c r="AM277" s="542">
        <v>0</v>
      </c>
      <c r="AN277" s="542">
        <v>0</v>
      </c>
      <c r="AO277" s="542">
        <v>0</v>
      </c>
      <c r="AP277" s="542">
        <v>0</v>
      </c>
      <c r="AQ277" s="542">
        <v>671335.53</v>
      </c>
      <c r="AR277" s="542">
        <v>0</v>
      </c>
      <c r="AS277" s="542">
        <v>13700.73</v>
      </c>
      <c r="AT277" s="542">
        <v>612639</v>
      </c>
      <c r="AU277" s="542">
        <v>0</v>
      </c>
      <c r="AV277" s="542">
        <v>12503</v>
      </c>
      <c r="AW277" s="542">
        <v>58697</v>
      </c>
      <c r="AX277" s="542">
        <v>0</v>
      </c>
      <c r="AY277" s="542">
        <v>1198</v>
      </c>
      <c r="AZ277" s="542">
        <v>2510.67</v>
      </c>
      <c r="BA277" s="542">
        <v>0</v>
      </c>
      <c r="BB277" s="542">
        <v>51.24</v>
      </c>
      <c r="BC277" s="542">
        <v>0</v>
      </c>
      <c r="BD277" s="542">
        <v>0</v>
      </c>
      <c r="BE277" s="542">
        <v>0</v>
      </c>
      <c r="BF277" s="542">
        <v>2511</v>
      </c>
      <c r="BG277" s="542">
        <v>0</v>
      </c>
      <c r="BH277" s="542">
        <v>51</v>
      </c>
      <c r="BI277" s="542">
        <v>0</v>
      </c>
      <c r="BJ277" s="542">
        <v>0</v>
      </c>
      <c r="BK277" s="542">
        <v>0</v>
      </c>
      <c r="BL277" s="542">
        <v>0</v>
      </c>
      <c r="BM277" s="542">
        <v>0</v>
      </c>
      <c r="BN277" s="542">
        <v>0</v>
      </c>
      <c r="BO277" s="542">
        <v>0</v>
      </c>
      <c r="BP277" s="542">
        <v>0</v>
      </c>
      <c r="BQ277" s="542">
        <v>0</v>
      </c>
      <c r="BR277" s="542">
        <v>0</v>
      </c>
      <c r="BS277" s="542">
        <v>0</v>
      </c>
      <c r="BT277" s="542">
        <v>0</v>
      </c>
      <c r="BU277" s="542">
        <v>37140</v>
      </c>
      <c r="BV277" s="542">
        <v>0</v>
      </c>
      <c r="BW277" s="542">
        <v>758</v>
      </c>
      <c r="BX277" s="542">
        <v>-37140</v>
      </c>
      <c r="BY277" s="542">
        <v>0</v>
      </c>
      <c r="BZ277" s="542">
        <v>-758</v>
      </c>
      <c r="CA277" s="542">
        <v>234062.03</v>
      </c>
      <c r="CB277" s="542">
        <v>0</v>
      </c>
      <c r="CC277" s="542">
        <v>4776.78</v>
      </c>
      <c r="CD277" s="542">
        <v>683378</v>
      </c>
      <c r="CE277" s="542">
        <v>0</v>
      </c>
      <c r="CF277" s="542">
        <v>13947</v>
      </c>
      <c r="CG277" s="542">
        <v>-449316</v>
      </c>
      <c r="CH277" s="542">
        <v>0</v>
      </c>
      <c r="CI277" s="542">
        <v>-9170</v>
      </c>
      <c r="CJ277" s="542">
        <v>0</v>
      </c>
      <c r="CK277" s="542">
        <v>0</v>
      </c>
      <c r="CL277" s="542">
        <v>0</v>
      </c>
      <c r="CM277" s="542">
        <v>0</v>
      </c>
      <c r="CN277" s="542">
        <v>0</v>
      </c>
      <c r="CO277" s="542">
        <v>0</v>
      </c>
      <c r="CP277" s="542">
        <v>0</v>
      </c>
      <c r="CQ277" s="542">
        <v>0</v>
      </c>
      <c r="CR277" s="542">
        <v>0</v>
      </c>
      <c r="CS277" s="542">
        <v>0</v>
      </c>
      <c r="CT277" s="542">
        <v>0</v>
      </c>
      <c r="CU277" s="542">
        <v>0</v>
      </c>
      <c r="CV277" s="542">
        <v>538366.52</v>
      </c>
      <c r="CW277" s="542">
        <v>0</v>
      </c>
      <c r="CX277" s="542">
        <v>10947.36</v>
      </c>
      <c r="CY277" s="542">
        <v>537778</v>
      </c>
      <c r="CZ277" s="542">
        <v>0</v>
      </c>
      <c r="DA277" s="542">
        <v>10916</v>
      </c>
      <c r="DB277" s="542">
        <v>589</v>
      </c>
      <c r="DC277" s="542">
        <v>0</v>
      </c>
      <c r="DD277" s="542">
        <v>31</v>
      </c>
      <c r="DE277" s="153" t="s">
        <v>729</v>
      </c>
      <c r="DF277" s="103" t="s">
        <v>770</v>
      </c>
      <c r="DG277" s="104" t="s">
        <v>819</v>
      </c>
      <c r="DH277" s="547"/>
      <c r="DI277" s="547"/>
    </row>
    <row r="278" spans="1:113" x14ac:dyDescent="0.2">
      <c r="A278" s="93">
        <v>272</v>
      </c>
      <c r="B278" s="145" t="s">
        <v>422</v>
      </c>
      <c r="C278" s="141" t="s">
        <v>873</v>
      </c>
      <c r="D278" s="142" t="s">
        <v>868</v>
      </c>
      <c r="E278" s="149" t="s">
        <v>421</v>
      </c>
      <c r="F278" s="542">
        <v>66487</v>
      </c>
      <c r="G278" s="542">
        <v>0</v>
      </c>
      <c r="H278" s="542">
        <v>66487</v>
      </c>
      <c r="I278" s="542">
        <v>0</v>
      </c>
      <c r="J278" s="542">
        <v>0</v>
      </c>
      <c r="K278" s="542">
        <v>0</v>
      </c>
      <c r="L278" s="542">
        <v>66487</v>
      </c>
      <c r="M278" s="542">
        <v>0</v>
      </c>
      <c r="N278" s="542">
        <v>66487</v>
      </c>
      <c r="O278" s="543">
        <v>0.5</v>
      </c>
      <c r="P278" s="543">
        <v>0.49</v>
      </c>
      <c r="Q278" s="543">
        <v>0</v>
      </c>
      <c r="R278" s="543">
        <v>0.01</v>
      </c>
      <c r="S278" s="542">
        <v>300650</v>
      </c>
      <c r="T278" s="542">
        <v>300650</v>
      </c>
      <c r="U278" s="542">
        <v>0</v>
      </c>
      <c r="V278" s="542">
        <v>0</v>
      </c>
      <c r="W278" s="542">
        <v>0</v>
      </c>
      <c r="X278" s="542">
        <v>0</v>
      </c>
      <c r="Y278" s="542">
        <v>0</v>
      </c>
      <c r="Z278" s="542">
        <v>0</v>
      </c>
      <c r="AA278" s="542">
        <v>0</v>
      </c>
      <c r="AB278" s="542">
        <v>0</v>
      </c>
      <c r="AC278" s="542">
        <v>0</v>
      </c>
      <c r="AD278" s="542">
        <v>0</v>
      </c>
      <c r="AE278" s="542">
        <v>0</v>
      </c>
      <c r="AF278" s="542">
        <v>0</v>
      </c>
      <c r="AG278" s="542">
        <v>0</v>
      </c>
      <c r="AH278" s="542">
        <v>0</v>
      </c>
      <c r="AI278" s="542">
        <v>0</v>
      </c>
      <c r="AJ278" s="542">
        <v>0</v>
      </c>
      <c r="AK278" s="542">
        <v>0</v>
      </c>
      <c r="AL278" s="542">
        <v>0</v>
      </c>
      <c r="AM278" s="542">
        <v>0</v>
      </c>
      <c r="AN278" s="542">
        <v>0</v>
      </c>
      <c r="AO278" s="542">
        <v>0</v>
      </c>
      <c r="AP278" s="542">
        <v>0</v>
      </c>
      <c r="AQ278" s="542">
        <v>1465722.25</v>
      </c>
      <c r="AR278" s="542">
        <v>0</v>
      </c>
      <c r="AS278" s="542">
        <v>29912.7</v>
      </c>
      <c r="AT278" s="542">
        <v>1369554</v>
      </c>
      <c r="AU278" s="542">
        <v>0</v>
      </c>
      <c r="AV278" s="542">
        <v>27950</v>
      </c>
      <c r="AW278" s="542">
        <v>96168</v>
      </c>
      <c r="AX278" s="542">
        <v>0</v>
      </c>
      <c r="AY278" s="542">
        <v>1963</v>
      </c>
      <c r="AZ278" s="542">
        <v>523.42999999999995</v>
      </c>
      <c r="BA278" s="542">
        <v>0</v>
      </c>
      <c r="BB278" s="542">
        <v>10.68</v>
      </c>
      <c r="BC278" s="542">
        <v>0</v>
      </c>
      <c r="BD278" s="542">
        <v>0</v>
      </c>
      <c r="BE278" s="542">
        <v>0</v>
      </c>
      <c r="BF278" s="542">
        <v>523</v>
      </c>
      <c r="BG278" s="542">
        <v>0</v>
      </c>
      <c r="BH278" s="542">
        <v>11</v>
      </c>
      <c r="BI278" s="542">
        <v>0</v>
      </c>
      <c r="BJ278" s="542">
        <v>0</v>
      </c>
      <c r="BK278" s="542">
        <v>0</v>
      </c>
      <c r="BL278" s="542">
        <v>0</v>
      </c>
      <c r="BM278" s="542">
        <v>0</v>
      </c>
      <c r="BN278" s="542">
        <v>0</v>
      </c>
      <c r="BO278" s="542">
        <v>0</v>
      </c>
      <c r="BP278" s="542">
        <v>0</v>
      </c>
      <c r="BQ278" s="542">
        <v>0</v>
      </c>
      <c r="BR278" s="542">
        <v>15143.76</v>
      </c>
      <c r="BS278" s="542">
        <v>0</v>
      </c>
      <c r="BT278" s="542">
        <v>309.06</v>
      </c>
      <c r="BU278" s="542">
        <v>31583</v>
      </c>
      <c r="BV278" s="542">
        <v>0</v>
      </c>
      <c r="BW278" s="542">
        <v>645</v>
      </c>
      <c r="BX278" s="542">
        <v>-16439</v>
      </c>
      <c r="BY278" s="542">
        <v>0</v>
      </c>
      <c r="BZ278" s="542">
        <v>-336</v>
      </c>
      <c r="CA278" s="542">
        <v>313901.92</v>
      </c>
      <c r="CB278" s="542">
        <v>0</v>
      </c>
      <c r="CC278" s="542">
        <v>6406.16</v>
      </c>
      <c r="CD278" s="542">
        <v>474183</v>
      </c>
      <c r="CE278" s="542">
        <v>0</v>
      </c>
      <c r="CF278" s="542">
        <v>9677</v>
      </c>
      <c r="CG278" s="542">
        <v>-160281</v>
      </c>
      <c r="CH278" s="542">
        <v>0</v>
      </c>
      <c r="CI278" s="542">
        <v>-3271</v>
      </c>
      <c r="CJ278" s="542">
        <v>0</v>
      </c>
      <c r="CK278" s="542">
        <v>0</v>
      </c>
      <c r="CL278" s="542">
        <v>0</v>
      </c>
      <c r="CM278" s="542">
        <v>0</v>
      </c>
      <c r="CN278" s="542">
        <v>0</v>
      </c>
      <c r="CO278" s="542">
        <v>0</v>
      </c>
      <c r="CP278" s="542">
        <v>0</v>
      </c>
      <c r="CQ278" s="542">
        <v>0</v>
      </c>
      <c r="CR278" s="542">
        <v>0</v>
      </c>
      <c r="CS278" s="542">
        <v>0</v>
      </c>
      <c r="CT278" s="542">
        <v>0</v>
      </c>
      <c r="CU278" s="542">
        <v>0</v>
      </c>
      <c r="CV278" s="542">
        <v>285721.87</v>
      </c>
      <c r="CW278" s="542">
        <v>0</v>
      </c>
      <c r="CX278" s="542">
        <v>5831.06</v>
      </c>
      <c r="CY278" s="542">
        <v>288741</v>
      </c>
      <c r="CZ278" s="542">
        <v>0</v>
      </c>
      <c r="DA278" s="542">
        <v>5826</v>
      </c>
      <c r="DB278" s="542">
        <v>-3019</v>
      </c>
      <c r="DC278" s="542">
        <v>0</v>
      </c>
      <c r="DD278" s="542">
        <v>5</v>
      </c>
      <c r="DE278" s="153" t="s">
        <v>421</v>
      </c>
      <c r="DF278" s="103" t="s">
        <v>763</v>
      </c>
      <c r="DG278" s="104" t="s">
        <v>777</v>
      </c>
      <c r="DH278" s="547"/>
      <c r="DI278" s="547"/>
    </row>
    <row r="279" spans="1:113" x14ac:dyDescent="0.2">
      <c r="A279" s="93">
        <v>273</v>
      </c>
      <c r="B279" s="145" t="s">
        <v>424</v>
      </c>
      <c r="C279" s="141" t="s">
        <v>866</v>
      </c>
      <c r="D279" s="142" t="s">
        <v>876</v>
      </c>
      <c r="E279" s="149" t="s">
        <v>423</v>
      </c>
      <c r="F279" s="542">
        <v>-240418</v>
      </c>
      <c r="G279" s="542">
        <v>0</v>
      </c>
      <c r="H279" s="542">
        <v>-240418</v>
      </c>
      <c r="I279" s="542">
        <v>11113</v>
      </c>
      <c r="J279" s="542">
        <v>0</v>
      </c>
      <c r="K279" s="542">
        <v>11113</v>
      </c>
      <c r="L279" s="542">
        <v>-251531</v>
      </c>
      <c r="M279" s="542">
        <v>0</v>
      </c>
      <c r="N279" s="542">
        <v>-251531</v>
      </c>
      <c r="O279" s="543">
        <v>0.5</v>
      </c>
      <c r="P279" s="543">
        <v>0.4</v>
      </c>
      <c r="Q279" s="543">
        <v>0.09</v>
      </c>
      <c r="R279" s="543">
        <v>0.01</v>
      </c>
      <c r="S279" s="542">
        <v>92162</v>
      </c>
      <c r="T279" s="542">
        <v>92162</v>
      </c>
      <c r="U279" s="542">
        <v>0</v>
      </c>
      <c r="V279" s="542">
        <v>0</v>
      </c>
      <c r="W279" s="542">
        <v>0</v>
      </c>
      <c r="X279" s="542">
        <v>0</v>
      </c>
      <c r="Y279" s="542">
        <v>0</v>
      </c>
      <c r="Z279" s="542">
        <v>0</v>
      </c>
      <c r="AA279" s="542">
        <v>0</v>
      </c>
      <c r="AB279" s="542">
        <v>0</v>
      </c>
      <c r="AC279" s="542">
        <v>0</v>
      </c>
      <c r="AD279" s="542">
        <v>0</v>
      </c>
      <c r="AE279" s="542">
        <v>0</v>
      </c>
      <c r="AF279" s="542">
        <v>0</v>
      </c>
      <c r="AG279" s="542">
        <v>0</v>
      </c>
      <c r="AH279" s="542">
        <v>0</v>
      </c>
      <c r="AI279" s="542">
        <v>0</v>
      </c>
      <c r="AJ279" s="542">
        <v>0</v>
      </c>
      <c r="AK279" s="542">
        <v>0</v>
      </c>
      <c r="AL279" s="542">
        <v>0</v>
      </c>
      <c r="AM279" s="542">
        <v>0</v>
      </c>
      <c r="AN279" s="542">
        <v>0</v>
      </c>
      <c r="AO279" s="542">
        <v>0</v>
      </c>
      <c r="AP279" s="542">
        <v>0</v>
      </c>
      <c r="AQ279" s="542">
        <v>242372.125</v>
      </c>
      <c r="AR279" s="542">
        <v>54533.728199999998</v>
      </c>
      <c r="AS279" s="542">
        <v>6059.30314</v>
      </c>
      <c r="AT279" s="542">
        <v>238544</v>
      </c>
      <c r="AU279" s="542">
        <v>53673</v>
      </c>
      <c r="AV279" s="542">
        <v>5964</v>
      </c>
      <c r="AW279" s="542">
        <v>3828</v>
      </c>
      <c r="AX279" s="542">
        <v>861</v>
      </c>
      <c r="AY279" s="542">
        <v>95</v>
      </c>
      <c r="AZ279" s="542">
        <v>0</v>
      </c>
      <c r="BA279" s="542">
        <v>0</v>
      </c>
      <c r="BB279" s="542">
        <v>0</v>
      </c>
      <c r="BC279" s="542">
        <v>22848</v>
      </c>
      <c r="BD279" s="542">
        <v>5141</v>
      </c>
      <c r="BE279" s="542">
        <v>571</v>
      </c>
      <c r="BF279" s="542">
        <v>-22848</v>
      </c>
      <c r="BG279" s="542">
        <v>-5141</v>
      </c>
      <c r="BH279" s="542">
        <v>-571</v>
      </c>
      <c r="BI279" s="542">
        <v>0</v>
      </c>
      <c r="BJ279" s="542">
        <v>0</v>
      </c>
      <c r="BK279" s="542">
        <v>0</v>
      </c>
      <c r="BL279" s="542">
        <v>0</v>
      </c>
      <c r="BM279" s="542">
        <v>0</v>
      </c>
      <c r="BN279" s="542">
        <v>0</v>
      </c>
      <c r="BO279" s="542">
        <v>0</v>
      </c>
      <c r="BP279" s="542">
        <v>0</v>
      </c>
      <c r="BQ279" s="542">
        <v>0</v>
      </c>
      <c r="BR279" s="542">
        <v>12765.2891</v>
      </c>
      <c r="BS279" s="542">
        <v>2872.1900599999999</v>
      </c>
      <c r="BT279" s="542">
        <v>319.132229</v>
      </c>
      <c r="BU279" s="542">
        <v>96820</v>
      </c>
      <c r="BV279" s="542">
        <v>21784</v>
      </c>
      <c r="BW279" s="542">
        <v>2420</v>
      </c>
      <c r="BX279" s="542">
        <v>-84055</v>
      </c>
      <c r="BY279" s="542">
        <v>-18912</v>
      </c>
      <c r="BZ279" s="542">
        <v>-2101</v>
      </c>
      <c r="CA279" s="542">
        <v>65003.610999999997</v>
      </c>
      <c r="CB279" s="542">
        <v>14625.812400000001</v>
      </c>
      <c r="CC279" s="542">
        <v>1625.0902699999999</v>
      </c>
      <c r="CD279" s="542">
        <v>113256</v>
      </c>
      <c r="CE279" s="542">
        <v>25483</v>
      </c>
      <c r="CF279" s="542">
        <v>2831</v>
      </c>
      <c r="CG279" s="542">
        <v>-48252</v>
      </c>
      <c r="CH279" s="542">
        <v>-10857</v>
      </c>
      <c r="CI279" s="542">
        <v>-1206</v>
      </c>
      <c r="CJ279" s="542">
        <v>0</v>
      </c>
      <c r="CK279" s="542">
        <v>0</v>
      </c>
      <c r="CL279" s="542">
        <v>0</v>
      </c>
      <c r="CM279" s="542">
        <v>0</v>
      </c>
      <c r="CN279" s="542">
        <v>0</v>
      </c>
      <c r="CO279" s="542">
        <v>0</v>
      </c>
      <c r="CP279" s="542">
        <v>0</v>
      </c>
      <c r="CQ279" s="542">
        <v>0</v>
      </c>
      <c r="CR279" s="542">
        <v>0</v>
      </c>
      <c r="CS279" s="542">
        <v>0</v>
      </c>
      <c r="CT279" s="542">
        <v>0</v>
      </c>
      <c r="CU279" s="542">
        <v>0</v>
      </c>
      <c r="CV279" s="542">
        <v>128302.152</v>
      </c>
      <c r="CW279" s="542">
        <v>28867.9843</v>
      </c>
      <c r="CX279" s="542">
        <v>3207.5538200000001</v>
      </c>
      <c r="CY279" s="542">
        <v>136085</v>
      </c>
      <c r="CZ279" s="542">
        <v>30399</v>
      </c>
      <c r="DA279" s="542">
        <v>3378</v>
      </c>
      <c r="DB279" s="542">
        <v>-7783</v>
      </c>
      <c r="DC279" s="542">
        <v>-1531</v>
      </c>
      <c r="DD279" s="542">
        <v>-170</v>
      </c>
      <c r="DE279" s="153" t="s">
        <v>423</v>
      </c>
      <c r="DF279" s="103" t="s">
        <v>792</v>
      </c>
      <c r="DG279" s="104" t="s">
        <v>793</v>
      </c>
      <c r="DH279" s="547"/>
      <c r="DI279" s="547"/>
    </row>
    <row r="280" spans="1:113" x14ac:dyDescent="0.2">
      <c r="A280" s="93">
        <v>274</v>
      </c>
      <c r="B280" s="145" t="s">
        <v>426</v>
      </c>
      <c r="C280" s="141" t="s">
        <v>866</v>
      </c>
      <c r="D280" s="142" t="s">
        <v>867</v>
      </c>
      <c r="E280" s="149" t="s">
        <v>425</v>
      </c>
      <c r="F280" s="542">
        <v>6304</v>
      </c>
      <c r="G280" s="542">
        <v>0</v>
      </c>
      <c r="H280" s="542">
        <v>6304</v>
      </c>
      <c r="I280" s="542">
        <v>80026</v>
      </c>
      <c r="J280" s="542">
        <v>0</v>
      </c>
      <c r="K280" s="542">
        <v>80026</v>
      </c>
      <c r="L280" s="542">
        <v>-73722</v>
      </c>
      <c r="M280" s="542">
        <v>0</v>
      </c>
      <c r="N280" s="542">
        <v>-73722</v>
      </c>
      <c r="O280" s="543">
        <v>0.5</v>
      </c>
      <c r="P280" s="543">
        <v>0.4</v>
      </c>
      <c r="Q280" s="543">
        <v>0.1</v>
      </c>
      <c r="R280" s="543">
        <v>0</v>
      </c>
      <c r="S280" s="542">
        <v>128179</v>
      </c>
      <c r="T280" s="542">
        <v>128179</v>
      </c>
      <c r="U280" s="542">
        <v>0</v>
      </c>
      <c r="V280" s="542">
        <v>0</v>
      </c>
      <c r="W280" s="542">
        <v>0</v>
      </c>
      <c r="X280" s="542">
        <v>0</v>
      </c>
      <c r="Y280" s="542">
        <v>0</v>
      </c>
      <c r="Z280" s="542">
        <v>0</v>
      </c>
      <c r="AA280" s="542">
        <v>0</v>
      </c>
      <c r="AB280" s="542">
        <v>0</v>
      </c>
      <c r="AC280" s="542">
        <v>0</v>
      </c>
      <c r="AD280" s="542">
        <v>0</v>
      </c>
      <c r="AE280" s="542">
        <v>0</v>
      </c>
      <c r="AF280" s="542">
        <v>0</v>
      </c>
      <c r="AG280" s="542">
        <v>0</v>
      </c>
      <c r="AH280" s="542">
        <v>0</v>
      </c>
      <c r="AI280" s="542">
        <v>0</v>
      </c>
      <c r="AJ280" s="542">
        <v>0</v>
      </c>
      <c r="AK280" s="542">
        <v>0</v>
      </c>
      <c r="AL280" s="542">
        <v>0</v>
      </c>
      <c r="AM280" s="542">
        <v>0</v>
      </c>
      <c r="AN280" s="542">
        <v>0</v>
      </c>
      <c r="AO280" s="542">
        <v>0</v>
      </c>
      <c r="AP280" s="542">
        <v>0</v>
      </c>
      <c r="AQ280" s="542">
        <v>408205.27</v>
      </c>
      <c r="AR280" s="542">
        <v>102051.317</v>
      </c>
      <c r="AS280" s="542">
        <v>0</v>
      </c>
      <c r="AT280" s="542">
        <v>394712</v>
      </c>
      <c r="AU280" s="542">
        <v>98678</v>
      </c>
      <c r="AV280" s="542">
        <v>0</v>
      </c>
      <c r="AW280" s="542">
        <v>13493</v>
      </c>
      <c r="AX280" s="542">
        <v>3373</v>
      </c>
      <c r="AY280" s="542">
        <v>0</v>
      </c>
      <c r="AZ280" s="542">
        <v>261.547346</v>
      </c>
      <c r="BA280" s="542">
        <v>65.386836500000001</v>
      </c>
      <c r="BB280" s="542">
        <v>0</v>
      </c>
      <c r="BC280" s="542">
        <v>3372</v>
      </c>
      <c r="BD280" s="542">
        <v>843</v>
      </c>
      <c r="BE280" s="542">
        <v>0</v>
      </c>
      <c r="BF280" s="542">
        <v>-3110</v>
      </c>
      <c r="BG280" s="542">
        <v>-778</v>
      </c>
      <c r="BH280" s="542">
        <v>0</v>
      </c>
      <c r="BI280" s="542">
        <v>0</v>
      </c>
      <c r="BJ280" s="542">
        <v>0</v>
      </c>
      <c r="BK280" s="542">
        <v>0</v>
      </c>
      <c r="BL280" s="542">
        <v>4042</v>
      </c>
      <c r="BM280" s="542">
        <v>1011</v>
      </c>
      <c r="BN280" s="542">
        <v>0</v>
      </c>
      <c r="BO280" s="542">
        <v>-4042</v>
      </c>
      <c r="BP280" s="542">
        <v>-1011</v>
      </c>
      <c r="BQ280" s="542">
        <v>0</v>
      </c>
      <c r="BR280" s="542">
        <v>0</v>
      </c>
      <c r="BS280" s="542">
        <v>0</v>
      </c>
      <c r="BT280" s="542">
        <v>0</v>
      </c>
      <c r="BU280" s="542">
        <v>2022</v>
      </c>
      <c r="BV280" s="542">
        <v>505</v>
      </c>
      <c r="BW280" s="542">
        <v>0</v>
      </c>
      <c r="BX280" s="542">
        <v>-2022</v>
      </c>
      <c r="BY280" s="542">
        <v>-505</v>
      </c>
      <c r="BZ280" s="542">
        <v>0</v>
      </c>
      <c r="CA280" s="542">
        <v>124565.662</v>
      </c>
      <c r="CB280" s="542">
        <v>31141.415700000001</v>
      </c>
      <c r="CC280" s="542">
        <v>0</v>
      </c>
      <c r="CD280" s="542">
        <v>132997</v>
      </c>
      <c r="CE280" s="542">
        <v>33249</v>
      </c>
      <c r="CF280" s="542">
        <v>0</v>
      </c>
      <c r="CG280" s="542">
        <v>-8431</v>
      </c>
      <c r="CH280" s="542">
        <v>-2108</v>
      </c>
      <c r="CI280" s="542">
        <v>0</v>
      </c>
      <c r="CJ280" s="542">
        <v>4442.8599999999997</v>
      </c>
      <c r="CK280" s="542">
        <v>1110.7149999999999</v>
      </c>
      <c r="CL280" s="542">
        <v>0</v>
      </c>
      <c r="CM280" s="542">
        <v>6109.7783399999998</v>
      </c>
      <c r="CN280" s="542">
        <v>1527.4445800000001</v>
      </c>
      <c r="CO280" s="542">
        <v>0</v>
      </c>
      <c r="CP280" s="542">
        <v>4794</v>
      </c>
      <c r="CQ280" s="542">
        <v>1198.5</v>
      </c>
      <c r="CR280" s="542">
        <v>0</v>
      </c>
      <c r="CS280" s="542">
        <v>5759</v>
      </c>
      <c r="CT280" s="542">
        <v>1440</v>
      </c>
      <c r="CU280" s="542">
        <v>0</v>
      </c>
      <c r="CV280" s="542">
        <v>82538.029699999999</v>
      </c>
      <c r="CW280" s="542">
        <v>20634.507399999999</v>
      </c>
      <c r="CX280" s="542">
        <v>0</v>
      </c>
      <c r="CY280" s="542">
        <v>86518</v>
      </c>
      <c r="CZ280" s="542">
        <v>21289</v>
      </c>
      <c r="DA280" s="542">
        <v>0</v>
      </c>
      <c r="DB280" s="542">
        <v>-3980</v>
      </c>
      <c r="DC280" s="542">
        <v>-654</v>
      </c>
      <c r="DD280" s="542">
        <v>0</v>
      </c>
      <c r="DE280" s="153" t="s">
        <v>425</v>
      </c>
      <c r="DF280" s="103" t="s">
        <v>807</v>
      </c>
      <c r="DG280" s="104" t="s">
        <v>751</v>
      </c>
      <c r="DH280" s="547"/>
      <c r="DI280" s="547"/>
    </row>
    <row r="281" spans="1:113" x14ac:dyDescent="0.2">
      <c r="A281" s="93">
        <v>275</v>
      </c>
      <c r="B281" s="145" t="s">
        <v>428</v>
      </c>
      <c r="C281" s="141" t="s">
        <v>866</v>
      </c>
      <c r="D281" s="142" t="s">
        <v>875</v>
      </c>
      <c r="E281" s="149" t="s">
        <v>427</v>
      </c>
      <c r="F281" s="542">
        <v>140449</v>
      </c>
      <c r="G281" s="542">
        <v>0</v>
      </c>
      <c r="H281" s="542">
        <v>140449</v>
      </c>
      <c r="I281" s="542">
        <v>16645</v>
      </c>
      <c r="J281" s="542">
        <v>0</v>
      </c>
      <c r="K281" s="542">
        <v>16645</v>
      </c>
      <c r="L281" s="542">
        <v>123804</v>
      </c>
      <c r="M281" s="542">
        <v>0</v>
      </c>
      <c r="N281" s="542">
        <v>123804</v>
      </c>
      <c r="O281" s="543">
        <v>0.5</v>
      </c>
      <c r="P281" s="543">
        <v>0.4</v>
      </c>
      <c r="Q281" s="543">
        <v>0.09</v>
      </c>
      <c r="R281" s="543">
        <v>0.01</v>
      </c>
      <c r="S281" s="542">
        <v>163775</v>
      </c>
      <c r="T281" s="542">
        <v>163775</v>
      </c>
      <c r="U281" s="542">
        <v>0</v>
      </c>
      <c r="V281" s="542">
        <v>0</v>
      </c>
      <c r="W281" s="542">
        <v>0</v>
      </c>
      <c r="X281" s="542">
        <v>0</v>
      </c>
      <c r="Y281" s="542">
        <v>98448</v>
      </c>
      <c r="Z281" s="542">
        <v>0</v>
      </c>
      <c r="AA281" s="542">
        <v>70000</v>
      </c>
      <c r="AB281" s="542">
        <v>0</v>
      </c>
      <c r="AC281" s="542">
        <v>28448</v>
      </c>
      <c r="AD281" s="542">
        <v>0</v>
      </c>
      <c r="AE281" s="542">
        <v>0</v>
      </c>
      <c r="AF281" s="542">
        <v>0</v>
      </c>
      <c r="AG281" s="542">
        <v>0</v>
      </c>
      <c r="AH281" s="542">
        <v>0</v>
      </c>
      <c r="AI281" s="542">
        <v>0</v>
      </c>
      <c r="AJ281" s="542">
        <v>0</v>
      </c>
      <c r="AK281" s="542">
        <v>0</v>
      </c>
      <c r="AL281" s="542">
        <v>0</v>
      </c>
      <c r="AM281" s="542">
        <v>0</v>
      </c>
      <c r="AN281" s="542">
        <v>0</v>
      </c>
      <c r="AO281" s="542">
        <v>0</v>
      </c>
      <c r="AP281" s="542">
        <v>0</v>
      </c>
      <c r="AQ281" s="542">
        <v>502312.592</v>
      </c>
      <c r="AR281" s="542">
        <v>113020.333</v>
      </c>
      <c r="AS281" s="542">
        <v>12557.8148</v>
      </c>
      <c r="AT281" s="542">
        <v>449504</v>
      </c>
      <c r="AU281" s="542">
        <v>101138</v>
      </c>
      <c r="AV281" s="542">
        <v>11238</v>
      </c>
      <c r="AW281" s="542">
        <v>52809</v>
      </c>
      <c r="AX281" s="542">
        <v>11882</v>
      </c>
      <c r="AY281" s="542">
        <v>1320</v>
      </c>
      <c r="AZ281" s="542">
        <v>1900.76603</v>
      </c>
      <c r="BA281" s="542">
        <v>427.67235599999998</v>
      </c>
      <c r="BB281" s="542">
        <v>47.519150699999997</v>
      </c>
      <c r="BC281" s="542">
        <v>9701</v>
      </c>
      <c r="BD281" s="542">
        <v>2183</v>
      </c>
      <c r="BE281" s="542">
        <v>243</v>
      </c>
      <c r="BF281" s="542">
        <v>-7800</v>
      </c>
      <c r="BG281" s="542">
        <v>-1755</v>
      </c>
      <c r="BH281" s="542">
        <v>-195</v>
      </c>
      <c r="BI281" s="542">
        <v>5937.16518</v>
      </c>
      <c r="BJ281" s="542">
        <v>1335.8621599999999</v>
      </c>
      <c r="BK281" s="542">
        <v>148.42912899999999</v>
      </c>
      <c r="BL281" s="542">
        <v>18091</v>
      </c>
      <c r="BM281" s="542">
        <v>4070</v>
      </c>
      <c r="BN281" s="542">
        <v>452</v>
      </c>
      <c r="BO281" s="542">
        <v>-12154</v>
      </c>
      <c r="BP281" s="542">
        <v>-2734</v>
      </c>
      <c r="BQ281" s="542">
        <v>-304</v>
      </c>
      <c r="BR281" s="542">
        <v>5742.3184700000002</v>
      </c>
      <c r="BS281" s="542">
        <v>1292.0216499999999</v>
      </c>
      <c r="BT281" s="542">
        <v>143.55796100000001</v>
      </c>
      <c r="BU281" s="542">
        <v>39722</v>
      </c>
      <c r="BV281" s="542">
        <v>8938</v>
      </c>
      <c r="BW281" s="542">
        <v>993</v>
      </c>
      <c r="BX281" s="542">
        <v>-33980</v>
      </c>
      <c r="BY281" s="542">
        <v>-7646</v>
      </c>
      <c r="BZ281" s="542">
        <v>-849</v>
      </c>
      <c r="CA281" s="542">
        <v>167688.231</v>
      </c>
      <c r="CB281" s="542">
        <v>37729.851900000001</v>
      </c>
      <c r="CC281" s="542">
        <v>4192.2057699999996</v>
      </c>
      <c r="CD281" s="542">
        <v>199313</v>
      </c>
      <c r="CE281" s="542">
        <v>44846</v>
      </c>
      <c r="CF281" s="542">
        <v>4983</v>
      </c>
      <c r="CG281" s="542">
        <v>-31625</v>
      </c>
      <c r="CH281" s="542">
        <v>-7116</v>
      </c>
      <c r="CI281" s="542">
        <v>-791</v>
      </c>
      <c r="CJ281" s="542">
        <v>1589.6</v>
      </c>
      <c r="CK281" s="542">
        <v>357.66</v>
      </c>
      <c r="CL281" s="542">
        <v>39.74</v>
      </c>
      <c r="CM281" s="542">
        <v>947.149044</v>
      </c>
      <c r="CN281" s="542">
        <v>213.10853499999999</v>
      </c>
      <c r="CO281" s="542">
        <v>23.678726099999999</v>
      </c>
      <c r="CP281" s="542">
        <v>1590</v>
      </c>
      <c r="CQ281" s="542">
        <v>357.66</v>
      </c>
      <c r="CR281" s="542">
        <v>39.74</v>
      </c>
      <c r="CS281" s="542">
        <v>947</v>
      </c>
      <c r="CT281" s="542">
        <v>213</v>
      </c>
      <c r="CU281" s="542">
        <v>24</v>
      </c>
      <c r="CV281" s="542">
        <v>153986.21599999999</v>
      </c>
      <c r="CW281" s="542">
        <v>34411.752200000003</v>
      </c>
      <c r="CX281" s="542">
        <v>3823.5280200000002</v>
      </c>
      <c r="CY281" s="542">
        <v>166626</v>
      </c>
      <c r="CZ281" s="542">
        <v>36932</v>
      </c>
      <c r="DA281" s="542">
        <v>4104</v>
      </c>
      <c r="DB281" s="542">
        <v>-12640</v>
      </c>
      <c r="DC281" s="542">
        <v>-2520</v>
      </c>
      <c r="DD281" s="542">
        <v>-280</v>
      </c>
      <c r="DE281" s="153" t="s">
        <v>427</v>
      </c>
      <c r="DF281" s="103" t="s">
        <v>815</v>
      </c>
      <c r="DG281" s="104" t="s">
        <v>804</v>
      </c>
      <c r="DH281" s="547"/>
      <c r="DI281" s="547"/>
    </row>
    <row r="282" spans="1:113" x14ac:dyDescent="0.2">
      <c r="A282" s="93">
        <v>276</v>
      </c>
      <c r="B282" s="145" t="s">
        <v>430</v>
      </c>
      <c r="C282" s="141" t="s">
        <v>866</v>
      </c>
      <c r="D282" s="142" t="s">
        <v>875</v>
      </c>
      <c r="E282" s="149" t="s">
        <v>429</v>
      </c>
      <c r="F282" s="542">
        <v>141086</v>
      </c>
      <c r="G282" s="542">
        <v>0</v>
      </c>
      <c r="H282" s="542">
        <v>141086</v>
      </c>
      <c r="I282" s="542">
        <v>170251</v>
      </c>
      <c r="J282" s="542">
        <v>0</v>
      </c>
      <c r="K282" s="542">
        <v>170251</v>
      </c>
      <c r="L282" s="542">
        <v>-29165</v>
      </c>
      <c r="M282" s="542">
        <v>0</v>
      </c>
      <c r="N282" s="542">
        <v>-29165</v>
      </c>
      <c r="O282" s="543">
        <v>0.5</v>
      </c>
      <c r="P282" s="543">
        <v>0.4</v>
      </c>
      <c r="Q282" s="543">
        <v>0.09</v>
      </c>
      <c r="R282" s="543">
        <v>0.01</v>
      </c>
      <c r="S282" s="542">
        <v>192475</v>
      </c>
      <c r="T282" s="542">
        <v>192475</v>
      </c>
      <c r="U282" s="542">
        <v>0</v>
      </c>
      <c r="V282" s="542">
        <v>0</v>
      </c>
      <c r="W282" s="542">
        <v>0</v>
      </c>
      <c r="X282" s="542">
        <v>0</v>
      </c>
      <c r="Y282" s="542">
        <v>2920</v>
      </c>
      <c r="Z282" s="542">
        <v>0</v>
      </c>
      <c r="AA282" s="542">
        <v>0</v>
      </c>
      <c r="AB282" s="542">
        <v>0</v>
      </c>
      <c r="AC282" s="542">
        <v>2920</v>
      </c>
      <c r="AD282" s="542">
        <v>0</v>
      </c>
      <c r="AE282" s="542">
        <v>0</v>
      </c>
      <c r="AF282" s="542">
        <v>0</v>
      </c>
      <c r="AG282" s="542">
        <v>0</v>
      </c>
      <c r="AH282" s="542">
        <v>0</v>
      </c>
      <c r="AI282" s="542">
        <v>0</v>
      </c>
      <c r="AJ282" s="542">
        <v>0</v>
      </c>
      <c r="AK282" s="542">
        <v>0</v>
      </c>
      <c r="AL282" s="542">
        <v>0</v>
      </c>
      <c r="AM282" s="542">
        <v>0</v>
      </c>
      <c r="AN282" s="542">
        <v>0</v>
      </c>
      <c r="AO282" s="542">
        <v>0</v>
      </c>
      <c r="AP282" s="542">
        <v>0</v>
      </c>
      <c r="AQ282" s="542">
        <v>739384.24100000004</v>
      </c>
      <c r="AR282" s="542">
        <v>166361.454</v>
      </c>
      <c r="AS282" s="542">
        <v>18484.606</v>
      </c>
      <c r="AT282" s="542">
        <v>686868</v>
      </c>
      <c r="AU282" s="542">
        <v>154545</v>
      </c>
      <c r="AV282" s="542">
        <v>17172</v>
      </c>
      <c r="AW282" s="542">
        <v>52516</v>
      </c>
      <c r="AX282" s="542">
        <v>11816</v>
      </c>
      <c r="AY282" s="542">
        <v>1313</v>
      </c>
      <c r="AZ282" s="542">
        <v>1942.4033899999999</v>
      </c>
      <c r="BA282" s="542">
        <v>437.04076400000002</v>
      </c>
      <c r="BB282" s="542">
        <v>48.5600849</v>
      </c>
      <c r="BC282" s="542">
        <v>4042</v>
      </c>
      <c r="BD282" s="542">
        <v>910</v>
      </c>
      <c r="BE282" s="542">
        <v>101</v>
      </c>
      <c r="BF282" s="542">
        <v>-2100</v>
      </c>
      <c r="BG282" s="542">
        <v>-473</v>
      </c>
      <c r="BH282" s="542">
        <v>-52</v>
      </c>
      <c r="BI282" s="542">
        <v>0</v>
      </c>
      <c r="BJ282" s="542">
        <v>0</v>
      </c>
      <c r="BK282" s="542">
        <v>0</v>
      </c>
      <c r="BL282" s="542">
        <v>0</v>
      </c>
      <c r="BM282" s="542">
        <v>0</v>
      </c>
      <c r="BN282" s="542">
        <v>0</v>
      </c>
      <c r="BO282" s="542">
        <v>0</v>
      </c>
      <c r="BP282" s="542">
        <v>0</v>
      </c>
      <c r="BQ282" s="542">
        <v>0</v>
      </c>
      <c r="BR282" s="542">
        <v>1142.4000000000001</v>
      </c>
      <c r="BS282" s="542">
        <v>257.04000000000002</v>
      </c>
      <c r="BT282" s="542">
        <v>28.56</v>
      </c>
      <c r="BU282" s="542">
        <v>4042.4628400000001</v>
      </c>
      <c r="BV282" s="542">
        <v>909.55413999999996</v>
      </c>
      <c r="BW282" s="542">
        <v>101.061571</v>
      </c>
      <c r="BX282" s="542">
        <v>-2900</v>
      </c>
      <c r="BY282" s="542">
        <v>-653</v>
      </c>
      <c r="BZ282" s="542">
        <v>-73</v>
      </c>
      <c r="CA282" s="542">
        <v>237655.58199999999</v>
      </c>
      <c r="CB282" s="542">
        <v>53472.505899999996</v>
      </c>
      <c r="CC282" s="542">
        <v>5941.3895499999999</v>
      </c>
      <c r="CD282" s="542">
        <v>181102.33499999999</v>
      </c>
      <c r="CE282" s="542">
        <v>40748.025399999999</v>
      </c>
      <c r="CF282" s="542">
        <v>4527.5583800000004</v>
      </c>
      <c r="CG282" s="542">
        <v>56553</v>
      </c>
      <c r="CH282" s="542">
        <v>12724</v>
      </c>
      <c r="CI282" s="542">
        <v>1414</v>
      </c>
      <c r="CJ282" s="542">
        <v>6185.6</v>
      </c>
      <c r="CK282" s="542">
        <v>1391.76</v>
      </c>
      <c r="CL282" s="542">
        <v>154.63999999999999</v>
      </c>
      <c r="CM282" s="542">
        <v>4734.9367300000004</v>
      </c>
      <c r="CN282" s="542">
        <v>1065.36076</v>
      </c>
      <c r="CO282" s="542">
        <v>118.373418</v>
      </c>
      <c r="CP282" s="542">
        <v>7142</v>
      </c>
      <c r="CQ282" s="542">
        <v>1606.86</v>
      </c>
      <c r="CR282" s="542">
        <v>178.54</v>
      </c>
      <c r="CS282" s="542">
        <v>3779</v>
      </c>
      <c r="CT282" s="542">
        <v>850</v>
      </c>
      <c r="CU282" s="542">
        <v>94</v>
      </c>
      <c r="CV282" s="542">
        <v>132886.79399999999</v>
      </c>
      <c r="CW282" s="542">
        <v>29892.554100000001</v>
      </c>
      <c r="CX282" s="542">
        <v>3321.3948999999998</v>
      </c>
      <c r="CY282" s="542">
        <v>136390</v>
      </c>
      <c r="CZ282" s="542">
        <v>30228</v>
      </c>
      <c r="DA282" s="542">
        <v>3359</v>
      </c>
      <c r="DB282" s="542">
        <v>-3503</v>
      </c>
      <c r="DC282" s="542">
        <v>-335</v>
      </c>
      <c r="DD282" s="542">
        <v>-38</v>
      </c>
      <c r="DE282" s="153" t="s">
        <v>429</v>
      </c>
      <c r="DF282" s="103" t="s">
        <v>803</v>
      </c>
      <c r="DG282" s="104" t="s">
        <v>804</v>
      </c>
      <c r="DH282" s="547"/>
      <c r="DI282" s="547"/>
    </row>
    <row r="283" spans="1:113" x14ac:dyDescent="0.2">
      <c r="A283" s="93">
        <v>277</v>
      </c>
      <c r="B283" s="145" t="s">
        <v>432</v>
      </c>
      <c r="C283" s="141" t="s">
        <v>770</v>
      </c>
      <c r="D283" s="142" t="s">
        <v>876</v>
      </c>
      <c r="E283" s="149" t="s">
        <v>730</v>
      </c>
      <c r="F283" s="542">
        <v>-333149</v>
      </c>
      <c r="G283" s="542">
        <v>0</v>
      </c>
      <c r="H283" s="542">
        <v>-333149</v>
      </c>
      <c r="I283" s="542">
        <v>-11036</v>
      </c>
      <c r="J283" s="542">
        <v>0</v>
      </c>
      <c r="K283" s="542">
        <v>-11036</v>
      </c>
      <c r="L283" s="542">
        <v>-322113</v>
      </c>
      <c r="M283" s="542">
        <v>0</v>
      </c>
      <c r="N283" s="542">
        <v>-322113</v>
      </c>
      <c r="O283" s="543">
        <v>0.5</v>
      </c>
      <c r="P283" s="543">
        <v>0.49</v>
      </c>
      <c r="Q283" s="543">
        <v>0</v>
      </c>
      <c r="R283" s="543">
        <v>0.01</v>
      </c>
      <c r="S283" s="542">
        <v>210461</v>
      </c>
      <c r="T283" s="542">
        <v>210461</v>
      </c>
      <c r="U283" s="542">
        <v>0</v>
      </c>
      <c r="V283" s="542">
        <v>0</v>
      </c>
      <c r="W283" s="542">
        <v>0</v>
      </c>
      <c r="X283" s="542">
        <v>0</v>
      </c>
      <c r="Y283" s="542">
        <v>4654</v>
      </c>
      <c r="Z283" s="542">
        <v>0</v>
      </c>
      <c r="AA283" s="542">
        <v>0</v>
      </c>
      <c r="AB283" s="542">
        <v>0</v>
      </c>
      <c r="AC283" s="542">
        <v>4654</v>
      </c>
      <c r="AD283" s="542">
        <v>0</v>
      </c>
      <c r="AE283" s="542">
        <v>0</v>
      </c>
      <c r="AF283" s="542">
        <v>0</v>
      </c>
      <c r="AG283" s="542">
        <v>0</v>
      </c>
      <c r="AH283" s="542">
        <v>0</v>
      </c>
      <c r="AI283" s="542">
        <v>0</v>
      </c>
      <c r="AJ283" s="542">
        <v>0</v>
      </c>
      <c r="AK283" s="542">
        <v>0</v>
      </c>
      <c r="AL283" s="542">
        <v>0</v>
      </c>
      <c r="AM283" s="542">
        <v>0</v>
      </c>
      <c r="AN283" s="542">
        <v>0</v>
      </c>
      <c r="AO283" s="542">
        <v>0</v>
      </c>
      <c r="AP283" s="542">
        <v>0</v>
      </c>
      <c r="AQ283" s="542">
        <v>689363.1</v>
      </c>
      <c r="AR283" s="542">
        <v>0</v>
      </c>
      <c r="AS283" s="542">
        <v>14068.63</v>
      </c>
      <c r="AT283" s="542">
        <v>542748</v>
      </c>
      <c r="AU283" s="542">
        <v>0</v>
      </c>
      <c r="AV283" s="542">
        <v>11076</v>
      </c>
      <c r="AW283" s="542">
        <v>146615</v>
      </c>
      <c r="AX283" s="542">
        <v>0</v>
      </c>
      <c r="AY283" s="542">
        <v>2993</v>
      </c>
      <c r="AZ283" s="542">
        <v>4277.55</v>
      </c>
      <c r="BA283" s="542">
        <v>0</v>
      </c>
      <c r="BB283" s="542">
        <v>87.3</v>
      </c>
      <c r="BC283" s="542">
        <v>120611</v>
      </c>
      <c r="BD283" s="542">
        <v>0</v>
      </c>
      <c r="BE283" s="542">
        <v>2461</v>
      </c>
      <c r="BF283" s="542">
        <v>-116333</v>
      </c>
      <c r="BG283" s="542">
        <v>0</v>
      </c>
      <c r="BH283" s="542">
        <v>-2374</v>
      </c>
      <c r="BI283" s="542">
        <v>9719.82</v>
      </c>
      <c r="BJ283" s="542">
        <v>0</v>
      </c>
      <c r="BK283" s="542">
        <v>198.36</v>
      </c>
      <c r="BL283" s="542">
        <v>217888</v>
      </c>
      <c r="BM283" s="542">
        <v>0</v>
      </c>
      <c r="BN283" s="542">
        <v>4447</v>
      </c>
      <c r="BO283" s="542">
        <v>-208168</v>
      </c>
      <c r="BP283" s="542">
        <v>0</v>
      </c>
      <c r="BQ283" s="542">
        <v>-4249</v>
      </c>
      <c r="BR283" s="542">
        <v>3569.91</v>
      </c>
      <c r="BS283" s="542">
        <v>0</v>
      </c>
      <c r="BT283" s="542">
        <v>72.86</v>
      </c>
      <c r="BU283" s="542">
        <v>153798</v>
      </c>
      <c r="BV283" s="542">
        <v>0</v>
      </c>
      <c r="BW283" s="542">
        <v>3139</v>
      </c>
      <c r="BX283" s="542">
        <v>-150228</v>
      </c>
      <c r="BY283" s="542">
        <v>0</v>
      </c>
      <c r="BZ283" s="542">
        <v>-3066</v>
      </c>
      <c r="CA283" s="542">
        <v>134718.63</v>
      </c>
      <c r="CB283" s="542">
        <v>0</v>
      </c>
      <c r="CC283" s="542">
        <v>2749.36</v>
      </c>
      <c r="CD283" s="542">
        <v>148560</v>
      </c>
      <c r="CE283" s="542">
        <v>0</v>
      </c>
      <c r="CF283" s="542">
        <v>3032</v>
      </c>
      <c r="CG283" s="542">
        <v>-13841</v>
      </c>
      <c r="CH283" s="542">
        <v>0</v>
      </c>
      <c r="CI283" s="542">
        <v>-283</v>
      </c>
      <c r="CJ283" s="542">
        <v>3522.71</v>
      </c>
      <c r="CK283" s="542">
        <v>0</v>
      </c>
      <c r="CL283" s="542">
        <v>71.89</v>
      </c>
      <c r="CM283" s="542">
        <v>2654.78</v>
      </c>
      <c r="CN283" s="542">
        <v>0</v>
      </c>
      <c r="CO283" s="542">
        <v>54.18</v>
      </c>
      <c r="CP283" s="542">
        <v>0</v>
      </c>
      <c r="CQ283" s="542">
        <v>0</v>
      </c>
      <c r="CR283" s="542">
        <v>0</v>
      </c>
      <c r="CS283" s="542">
        <v>6177</v>
      </c>
      <c r="CT283" s="542">
        <v>0</v>
      </c>
      <c r="CU283" s="542">
        <v>126</v>
      </c>
      <c r="CV283" s="542">
        <v>356855.44</v>
      </c>
      <c r="CW283" s="542">
        <v>0</v>
      </c>
      <c r="CX283" s="542">
        <v>7281.76</v>
      </c>
      <c r="CY283" s="542">
        <v>351166</v>
      </c>
      <c r="CZ283" s="542">
        <v>0</v>
      </c>
      <c r="DA283" s="542">
        <v>7117</v>
      </c>
      <c r="DB283" s="542">
        <v>5689</v>
      </c>
      <c r="DC283" s="542">
        <v>0</v>
      </c>
      <c r="DD283" s="542">
        <v>165</v>
      </c>
      <c r="DE283" s="153" t="s">
        <v>730</v>
      </c>
      <c r="DF283" s="103" t="s">
        <v>770</v>
      </c>
      <c r="DG283" s="104" t="s">
        <v>818</v>
      </c>
      <c r="DH283" s="547"/>
      <c r="DI283" s="547"/>
    </row>
    <row r="284" spans="1:113" x14ac:dyDescent="0.2">
      <c r="A284" s="93">
        <v>278</v>
      </c>
      <c r="B284" s="145" t="s">
        <v>434</v>
      </c>
      <c r="C284" s="141" t="s">
        <v>866</v>
      </c>
      <c r="D284" s="142" t="s">
        <v>870</v>
      </c>
      <c r="E284" s="149" t="s">
        <v>433</v>
      </c>
      <c r="F284" s="542">
        <v>-191130</v>
      </c>
      <c r="G284" s="542">
        <v>0</v>
      </c>
      <c r="H284" s="542">
        <v>-191130</v>
      </c>
      <c r="I284" s="542">
        <v>75845</v>
      </c>
      <c r="J284" s="542">
        <v>0</v>
      </c>
      <c r="K284" s="542">
        <v>75845</v>
      </c>
      <c r="L284" s="542">
        <v>-266975</v>
      </c>
      <c r="M284" s="542">
        <v>0</v>
      </c>
      <c r="N284" s="542">
        <v>-266975</v>
      </c>
      <c r="O284" s="543">
        <v>0.5</v>
      </c>
      <c r="P284" s="543">
        <v>0.4</v>
      </c>
      <c r="Q284" s="543">
        <v>0.09</v>
      </c>
      <c r="R284" s="543">
        <v>0.01</v>
      </c>
      <c r="S284" s="542">
        <v>293126</v>
      </c>
      <c r="T284" s="542">
        <v>293126</v>
      </c>
      <c r="U284" s="542">
        <v>0</v>
      </c>
      <c r="V284" s="542">
        <v>0</v>
      </c>
      <c r="W284" s="542">
        <v>0</v>
      </c>
      <c r="X284" s="542">
        <v>0</v>
      </c>
      <c r="Y284" s="542">
        <v>115505</v>
      </c>
      <c r="Z284" s="542">
        <v>0</v>
      </c>
      <c r="AA284" s="542">
        <v>0</v>
      </c>
      <c r="AB284" s="542">
        <v>0</v>
      </c>
      <c r="AC284" s="542">
        <v>115505</v>
      </c>
      <c r="AD284" s="542">
        <v>0</v>
      </c>
      <c r="AE284" s="542">
        <v>0</v>
      </c>
      <c r="AF284" s="542">
        <v>0</v>
      </c>
      <c r="AG284" s="542">
        <v>0</v>
      </c>
      <c r="AH284" s="542">
        <v>0</v>
      </c>
      <c r="AI284" s="542">
        <v>0</v>
      </c>
      <c r="AJ284" s="542">
        <v>0</v>
      </c>
      <c r="AK284" s="542">
        <v>0</v>
      </c>
      <c r="AL284" s="542">
        <v>0</v>
      </c>
      <c r="AM284" s="542">
        <v>0</v>
      </c>
      <c r="AN284" s="542">
        <v>0</v>
      </c>
      <c r="AO284" s="542">
        <v>0</v>
      </c>
      <c r="AP284" s="542">
        <v>0</v>
      </c>
      <c r="AQ284" s="542">
        <v>885677.53500000003</v>
      </c>
      <c r="AR284" s="542">
        <v>199277.44500000001</v>
      </c>
      <c r="AS284" s="542">
        <v>22141.938300000002</v>
      </c>
      <c r="AT284" s="542">
        <v>829940</v>
      </c>
      <c r="AU284" s="542">
        <v>186736</v>
      </c>
      <c r="AV284" s="542">
        <v>20748</v>
      </c>
      <c r="AW284" s="542">
        <v>55738</v>
      </c>
      <c r="AX284" s="542">
        <v>12541</v>
      </c>
      <c r="AY284" s="542">
        <v>1394</v>
      </c>
      <c r="AZ284" s="542">
        <v>3359.6908699999999</v>
      </c>
      <c r="BA284" s="542">
        <v>755.93044499999996</v>
      </c>
      <c r="BB284" s="542">
        <v>83.992271700000003</v>
      </c>
      <c r="BC284" s="542">
        <v>0</v>
      </c>
      <c r="BD284" s="542">
        <v>0</v>
      </c>
      <c r="BE284" s="542">
        <v>0</v>
      </c>
      <c r="BF284" s="542">
        <v>3360</v>
      </c>
      <c r="BG284" s="542">
        <v>756</v>
      </c>
      <c r="BH284" s="542">
        <v>84</v>
      </c>
      <c r="BI284" s="542">
        <v>0</v>
      </c>
      <c r="BJ284" s="542">
        <v>0</v>
      </c>
      <c r="BK284" s="542">
        <v>0</v>
      </c>
      <c r="BL284" s="542">
        <v>0</v>
      </c>
      <c r="BM284" s="542">
        <v>0</v>
      </c>
      <c r="BN284" s="542">
        <v>0</v>
      </c>
      <c r="BO284" s="542">
        <v>0</v>
      </c>
      <c r="BP284" s="542">
        <v>0</v>
      </c>
      <c r="BQ284" s="542">
        <v>0</v>
      </c>
      <c r="BR284" s="542">
        <v>1079.74182</v>
      </c>
      <c r="BS284" s="542">
        <v>242.94191000000001</v>
      </c>
      <c r="BT284" s="542">
        <v>26.993545600000001</v>
      </c>
      <c r="BU284" s="542">
        <v>0</v>
      </c>
      <c r="BV284" s="542">
        <v>0</v>
      </c>
      <c r="BW284" s="542">
        <v>0</v>
      </c>
      <c r="BX284" s="542">
        <v>1080</v>
      </c>
      <c r="BY284" s="542">
        <v>243</v>
      </c>
      <c r="BZ284" s="542">
        <v>27</v>
      </c>
      <c r="CA284" s="542">
        <v>209906.90400000001</v>
      </c>
      <c r="CB284" s="542">
        <v>47229.053500000002</v>
      </c>
      <c r="CC284" s="542">
        <v>5247.6726099999996</v>
      </c>
      <c r="CD284" s="542">
        <v>60636.942600000002</v>
      </c>
      <c r="CE284" s="542">
        <v>13643.312099999999</v>
      </c>
      <c r="CF284" s="542">
        <v>1515.92356</v>
      </c>
      <c r="CG284" s="542">
        <v>149270</v>
      </c>
      <c r="CH284" s="542">
        <v>33586</v>
      </c>
      <c r="CI284" s="542">
        <v>3732</v>
      </c>
      <c r="CJ284" s="542">
        <v>0</v>
      </c>
      <c r="CK284" s="542">
        <v>0</v>
      </c>
      <c r="CL284" s="542">
        <v>0</v>
      </c>
      <c r="CM284" s="542">
        <v>0</v>
      </c>
      <c r="CN284" s="542">
        <v>0</v>
      </c>
      <c r="CO284" s="542">
        <v>0</v>
      </c>
      <c r="CP284" s="542">
        <v>0</v>
      </c>
      <c r="CQ284" s="542">
        <v>0</v>
      </c>
      <c r="CR284" s="542">
        <v>0</v>
      </c>
      <c r="CS284" s="542">
        <v>0</v>
      </c>
      <c r="CT284" s="542">
        <v>0</v>
      </c>
      <c r="CU284" s="542">
        <v>0</v>
      </c>
      <c r="CV284" s="542">
        <v>102488.515</v>
      </c>
      <c r="CW284" s="542">
        <v>22784.028300000002</v>
      </c>
      <c r="CX284" s="542">
        <v>2531.5587</v>
      </c>
      <c r="CY284" s="542">
        <v>107741</v>
      </c>
      <c r="CZ284" s="542">
        <v>23542</v>
      </c>
      <c r="DA284" s="542">
        <v>2616</v>
      </c>
      <c r="DB284" s="542">
        <v>-5252</v>
      </c>
      <c r="DC284" s="542">
        <v>-758</v>
      </c>
      <c r="DD284" s="542">
        <v>-84</v>
      </c>
      <c r="DE284" s="153" t="s">
        <v>433</v>
      </c>
      <c r="DF284" s="103" t="s">
        <v>765</v>
      </c>
      <c r="DG284" s="104" t="s">
        <v>766</v>
      </c>
      <c r="DH284" s="547"/>
      <c r="DI284" s="547"/>
    </row>
    <row r="285" spans="1:113" x14ac:dyDescent="0.2">
      <c r="A285" s="93">
        <v>279</v>
      </c>
      <c r="B285" s="145" t="s">
        <v>436</v>
      </c>
      <c r="C285" s="141" t="s">
        <v>866</v>
      </c>
      <c r="D285" s="142" t="s">
        <v>867</v>
      </c>
      <c r="E285" s="149" t="s">
        <v>435</v>
      </c>
      <c r="F285" s="542">
        <v>-176646</v>
      </c>
      <c r="G285" s="542">
        <v>0</v>
      </c>
      <c r="H285" s="542">
        <v>-176646</v>
      </c>
      <c r="I285" s="542">
        <v>32913</v>
      </c>
      <c r="J285" s="542">
        <v>0</v>
      </c>
      <c r="K285" s="542">
        <v>32913</v>
      </c>
      <c r="L285" s="542">
        <v>-209559</v>
      </c>
      <c r="M285" s="542">
        <v>0</v>
      </c>
      <c r="N285" s="542">
        <v>-209559</v>
      </c>
      <c r="O285" s="543">
        <v>0.5</v>
      </c>
      <c r="P285" s="543">
        <v>0.4</v>
      </c>
      <c r="Q285" s="543">
        <v>0.09</v>
      </c>
      <c r="R285" s="543">
        <v>0.01</v>
      </c>
      <c r="S285" s="542">
        <v>187158</v>
      </c>
      <c r="T285" s="542">
        <v>187158</v>
      </c>
      <c r="U285" s="542">
        <v>0</v>
      </c>
      <c r="V285" s="542">
        <v>0</v>
      </c>
      <c r="W285" s="542">
        <v>0</v>
      </c>
      <c r="X285" s="542">
        <v>0</v>
      </c>
      <c r="Y285" s="542">
        <v>22654</v>
      </c>
      <c r="Z285" s="542">
        <v>0</v>
      </c>
      <c r="AA285" s="542">
        <v>0</v>
      </c>
      <c r="AB285" s="542">
        <v>0</v>
      </c>
      <c r="AC285" s="542">
        <v>22654</v>
      </c>
      <c r="AD285" s="542">
        <v>0</v>
      </c>
      <c r="AE285" s="542">
        <v>0</v>
      </c>
      <c r="AF285" s="542">
        <v>0</v>
      </c>
      <c r="AG285" s="542">
        <v>0</v>
      </c>
      <c r="AH285" s="542">
        <v>0</v>
      </c>
      <c r="AI285" s="542">
        <v>0</v>
      </c>
      <c r="AJ285" s="542">
        <v>0</v>
      </c>
      <c r="AK285" s="542">
        <v>0</v>
      </c>
      <c r="AL285" s="542">
        <v>0</v>
      </c>
      <c r="AM285" s="542">
        <v>0</v>
      </c>
      <c r="AN285" s="542">
        <v>0</v>
      </c>
      <c r="AO285" s="542">
        <v>0</v>
      </c>
      <c r="AP285" s="542">
        <v>0</v>
      </c>
      <c r="AQ285" s="542">
        <v>517930.85</v>
      </c>
      <c r="AR285" s="542">
        <v>116534.44100000001</v>
      </c>
      <c r="AS285" s="542">
        <v>12948.271199999999</v>
      </c>
      <c r="AT285" s="542">
        <v>447932</v>
      </c>
      <c r="AU285" s="542">
        <v>100785</v>
      </c>
      <c r="AV285" s="542">
        <v>11198</v>
      </c>
      <c r="AW285" s="542">
        <v>69999</v>
      </c>
      <c r="AX285" s="542">
        <v>15749</v>
      </c>
      <c r="AY285" s="542">
        <v>1750</v>
      </c>
      <c r="AZ285" s="542">
        <v>2795.7673</v>
      </c>
      <c r="BA285" s="542">
        <v>629.04764299999999</v>
      </c>
      <c r="BB285" s="542">
        <v>69.894182499999999</v>
      </c>
      <c r="BC285" s="542">
        <v>12127</v>
      </c>
      <c r="BD285" s="542">
        <v>2729</v>
      </c>
      <c r="BE285" s="542">
        <v>303</v>
      </c>
      <c r="BF285" s="542">
        <v>-9331</v>
      </c>
      <c r="BG285" s="542">
        <v>-2100</v>
      </c>
      <c r="BH285" s="542">
        <v>-233</v>
      </c>
      <c r="BI285" s="542">
        <v>0</v>
      </c>
      <c r="BJ285" s="542">
        <v>0</v>
      </c>
      <c r="BK285" s="542">
        <v>0</v>
      </c>
      <c r="BL285" s="542">
        <v>24660</v>
      </c>
      <c r="BM285" s="542">
        <v>5548</v>
      </c>
      <c r="BN285" s="542">
        <v>616</v>
      </c>
      <c r="BO285" s="542">
        <v>-24660</v>
      </c>
      <c r="BP285" s="542">
        <v>-5548</v>
      </c>
      <c r="BQ285" s="542">
        <v>-616</v>
      </c>
      <c r="BR285" s="542">
        <v>2497.0292899999999</v>
      </c>
      <c r="BS285" s="542">
        <v>561.831592</v>
      </c>
      <c r="BT285" s="542">
        <v>62.425732400000001</v>
      </c>
      <c r="BU285" s="542">
        <v>68722</v>
      </c>
      <c r="BV285" s="542">
        <v>15462</v>
      </c>
      <c r="BW285" s="542">
        <v>1718</v>
      </c>
      <c r="BX285" s="542">
        <v>-66225</v>
      </c>
      <c r="BY285" s="542">
        <v>-14900</v>
      </c>
      <c r="BZ285" s="542">
        <v>-1656</v>
      </c>
      <c r="CA285" s="542">
        <v>114839.497</v>
      </c>
      <c r="CB285" s="542">
        <v>25838.8868</v>
      </c>
      <c r="CC285" s="542">
        <v>2870.9874300000001</v>
      </c>
      <c r="CD285" s="542">
        <v>260335</v>
      </c>
      <c r="CE285" s="542">
        <v>58575</v>
      </c>
      <c r="CF285" s="542">
        <v>6508</v>
      </c>
      <c r="CG285" s="542">
        <v>-145496</v>
      </c>
      <c r="CH285" s="542">
        <v>-32736</v>
      </c>
      <c r="CI285" s="542">
        <v>-3637</v>
      </c>
      <c r="CJ285" s="542">
        <v>0</v>
      </c>
      <c r="CK285" s="542">
        <v>0</v>
      </c>
      <c r="CL285" s="542">
        <v>0</v>
      </c>
      <c r="CM285" s="542">
        <v>43260.416100000002</v>
      </c>
      <c r="CN285" s="542">
        <v>9733.5936299999994</v>
      </c>
      <c r="CO285" s="542">
        <v>1081.5103999999999</v>
      </c>
      <c r="CP285" s="542">
        <v>31380</v>
      </c>
      <c r="CQ285" s="542">
        <v>7060.6008000000002</v>
      </c>
      <c r="CR285" s="542">
        <v>784.51120000000003</v>
      </c>
      <c r="CS285" s="542">
        <v>11880</v>
      </c>
      <c r="CT285" s="542">
        <v>2673</v>
      </c>
      <c r="CU285" s="542">
        <v>297</v>
      </c>
      <c r="CV285" s="542">
        <v>184699.17199999999</v>
      </c>
      <c r="CW285" s="542">
        <v>41503.203800000003</v>
      </c>
      <c r="CX285" s="542">
        <v>4611.4670900000001</v>
      </c>
      <c r="CY285" s="542">
        <v>196167</v>
      </c>
      <c r="CZ285" s="542">
        <v>43690</v>
      </c>
      <c r="DA285" s="542">
        <v>4854</v>
      </c>
      <c r="DB285" s="542">
        <v>-11468</v>
      </c>
      <c r="DC285" s="542">
        <v>-2187</v>
      </c>
      <c r="DD285" s="542">
        <v>-243</v>
      </c>
      <c r="DE285" s="153" t="s">
        <v>435</v>
      </c>
      <c r="DF285" s="103" t="s">
        <v>767</v>
      </c>
      <c r="DG285" s="104" t="s">
        <v>768</v>
      </c>
      <c r="DH285" s="547"/>
      <c r="DI285" s="547"/>
    </row>
    <row r="286" spans="1:113" x14ac:dyDescent="0.2">
      <c r="A286" s="93">
        <v>280</v>
      </c>
      <c r="B286" s="145" t="s">
        <v>438</v>
      </c>
      <c r="C286" s="141" t="s">
        <v>866</v>
      </c>
      <c r="D286" s="142" t="s">
        <v>875</v>
      </c>
      <c r="E286" s="149" t="s">
        <v>437</v>
      </c>
      <c r="F286" s="542">
        <v>-1141420</v>
      </c>
      <c r="G286" s="542">
        <v>0</v>
      </c>
      <c r="H286" s="542">
        <v>-1141420</v>
      </c>
      <c r="I286" s="542">
        <v>-28631</v>
      </c>
      <c r="J286" s="542">
        <v>0</v>
      </c>
      <c r="K286" s="542">
        <v>-28631</v>
      </c>
      <c r="L286" s="542">
        <v>-1112789</v>
      </c>
      <c r="M286" s="542">
        <v>0</v>
      </c>
      <c r="N286" s="542">
        <v>-1112789</v>
      </c>
      <c r="O286" s="543">
        <v>0.5</v>
      </c>
      <c r="P286" s="543">
        <v>0.4</v>
      </c>
      <c r="Q286" s="543">
        <v>0.1</v>
      </c>
      <c r="R286" s="543">
        <v>0</v>
      </c>
      <c r="S286" s="542">
        <v>124101</v>
      </c>
      <c r="T286" s="542">
        <v>124101</v>
      </c>
      <c r="U286" s="542">
        <v>0</v>
      </c>
      <c r="V286" s="542">
        <v>0</v>
      </c>
      <c r="W286" s="542">
        <v>0</v>
      </c>
      <c r="X286" s="542">
        <v>0</v>
      </c>
      <c r="Y286" s="542">
        <v>0</v>
      </c>
      <c r="Z286" s="542">
        <v>0</v>
      </c>
      <c r="AA286" s="542">
        <v>0</v>
      </c>
      <c r="AB286" s="542">
        <v>0</v>
      </c>
      <c r="AC286" s="542">
        <v>0</v>
      </c>
      <c r="AD286" s="542">
        <v>0</v>
      </c>
      <c r="AE286" s="542">
        <v>0</v>
      </c>
      <c r="AF286" s="542">
        <v>0</v>
      </c>
      <c r="AG286" s="542">
        <v>0</v>
      </c>
      <c r="AH286" s="542">
        <v>0</v>
      </c>
      <c r="AI286" s="542">
        <v>0</v>
      </c>
      <c r="AJ286" s="542">
        <v>0</v>
      </c>
      <c r="AK286" s="542">
        <v>0</v>
      </c>
      <c r="AL286" s="542">
        <v>0</v>
      </c>
      <c r="AM286" s="542">
        <v>0</v>
      </c>
      <c r="AN286" s="542">
        <v>0</v>
      </c>
      <c r="AO286" s="542">
        <v>0</v>
      </c>
      <c r="AP286" s="542">
        <v>0</v>
      </c>
      <c r="AQ286" s="542">
        <v>362444.79300000001</v>
      </c>
      <c r="AR286" s="542">
        <v>90611.198300000004</v>
      </c>
      <c r="AS286" s="542">
        <v>0</v>
      </c>
      <c r="AT286" s="542">
        <v>325269</v>
      </c>
      <c r="AU286" s="542">
        <v>81317</v>
      </c>
      <c r="AV286" s="542">
        <v>0</v>
      </c>
      <c r="AW286" s="542">
        <v>37176</v>
      </c>
      <c r="AX286" s="542">
        <v>9294</v>
      </c>
      <c r="AY286" s="542">
        <v>0</v>
      </c>
      <c r="AZ286" s="542">
        <v>0</v>
      </c>
      <c r="BA286" s="542">
        <v>0</v>
      </c>
      <c r="BB286" s="542">
        <v>0</v>
      </c>
      <c r="BC286" s="542">
        <v>242</v>
      </c>
      <c r="BD286" s="542">
        <v>61</v>
      </c>
      <c r="BE286" s="542">
        <v>0</v>
      </c>
      <c r="BF286" s="542">
        <v>-242</v>
      </c>
      <c r="BG286" s="542">
        <v>-61</v>
      </c>
      <c r="BH286" s="542">
        <v>0</v>
      </c>
      <c r="BI286" s="542">
        <v>0</v>
      </c>
      <c r="BJ286" s="542">
        <v>0</v>
      </c>
      <c r="BK286" s="542">
        <v>0</v>
      </c>
      <c r="BL286" s="542">
        <v>0</v>
      </c>
      <c r="BM286" s="542">
        <v>0</v>
      </c>
      <c r="BN286" s="542">
        <v>0</v>
      </c>
      <c r="BO286" s="542">
        <v>0</v>
      </c>
      <c r="BP286" s="542">
        <v>0</v>
      </c>
      <c r="BQ286" s="542">
        <v>0</v>
      </c>
      <c r="BR286" s="542">
        <v>1245.8870400000001</v>
      </c>
      <c r="BS286" s="542">
        <v>311.47176200000001</v>
      </c>
      <c r="BT286" s="542">
        <v>0</v>
      </c>
      <c r="BU286" s="542">
        <v>12127</v>
      </c>
      <c r="BV286" s="542">
        <v>3032</v>
      </c>
      <c r="BW286" s="542">
        <v>0</v>
      </c>
      <c r="BX286" s="542">
        <v>-10881</v>
      </c>
      <c r="BY286" s="542">
        <v>-2721</v>
      </c>
      <c r="BZ286" s="542">
        <v>0</v>
      </c>
      <c r="CA286" s="542">
        <v>87079.904800000004</v>
      </c>
      <c r="CB286" s="542">
        <v>21769.976200000001</v>
      </c>
      <c r="CC286" s="542">
        <v>0</v>
      </c>
      <c r="CD286" s="542">
        <v>80850</v>
      </c>
      <c r="CE286" s="542">
        <v>20212</v>
      </c>
      <c r="CF286" s="542">
        <v>0</v>
      </c>
      <c r="CG286" s="542">
        <v>6230</v>
      </c>
      <c r="CH286" s="542">
        <v>1558</v>
      </c>
      <c r="CI286" s="542">
        <v>0</v>
      </c>
      <c r="CJ286" s="542">
        <v>859.6</v>
      </c>
      <c r="CK286" s="542">
        <v>214.9</v>
      </c>
      <c r="CL286" s="542">
        <v>0</v>
      </c>
      <c r="CM286" s="542">
        <v>11179.8352</v>
      </c>
      <c r="CN286" s="542">
        <v>2794.9588100000001</v>
      </c>
      <c r="CO286" s="542">
        <v>0</v>
      </c>
      <c r="CP286" s="542">
        <v>12123</v>
      </c>
      <c r="CQ286" s="542">
        <v>3030.7</v>
      </c>
      <c r="CR286" s="542">
        <v>0</v>
      </c>
      <c r="CS286" s="542">
        <v>-84</v>
      </c>
      <c r="CT286" s="542">
        <v>-21</v>
      </c>
      <c r="CU286" s="542">
        <v>0</v>
      </c>
      <c r="CV286" s="542">
        <v>98001.443700000003</v>
      </c>
      <c r="CW286" s="542">
        <v>24500.3609</v>
      </c>
      <c r="CX286" s="542">
        <v>0</v>
      </c>
      <c r="CY286" s="542">
        <v>153207</v>
      </c>
      <c r="CZ286" s="542">
        <v>37972</v>
      </c>
      <c r="DA286" s="542">
        <v>0</v>
      </c>
      <c r="DB286" s="542">
        <v>-55206</v>
      </c>
      <c r="DC286" s="542">
        <v>-13472</v>
      </c>
      <c r="DD286" s="542">
        <v>0</v>
      </c>
      <c r="DE286" s="153" t="s">
        <v>437</v>
      </c>
      <c r="DF286" s="103" t="s">
        <v>794</v>
      </c>
      <c r="DG286" s="104" t="s">
        <v>751</v>
      </c>
      <c r="DH286" s="547"/>
      <c r="DI286" s="547"/>
    </row>
    <row r="287" spans="1:113" x14ac:dyDescent="0.2">
      <c r="A287" s="93">
        <v>281</v>
      </c>
      <c r="B287" s="145" t="s">
        <v>440</v>
      </c>
      <c r="C287" s="141" t="s">
        <v>866</v>
      </c>
      <c r="D287" s="142" t="s">
        <v>867</v>
      </c>
      <c r="E287" s="149" t="s">
        <v>439</v>
      </c>
      <c r="F287" s="542">
        <v>-2420</v>
      </c>
      <c r="G287" s="542">
        <v>0</v>
      </c>
      <c r="H287" s="542">
        <v>-2420</v>
      </c>
      <c r="I287" s="542">
        <v>559491</v>
      </c>
      <c r="J287" s="542">
        <v>0</v>
      </c>
      <c r="K287" s="542">
        <v>559491</v>
      </c>
      <c r="L287" s="542">
        <v>-561911</v>
      </c>
      <c r="M287" s="542">
        <v>0</v>
      </c>
      <c r="N287" s="542">
        <v>-561911</v>
      </c>
      <c r="O287" s="543">
        <v>0.5</v>
      </c>
      <c r="P287" s="543">
        <v>0.4</v>
      </c>
      <c r="Q287" s="543">
        <v>0.09</v>
      </c>
      <c r="R287" s="543">
        <v>0.01</v>
      </c>
      <c r="S287" s="542">
        <v>192561</v>
      </c>
      <c r="T287" s="542">
        <v>192561</v>
      </c>
      <c r="U287" s="542">
        <v>0</v>
      </c>
      <c r="V287" s="542">
        <v>0</v>
      </c>
      <c r="W287" s="542">
        <v>0</v>
      </c>
      <c r="X287" s="542">
        <v>0</v>
      </c>
      <c r="Y287" s="542">
        <v>0</v>
      </c>
      <c r="Z287" s="542">
        <v>0</v>
      </c>
      <c r="AA287" s="542">
        <v>0</v>
      </c>
      <c r="AB287" s="542">
        <v>0</v>
      </c>
      <c r="AC287" s="542">
        <v>0</v>
      </c>
      <c r="AD287" s="542">
        <v>0</v>
      </c>
      <c r="AE287" s="542">
        <v>0</v>
      </c>
      <c r="AF287" s="542">
        <v>0</v>
      </c>
      <c r="AG287" s="542">
        <v>0</v>
      </c>
      <c r="AH287" s="542">
        <v>0</v>
      </c>
      <c r="AI287" s="542">
        <v>0</v>
      </c>
      <c r="AJ287" s="542">
        <v>0</v>
      </c>
      <c r="AK287" s="542">
        <v>0</v>
      </c>
      <c r="AL287" s="542">
        <v>0</v>
      </c>
      <c r="AM287" s="542">
        <v>0</v>
      </c>
      <c r="AN287" s="542">
        <v>0</v>
      </c>
      <c r="AO287" s="542">
        <v>0</v>
      </c>
      <c r="AP287" s="542">
        <v>0</v>
      </c>
      <c r="AQ287" s="542">
        <v>762494.799</v>
      </c>
      <c r="AR287" s="542">
        <v>171561.329</v>
      </c>
      <c r="AS287" s="542">
        <v>19062.369900000002</v>
      </c>
      <c r="AT287" s="542">
        <v>656337</v>
      </c>
      <c r="AU287" s="542">
        <v>147676</v>
      </c>
      <c r="AV287" s="542">
        <v>16408</v>
      </c>
      <c r="AW287" s="542">
        <v>106158</v>
      </c>
      <c r="AX287" s="542">
        <v>23885</v>
      </c>
      <c r="AY287" s="542">
        <v>2654</v>
      </c>
      <c r="AZ287" s="542">
        <v>9561.2331200000008</v>
      </c>
      <c r="BA287" s="542">
        <v>2151.27745</v>
      </c>
      <c r="BB287" s="542">
        <v>239.03082800000001</v>
      </c>
      <c r="BC287" s="542">
        <v>4455</v>
      </c>
      <c r="BD287" s="542">
        <v>1002</v>
      </c>
      <c r="BE287" s="542">
        <v>111</v>
      </c>
      <c r="BF287" s="542">
        <v>5106</v>
      </c>
      <c r="BG287" s="542">
        <v>1149</v>
      </c>
      <c r="BH287" s="542">
        <v>128</v>
      </c>
      <c r="BI287" s="542">
        <v>7474.5137999999997</v>
      </c>
      <c r="BJ287" s="542">
        <v>1681.7655999999999</v>
      </c>
      <c r="BK287" s="542">
        <v>186.86284499999999</v>
      </c>
      <c r="BL287" s="542">
        <v>0</v>
      </c>
      <c r="BM287" s="542">
        <v>0</v>
      </c>
      <c r="BN287" s="542">
        <v>0</v>
      </c>
      <c r="BO287" s="542">
        <v>7475</v>
      </c>
      <c r="BP287" s="542">
        <v>1682</v>
      </c>
      <c r="BQ287" s="542">
        <v>187</v>
      </c>
      <c r="BR287" s="542">
        <v>982.72271699999999</v>
      </c>
      <c r="BS287" s="542">
        <v>221.11261099999999</v>
      </c>
      <c r="BT287" s="542">
        <v>24.568067899999999</v>
      </c>
      <c r="BU287" s="542">
        <v>97019.108200000002</v>
      </c>
      <c r="BV287" s="542">
        <v>21829.299299999999</v>
      </c>
      <c r="BW287" s="542">
        <v>2425.4776999999999</v>
      </c>
      <c r="BX287" s="542">
        <v>-96036</v>
      </c>
      <c r="BY287" s="542">
        <v>-21608</v>
      </c>
      <c r="BZ287" s="542">
        <v>-2401</v>
      </c>
      <c r="CA287" s="542">
        <v>251096.77100000001</v>
      </c>
      <c r="CB287" s="542">
        <v>56496.773500000003</v>
      </c>
      <c r="CC287" s="542">
        <v>6277.4192700000003</v>
      </c>
      <c r="CD287" s="542">
        <v>319216.31199999998</v>
      </c>
      <c r="CE287" s="542">
        <v>71823.670299999998</v>
      </c>
      <c r="CF287" s="542">
        <v>7980.4078099999997</v>
      </c>
      <c r="CG287" s="542">
        <v>-68120</v>
      </c>
      <c r="CH287" s="542">
        <v>-15327</v>
      </c>
      <c r="CI287" s="542">
        <v>-1703</v>
      </c>
      <c r="CJ287" s="542">
        <v>0</v>
      </c>
      <c r="CK287" s="542">
        <v>0</v>
      </c>
      <c r="CL287" s="542">
        <v>0</v>
      </c>
      <c r="CM287" s="542">
        <v>0</v>
      </c>
      <c r="CN287" s="542">
        <v>0</v>
      </c>
      <c r="CO287" s="542">
        <v>0</v>
      </c>
      <c r="CP287" s="542">
        <v>0</v>
      </c>
      <c r="CQ287" s="542">
        <v>0</v>
      </c>
      <c r="CR287" s="542">
        <v>0</v>
      </c>
      <c r="CS287" s="542">
        <v>0</v>
      </c>
      <c r="CT287" s="542">
        <v>0</v>
      </c>
      <c r="CU287" s="542">
        <v>0</v>
      </c>
      <c r="CV287" s="542">
        <v>110105.129</v>
      </c>
      <c r="CW287" s="542">
        <v>24773.6541</v>
      </c>
      <c r="CX287" s="542">
        <v>2752.6282299999998</v>
      </c>
      <c r="CY287" s="542">
        <v>137793</v>
      </c>
      <c r="CZ287" s="542">
        <v>30543</v>
      </c>
      <c r="DA287" s="542">
        <v>3394</v>
      </c>
      <c r="DB287" s="542">
        <v>-27688</v>
      </c>
      <c r="DC287" s="542">
        <v>-5769</v>
      </c>
      <c r="DD287" s="542">
        <v>-641</v>
      </c>
      <c r="DE287" s="153" t="s">
        <v>439</v>
      </c>
      <c r="DF287" s="103" t="s">
        <v>757</v>
      </c>
      <c r="DG287" s="104" t="s">
        <v>758</v>
      </c>
      <c r="DH287" s="547"/>
      <c r="DI287" s="547"/>
    </row>
    <row r="288" spans="1:113" x14ac:dyDescent="0.2">
      <c r="A288" s="93">
        <v>282</v>
      </c>
      <c r="B288" s="145" t="s">
        <v>442</v>
      </c>
      <c r="C288" s="141" t="s">
        <v>866</v>
      </c>
      <c r="D288" s="142" t="s">
        <v>870</v>
      </c>
      <c r="E288" s="149" t="s">
        <v>441</v>
      </c>
      <c r="F288" s="542">
        <v>-418212</v>
      </c>
      <c r="G288" s="542">
        <v>0</v>
      </c>
      <c r="H288" s="542">
        <v>-418212</v>
      </c>
      <c r="I288" s="542">
        <v>-226128</v>
      </c>
      <c r="J288" s="542">
        <v>0</v>
      </c>
      <c r="K288" s="542">
        <v>-226128</v>
      </c>
      <c r="L288" s="542">
        <v>-192084</v>
      </c>
      <c r="M288" s="542">
        <v>0</v>
      </c>
      <c r="N288" s="542">
        <v>-192084</v>
      </c>
      <c r="O288" s="543">
        <v>0.5</v>
      </c>
      <c r="P288" s="543">
        <v>0.4</v>
      </c>
      <c r="Q288" s="543">
        <v>0.1</v>
      </c>
      <c r="R288" s="543">
        <v>0</v>
      </c>
      <c r="S288" s="542">
        <v>95561</v>
      </c>
      <c r="T288" s="542">
        <v>95561</v>
      </c>
      <c r="U288" s="542">
        <v>0</v>
      </c>
      <c r="V288" s="542">
        <v>0</v>
      </c>
      <c r="W288" s="542">
        <v>0</v>
      </c>
      <c r="X288" s="542">
        <v>0</v>
      </c>
      <c r="Y288" s="542">
        <v>0</v>
      </c>
      <c r="Z288" s="542">
        <v>0</v>
      </c>
      <c r="AA288" s="542">
        <v>0</v>
      </c>
      <c r="AB288" s="542">
        <v>0</v>
      </c>
      <c r="AC288" s="542">
        <v>0</v>
      </c>
      <c r="AD288" s="542">
        <v>0</v>
      </c>
      <c r="AE288" s="542">
        <v>0</v>
      </c>
      <c r="AF288" s="542">
        <v>0</v>
      </c>
      <c r="AG288" s="542">
        <v>0</v>
      </c>
      <c r="AH288" s="542">
        <v>0</v>
      </c>
      <c r="AI288" s="542">
        <v>0</v>
      </c>
      <c r="AJ288" s="542">
        <v>0</v>
      </c>
      <c r="AK288" s="542">
        <v>0</v>
      </c>
      <c r="AL288" s="542">
        <v>0</v>
      </c>
      <c r="AM288" s="542">
        <v>0</v>
      </c>
      <c r="AN288" s="542">
        <v>0</v>
      </c>
      <c r="AO288" s="542">
        <v>0</v>
      </c>
      <c r="AP288" s="542">
        <v>0</v>
      </c>
      <c r="AQ288" s="542">
        <v>192800.41399999999</v>
      </c>
      <c r="AR288" s="542">
        <v>48200.103600000002</v>
      </c>
      <c r="AS288" s="542">
        <v>0</v>
      </c>
      <c r="AT288" s="542">
        <v>181911</v>
      </c>
      <c r="AU288" s="542">
        <v>45478</v>
      </c>
      <c r="AV288" s="542">
        <v>0</v>
      </c>
      <c r="AW288" s="542">
        <v>10889</v>
      </c>
      <c r="AX288" s="542">
        <v>2722</v>
      </c>
      <c r="AY288" s="542">
        <v>0</v>
      </c>
      <c r="AZ288" s="542">
        <v>0</v>
      </c>
      <c r="BA288" s="542">
        <v>0</v>
      </c>
      <c r="BB288" s="542">
        <v>0</v>
      </c>
      <c r="BC288" s="542">
        <v>0</v>
      </c>
      <c r="BD288" s="542">
        <v>0</v>
      </c>
      <c r="BE288" s="542">
        <v>0</v>
      </c>
      <c r="BF288" s="542">
        <v>0</v>
      </c>
      <c r="BG288" s="542">
        <v>0</v>
      </c>
      <c r="BH288" s="542">
        <v>0</v>
      </c>
      <c r="BI288" s="542">
        <v>0</v>
      </c>
      <c r="BJ288" s="542">
        <v>0</v>
      </c>
      <c r="BK288" s="542">
        <v>0</v>
      </c>
      <c r="BL288" s="542">
        <v>0</v>
      </c>
      <c r="BM288" s="542">
        <v>0</v>
      </c>
      <c r="BN288" s="542">
        <v>0</v>
      </c>
      <c r="BO288" s="542">
        <v>0</v>
      </c>
      <c r="BP288" s="542">
        <v>0</v>
      </c>
      <c r="BQ288" s="542">
        <v>0</v>
      </c>
      <c r="BR288" s="542">
        <v>0</v>
      </c>
      <c r="BS288" s="542">
        <v>0</v>
      </c>
      <c r="BT288" s="542">
        <v>0</v>
      </c>
      <c r="BU288" s="542">
        <v>2856</v>
      </c>
      <c r="BV288" s="542">
        <v>714</v>
      </c>
      <c r="BW288" s="542">
        <v>0</v>
      </c>
      <c r="BX288" s="542">
        <v>-2856</v>
      </c>
      <c r="BY288" s="542">
        <v>-714</v>
      </c>
      <c r="BZ288" s="542">
        <v>0</v>
      </c>
      <c r="CA288" s="542">
        <v>154156.89499999999</v>
      </c>
      <c r="CB288" s="542">
        <v>38539.223700000002</v>
      </c>
      <c r="CC288" s="542">
        <v>0</v>
      </c>
      <c r="CD288" s="542">
        <v>212230</v>
      </c>
      <c r="CE288" s="542">
        <v>53057</v>
      </c>
      <c r="CF288" s="542">
        <v>0</v>
      </c>
      <c r="CG288" s="542">
        <v>-58073</v>
      </c>
      <c r="CH288" s="542">
        <v>-14518</v>
      </c>
      <c r="CI288" s="542">
        <v>0</v>
      </c>
      <c r="CJ288" s="542">
        <v>0</v>
      </c>
      <c r="CK288" s="542">
        <v>0</v>
      </c>
      <c r="CL288" s="542">
        <v>0</v>
      </c>
      <c r="CM288" s="542">
        <v>0</v>
      </c>
      <c r="CN288" s="542">
        <v>0</v>
      </c>
      <c r="CO288" s="542">
        <v>0</v>
      </c>
      <c r="CP288" s="542">
        <v>0</v>
      </c>
      <c r="CQ288" s="542">
        <v>0</v>
      </c>
      <c r="CR288" s="542">
        <v>0</v>
      </c>
      <c r="CS288" s="542">
        <v>0</v>
      </c>
      <c r="CT288" s="542">
        <v>0</v>
      </c>
      <c r="CU288" s="542">
        <v>0</v>
      </c>
      <c r="CV288" s="542">
        <v>91450.165599999993</v>
      </c>
      <c r="CW288" s="542">
        <v>22862.541399999998</v>
      </c>
      <c r="CX288" s="542">
        <v>0</v>
      </c>
      <c r="CY288" s="542">
        <v>115814</v>
      </c>
      <c r="CZ288" s="542">
        <v>28700</v>
      </c>
      <c r="DA288" s="542">
        <v>0</v>
      </c>
      <c r="DB288" s="542">
        <v>-24364</v>
      </c>
      <c r="DC288" s="542">
        <v>-5837</v>
      </c>
      <c r="DD288" s="542">
        <v>0</v>
      </c>
      <c r="DE288" s="153" t="s">
        <v>441</v>
      </c>
      <c r="DF288" s="103" t="s">
        <v>788</v>
      </c>
      <c r="DG288" s="104" t="s">
        <v>751</v>
      </c>
      <c r="DH288" s="547"/>
      <c r="DI288" s="547"/>
    </row>
    <row r="289" spans="1:113" x14ac:dyDescent="0.2">
      <c r="A289" s="93">
        <v>283</v>
      </c>
      <c r="B289" s="145" t="s">
        <v>444</v>
      </c>
      <c r="C289" s="141" t="s">
        <v>770</v>
      </c>
      <c r="D289" s="142" t="s">
        <v>870</v>
      </c>
      <c r="E289" s="149" t="s">
        <v>731</v>
      </c>
      <c r="F289" s="542">
        <v>589129</v>
      </c>
      <c r="G289" s="542">
        <v>0</v>
      </c>
      <c r="H289" s="542">
        <v>589129</v>
      </c>
      <c r="I289" s="542">
        <v>708274</v>
      </c>
      <c r="J289" s="542">
        <v>0</v>
      </c>
      <c r="K289" s="542">
        <v>708274</v>
      </c>
      <c r="L289" s="542">
        <v>-119145</v>
      </c>
      <c r="M289" s="542">
        <v>0</v>
      </c>
      <c r="N289" s="542">
        <v>-119145</v>
      </c>
      <c r="O289" s="543">
        <v>0.5</v>
      </c>
      <c r="P289" s="543">
        <v>0.49</v>
      </c>
      <c r="Q289" s="543">
        <v>0</v>
      </c>
      <c r="R289" s="543">
        <v>0.01</v>
      </c>
      <c r="S289" s="542">
        <v>224944</v>
      </c>
      <c r="T289" s="542">
        <v>224944</v>
      </c>
      <c r="U289" s="542">
        <v>0</v>
      </c>
      <c r="V289" s="542">
        <v>0</v>
      </c>
      <c r="W289" s="542">
        <v>0</v>
      </c>
      <c r="X289" s="542">
        <v>0</v>
      </c>
      <c r="Y289" s="542">
        <v>0</v>
      </c>
      <c r="Z289" s="542">
        <v>0</v>
      </c>
      <c r="AA289" s="542">
        <v>0</v>
      </c>
      <c r="AB289" s="542">
        <v>0</v>
      </c>
      <c r="AC289" s="542">
        <v>0</v>
      </c>
      <c r="AD289" s="542">
        <v>0</v>
      </c>
      <c r="AE289" s="542">
        <v>0</v>
      </c>
      <c r="AF289" s="542">
        <v>0</v>
      </c>
      <c r="AG289" s="542">
        <v>0</v>
      </c>
      <c r="AH289" s="542">
        <v>0</v>
      </c>
      <c r="AI289" s="542">
        <v>0</v>
      </c>
      <c r="AJ289" s="542">
        <v>0</v>
      </c>
      <c r="AK289" s="542">
        <v>0</v>
      </c>
      <c r="AL289" s="542">
        <v>0</v>
      </c>
      <c r="AM289" s="542">
        <v>0</v>
      </c>
      <c r="AN289" s="542">
        <v>0</v>
      </c>
      <c r="AO289" s="542">
        <v>0</v>
      </c>
      <c r="AP289" s="542">
        <v>0</v>
      </c>
      <c r="AQ289" s="542">
        <v>523110.77</v>
      </c>
      <c r="AR289" s="542">
        <v>0</v>
      </c>
      <c r="AS289" s="542">
        <v>10675.73</v>
      </c>
      <c r="AT289" s="542">
        <v>434540</v>
      </c>
      <c r="AU289" s="542">
        <v>0</v>
      </c>
      <c r="AV289" s="542">
        <v>8868</v>
      </c>
      <c r="AW289" s="542">
        <v>88571</v>
      </c>
      <c r="AX289" s="542">
        <v>0</v>
      </c>
      <c r="AY289" s="542">
        <v>1808</v>
      </c>
      <c r="AZ289" s="542">
        <v>1452.92</v>
      </c>
      <c r="BA289" s="542">
        <v>0</v>
      </c>
      <c r="BB289" s="542">
        <v>29.65</v>
      </c>
      <c r="BC289" s="542">
        <v>96564</v>
      </c>
      <c r="BD289" s="542">
        <v>0</v>
      </c>
      <c r="BE289" s="542">
        <v>1971</v>
      </c>
      <c r="BF289" s="542">
        <v>-95111</v>
      </c>
      <c r="BG289" s="542">
        <v>0</v>
      </c>
      <c r="BH289" s="542">
        <v>-1941</v>
      </c>
      <c r="BI289" s="542">
        <v>0</v>
      </c>
      <c r="BJ289" s="542">
        <v>0</v>
      </c>
      <c r="BK289" s="542">
        <v>0</v>
      </c>
      <c r="BL289" s="542">
        <v>35382</v>
      </c>
      <c r="BM289" s="542">
        <v>0</v>
      </c>
      <c r="BN289" s="542">
        <v>722</v>
      </c>
      <c r="BO289" s="542">
        <v>-35382</v>
      </c>
      <c r="BP289" s="542">
        <v>0</v>
      </c>
      <c r="BQ289" s="542">
        <v>-722</v>
      </c>
      <c r="BR289" s="542">
        <v>533.33000000000004</v>
      </c>
      <c r="BS289" s="542">
        <v>0</v>
      </c>
      <c r="BT289" s="542">
        <v>10.88</v>
      </c>
      <c r="BU289" s="542">
        <v>11571</v>
      </c>
      <c r="BV289" s="542">
        <v>0</v>
      </c>
      <c r="BW289" s="542">
        <v>236</v>
      </c>
      <c r="BX289" s="542">
        <v>-11038</v>
      </c>
      <c r="BY289" s="542">
        <v>0</v>
      </c>
      <c r="BZ289" s="542">
        <v>-225</v>
      </c>
      <c r="CA289" s="542">
        <v>123946.51</v>
      </c>
      <c r="CB289" s="542">
        <v>0</v>
      </c>
      <c r="CC289" s="542">
        <v>2529.52</v>
      </c>
      <c r="CD289" s="542">
        <v>221949</v>
      </c>
      <c r="CE289" s="542">
        <v>0</v>
      </c>
      <c r="CF289" s="542">
        <v>4530</v>
      </c>
      <c r="CG289" s="542">
        <v>-98002</v>
      </c>
      <c r="CH289" s="542">
        <v>0</v>
      </c>
      <c r="CI289" s="542">
        <v>-2000</v>
      </c>
      <c r="CJ289" s="542">
        <v>5519.36</v>
      </c>
      <c r="CK289" s="542">
        <v>0</v>
      </c>
      <c r="CL289" s="542">
        <v>112.64</v>
      </c>
      <c r="CM289" s="542">
        <v>0</v>
      </c>
      <c r="CN289" s="542">
        <v>0</v>
      </c>
      <c r="CO289" s="542">
        <v>0</v>
      </c>
      <c r="CP289" s="542">
        <v>0</v>
      </c>
      <c r="CQ289" s="542">
        <v>0</v>
      </c>
      <c r="CR289" s="542">
        <v>0</v>
      </c>
      <c r="CS289" s="542">
        <v>5519</v>
      </c>
      <c r="CT289" s="542">
        <v>0</v>
      </c>
      <c r="CU289" s="542">
        <v>113</v>
      </c>
      <c r="CV289" s="542">
        <v>531616.21</v>
      </c>
      <c r="CW289" s="542">
        <v>0</v>
      </c>
      <c r="CX289" s="542">
        <v>10849.31</v>
      </c>
      <c r="CY289" s="542">
        <v>564523</v>
      </c>
      <c r="CZ289" s="542">
        <v>0</v>
      </c>
      <c r="DA289" s="542">
        <v>11472</v>
      </c>
      <c r="DB289" s="542">
        <v>-32907</v>
      </c>
      <c r="DC289" s="542">
        <v>0</v>
      </c>
      <c r="DD289" s="542">
        <v>-623</v>
      </c>
      <c r="DE289" s="153" t="s">
        <v>731</v>
      </c>
      <c r="DF289" s="103" t="s">
        <v>770</v>
      </c>
      <c r="DG289" s="104" t="s">
        <v>766</v>
      </c>
      <c r="DH289" s="547"/>
      <c r="DI289" s="547"/>
    </row>
    <row r="290" spans="1:113" x14ac:dyDescent="0.2">
      <c r="A290" s="93">
        <v>284</v>
      </c>
      <c r="B290" s="145" t="s">
        <v>446</v>
      </c>
      <c r="C290" s="141" t="s">
        <v>866</v>
      </c>
      <c r="D290" s="142" t="s">
        <v>867</v>
      </c>
      <c r="E290" s="149" t="s">
        <v>732</v>
      </c>
      <c r="F290" s="542">
        <v>-12601</v>
      </c>
      <c r="G290" s="542">
        <v>0</v>
      </c>
      <c r="H290" s="542">
        <v>-12601</v>
      </c>
      <c r="I290" s="542">
        <v>90620</v>
      </c>
      <c r="J290" s="542">
        <v>0</v>
      </c>
      <c r="K290" s="542">
        <v>90620</v>
      </c>
      <c r="L290" s="542">
        <v>-103221</v>
      </c>
      <c r="M290" s="542">
        <v>0</v>
      </c>
      <c r="N290" s="542">
        <v>-103221</v>
      </c>
      <c r="O290" s="543">
        <v>0.5</v>
      </c>
      <c r="P290" s="543">
        <v>0.4</v>
      </c>
      <c r="Q290" s="543">
        <v>0.09</v>
      </c>
      <c r="R290" s="543">
        <v>0.01</v>
      </c>
      <c r="S290" s="542">
        <v>167622</v>
      </c>
      <c r="T290" s="542">
        <v>167622</v>
      </c>
      <c r="U290" s="542">
        <v>0</v>
      </c>
      <c r="V290" s="542">
        <v>0</v>
      </c>
      <c r="W290" s="542">
        <v>0</v>
      </c>
      <c r="X290" s="542">
        <v>0</v>
      </c>
      <c r="Y290" s="542">
        <v>0</v>
      </c>
      <c r="Z290" s="542">
        <v>0</v>
      </c>
      <c r="AA290" s="542">
        <v>0</v>
      </c>
      <c r="AB290" s="542">
        <v>0</v>
      </c>
      <c r="AC290" s="542">
        <v>0</v>
      </c>
      <c r="AD290" s="542">
        <v>0</v>
      </c>
      <c r="AE290" s="542">
        <v>0</v>
      </c>
      <c r="AF290" s="542">
        <v>0</v>
      </c>
      <c r="AG290" s="542">
        <v>0</v>
      </c>
      <c r="AH290" s="542">
        <v>0</v>
      </c>
      <c r="AI290" s="542">
        <v>0</v>
      </c>
      <c r="AJ290" s="542">
        <v>0</v>
      </c>
      <c r="AK290" s="542">
        <v>0</v>
      </c>
      <c r="AL290" s="542">
        <v>0</v>
      </c>
      <c r="AM290" s="542">
        <v>0</v>
      </c>
      <c r="AN290" s="542">
        <v>0</v>
      </c>
      <c r="AO290" s="542">
        <v>0</v>
      </c>
      <c r="AP290" s="542">
        <v>0</v>
      </c>
      <c r="AQ290" s="542">
        <v>357193.027</v>
      </c>
      <c r="AR290" s="542">
        <v>80368.431200000006</v>
      </c>
      <c r="AS290" s="542">
        <v>8929.8256899999997</v>
      </c>
      <c r="AT290" s="542">
        <v>318973</v>
      </c>
      <c r="AU290" s="542">
        <v>71769</v>
      </c>
      <c r="AV290" s="542">
        <v>7974</v>
      </c>
      <c r="AW290" s="542">
        <v>38220</v>
      </c>
      <c r="AX290" s="542">
        <v>8599</v>
      </c>
      <c r="AY290" s="542">
        <v>956</v>
      </c>
      <c r="AZ290" s="542">
        <v>0</v>
      </c>
      <c r="BA290" s="542">
        <v>0</v>
      </c>
      <c r="BB290" s="542">
        <v>0</v>
      </c>
      <c r="BC290" s="542">
        <v>0</v>
      </c>
      <c r="BD290" s="542">
        <v>0</v>
      </c>
      <c r="BE290" s="542">
        <v>0</v>
      </c>
      <c r="BF290" s="542">
        <v>0</v>
      </c>
      <c r="BG290" s="542">
        <v>0</v>
      </c>
      <c r="BH290" s="542">
        <v>0</v>
      </c>
      <c r="BI290" s="542">
        <v>10212.4738</v>
      </c>
      <c r="BJ290" s="542">
        <v>2297.8066199999998</v>
      </c>
      <c r="BK290" s="542">
        <v>255.311847</v>
      </c>
      <c r="BL290" s="542">
        <v>0</v>
      </c>
      <c r="BM290" s="542">
        <v>0</v>
      </c>
      <c r="BN290" s="542">
        <v>0</v>
      </c>
      <c r="BO290" s="542">
        <v>10212</v>
      </c>
      <c r="BP290" s="542">
        <v>2298</v>
      </c>
      <c r="BQ290" s="542">
        <v>255</v>
      </c>
      <c r="BR290" s="542">
        <v>1495.307</v>
      </c>
      <c r="BS290" s="542">
        <v>336.444076</v>
      </c>
      <c r="BT290" s="542">
        <v>37.3826751</v>
      </c>
      <c r="BU290" s="542">
        <v>124104</v>
      </c>
      <c r="BV290" s="542">
        <v>27923</v>
      </c>
      <c r="BW290" s="542">
        <v>3103</v>
      </c>
      <c r="BX290" s="542">
        <v>-122609</v>
      </c>
      <c r="BY290" s="542">
        <v>-27587</v>
      </c>
      <c r="BZ290" s="542">
        <v>-3066</v>
      </c>
      <c r="CA290" s="542">
        <v>177189.231</v>
      </c>
      <c r="CB290" s="542">
        <v>39867.576999999997</v>
      </c>
      <c r="CC290" s="542">
        <v>4429.7307799999999</v>
      </c>
      <c r="CD290" s="542">
        <v>303508</v>
      </c>
      <c r="CE290" s="542">
        <v>68289</v>
      </c>
      <c r="CF290" s="542">
        <v>7588</v>
      </c>
      <c r="CG290" s="542">
        <v>-126319</v>
      </c>
      <c r="CH290" s="542">
        <v>-28421</v>
      </c>
      <c r="CI290" s="542">
        <v>-3158</v>
      </c>
      <c r="CJ290" s="542">
        <v>109401.2</v>
      </c>
      <c r="CK290" s="542">
        <v>24615.27</v>
      </c>
      <c r="CL290" s="542">
        <v>2735.03</v>
      </c>
      <c r="CM290" s="542">
        <v>44030.505299999997</v>
      </c>
      <c r="CN290" s="542">
        <v>9906.8636900000001</v>
      </c>
      <c r="CO290" s="542">
        <v>1100.7626299999999</v>
      </c>
      <c r="CP290" s="542">
        <v>119146</v>
      </c>
      <c r="CQ290" s="542">
        <v>26807.94</v>
      </c>
      <c r="CR290" s="542">
        <v>2978.66</v>
      </c>
      <c r="CS290" s="542">
        <v>34286</v>
      </c>
      <c r="CT290" s="542">
        <v>7714</v>
      </c>
      <c r="CU290" s="542">
        <v>857</v>
      </c>
      <c r="CV290" s="542">
        <v>210249.375</v>
      </c>
      <c r="CW290" s="542">
        <v>47306.109499999999</v>
      </c>
      <c r="CX290" s="542">
        <v>5256.2343899999996</v>
      </c>
      <c r="CY290" s="542">
        <v>226889</v>
      </c>
      <c r="CZ290" s="542">
        <v>50650</v>
      </c>
      <c r="DA290" s="542">
        <v>5628</v>
      </c>
      <c r="DB290" s="542">
        <v>-16640</v>
      </c>
      <c r="DC290" s="542">
        <v>-3344</v>
      </c>
      <c r="DD290" s="542">
        <v>-372</v>
      </c>
      <c r="DE290" s="153" t="s">
        <v>732</v>
      </c>
      <c r="DF290" s="103" t="s">
        <v>757</v>
      </c>
      <c r="DG290" s="104" t="s">
        <v>758</v>
      </c>
      <c r="DH290" s="547"/>
      <c r="DI290" s="547"/>
    </row>
    <row r="291" spans="1:113" x14ac:dyDescent="0.2">
      <c r="A291" s="93">
        <v>285</v>
      </c>
      <c r="B291" s="145" t="s">
        <v>448</v>
      </c>
      <c r="C291" s="141" t="s">
        <v>770</v>
      </c>
      <c r="D291" s="142" t="s">
        <v>875</v>
      </c>
      <c r="E291" s="149" t="s">
        <v>733</v>
      </c>
      <c r="F291" s="542">
        <v>-171800</v>
      </c>
      <c r="G291" s="542">
        <v>0</v>
      </c>
      <c r="H291" s="542">
        <v>-171800</v>
      </c>
      <c r="I291" s="542">
        <v>56123</v>
      </c>
      <c r="J291" s="542">
        <v>0</v>
      </c>
      <c r="K291" s="542">
        <v>56123</v>
      </c>
      <c r="L291" s="542">
        <v>-227923</v>
      </c>
      <c r="M291" s="542">
        <v>0</v>
      </c>
      <c r="N291" s="542">
        <v>-227923</v>
      </c>
      <c r="O291" s="543">
        <v>0.5</v>
      </c>
      <c r="P291" s="543">
        <v>0.49</v>
      </c>
      <c r="Q291" s="543">
        <v>0</v>
      </c>
      <c r="R291" s="543">
        <v>0.01</v>
      </c>
      <c r="S291" s="542">
        <v>205044</v>
      </c>
      <c r="T291" s="542">
        <v>205044</v>
      </c>
      <c r="U291" s="542">
        <v>0</v>
      </c>
      <c r="V291" s="542">
        <v>0</v>
      </c>
      <c r="W291" s="542">
        <v>0</v>
      </c>
      <c r="X291" s="542">
        <v>0</v>
      </c>
      <c r="Y291" s="542">
        <v>0</v>
      </c>
      <c r="Z291" s="542">
        <v>0</v>
      </c>
      <c r="AA291" s="542">
        <v>0</v>
      </c>
      <c r="AB291" s="542">
        <v>0</v>
      </c>
      <c r="AC291" s="542">
        <v>0</v>
      </c>
      <c r="AD291" s="542">
        <v>0</v>
      </c>
      <c r="AE291" s="542">
        <v>0</v>
      </c>
      <c r="AF291" s="542">
        <v>0</v>
      </c>
      <c r="AG291" s="542">
        <v>0</v>
      </c>
      <c r="AH291" s="542">
        <v>0</v>
      </c>
      <c r="AI291" s="542">
        <v>0</v>
      </c>
      <c r="AJ291" s="542">
        <v>0</v>
      </c>
      <c r="AK291" s="542">
        <v>0</v>
      </c>
      <c r="AL291" s="542">
        <v>0</v>
      </c>
      <c r="AM291" s="542">
        <v>0</v>
      </c>
      <c r="AN291" s="542">
        <v>0</v>
      </c>
      <c r="AO291" s="542">
        <v>0</v>
      </c>
      <c r="AP291" s="542">
        <v>0</v>
      </c>
      <c r="AQ291" s="542">
        <v>1035036.92</v>
      </c>
      <c r="AR291" s="542">
        <v>0</v>
      </c>
      <c r="AS291" s="542">
        <v>21123.200000000001</v>
      </c>
      <c r="AT291" s="542">
        <v>930935</v>
      </c>
      <c r="AU291" s="542">
        <v>0</v>
      </c>
      <c r="AV291" s="542">
        <v>18999</v>
      </c>
      <c r="AW291" s="542">
        <v>104102</v>
      </c>
      <c r="AX291" s="542">
        <v>0</v>
      </c>
      <c r="AY291" s="542">
        <v>2124</v>
      </c>
      <c r="AZ291" s="542">
        <v>0</v>
      </c>
      <c r="BA291" s="542">
        <v>0</v>
      </c>
      <c r="BB291" s="542">
        <v>0</v>
      </c>
      <c r="BC291" s="542">
        <v>98050</v>
      </c>
      <c r="BD291" s="542">
        <v>0</v>
      </c>
      <c r="BE291" s="542">
        <v>2001</v>
      </c>
      <c r="BF291" s="542">
        <v>-98050</v>
      </c>
      <c r="BG291" s="542">
        <v>0</v>
      </c>
      <c r="BH291" s="542">
        <v>-2001</v>
      </c>
      <c r="BI291" s="542">
        <v>11787.29</v>
      </c>
      <c r="BJ291" s="542">
        <v>0</v>
      </c>
      <c r="BK291" s="542">
        <v>240.56</v>
      </c>
      <c r="BL291" s="542">
        <v>24760</v>
      </c>
      <c r="BM291" s="542">
        <v>0</v>
      </c>
      <c r="BN291" s="542">
        <v>505</v>
      </c>
      <c r="BO291" s="542">
        <v>-12973</v>
      </c>
      <c r="BP291" s="542">
        <v>0</v>
      </c>
      <c r="BQ291" s="542">
        <v>-264</v>
      </c>
      <c r="BR291" s="542">
        <v>140.63999999999999</v>
      </c>
      <c r="BS291" s="542">
        <v>0</v>
      </c>
      <c r="BT291" s="542">
        <v>2.87</v>
      </c>
      <c r="BU291" s="542">
        <v>99041</v>
      </c>
      <c r="BV291" s="542">
        <v>0</v>
      </c>
      <c r="BW291" s="542">
        <v>2021</v>
      </c>
      <c r="BX291" s="542">
        <v>-98900</v>
      </c>
      <c r="BY291" s="542">
        <v>0</v>
      </c>
      <c r="BZ291" s="542">
        <v>-2018</v>
      </c>
      <c r="CA291" s="542">
        <v>261823.04</v>
      </c>
      <c r="CB291" s="542">
        <v>0</v>
      </c>
      <c r="CC291" s="542">
        <v>5343.33</v>
      </c>
      <c r="CD291" s="542">
        <v>247601</v>
      </c>
      <c r="CE291" s="542">
        <v>0</v>
      </c>
      <c r="CF291" s="542">
        <v>5053</v>
      </c>
      <c r="CG291" s="542">
        <v>14222</v>
      </c>
      <c r="CH291" s="542">
        <v>0</v>
      </c>
      <c r="CI291" s="542">
        <v>290</v>
      </c>
      <c r="CJ291" s="542">
        <v>0</v>
      </c>
      <c r="CK291" s="542">
        <v>0</v>
      </c>
      <c r="CL291" s="542">
        <v>0</v>
      </c>
      <c r="CM291" s="542">
        <v>9250.3700000000008</v>
      </c>
      <c r="CN291" s="542">
        <v>0</v>
      </c>
      <c r="CO291" s="542">
        <v>188.78</v>
      </c>
      <c r="CP291" s="542">
        <v>11566</v>
      </c>
      <c r="CQ291" s="542">
        <v>0</v>
      </c>
      <c r="CR291" s="542">
        <v>236.04</v>
      </c>
      <c r="CS291" s="542">
        <v>-2316</v>
      </c>
      <c r="CT291" s="542">
        <v>0</v>
      </c>
      <c r="CU291" s="542">
        <v>-47</v>
      </c>
      <c r="CV291" s="542">
        <v>183041.05</v>
      </c>
      <c r="CW291" s="542">
        <v>0</v>
      </c>
      <c r="CX291" s="542">
        <v>3735.53</v>
      </c>
      <c r="CY291" s="542">
        <v>184484</v>
      </c>
      <c r="CZ291" s="542">
        <v>0</v>
      </c>
      <c r="DA291" s="542">
        <v>3721</v>
      </c>
      <c r="DB291" s="542">
        <v>-1443</v>
      </c>
      <c r="DC291" s="542">
        <v>0</v>
      </c>
      <c r="DD291" s="542">
        <v>15</v>
      </c>
      <c r="DE291" s="153" t="s">
        <v>733</v>
      </c>
      <c r="DF291" s="103" t="s">
        <v>770</v>
      </c>
      <c r="DG291" s="104" t="s">
        <v>804</v>
      </c>
      <c r="DH291" s="547"/>
      <c r="DI291" s="547"/>
    </row>
    <row r="292" spans="1:113" x14ac:dyDescent="0.2">
      <c r="A292" s="93">
        <v>286</v>
      </c>
      <c r="B292" s="145" t="s">
        <v>450</v>
      </c>
      <c r="C292" s="141" t="s">
        <v>866</v>
      </c>
      <c r="D292" s="142" t="s">
        <v>875</v>
      </c>
      <c r="E292" s="149" t="s">
        <v>449</v>
      </c>
      <c r="F292" s="542">
        <v>88715</v>
      </c>
      <c r="G292" s="542">
        <v>0</v>
      </c>
      <c r="H292" s="542">
        <v>88715</v>
      </c>
      <c r="I292" s="542">
        <v>151711</v>
      </c>
      <c r="J292" s="542">
        <v>0</v>
      </c>
      <c r="K292" s="542">
        <v>151711</v>
      </c>
      <c r="L292" s="542">
        <v>-62996</v>
      </c>
      <c r="M292" s="542">
        <v>0</v>
      </c>
      <c r="N292" s="542">
        <v>-62996</v>
      </c>
      <c r="O292" s="543">
        <v>0.5</v>
      </c>
      <c r="P292" s="543">
        <v>0.4</v>
      </c>
      <c r="Q292" s="543">
        <v>0.09</v>
      </c>
      <c r="R292" s="543">
        <v>0.01</v>
      </c>
      <c r="S292" s="542">
        <v>124189</v>
      </c>
      <c r="T292" s="542">
        <v>124189</v>
      </c>
      <c r="U292" s="542">
        <v>0</v>
      </c>
      <c r="V292" s="542">
        <v>0</v>
      </c>
      <c r="W292" s="542">
        <v>0</v>
      </c>
      <c r="X292" s="542">
        <v>0</v>
      </c>
      <c r="Y292" s="542">
        <v>268488</v>
      </c>
      <c r="Z292" s="542">
        <v>0</v>
      </c>
      <c r="AA292" s="542">
        <v>199033</v>
      </c>
      <c r="AB292" s="542">
        <v>0</v>
      </c>
      <c r="AC292" s="542">
        <v>69455</v>
      </c>
      <c r="AD292" s="542">
        <v>0</v>
      </c>
      <c r="AE292" s="542">
        <v>0</v>
      </c>
      <c r="AF292" s="542">
        <v>0</v>
      </c>
      <c r="AG292" s="542">
        <v>0</v>
      </c>
      <c r="AH292" s="542">
        <v>0</v>
      </c>
      <c r="AI292" s="542">
        <v>0</v>
      </c>
      <c r="AJ292" s="542">
        <v>0</v>
      </c>
      <c r="AK292" s="542">
        <v>0</v>
      </c>
      <c r="AL292" s="542">
        <v>0</v>
      </c>
      <c r="AM292" s="542">
        <v>0</v>
      </c>
      <c r="AN292" s="542">
        <v>0</v>
      </c>
      <c r="AO292" s="542">
        <v>0</v>
      </c>
      <c r="AP292" s="542">
        <v>0</v>
      </c>
      <c r="AQ292" s="542">
        <v>561337.19900000002</v>
      </c>
      <c r="AR292" s="542">
        <v>126300.86900000001</v>
      </c>
      <c r="AS292" s="542">
        <v>14033.429899999999</v>
      </c>
      <c r="AT292" s="542">
        <v>521401</v>
      </c>
      <c r="AU292" s="542">
        <v>117315</v>
      </c>
      <c r="AV292" s="542">
        <v>13035</v>
      </c>
      <c r="AW292" s="542">
        <v>39936</v>
      </c>
      <c r="AX292" s="542">
        <v>8986</v>
      </c>
      <c r="AY292" s="542">
        <v>998</v>
      </c>
      <c r="AZ292" s="542">
        <v>444.26666599999999</v>
      </c>
      <c r="BA292" s="542">
        <v>99.96</v>
      </c>
      <c r="BB292" s="542">
        <v>11.1066666</v>
      </c>
      <c r="BC292" s="542">
        <v>0</v>
      </c>
      <c r="BD292" s="542">
        <v>0</v>
      </c>
      <c r="BE292" s="542">
        <v>0</v>
      </c>
      <c r="BF292" s="542">
        <v>444</v>
      </c>
      <c r="BG292" s="542">
        <v>100</v>
      </c>
      <c r="BH292" s="542">
        <v>11</v>
      </c>
      <c r="BI292" s="542">
        <v>2380.2021199999999</v>
      </c>
      <c r="BJ292" s="542">
        <v>535.54547700000001</v>
      </c>
      <c r="BK292" s="542">
        <v>59.505052999999997</v>
      </c>
      <c r="BL292" s="542">
        <v>0</v>
      </c>
      <c r="BM292" s="542">
        <v>0</v>
      </c>
      <c r="BN292" s="542">
        <v>0</v>
      </c>
      <c r="BO292" s="542">
        <v>2380</v>
      </c>
      <c r="BP292" s="542">
        <v>536</v>
      </c>
      <c r="BQ292" s="542">
        <v>60</v>
      </c>
      <c r="BR292" s="542">
        <v>992.42462799999998</v>
      </c>
      <c r="BS292" s="542">
        <v>223.29554099999999</v>
      </c>
      <c r="BT292" s="542">
        <v>24.8106157</v>
      </c>
      <c r="BU292" s="542">
        <v>13096</v>
      </c>
      <c r="BV292" s="542">
        <v>2946</v>
      </c>
      <c r="BW292" s="542">
        <v>327</v>
      </c>
      <c r="BX292" s="542">
        <v>-12104</v>
      </c>
      <c r="BY292" s="542">
        <v>-2723</v>
      </c>
      <c r="BZ292" s="542">
        <v>-302</v>
      </c>
      <c r="CA292" s="542">
        <v>95303.486999999994</v>
      </c>
      <c r="CB292" s="542">
        <v>21443.284500000002</v>
      </c>
      <c r="CC292" s="542">
        <v>2382.5871699999998</v>
      </c>
      <c r="CD292" s="542">
        <v>120651</v>
      </c>
      <c r="CE292" s="542">
        <v>27147</v>
      </c>
      <c r="CF292" s="542">
        <v>3016</v>
      </c>
      <c r="CG292" s="542">
        <v>-25348</v>
      </c>
      <c r="CH292" s="542">
        <v>-5704</v>
      </c>
      <c r="CI292" s="542">
        <v>-633</v>
      </c>
      <c r="CJ292" s="542">
        <v>0</v>
      </c>
      <c r="CK292" s="542">
        <v>0</v>
      </c>
      <c r="CL292" s="542">
        <v>0</v>
      </c>
      <c r="CM292" s="542">
        <v>0</v>
      </c>
      <c r="CN292" s="542">
        <v>0</v>
      </c>
      <c r="CO292" s="542">
        <v>0</v>
      </c>
      <c r="CP292" s="542">
        <v>0</v>
      </c>
      <c r="CQ292" s="542">
        <v>0</v>
      </c>
      <c r="CR292" s="542">
        <v>0</v>
      </c>
      <c r="CS292" s="542">
        <v>0</v>
      </c>
      <c r="CT292" s="542">
        <v>0</v>
      </c>
      <c r="CU292" s="542">
        <v>0</v>
      </c>
      <c r="CV292" s="542">
        <v>46337.656000000003</v>
      </c>
      <c r="CW292" s="542">
        <v>9784.6796099999992</v>
      </c>
      <c r="CX292" s="542">
        <v>1087.1866199999999</v>
      </c>
      <c r="CY292" s="542">
        <v>49156</v>
      </c>
      <c r="CZ292" s="542">
        <v>10288</v>
      </c>
      <c r="DA292" s="542">
        <v>1143</v>
      </c>
      <c r="DB292" s="542">
        <v>-2818</v>
      </c>
      <c r="DC292" s="542">
        <v>-503</v>
      </c>
      <c r="DD292" s="542">
        <v>-56</v>
      </c>
      <c r="DE292" s="153" t="s">
        <v>449</v>
      </c>
      <c r="DF292" s="103" t="s">
        <v>803</v>
      </c>
      <c r="DG292" s="104" t="s">
        <v>804</v>
      </c>
      <c r="DH292" s="547"/>
      <c r="DI292" s="547"/>
    </row>
    <row r="293" spans="1:113" x14ac:dyDescent="0.2">
      <c r="A293" s="93">
        <v>287</v>
      </c>
      <c r="B293" s="145" t="s">
        <v>452</v>
      </c>
      <c r="C293" s="141" t="s">
        <v>877</v>
      </c>
      <c r="D293" s="142" t="s">
        <v>872</v>
      </c>
      <c r="E293" s="149" t="s">
        <v>451</v>
      </c>
      <c r="F293" s="542">
        <v>1363857</v>
      </c>
      <c r="G293" s="542">
        <v>0</v>
      </c>
      <c r="H293" s="542">
        <v>1363857</v>
      </c>
      <c r="I293" s="542">
        <v>551436</v>
      </c>
      <c r="J293" s="542">
        <v>0</v>
      </c>
      <c r="K293" s="542">
        <v>551436</v>
      </c>
      <c r="L293" s="542">
        <v>812421</v>
      </c>
      <c r="M293" s="542">
        <v>0</v>
      </c>
      <c r="N293" s="542">
        <v>812421</v>
      </c>
      <c r="O293" s="543">
        <v>0.5</v>
      </c>
      <c r="P293" s="543">
        <v>0.3</v>
      </c>
      <c r="Q293" s="543">
        <v>0.2</v>
      </c>
      <c r="R293" s="543">
        <v>0</v>
      </c>
      <c r="S293" s="542">
        <v>946111</v>
      </c>
      <c r="T293" s="542">
        <v>946111</v>
      </c>
      <c r="U293" s="542">
        <v>0</v>
      </c>
      <c r="V293" s="542">
        <v>0</v>
      </c>
      <c r="W293" s="542">
        <v>0</v>
      </c>
      <c r="X293" s="542">
        <v>0</v>
      </c>
      <c r="Y293" s="542">
        <v>0</v>
      </c>
      <c r="Z293" s="542">
        <v>0</v>
      </c>
      <c r="AA293" s="542">
        <v>0</v>
      </c>
      <c r="AB293" s="542">
        <v>0</v>
      </c>
      <c r="AC293" s="542">
        <v>0</v>
      </c>
      <c r="AD293" s="542">
        <v>0</v>
      </c>
      <c r="AE293" s="542">
        <v>0</v>
      </c>
      <c r="AF293" s="542">
        <v>0</v>
      </c>
      <c r="AG293" s="542">
        <v>0</v>
      </c>
      <c r="AH293" s="542">
        <v>0</v>
      </c>
      <c r="AI293" s="542">
        <v>0</v>
      </c>
      <c r="AJ293" s="542">
        <v>0</v>
      </c>
      <c r="AK293" s="542">
        <v>0</v>
      </c>
      <c r="AL293" s="542">
        <v>0</v>
      </c>
      <c r="AM293" s="542">
        <v>0</v>
      </c>
      <c r="AN293" s="542">
        <v>0</v>
      </c>
      <c r="AO293" s="542">
        <v>0</v>
      </c>
      <c r="AP293" s="542">
        <v>0</v>
      </c>
      <c r="AQ293" s="542">
        <v>954122.44400000002</v>
      </c>
      <c r="AR293" s="542">
        <v>636081.62899999996</v>
      </c>
      <c r="AS293" s="542">
        <v>0</v>
      </c>
      <c r="AT293" s="542">
        <v>820002</v>
      </c>
      <c r="AU293" s="542">
        <v>546668</v>
      </c>
      <c r="AV293" s="542">
        <v>0</v>
      </c>
      <c r="AW293" s="542">
        <v>134120</v>
      </c>
      <c r="AX293" s="542">
        <v>89414</v>
      </c>
      <c r="AY293" s="542">
        <v>0</v>
      </c>
      <c r="AZ293" s="542">
        <v>0</v>
      </c>
      <c r="BA293" s="542">
        <v>0</v>
      </c>
      <c r="BB293" s="542">
        <v>0</v>
      </c>
      <c r="BC293" s="542">
        <v>0</v>
      </c>
      <c r="BD293" s="542">
        <v>0</v>
      </c>
      <c r="BE293" s="542">
        <v>0</v>
      </c>
      <c r="BF293" s="542">
        <v>0</v>
      </c>
      <c r="BG293" s="542">
        <v>0</v>
      </c>
      <c r="BH293" s="542">
        <v>0</v>
      </c>
      <c r="BI293" s="542">
        <v>8876.3388500000001</v>
      </c>
      <c r="BJ293" s="542">
        <v>5917.5592299999998</v>
      </c>
      <c r="BK293" s="542">
        <v>0</v>
      </c>
      <c r="BL293" s="542">
        <v>909554</v>
      </c>
      <c r="BM293" s="542">
        <v>606370</v>
      </c>
      <c r="BN293" s="542">
        <v>0</v>
      </c>
      <c r="BO293" s="542">
        <v>-900678</v>
      </c>
      <c r="BP293" s="542">
        <v>-600452</v>
      </c>
      <c r="BQ293" s="542">
        <v>0</v>
      </c>
      <c r="BR293" s="542">
        <v>623.04458599999998</v>
      </c>
      <c r="BS293" s="542">
        <v>415.36305700000003</v>
      </c>
      <c r="BT293" s="542">
        <v>0</v>
      </c>
      <c r="BU293" s="542">
        <v>3335032</v>
      </c>
      <c r="BV293" s="542">
        <v>2223354</v>
      </c>
      <c r="BW293" s="542">
        <v>0</v>
      </c>
      <c r="BX293" s="542">
        <v>-3334409</v>
      </c>
      <c r="BY293" s="542">
        <v>-2222939</v>
      </c>
      <c r="BZ293" s="542">
        <v>0</v>
      </c>
      <c r="CA293" s="542">
        <v>549050.53700000001</v>
      </c>
      <c r="CB293" s="542">
        <v>366033.69099999999</v>
      </c>
      <c r="CC293" s="542">
        <v>0</v>
      </c>
      <c r="CD293" s="542">
        <v>1434758</v>
      </c>
      <c r="CE293" s="542">
        <v>956505</v>
      </c>
      <c r="CF293" s="542">
        <v>0</v>
      </c>
      <c r="CG293" s="542">
        <v>-885707</v>
      </c>
      <c r="CH293" s="542">
        <v>-590471</v>
      </c>
      <c r="CI293" s="542">
        <v>0</v>
      </c>
      <c r="CJ293" s="542">
        <v>0</v>
      </c>
      <c r="CK293" s="542">
        <v>0</v>
      </c>
      <c r="CL293" s="542">
        <v>0</v>
      </c>
      <c r="CM293" s="542">
        <v>0</v>
      </c>
      <c r="CN293" s="542">
        <v>0</v>
      </c>
      <c r="CO293" s="542">
        <v>0</v>
      </c>
      <c r="CP293" s="542">
        <v>0</v>
      </c>
      <c r="CQ293" s="542">
        <v>0</v>
      </c>
      <c r="CR293" s="542">
        <v>0</v>
      </c>
      <c r="CS293" s="542">
        <v>0</v>
      </c>
      <c r="CT293" s="542">
        <v>0</v>
      </c>
      <c r="CU293" s="542">
        <v>0</v>
      </c>
      <c r="CV293" s="542">
        <v>1152098.79</v>
      </c>
      <c r="CW293" s="542">
        <v>768065.86399999994</v>
      </c>
      <c r="CX293" s="542">
        <v>0</v>
      </c>
      <c r="CY293" s="542">
        <v>1097396</v>
      </c>
      <c r="CZ293" s="542">
        <v>724902</v>
      </c>
      <c r="DA293" s="542">
        <v>0</v>
      </c>
      <c r="DB293" s="542">
        <v>54703</v>
      </c>
      <c r="DC293" s="542">
        <v>43164</v>
      </c>
      <c r="DD293" s="542">
        <v>0</v>
      </c>
      <c r="DE293" s="153" t="s">
        <v>451</v>
      </c>
      <c r="DF293" s="103" t="s">
        <v>762</v>
      </c>
      <c r="DG293" s="103" t="s">
        <v>750</v>
      </c>
      <c r="DH293" s="547"/>
      <c r="DI293" s="547"/>
    </row>
    <row r="294" spans="1:113" x14ac:dyDescent="0.2">
      <c r="A294" s="93">
        <v>288</v>
      </c>
      <c r="B294" s="145" t="s">
        <v>454</v>
      </c>
      <c r="C294" s="141" t="s">
        <v>873</v>
      </c>
      <c r="D294" s="142" t="s">
        <v>868</v>
      </c>
      <c r="E294" s="149" t="s">
        <v>453</v>
      </c>
      <c r="F294" s="542">
        <v>-3326061</v>
      </c>
      <c r="G294" s="542">
        <v>0</v>
      </c>
      <c r="H294" s="542">
        <v>-3326061</v>
      </c>
      <c r="I294" s="542">
        <v>45126</v>
      </c>
      <c r="J294" s="542">
        <v>0</v>
      </c>
      <c r="K294" s="542">
        <v>45126</v>
      </c>
      <c r="L294" s="542">
        <v>-3371187</v>
      </c>
      <c r="M294" s="542">
        <v>0</v>
      </c>
      <c r="N294" s="542">
        <v>-3371187</v>
      </c>
      <c r="O294" s="543">
        <v>0.5</v>
      </c>
      <c r="P294" s="543">
        <v>0.49</v>
      </c>
      <c r="Q294" s="543">
        <v>0</v>
      </c>
      <c r="R294" s="543">
        <v>0.01</v>
      </c>
      <c r="S294" s="542">
        <v>457357</v>
      </c>
      <c r="T294" s="542">
        <v>457357</v>
      </c>
      <c r="U294" s="542">
        <v>0</v>
      </c>
      <c r="V294" s="542">
        <v>0</v>
      </c>
      <c r="W294" s="542">
        <v>0</v>
      </c>
      <c r="X294" s="542">
        <v>0</v>
      </c>
      <c r="Y294" s="542">
        <v>75192</v>
      </c>
      <c r="Z294" s="542">
        <v>0</v>
      </c>
      <c r="AA294" s="542">
        <v>75192</v>
      </c>
      <c r="AB294" s="542">
        <v>0</v>
      </c>
      <c r="AC294" s="542">
        <v>0</v>
      </c>
      <c r="AD294" s="542">
        <v>0</v>
      </c>
      <c r="AE294" s="542">
        <v>0</v>
      </c>
      <c r="AF294" s="542">
        <v>0</v>
      </c>
      <c r="AG294" s="542">
        <v>0</v>
      </c>
      <c r="AH294" s="542">
        <v>0</v>
      </c>
      <c r="AI294" s="542">
        <v>0</v>
      </c>
      <c r="AJ294" s="542">
        <v>0</v>
      </c>
      <c r="AK294" s="542">
        <v>0</v>
      </c>
      <c r="AL294" s="542">
        <v>0</v>
      </c>
      <c r="AM294" s="542">
        <v>0</v>
      </c>
      <c r="AN294" s="542">
        <v>0</v>
      </c>
      <c r="AO294" s="542">
        <v>0</v>
      </c>
      <c r="AP294" s="542">
        <v>0</v>
      </c>
      <c r="AQ294" s="542">
        <v>1072205</v>
      </c>
      <c r="AR294" s="542">
        <v>0</v>
      </c>
      <c r="AS294" s="542">
        <v>21881.73</v>
      </c>
      <c r="AT294" s="542">
        <v>950068</v>
      </c>
      <c r="AU294" s="542">
        <v>0</v>
      </c>
      <c r="AV294" s="542">
        <v>19389</v>
      </c>
      <c r="AW294" s="542">
        <v>122137</v>
      </c>
      <c r="AX294" s="542">
        <v>0</v>
      </c>
      <c r="AY294" s="542">
        <v>2493</v>
      </c>
      <c r="AZ294" s="542">
        <v>0</v>
      </c>
      <c r="BA294" s="542">
        <v>0</v>
      </c>
      <c r="BB294" s="542">
        <v>0</v>
      </c>
      <c r="BC294" s="542">
        <v>0</v>
      </c>
      <c r="BD294" s="542">
        <v>0</v>
      </c>
      <c r="BE294" s="542">
        <v>0</v>
      </c>
      <c r="BF294" s="542">
        <v>0</v>
      </c>
      <c r="BG294" s="542">
        <v>0</v>
      </c>
      <c r="BH294" s="542">
        <v>0</v>
      </c>
      <c r="BI294" s="542">
        <v>5518.23</v>
      </c>
      <c r="BJ294" s="542">
        <v>0</v>
      </c>
      <c r="BK294" s="542">
        <v>112.62</v>
      </c>
      <c r="BL294" s="542">
        <v>0</v>
      </c>
      <c r="BM294" s="542">
        <v>0</v>
      </c>
      <c r="BN294" s="542">
        <v>0</v>
      </c>
      <c r="BO294" s="542">
        <v>5518</v>
      </c>
      <c r="BP294" s="542">
        <v>0</v>
      </c>
      <c r="BQ294" s="542">
        <v>113</v>
      </c>
      <c r="BR294" s="542">
        <v>7297.57</v>
      </c>
      <c r="BS294" s="542">
        <v>0</v>
      </c>
      <c r="BT294" s="542">
        <v>148.93</v>
      </c>
      <c r="BU294" s="542">
        <v>597228</v>
      </c>
      <c r="BV294" s="542">
        <v>0</v>
      </c>
      <c r="BW294" s="542">
        <v>12188</v>
      </c>
      <c r="BX294" s="542">
        <v>-589930</v>
      </c>
      <c r="BY294" s="542">
        <v>0</v>
      </c>
      <c r="BZ294" s="542">
        <v>-12039</v>
      </c>
      <c r="CA294" s="542">
        <v>449177.13</v>
      </c>
      <c r="CB294" s="542">
        <v>0</v>
      </c>
      <c r="CC294" s="542">
        <v>9166.8799999999992</v>
      </c>
      <c r="CD294" s="542">
        <v>707382</v>
      </c>
      <c r="CE294" s="542">
        <v>0</v>
      </c>
      <c r="CF294" s="542">
        <v>14436</v>
      </c>
      <c r="CG294" s="542">
        <v>-258205</v>
      </c>
      <c r="CH294" s="542">
        <v>0</v>
      </c>
      <c r="CI294" s="542">
        <v>-5269</v>
      </c>
      <c r="CJ294" s="542">
        <v>0</v>
      </c>
      <c r="CK294" s="542">
        <v>0</v>
      </c>
      <c r="CL294" s="542">
        <v>0</v>
      </c>
      <c r="CM294" s="542">
        <v>0</v>
      </c>
      <c r="CN294" s="542">
        <v>0</v>
      </c>
      <c r="CO294" s="542">
        <v>0</v>
      </c>
      <c r="CP294" s="542">
        <v>0</v>
      </c>
      <c r="CQ294" s="542">
        <v>0</v>
      </c>
      <c r="CR294" s="542">
        <v>0</v>
      </c>
      <c r="CS294" s="542">
        <v>0</v>
      </c>
      <c r="CT294" s="542">
        <v>0</v>
      </c>
      <c r="CU294" s="542">
        <v>0</v>
      </c>
      <c r="CV294" s="542">
        <v>823244.12</v>
      </c>
      <c r="CW294" s="542">
        <v>0</v>
      </c>
      <c r="CX294" s="542">
        <v>16784.61</v>
      </c>
      <c r="CY294" s="542">
        <v>809772</v>
      </c>
      <c r="CZ294" s="542">
        <v>0</v>
      </c>
      <c r="DA294" s="542">
        <v>16411</v>
      </c>
      <c r="DB294" s="542">
        <v>13472</v>
      </c>
      <c r="DC294" s="542">
        <v>0</v>
      </c>
      <c r="DD294" s="542">
        <v>374</v>
      </c>
      <c r="DE294" s="153" t="s">
        <v>453</v>
      </c>
      <c r="DF294" s="103" t="s">
        <v>763</v>
      </c>
      <c r="DG294" s="104" t="s">
        <v>777</v>
      </c>
      <c r="DH294" s="547"/>
      <c r="DI294" s="547"/>
    </row>
    <row r="295" spans="1:113" x14ac:dyDescent="0.2">
      <c r="A295" s="93">
        <v>289</v>
      </c>
      <c r="B295" s="145" t="s">
        <v>456</v>
      </c>
      <c r="C295" s="141" t="s">
        <v>866</v>
      </c>
      <c r="D295" s="142" t="s">
        <v>867</v>
      </c>
      <c r="E295" s="149" t="s">
        <v>455</v>
      </c>
      <c r="F295" s="542">
        <v>-150843</v>
      </c>
      <c r="G295" s="542">
        <v>0</v>
      </c>
      <c r="H295" s="542">
        <v>-150843</v>
      </c>
      <c r="I295" s="542">
        <v>68455</v>
      </c>
      <c r="J295" s="542">
        <v>0</v>
      </c>
      <c r="K295" s="542">
        <v>68455</v>
      </c>
      <c r="L295" s="542">
        <v>-219298</v>
      </c>
      <c r="M295" s="542">
        <v>0</v>
      </c>
      <c r="N295" s="542">
        <v>-219298</v>
      </c>
      <c r="O295" s="543">
        <v>0.5</v>
      </c>
      <c r="P295" s="543">
        <v>0.4</v>
      </c>
      <c r="Q295" s="543">
        <v>0.09</v>
      </c>
      <c r="R295" s="543">
        <v>0.01</v>
      </c>
      <c r="S295" s="542">
        <v>178970</v>
      </c>
      <c r="T295" s="542">
        <v>178970</v>
      </c>
      <c r="U295" s="542">
        <v>0</v>
      </c>
      <c r="V295" s="542">
        <v>0</v>
      </c>
      <c r="W295" s="542">
        <v>0</v>
      </c>
      <c r="X295" s="542">
        <v>0</v>
      </c>
      <c r="Y295" s="542">
        <v>0</v>
      </c>
      <c r="Z295" s="542">
        <v>0</v>
      </c>
      <c r="AA295" s="542">
        <v>0</v>
      </c>
      <c r="AB295" s="542">
        <v>0</v>
      </c>
      <c r="AC295" s="542">
        <v>0</v>
      </c>
      <c r="AD295" s="542">
        <v>0</v>
      </c>
      <c r="AE295" s="542">
        <v>0</v>
      </c>
      <c r="AF295" s="542">
        <v>0</v>
      </c>
      <c r="AG295" s="542">
        <v>0</v>
      </c>
      <c r="AH295" s="542">
        <v>0</v>
      </c>
      <c r="AI295" s="542">
        <v>0</v>
      </c>
      <c r="AJ295" s="542">
        <v>0</v>
      </c>
      <c r="AK295" s="542">
        <v>0</v>
      </c>
      <c r="AL295" s="542">
        <v>0</v>
      </c>
      <c r="AM295" s="542">
        <v>0</v>
      </c>
      <c r="AN295" s="542">
        <v>0</v>
      </c>
      <c r="AO295" s="542">
        <v>0</v>
      </c>
      <c r="AP295" s="542">
        <v>0</v>
      </c>
      <c r="AQ295" s="542">
        <v>444810.58</v>
      </c>
      <c r="AR295" s="542">
        <v>100082.38</v>
      </c>
      <c r="AS295" s="542">
        <v>11120.264499999999</v>
      </c>
      <c r="AT295" s="542">
        <v>423996</v>
      </c>
      <c r="AU295" s="542">
        <v>95399</v>
      </c>
      <c r="AV295" s="542">
        <v>10600</v>
      </c>
      <c r="AW295" s="542">
        <v>20815</v>
      </c>
      <c r="AX295" s="542">
        <v>4683</v>
      </c>
      <c r="AY295" s="542">
        <v>520</v>
      </c>
      <c r="AZ295" s="542">
        <v>927.74522200000001</v>
      </c>
      <c r="BA295" s="542">
        <v>208.74267499999999</v>
      </c>
      <c r="BB295" s="542">
        <v>23.193630500000001</v>
      </c>
      <c r="BC295" s="542">
        <v>0</v>
      </c>
      <c r="BD295" s="542">
        <v>0</v>
      </c>
      <c r="BE295" s="542">
        <v>0</v>
      </c>
      <c r="BF295" s="542">
        <v>928</v>
      </c>
      <c r="BG295" s="542">
        <v>209</v>
      </c>
      <c r="BH295" s="542">
        <v>23</v>
      </c>
      <c r="BI295" s="542">
        <v>0</v>
      </c>
      <c r="BJ295" s="542">
        <v>0</v>
      </c>
      <c r="BK295" s="542">
        <v>0</v>
      </c>
      <c r="BL295" s="542">
        <v>0</v>
      </c>
      <c r="BM295" s="542">
        <v>0</v>
      </c>
      <c r="BN295" s="542">
        <v>0</v>
      </c>
      <c r="BO295" s="542">
        <v>0</v>
      </c>
      <c r="BP295" s="542">
        <v>0</v>
      </c>
      <c r="BQ295" s="542">
        <v>0</v>
      </c>
      <c r="BR295" s="542">
        <v>2015.57197</v>
      </c>
      <c r="BS295" s="542">
        <v>453.503694</v>
      </c>
      <c r="BT295" s="542">
        <v>50.389299299999998</v>
      </c>
      <c r="BU295" s="542">
        <v>14131</v>
      </c>
      <c r="BV295" s="542">
        <v>3179</v>
      </c>
      <c r="BW295" s="542">
        <v>353</v>
      </c>
      <c r="BX295" s="542">
        <v>-12115</v>
      </c>
      <c r="BY295" s="542">
        <v>-2725</v>
      </c>
      <c r="BZ295" s="542">
        <v>-303</v>
      </c>
      <c r="CA295" s="542">
        <v>279050.80499999999</v>
      </c>
      <c r="CB295" s="542">
        <v>62786.431299999997</v>
      </c>
      <c r="CC295" s="542">
        <v>6976.2701399999996</v>
      </c>
      <c r="CD295" s="542">
        <v>329091</v>
      </c>
      <c r="CE295" s="542">
        <v>74046</v>
      </c>
      <c r="CF295" s="542">
        <v>8227</v>
      </c>
      <c r="CG295" s="542">
        <v>-50040</v>
      </c>
      <c r="CH295" s="542">
        <v>-11260</v>
      </c>
      <c r="CI295" s="542">
        <v>-1251</v>
      </c>
      <c r="CJ295" s="542">
        <v>0</v>
      </c>
      <c r="CK295" s="542">
        <v>0</v>
      </c>
      <c r="CL295" s="542">
        <v>0</v>
      </c>
      <c r="CM295" s="542">
        <v>0</v>
      </c>
      <c r="CN295" s="542">
        <v>0</v>
      </c>
      <c r="CO295" s="542">
        <v>0</v>
      </c>
      <c r="CP295" s="542">
        <v>0</v>
      </c>
      <c r="CQ295" s="542">
        <v>0</v>
      </c>
      <c r="CR295" s="542">
        <v>0</v>
      </c>
      <c r="CS295" s="542">
        <v>0</v>
      </c>
      <c r="CT295" s="542">
        <v>0</v>
      </c>
      <c r="CU295" s="542">
        <v>0</v>
      </c>
      <c r="CV295" s="542">
        <v>214536.31</v>
      </c>
      <c r="CW295" s="542">
        <v>48270.669699999999</v>
      </c>
      <c r="CX295" s="542">
        <v>5363.4077399999996</v>
      </c>
      <c r="CY295" s="542">
        <v>221116</v>
      </c>
      <c r="CZ295" s="542">
        <v>49324</v>
      </c>
      <c r="DA295" s="542">
        <v>5480</v>
      </c>
      <c r="DB295" s="542">
        <v>-6580</v>
      </c>
      <c r="DC295" s="542">
        <v>-1053</v>
      </c>
      <c r="DD295" s="542">
        <v>-117</v>
      </c>
      <c r="DE295" s="153" t="s">
        <v>455</v>
      </c>
      <c r="DF295" s="103" t="s">
        <v>757</v>
      </c>
      <c r="DG295" s="104" t="s">
        <v>758</v>
      </c>
      <c r="DH295" s="547"/>
      <c r="DI295" s="547"/>
    </row>
    <row r="296" spans="1:113" x14ac:dyDescent="0.2">
      <c r="A296" s="93">
        <v>290</v>
      </c>
      <c r="B296" s="145" t="s">
        <v>458</v>
      </c>
      <c r="C296" s="141" t="s">
        <v>866</v>
      </c>
      <c r="D296" s="142" t="s">
        <v>870</v>
      </c>
      <c r="E296" s="149" t="s">
        <v>457</v>
      </c>
      <c r="F296" s="542">
        <v>-86805</v>
      </c>
      <c r="G296" s="542">
        <v>0</v>
      </c>
      <c r="H296" s="542">
        <v>-86805</v>
      </c>
      <c r="I296" s="542">
        <v>54765</v>
      </c>
      <c r="J296" s="542">
        <v>0</v>
      </c>
      <c r="K296" s="542">
        <v>54765</v>
      </c>
      <c r="L296" s="542">
        <v>-141570</v>
      </c>
      <c r="M296" s="542">
        <v>0</v>
      </c>
      <c r="N296" s="542">
        <v>-141570</v>
      </c>
      <c r="O296" s="543">
        <v>0.5</v>
      </c>
      <c r="P296" s="543">
        <v>0.4</v>
      </c>
      <c r="Q296" s="543">
        <v>0.09</v>
      </c>
      <c r="R296" s="543">
        <v>0.01</v>
      </c>
      <c r="S296" s="542">
        <v>139025</v>
      </c>
      <c r="T296" s="542">
        <v>139025</v>
      </c>
      <c r="U296" s="542">
        <v>0</v>
      </c>
      <c r="V296" s="542">
        <v>0</v>
      </c>
      <c r="W296" s="542">
        <v>0</v>
      </c>
      <c r="X296" s="542">
        <v>0</v>
      </c>
      <c r="Y296" s="542">
        <v>0</v>
      </c>
      <c r="Z296" s="542">
        <v>0</v>
      </c>
      <c r="AA296" s="542">
        <v>0</v>
      </c>
      <c r="AB296" s="542">
        <v>0</v>
      </c>
      <c r="AC296" s="542">
        <v>0</v>
      </c>
      <c r="AD296" s="542">
        <v>0</v>
      </c>
      <c r="AE296" s="542">
        <v>0</v>
      </c>
      <c r="AF296" s="542">
        <v>0</v>
      </c>
      <c r="AG296" s="542">
        <v>0</v>
      </c>
      <c r="AH296" s="542">
        <v>0</v>
      </c>
      <c r="AI296" s="542">
        <v>0</v>
      </c>
      <c r="AJ296" s="542">
        <v>0</v>
      </c>
      <c r="AK296" s="542">
        <v>0</v>
      </c>
      <c r="AL296" s="542">
        <v>0</v>
      </c>
      <c r="AM296" s="542">
        <v>0</v>
      </c>
      <c r="AN296" s="542">
        <v>0</v>
      </c>
      <c r="AO296" s="542">
        <v>0</v>
      </c>
      <c r="AP296" s="542">
        <v>0</v>
      </c>
      <c r="AQ296" s="542">
        <v>373615.12800000003</v>
      </c>
      <c r="AR296" s="542">
        <v>84063.403900000005</v>
      </c>
      <c r="AS296" s="542">
        <v>9340.3782100000008</v>
      </c>
      <c r="AT296" s="542">
        <v>327524</v>
      </c>
      <c r="AU296" s="542">
        <v>73693</v>
      </c>
      <c r="AV296" s="542">
        <v>8188</v>
      </c>
      <c r="AW296" s="542">
        <v>46091</v>
      </c>
      <c r="AX296" s="542">
        <v>10370</v>
      </c>
      <c r="AY296" s="542">
        <v>1152</v>
      </c>
      <c r="AZ296" s="542">
        <v>885.70360900000003</v>
      </c>
      <c r="BA296" s="542">
        <v>199.283312</v>
      </c>
      <c r="BB296" s="542">
        <v>22.142590200000001</v>
      </c>
      <c r="BC296" s="542">
        <v>2021</v>
      </c>
      <c r="BD296" s="542">
        <v>455</v>
      </c>
      <c r="BE296" s="542">
        <v>51</v>
      </c>
      <c r="BF296" s="542">
        <v>-1135</v>
      </c>
      <c r="BG296" s="542">
        <v>-256</v>
      </c>
      <c r="BH296" s="542">
        <v>-29</v>
      </c>
      <c r="BI296" s="542">
        <v>0</v>
      </c>
      <c r="BJ296" s="542">
        <v>0</v>
      </c>
      <c r="BK296" s="542">
        <v>0</v>
      </c>
      <c r="BL296" s="542">
        <v>4851</v>
      </c>
      <c r="BM296" s="542">
        <v>1092</v>
      </c>
      <c r="BN296" s="542">
        <v>121</v>
      </c>
      <c r="BO296" s="542">
        <v>-4851</v>
      </c>
      <c r="BP296" s="542">
        <v>-1092</v>
      </c>
      <c r="BQ296" s="542">
        <v>-121</v>
      </c>
      <c r="BR296" s="542">
        <v>2664.7914999999998</v>
      </c>
      <c r="BS296" s="542">
        <v>599.57808899999998</v>
      </c>
      <c r="BT296" s="542">
        <v>66.619787599999995</v>
      </c>
      <c r="BU296" s="542">
        <v>2021</v>
      </c>
      <c r="BV296" s="542">
        <v>455</v>
      </c>
      <c r="BW296" s="542">
        <v>51</v>
      </c>
      <c r="BX296" s="542">
        <v>644</v>
      </c>
      <c r="BY296" s="542">
        <v>145</v>
      </c>
      <c r="BZ296" s="542">
        <v>16</v>
      </c>
      <c r="CA296" s="542">
        <v>123176.67200000001</v>
      </c>
      <c r="CB296" s="542">
        <v>27714.7513</v>
      </c>
      <c r="CC296" s="542">
        <v>3079.4168100000002</v>
      </c>
      <c r="CD296" s="542">
        <v>111168</v>
      </c>
      <c r="CE296" s="542">
        <v>25013</v>
      </c>
      <c r="CF296" s="542">
        <v>2779</v>
      </c>
      <c r="CG296" s="542">
        <v>12009</v>
      </c>
      <c r="CH296" s="542">
        <v>2702</v>
      </c>
      <c r="CI296" s="542">
        <v>300</v>
      </c>
      <c r="CJ296" s="542">
        <v>0</v>
      </c>
      <c r="CK296" s="542">
        <v>0</v>
      </c>
      <c r="CL296" s="542">
        <v>0</v>
      </c>
      <c r="CM296" s="542">
        <v>5546.66327</v>
      </c>
      <c r="CN296" s="542">
        <v>1247.9992299999999</v>
      </c>
      <c r="CO296" s="542">
        <v>138.66658100000001</v>
      </c>
      <c r="CP296" s="542">
        <v>4768</v>
      </c>
      <c r="CQ296" s="542">
        <v>1072.71</v>
      </c>
      <c r="CR296" s="542">
        <v>119.19</v>
      </c>
      <c r="CS296" s="542">
        <v>779</v>
      </c>
      <c r="CT296" s="542">
        <v>175</v>
      </c>
      <c r="CU296" s="542">
        <v>19</v>
      </c>
      <c r="CV296" s="542">
        <v>185596.23300000001</v>
      </c>
      <c r="CW296" s="542">
        <v>41759.152499999997</v>
      </c>
      <c r="CX296" s="542">
        <v>4639.9058299999997</v>
      </c>
      <c r="CY296" s="542">
        <v>175564</v>
      </c>
      <c r="CZ296" s="542">
        <v>39170</v>
      </c>
      <c r="DA296" s="542">
        <v>4352</v>
      </c>
      <c r="DB296" s="542">
        <v>10032</v>
      </c>
      <c r="DC296" s="542">
        <v>2589</v>
      </c>
      <c r="DD296" s="542">
        <v>288</v>
      </c>
      <c r="DE296" s="153" t="s">
        <v>457</v>
      </c>
      <c r="DF296" s="103" t="s">
        <v>765</v>
      </c>
      <c r="DG296" s="104" t="s">
        <v>766</v>
      </c>
      <c r="DH296" s="547"/>
      <c r="DI296" s="547"/>
    </row>
    <row r="297" spans="1:113" x14ac:dyDescent="0.2">
      <c r="A297" s="93">
        <v>291</v>
      </c>
      <c r="B297" s="145" t="s">
        <v>460</v>
      </c>
      <c r="C297" s="141" t="s">
        <v>866</v>
      </c>
      <c r="D297" s="142" t="s">
        <v>867</v>
      </c>
      <c r="E297" s="149" t="s">
        <v>459</v>
      </c>
      <c r="F297" s="542">
        <v>893948</v>
      </c>
      <c r="G297" s="542">
        <v>5699</v>
      </c>
      <c r="H297" s="542">
        <v>899647</v>
      </c>
      <c r="I297" s="542">
        <v>1117834</v>
      </c>
      <c r="J297" s="542">
        <v>-454</v>
      </c>
      <c r="K297" s="542">
        <v>1117380</v>
      </c>
      <c r="L297" s="542">
        <v>-223886</v>
      </c>
      <c r="M297" s="542">
        <v>6153</v>
      </c>
      <c r="N297" s="542">
        <v>-217733</v>
      </c>
      <c r="O297" s="543">
        <v>0.5</v>
      </c>
      <c r="P297" s="543">
        <v>0.4</v>
      </c>
      <c r="Q297" s="543">
        <v>0.1</v>
      </c>
      <c r="R297" s="543">
        <v>0</v>
      </c>
      <c r="S297" s="542">
        <v>187524</v>
      </c>
      <c r="T297" s="542">
        <v>187524</v>
      </c>
      <c r="U297" s="542">
        <v>0</v>
      </c>
      <c r="V297" s="542">
        <v>0</v>
      </c>
      <c r="W297" s="542">
        <v>0</v>
      </c>
      <c r="X297" s="542">
        <v>0</v>
      </c>
      <c r="Y297" s="542">
        <v>118572</v>
      </c>
      <c r="Z297" s="542">
        <v>0</v>
      </c>
      <c r="AA297" s="542">
        <v>324675</v>
      </c>
      <c r="AB297" s="542">
        <v>0</v>
      </c>
      <c r="AC297" s="542">
        <v>-206103</v>
      </c>
      <c r="AD297" s="542">
        <v>0</v>
      </c>
      <c r="AE297" s="542">
        <v>595340.57700000005</v>
      </c>
      <c r="AF297" s="542">
        <v>595340.57700000005</v>
      </c>
      <c r="AG297" s="542">
        <v>0</v>
      </c>
      <c r="AH297" s="542">
        <v>0</v>
      </c>
      <c r="AI297" s="542">
        <v>168263</v>
      </c>
      <c r="AJ297" s="542">
        <v>168263</v>
      </c>
      <c r="AK297" s="542">
        <v>0</v>
      </c>
      <c r="AL297" s="542">
        <v>0</v>
      </c>
      <c r="AM297" s="542">
        <v>427078</v>
      </c>
      <c r="AN297" s="542">
        <v>427078</v>
      </c>
      <c r="AO297" s="542">
        <v>0</v>
      </c>
      <c r="AP297" s="542">
        <v>0</v>
      </c>
      <c r="AQ297" s="542">
        <v>343201.45699999999</v>
      </c>
      <c r="AR297" s="542">
        <v>82727.334600000002</v>
      </c>
      <c r="AS297" s="542">
        <v>0</v>
      </c>
      <c r="AT297" s="542">
        <v>320035</v>
      </c>
      <c r="AU297" s="542">
        <v>80009</v>
      </c>
      <c r="AV297" s="542">
        <v>0</v>
      </c>
      <c r="AW297" s="542">
        <v>23166</v>
      </c>
      <c r="AX297" s="542">
        <v>2718</v>
      </c>
      <c r="AY297" s="542">
        <v>0</v>
      </c>
      <c r="AZ297" s="542">
        <v>0</v>
      </c>
      <c r="BA297" s="542">
        <v>0</v>
      </c>
      <c r="BB297" s="542">
        <v>0</v>
      </c>
      <c r="BC297" s="542">
        <v>0</v>
      </c>
      <c r="BD297" s="542">
        <v>0</v>
      </c>
      <c r="BE297" s="542">
        <v>0</v>
      </c>
      <c r="BF297" s="542">
        <v>0</v>
      </c>
      <c r="BG297" s="542">
        <v>0</v>
      </c>
      <c r="BH297" s="542">
        <v>0</v>
      </c>
      <c r="BI297" s="542">
        <v>0</v>
      </c>
      <c r="BJ297" s="542">
        <v>0</v>
      </c>
      <c r="BK297" s="542">
        <v>0</v>
      </c>
      <c r="BL297" s="542">
        <v>0</v>
      </c>
      <c r="BM297" s="542">
        <v>0</v>
      </c>
      <c r="BN297" s="542">
        <v>0</v>
      </c>
      <c r="BO297" s="542">
        <v>0</v>
      </c>
      <c r="BP297" s="542">
        <v>0</v>
      </c>
      <c r="BQ297" s="542">
        <v>0</v>
      </c>
      <c r="BR297" s="542">
        <v>0</v>
      </c>
      <c r="BS297" s="542">
        <v>0</v>
      </c>
      <c r="BT297" s="542">
        <v>0</v>
      </c>
      <c r="BU297" s="542">
        <v>57403</v>
      </c>
      <c r="BV297" s="542">
        <v>14351</v>
      </c>
      <c r="BW297" s="542">
        <v>0</v>
      </c>
      <c r="BX297" s="542">
        <v>-57403</v>
      </c>
      <c r="BY297" s="542">
        <v>-14351</v>
      </c>
      <c r="BZ297" s="542">
        <v>0</v>
      </c>
      <c r="CA297" s="542">
        <v>124819.933</v>
      </c>
      <c r="CB297" s="542">
        <v>30952.3295</v>
      </c>
      <c r="CC297" s="542">
        <v>0</v>
      </c>
      <c r="CD297" s="542">
        <v>159339</v>
      </c>
      <c r="CE297" s="542">
        <v>39835</v>
      </c>
      <c r="CF297" s="542">
        <v>0</v>
      </c>
      <c r="CG297" s="542">
        <v>-34519</v>
      </c>
      <c r="CH297" s="542">
        <v>-8883</v>
      </c>
      <c r="CI297" s="542">
        <v>0</v>
      </c>
      <c r="CJ297" s="542">
        <v>6174.4</v>
      </c>
      <c r="CK297" s="542">
        <v>1543.6</v>
      </c>
      <c r="CL297" s="542">
        <v>0</v>
      </c>
      <c r="CM297" s="542">
        <v>5249.5422500000004</v>
      </c>
      <c r="CN297" s="542">
        <v>1312.3855599999999</v>
      </c>
      <c r="CO297" s="542">
        <v>0</v>
      </c>
      <c r="CP297" s="542">
        <v>6975</v>
      </c>
      <c r="CQ297" s="542">
        <v>1743.7</v>
      </c>
      <c r="CR297" s="542">
        <v>0</v>
      </c>
      <c r="CS297" s="542">
        <v>4449</v>
      </c>
      <c r="CT297" s="542">
        <v>1112</v>
      </c>
      <c r="CU297" s="542">
        <v>0</v>
      </c>
      <c r="CV297" s="542">
        <v>227341.21799999999</v>
      </c>
      <c r="CW297" s="542">
        <v>56520.623099999997</v>
      </c>
      <c r="CX297" s="542">
        <v>0</v>
      </c>
      <c r="CY297" s="542">
        <v>241090</v>
      </c>
      <c r="CZ297" s="542">
        <v>58467</v>
      </c>
      <c r="DA297" s="542">
        <v>0</v>
      </c>
      <c r="DB297" s="542">
        <v>-13749</v>
      </c>
      <c r="DC297" s="542">
        <v>-1946</v>
      </c>
      <c r="DD297" s="542">
        <v>0</v>
      </c>
      <c r="DE297" s="153" t="s">
        <v>459</v>
      </c>
      <c r="DF297" s="103" t="s">
        <v>795</v>
      </c>
      <c r="DG297" s="104" t="s">
        <v>751</v>
      </c>
      <c r="DH297" s="549" t="s">
        <v>1209</v>
      </c>
      <c r="DI297" s="549"/>
    </row>
    <row r="298" spans="1:113" ht="12.75" x14ac:dyDescent="0.2">
      <c r="A298" s="93">
        <v>292</v>
      </c>
      <c r="B298" s="145" t="s">
        <v>462</v>
      </c>
      <c r="C298" s="141" t="s">
        <v>873</v>
      </c>
      <c r="D298" s="142" t="s">
        <v>874</v>
      </c>
      <c r="E298" s="149" t="s">
        <v>461</v>
      </c>
      <c r="F298" s="542">
        <v>2131</v>
      </c>
      <c r="G298" s="542">
        <v>0</v>
      </c>
      <c r="H298" s="542">
        <v>2131</v>
      </c>
      <c r="I298" s="542">
        <v>324396</v>
      </c>
      <c r="J298" s="542">
        <v>0</v>
      </c>
      <c r="K298" s="542">
        <v>324396</v>
      </c>
      <c r="L298" s="542">
        <v>-322265</v>
      </c>
      <c r="M298" s="542">
        <v>0</v>
      </c>
      <c r="N298" s="542">
        <v>-322265</v>
      </c>
      <c r="O298" s="543">
        <v>0.5</v>
      </c>
      <c r="P298" s="543">
        <v>0.49</v>
      </c>
      <c r="Q298" s="543">
        <v>0</v>
      </c>
      <c r="R298" s="543">
        <v>0.01</v>
      </c>
      <c r="S298" s="542">
        <v>458655</v>
      </c>
      <c r="T298" s="542">
        <v>458655</v>
      </c>
      <c r="U298" s="542">
        <v>0</v>
      </c>
      <c r="V298" s="542">
        <v>0</v>
      </c>
      <c r="W298" s="542">
        <v>0</v>
      </c>
      <c r="X298" s="542">
        <v>0</v>
      </c>
      <c r="Y298" s="542">
        <v>0</v>
      </c>
      <c r="Z298" s="542">
        <v>0</v>
      </c>
      <c r="AA298" s="542">
        <v>0</v>
      </c>
      <c r="AB298" s="542">
        <v>0</v>
      </c>
      <c r="AC298" s="542">
        <v>0</v>
      </c>
      <c r="AD298" s="542">
        <v>0</v>
      </c>
      <c r="AE298" s="542">
        <v>0</v>
      </c>
      <c r="AF298" s="542">
        <v>0</v>
      </c>
      <c r="AG298" s="542">
        <v>0</v>
      </c>
      <c r="AH298" s="542">
        <v>0</v>
      </c>
      <c r="AI298" s="542">
        <v>0</v>
      </c>
      <c r="AJ298" s="542">
        <v>0</v>
      </c>
      <c r="AK298" s="542">
        <v>0</v>
      </c>
      <c r="AL298" s="542">
        <v>0</v>
      </c>
      <c r="AM298" s="542">
        <v>0</v>
      </c>
      <c r="AN298" s="542">
        <v>0</v>
      </c>
      <c r="AO298" s="542">
        <v>0</v>
      </c>
      <c r="AP298" s="542">
        <v>0</v>
      </c>
      <c r="AQ298" s="542">
        <v>1873196.74</v>
      </c>
      <c r="AR298" s="542">
        <v>0</v>
      </c>
      <c r="AS298" s="542">
        <v>38228.5</v>
      </c>
      <c r="AT298" s="542">
        <v>1832246</v>
      </c>
      <c r="AU298" s="542">
        <v>0</v>
      </c>
      <c r="AV298" s="542">
        <v>37393</v>
      </c>
      <c r="AW298" s="542">
        <v>40951</v>
      </c>
      <c r="AX298" s="542">
        <v>0</v>
      </c>
      <c r="AY298" s="542">
        <v>836</v>
      </c>
      <c r="AZ298" s="542">
        <v>2476.0100000000002</v>
      </c>
      <c r="BA298" s="542">
        <v>0</v>
      </c>
      <c r="BB298" s="542">
        <v>50.53</v>
      </c>
      <c r="BC298" s="542">
        <v>0</v>
      </c>
      <c r="BD298" s="542">
        <v>0</v>
      </c>
      <c r="BE298" s="542">
        <v>0</v>
      </c>
      <c r="BF298" s="542">
        <v>2476</v>
      </c>
      <c r="BG298" s="542">
        <v>0</v>
      </c>
      <c r="BH298" s="542">
        <v>51</v>
      </c>
      <c r="BI298" s="542">
        <v>0</v>
      </c>
      <c r="BJ298" s="542">
        <v>0</v>
      </c>
      <c r="BK298" s="542">
        <v>0</v>
      </c>
      <c r="BL298" s="542">
        <v>0</v>
      </c>
      <c r="BM298" s="542">
        <v>0</v>
      </c>
      <c r="BN298" s="542">
        <v>0</v>
      </c>
      <c r="BO298" s="542">
        <v>0</v>
      </c>
      <c r="BP298" s="542">
        <v>0</v>
      </c>
      <c r="BQ298" s="542">
        <v>0</v>
      </c>
      <c r="BR298" s="542">
        <v>35086.03</v>
      </c>
      <c r="BS298" s="542">
        <v>0</v>
      </c>
      <c r="BT298" s="542">
        <v>716.04</v>
      </c>
      <c r="BU298" s="542">
        <v>0</v>
      </c>
      <c r="BV298" s="542">
        <v>0</v>
      </c>
      <c r="BW298" s="542">
        <v>0</v>
      </c>
      <c r="BX298" s="542">
        <v>35086</v>
      </c>
      <c r="BY298" s="542">
        <v>0</v>
      </c>
      <c r="BZ298" s="542">
        <v>716</v>
      </c>
      <c r="CA298" s="542">
        <v>612574.41</v>
      </c>
      <c r="CB298" s="542">
        <v>0</v>
      </c>
      <c r="CC298" s="542">
        <v>12501.52</v>
      </c>
      <c r="CD298" s="542">
        <v>495202</v>
      </c>
      <c r="CE298" s="542">
        <v>0</v>
      </c>
      <c r="CF298" s="542">
        <v>10106</v>
      </c>
      <c r="CG298" s="542">
        <v>117372</v>
      </c>
      <c r="CH298" s="542">
        <v>0</v>
      </c>
      <c r="CI298" s="542">
        <v>2396</v>
      </c>
      <c r="CJ298" s="542">
        <v>0</v>
      </c>
      <c r="CK298" s="542">
        <v>0</v>
      </c>
      <c r="CL298" s="542">
        <v>0</v>
      </c>
      <c r="CM298" s="542">
        <v>0</v>
      </c>
      <c r="CN298" s="542">
        <v>0</v>
      </c>
      <c r="CO298" s="542">
        <v>0</v>
      </c>
      <c r="CP298" s="542">
        <v>0</v>
      </c>
      <c r="CQ298" s="542">
        <v>0</v>
      </c>
      <c r="CR298" s="542">
        <v>0</v>
      </c>
      <c r="CS298" s="542">
        <v>0</v>
      </c>
      <c r="CT298" s="542">
        <v>0</v>
      </c>
      <c r="CU298" s="542">
        <v>0</v>
      </c>
      <c r="CV298" s="542">
        <v>615264.9</v>
      </c>
      <c r="CW298" s="542">
        <v>0</v>
      </c>
      <c r="CX298" s="542">
        <v>12556.43</v>
      </c>
      <c r="CY298" s="542">
        <v>630749</v>
      </c>
      <c r="CZ298" s="542">
        <v>0</v>
      </c>
      <c r="DA298" s="542">
        <v>12773</v>
      </c>
      <c r="DB298" s="542">
        <v>-15484</v>
      </c>
      <c r="DC298" s="542">
        <v>0</v>
      </c>
      <c r="DD298" s="542">
        <v>-217</v>
      </c>
      <c r="DE298" s="153" t="s">
        <v>461</v>
      </c>
      <c r="DF298" s="103" t="s">
        <v>763</v>
      </c>
      <c r="DG298" s="104" t="s">
        <v>781</v>
      </c>
      <c r="DH298" s="548"/>
      <c r="DI298" s="548"/>
    </row>
    <row r="299" spans="1:113" x14ac:dyDescent="0.2">
      <c r="A299" s="93">
        <v>293</v>
      </c>
      <c r="B299" s="145" t="s">
        <v>464</v>
      </c>
      <c r="C299" s="141" t="s">
        <v>873</v>
      </c>
      <c r="D299" s="142" t="s">
        <v>876</v>
      </c>
      <c r="E299" s="149" t="s">
        <v>463</v>
      </c>
      <c r="F299" s="542">
        <v>-1782760</v>
      </c>
      <c r="G299" s="542">
        <v>-64</v>
      </c>
      <c r="H299" s="542">
        <v>-1782824</v>
      </c>
      <c r="I299" s="542">
        <v>124925</v>
      </c>
      <c r="J299" s="542">
        <v>0</v>
      </c>
      <c r="K299" s="542">
        <v>124925</v>
      </c>
      <c r="L299" s="542">
        <v>-1907685</v>
      </c>
      <c r="M299" s="542">
        <v>-64</v>
      </c>
      <c r="N299" s="542">
        <v>-1907749</v>
      </c>
      <c r="O299" s="543">
        <v>0.5</v>
      </c>
      <c r="P299" s="543">
        <v>0.49</v>
      </c>
      <c r="Q299" s="543">
        <v>0</v>
      </c>
      <c r="R299" s="543">
        <v>0.01</v>
      </c>
      <c r="S299" s="542">
        <v>343486</v>
      </c>
      <c r="T299" s="542">
        <v>343486</v>
      </c>
      <c r="U299" s="542">
        <v>0</v>
      </c>
      <c r="V299" s="542">
        <v>8564</v>
      </c>
      <c r="W299" s="542">
        <v>0</v>
      </c>
      <c r="X299" s="542">
        <v>8564</v>
      </c>
      <c r="Y299" s="542">
        <v>0</v>
      </c>
      <c r="Z299" s="542">
        <v>0</v>
      </c>
      <c r="AA299" s="542">
        <v>0</v>
      </c>
      <c r="AB299" s="542">
        <v>0</v>
      </c>
      <c r="AC299" s="542">
        <v>0</v>
      </c>
      <c r="AD299" s="542">
        <v>0</v>
      </c>
      <c r="AE299" s="542">
        <v>0</v>
      </c>
      <c r="AF299" s="542">
        <v>0</v>
      </c>
      <c r="AG299" s="542">
        <v>0</v>
      </c>
      <c r="AH299" s="542">
        <v>0</v>
      </c>
      <c r="AI299" s="542">
        <v>62901</v>
      </c>
      <c r="AJ299" s="542">
        <v>62901</v>
      </c>
      <c r="AK299" s="542">
        <v>0</v>
      </c>
      <c r="AL299" s="542">
        <v>0</v>
      </c>
      <c r="AM299" s="542">
        <v>-62901</v>
      </c>
      <c r="AN299" s="542">
        <v>-62901</v>
      </c>
      <c r="AO299" s="542">
        <v>0</v>
      </c>
      <c r="AP299" s="542">
        <v>0</v>
      </c>
      <c r="AQ299" s="542">
        <v>1397064.82</v>
      </c>
      <c r="AR299" s="542">
        <v>0</v>
      </c>
      <c r="AS299" s="542">
        <v>28503.39</v>
      </c>
      <c r="AT299" s="542">
        <v>1297849</v>
      </c>
      <c r="AU299" s="542">
        <v>0</v>
      </c>
      <c r="AV299" s="542">
        <v>26487</v>
      </c>
      <c r="AW299" s="542">
        <v>99216</v>
      </c>
      <c r="AX299" s="542">
        <v>0</v>
      </c>
      <c r="AY299" s="542">
        <v>2016</v>
      </c>
      <c r="AZ299" s="542">
        <v>4693.03</v>
      </c>
      <c r="BA299" s="542">
        <v>0</v>
      </c>
      <c r="BB299" s="542">
        <v>95.78</v>
      </c>
      <c r="BC299" s="542">
        <v>35691</v>
      </c>
      <c r="BD299" s="542">
        <v>0</v>
      </c>
      <c r="BE299" s="542">
        <v>728</v>
      </c>
      <c r="BF299" s="542">
        <v>-30998</v>
      </c>
      <c r="BG299" s="542">
        <v>0</v>
      </c>
      <c r="BH299" s="542">
        <v>-632</v>
      </c>
      <c r="BI299" s="542">
        <v>0</v>
      </c>
      <c r="BJ299" s="542">
        <v>0</v>
      </c>
      <c r="BK299" s="542">
        <v>0</v>
      </c>
      <c r="BL299" s="542">
        <v>0</v>
      </c>
      <c r="BM299" s="542">
        <v>0</v>
      </c>
      <c r="BN299" s="542">
        <v>0</v>
      </c>
      <c r="BO299" s="542">
        <v>0</v>
      </c>
      <c r="BP299" s="542">
        <v>0</v>
      </c>
      <c r="BQ299" s="542">
        <v>0</v>
      </c>
      <c r="BR299" s="542">
        <v>4189.8999999999996</v>
      </c>
      <c r="BS299" s="542">
        <v>0</v>
      </c>
      <c r="BT299" s="542">
        <v>85.51</v>
      </c>
      <c r="BU299" s="542">
        <v>63205.56</v>
      </c>
      <c r="BV299" s="542">
        <v>0</v>
      </c>
      <c r="BW299" s="542">
        <v>1289.9100000000001</v>
      </c>
      <c r="BX299" s="542">
        <v>-59016</v>
      </c>
      <c r="BY299" s="542">
        <v>0</v>
      </c>
      <c r="BZ299" s="542">
        <v>-1204</v>
      </c>
      <c r="CA299" s="542">
        <v>333921.44</v>
      </c>
      <c r="CB299" s="542">
        <v>0</v>
      </c>
      <c r="CC299" s="542">
        <v>6814.72</v>
      </c>
      <c r="CD299" s="542">
        <v>439982.75</v>
      </c>
      <c r="CE299" s="542">
        <v>0</v>
      </c>
      <c r="CF299" s="542">
        <v>8979.24</v>
      </c>
      <c r="CG299" s="542">
        <v>-106061</v>
      </c>
      <c r="CH299" s="542">
        <v>0</v>
      </c>
      <c r="CI299" s="542">
        <v>-2165</v>
      </c>
      <c r="CJ299" s="542">
        <v>0</v>
      </c>
      <c r="CK299" s="542">
        <v>0</v>
      </c>
      <c r="CL299" s="542">
        <v>0</v>
      </c>
      <c r="CM299" s="542">
        <v>0</v>
      </c>
      <c r="CN299" s="542">
        <v>0</v>
      </c>
      <c r="CO299" s="542">
        <v>0</v>
      </c>
      <c r="CP299" s="542">
        <v>0</v>
      </c>
      <c r="CQ299" s="542">
        <v>0</v>
      </c>
      <c r="CR299" s="542">
        <v>0</v>
      </c>
      <c r="CS299" s="542">
        <v>0</v>
      </c>
      <c r="CT299" s="542">
        <v>0</v>
      </c>
      <c r="CU299" s="542">
        <v>0</v>
      </c>
      <c r="CV299" s="542">
        <v>320915.49</v>
      </c>
      <c r="CW299" s="542">
        <v>0</v>
      </c>
      <c r="CX299" s="542">
        <v>6547.44</v>
      </c>
      <c r="CY299" s="542">
        <v>361313</v>
      </c>
      <c r="CZ299" s="542">
        <v>0</v>
      </c>
      <c r="DA299" s="542">
        <v>7286</v>
      </c>
      <c r="DB299" s="542">
        <v>-40398</v>
      </c>
      <c r="DC299" s="542">
        <v>0</v>
      </c>
      <c r="DD299" s="542">
        <v>-739</v>
      </c>
      <c r="DE299" s="153" t="s">
        <v>463</v>
      </c>
      <c r="DF299" s="103" t="s">
        <v>763</v>
      </c>
      <c r="DG299" s="104" t="s">
        <v>773</v>
      </c>
      <c r="DH299" s="549" t="s">
        <v>1207</v>
      </c>
      <c r="DI299" s="549"/>
    </row>
    <row r="300" spans="1:113" x14ac:dyDescent="0.2">
      <c r="A300" s="93">
        <v>294</v>
      </c>
      <c r="B300" s="145" t="s">
        <v>466</v>
      </c>
      <c r="C300" s="141" t="s">
        <v>871</v>
      </c>
      <c r="D300" s="142" t="s">
        <v>872</v>
      </c>
      <c r="E300" s="149" t="s">
        <v>465</v>
      </c>
      <c r="F300" s="542">
        <v>-1621630</v>
      </c>
      <c r="G300" s="542">
        <v>0</v>
      </c>
      <c r="H300" s="542">
        <v>-1621630</v>
      </c>
      <c r="I300" s="542">
        <v>209633</v>
      </c>
      <c r="J300" s="542">
        <v>0</v>
      </c>
      <c r="K300" s="542">
        <v>209633</v>
      </c>
      <c r="L300" s="542">
        <v>-1831263</v>
      </c>
      <c r="M300" s="542">
        <v>0</v>
      </c>
      <c r="N300" s="542">
        <v>-1831263</v>
      </c>
      <c r="O300" s="543">
        <v>0.5</v>
      </c>
      <c r="P300" s="543">
        <v>0.3</v>
      </c>
      <c r="Q300" s="543">
        <v>0.2</v>
      </c>
      <c r="R300" s="543">
        <v>0</v>
      </c>
      <c r="S300" s="542">
        <v>291662</v>
      </c>
      <c r="T300" s="542">
        <v>291662</v>
      </c>
      <c r="U300" s="542">
        <v>0</v>
      </c>
      <c r="V300" s="542">
        <v>0</v>
      </c>
      <c r="W300" s="542">
        <v>0</v>
      </c>
      <c r="X300" s="542">
        <v>0</v>
      </c>
      <c r="Y300" s="542">
        <v>0</v>
      </c>
      <c r="Z300" s="542">
        <v>0</v>
      </c>
      <c r="AA300" s="542">
        <v>0</v>
      </c>
      <c r="AB300" s="542">
        <v>0</v>
      </c>
      <c r="AC300" s="542">
        <v>0</v>
      </c>
      <c r="AD300" s="542">
        <v>0</v>
      </c>
      <c r="AE300" s="542">
        <v>0</v>
      </c>
      <c r="AF300" s="542">
        <v>0</v>
      </c>
      <c r="AG300" s="542">
        <v>0</v>
      </c>
      <c r="AH300" s="542">
        <v>0</v>
      </c>
      <c r="AI300" s="542">
        <v>0</v>
      </c>
      <c r="AJ300" s="542">
        <v>0</v>
      </c>
      <c r="AK300" s="542">
        <v>0</v>
      </c>
      <c r="AL300" s="542">
        <v>0</v>
      </c>
      <c r="AM300" s="542">
        <v>0</v>
      </c>
      <c r="AN300" s="542">
        <v>0</v>
      </c>
      <c r="AO300" s="542">
        <v>0</v>
      </c>
      <c r="AP300" s="542">
        <v>0</v>
      </c>
      <c r="AQ300" s="542">
        <v>794885.74</v>
      </c>
      <c r="AR300" s="542">
        <v>529923.826</v>
      </c>
      <c r="AS300" s="542">
        <v>0</v>
      </c>
      <c r="AT300" s="542">
        <v>771827</v>
      </c>
      <c r="AU300" s="542">
        <v>514552</v>
      </c>
      <c r="AV300" s="542">
        <v>0</v>
      </c>
      <c r="AW300" s="542">
        <v>23059</v>
      </c>
      <c r="AX300" s="542">
        <v>15372</v>
      </c>
      <c r="AY300" s="542">
        <v>0</v>
      </c>
      <c r="AZ300" s="542">
        <v>375.03949</v>
      </c>
      <c r="BA300" s="542">
        <v>250.02632700000001</v>
      </c>
      <c r="BB300" s="542">
        <v>0</v>
      </c>
      <c r="BC300" s="542">
        <v>0</v>
      </c>
      <c r="BD300" s="542">
        <v>0</v>
      </c>
      <c r="BE300" s="542">
        <v>0</v>
      </c>
      <c r="BF300" s="542">
        <v>375</v>
      </c>
      <c r="BG300" s="542">
        <v>250</v>
      </c>
      <c r="BH300" s="542">
        <v>0</v>
      </c>
      <c r="BI300" s="542">
        <v>19345.307000000001</v>
      </c>
      <c r="BJ300" s="542">
        <v>12896.871300000001</v>
      </c>
      <c r="BK300" s="542">
        <v>0</v>
      </c>
      <c r="BL300" s="542">
        <v>15159</v>
      </c>
      <c r="BM300" s="542">
        <v>10106</v>
      </c>
      <c r="BN300" s="542">
        <v>0</v>
      </c>
      <c r="BO300" s="542">
        <v>4186</v>
      </c>
      <c r="BP300" s="542">
        <v>2791</v>
      </c>
      <c r="BQ300" s="542">
        <v>0</v>
      </c>
      <c r="BR300" s="542">
        <v>0</v>
      </c>
      <c r="BS300" s="542">
        <v>0</v>
      </c>
      <c r="BT300" s="542">
        <v>0</v>
      </c>
      <c r="BU300" s="542">
        <v>24254.776999999998</v>
      </c>
      <c r="BV300" s="542">
        <v>16169.8513</v>
      </c>
      <c r="BW300" s="542">
        <v>0</v>
      </c>
      <c r="BX300" s="542">
        <v>-24255</v>
      </c>
      <c r="BY300" s="542">
        <v>-16170</v>
      </c>
      <c r="BZ300" s="542">
        <v>0</v>
      </c>
      <c r="CA300" s="542">
        <v>469885.97700000001</v>
      </c>
      <c r="CB300" s="542">
        <v>313257.31800000003</v>
      </c>
      <c r="CC300" s="542">
        <v>0</v>
      </c>
      <c r="CD300" s="542">
        <v>454777.07</v>
      </c>
      <c r="CE300" s="542">
        <v>303184.71299999999</v>
      </c>
      <c r="CF300" s="542">
        <v>0</v>
      </c>
      <c r="CG300" s="542">
        <v>15109</v>
      </c>
      <c r="CH300" s="542">
        <v>10073</v>
      </c>
      <c r="CI300" s="542">
        <v>0</v>
      </c>
      <c r="CJ300" s="542">
        <v>0</v>
      </c>
      <c r="CK300" s="542">
        <v>0</v>
      </c>
      <c r="CL300" s="542">
        <v>0</v>
      </c>
      <c r="CM300" s="542">
        <v>0</v>
      </c>
      <c r="CN300" s="542">
        <v>0</v>
      </c>
      <c r="CO300" s="542">
        <v>0</v>
      </c>
      <c r="CP300" s="542">
        <v>0</v>
      </c>
      <c r="CQ300" s="542">
        <v>0</v>
      </c>
      <c r="CR300" s="542">
        <v>0</v>
      </c>
      <c r="CS300" s="542">
        <v>0</v>
      </c>
      <c r="CT300" s="542">
        <v>0</v>
      </c>
      <c r="CU300" s="542">
        <v>0</v>
      </c>
      <c r="CV300" s="542">
        <v>162920.99600000001</v>
      </c>
      <c r="CW300" s="542">
        <v>108613.997</v>
      </c>
      <c r="CX300" s="542">
        <v>0</v>
      </c>
      <c r="CY300" s="542">
        <v>177842</v>
      </c>
      <c r="CZ300" s="542">
        <v>116497</v>
      </c>
      <c r="DA300" s="542">
        <v>0</v>
      </c>
      <c r="DB300" s="542">
        <v>-14921</v>
      </c>
      <c r="DC300" s="542">
        <v>-7883</v>
      </c>
      <c r="DD300" s="542">
        <v>0</v>
      </c>
      <c r="DE300" s="153" t="s">
        <v>465</v>
      </c>
      <c r="DF300" s="103" t="s">
        <v>762</v>
      </c>
      <c r="DG300" s="103" t="s">
        <v>750</v>
      </c>
      <c r="DH300" s="547"/>
      <c r="DI300" s="547"/>
    </row>
    <row r="301" spans="1:113" x14ac:dyDescent="0.2">
      <c r="A301" s="93">
        <v>295</v>
      </c>
      <c r="B301" s="145" t="s">
        <v>468</v>
      </c>
      <c r="C301" s="141" t="s">
        <v>877</v>
      </c>
      <c r="D301" s="142" t="s">
        <v>872</v>
      </c>
      <c r="E301" s="149" t="s">
        <v>467</v>
      </c>
      <c r="F301" s="542">
        <v>-114212</v>
      </c>
      <c r="G301" s="542">
        <v>0</v>
      </c>
      <c r="H301" s="542">
        <v>-114212</v>
      </c>
      <c r="I301" s="542">
        <v>160828</v>
      </c>
      <c r="J301" s="542">
        <v>0</v>
      </c>
      <c r="K301" s="542">
        <v>160828</v>
      </c>
      <c r="L301" s="542">
        <v>-275040</v>
      </c>
      <c r="M301" s="542">
        <v>0</v>
      </c>
      <c r="N301" s="542">
        <v>-275040</v>
      </c>
      <c r="O301" s="543">
        <v>0.5</v>
      </c>
      <c r="P301" s="543">
        <v>0.3</v>
      </c>
      <c r="Q301" s="543">
        <v>0.2</v>
      </c>
      <c r="R301" s="543">
        <v>0</v>
      </c>
      <c r="S301" s="542">
        <v>477094</v>
      </c>
      <c r="T301" s="542">
        <v>477094</v>
      </c>
      <c r="U301" s="542">
        <v>0</v>
      </c>
      <c r="V301" s="542">
        <v>0</v>
      </c>
      <c r="W301" s="542">
        <v>0</v>
      </c>
      <c r="X301" s="542">
        <v>0</v>
      </c>
      <c r="Y301" s="542">
        <v>0</v>
      </c>
      <c r="Z301" s="542">
        <v>0</v>
      </c>
      <c r="AA301" s="542">
        <v>0</v>
      </c>
      <c r="AB301" s="542">
        <v>0</v>
      </c>
      <c r="AC301" s="542">
        <v>0</v>
      </c>
      <c r="AD301" s="542">
        <v>0</v>
      </c>
      <c r="AE301" s="542">
        <v>0</v>
      </c>
      <c r="AF301" s="542">
        <v>0</v>
      </c>
      <c r="AG301" s="542">
        <v>0</v>
      </c>
      <c r="AH301" s="542">
        <v>0</v>
      </c>
      <c r="AI301" s="542">
        <v>0</v>
      </c>
      <c r="AJ301" s="542">
        <v>0</v>
      </c>
      <c r="AK301" s="542">
        <v>0</v>
      </c>
      <c r="AL301" s="542">
        <v>0</v>
      </c>
      <c r="AM301" s="542">
        <v>0</v>
      </c>
      <c r="AN301" s="542">
        <v>0</v>
      </c>
      <c r="AO301" s="542">
        <v>0</v>
      </c>
      <c r="AP301" s="542">
        <v>0</v>
      </c>
      <c r="AQ301" s="542">
        <v>574657.06299999997</v>
      </c>
      <c r="AR301" s="542">
        <v>383104.70899999997</v>
      </c>
      <c r="AS301" s="542">
        <v>0</v>
      </c>
      <c r="AT301" s="542">
        <v>508094</v>
      </c>
      <c r="AU301" s="542">
        <v>338730</v>
      </c>
      <c r="AV301" s="542">
        <v>0</v>
      </c>
      <c r="AW301" s="542">
        <v>66563</v>
      </c>
      <c r="AX301" s="542">
        <v>44375</v>
      </c>
      <c r="AY301" s="542">
        <v>0</v>
      </c>
      <c r="AZ301" s="542">
        <v>2222.3439400000002</v>
      </c>
      <c r="BA301" s="542">
        <v>1481.5626299999999</v>
      </c>
      <c r="BB301" s="542">
        <v>0</v>
      </c>
      <c r="BC301" s="542">
        <v>53483</v>
      </c>
      <c r="BD301" s="542">
        <v>35656</v>
      </c>
      <c r="BE301" s="542">
        <v>0</v>
      </c>
      <c r="BF301" s="542">
        <v>-51261</v>
      </c>
      <c r="BG301" s="542">
        <v>-34174</v>
      </c>
      <c r="BH301" s="542">
        <v>0</v>
      </c>
      <c r="BI301" s="542">
        <v>0</v>
      </c>
      <c r="BJ301" s="542">
        <v>0</v>
      </c>
      <c r="BK301" s="542">
        <v>0</v>
      </c>
      <c r="BL301" s="542">
        <v>30319</v>
      </c>
      <c r="BM301" s="542">
        <v>20212</v>
      </c>
      <c r="BN301" s="542">
        <v>0</v>
      </c>
      <c r="BO301" s="542">
        <v>-30319</v>
      </c>
      <c r="BP301" s="542">
        <v>-20212</v>
      </c>
      <c r="BQ301" s="542">
        <v>0</v>
      </c>
      <c r="BR301" s="542">
        <v>483.57961699999998</v>
      </c>
      <c r="BS301" s="542">
        <v>322.38641100000001</v>
      </c>
      <c r="BT301" s="542">
        <v>0</v>
      </c>
      <c r="BU301" s="542">
        <v>15786</v>
      </c>
      <c r="BV301" s="542">
        <v>10524</v>
      </c>
      <c r="BW301" s="542">
        <v>0</v>
      </c>
      <c r="BX301" s="542">
        <v>-15302</v>
      </c>
      <c r="BY301" s="542">
        <v>-10202</v>
      </c>
      <c r="BZ301" s="542">
        <v>0</v>
      </c>
      <c r="CA301" s="542">
        <v>498134.30300000001</v>
      </c>
      <c r="CB301" s="542">
        <v>332089.53499999997</v>
      </c>
      <c r="CC301" s="542">
        <v>0</v>
      </c>
      <c r="CD301" s="542">
        <v>571548</v>
      </c>
      <c r="CE301" s="542">
        <v>381032</v>
      </c>
      <c r="CF301" s="542">
        <v>0</v>
      </c>
      <c r="CG301" s="542">
        <v>-73414</v>
      </c>
      <c r="CH301" s="542">
        <v>-48942</v>
      </c>
      <c r="CI301" s="542">
        <v>0</v>
      </c>
      <c r="CJ301" s="542">
        <v>0</v>
      </c>
      <c r="CK301" s="542">
        <v>0</v>
      </c>
      <c r="CL301" s="542">
        <v>0</v>
      </c>
      <c r="CM301" s="542">
        <v>0</v>
      </c>
      <c r="CN301" s="542">
        <v>0</v>
      </c>
      <c r="CO301" s="542">
        <v>0</v>
      </c>
      <c r="CP301" s="542">
        <v>0</v>
      </c>
      <c r="CQ301" s="542">
        <v>0</v>
      </c>
      <c r="CR301" s="542">
        <v>0</v>
      </c>
      <c r="CS301" s="542">
        <v>0</v>
      </c>
      <c r="CT301" s="542">
        <v>0</v>
      </c>
      <c r="CU301" s="542">
        <v>0</v>
      </c>
      <c r="CV301" s="542">
        <v>321445.652</v>
      </c>
      <c r="CW301" s="542">
        <v>214297.101</v>
      </c>
      <c r="CX301" s="542">
        <v>0</v>
      </c>
      <c r="CY301" s="542">
        <v>329415</v>
      </c>
      <c r="CZ301" s="542">
        <v>216233</v>
      </c>
      <c r="DA301" s="542">
        <v>0</v>
      </c>
      <c r="DB301" s="542">
        <v>-7969</v>
      </c>
      <c r="DC301" s="542">
        <v>-1936</v>
      </c>
      <c r="DD301" s="542">
        <v>0</v>
      </c>
      <c r="DE301" s="153" t="s">
        <v>467</v>
      </c>
      <c r="DF301" s="103" t="s">
        <v>762</v>
      </c>
      <c r="DG301" s="103" t="s">
        <v>750</v>
      </c>
      <c r="DH301" s="547"/>
      <c r="DI301" s="547"/>
    </row>
    <row r="302" spans="1:113" x14ac:dyDescent="0.2">
      <c r="A302" s="93">
        <v>296</v>
      </c>
      <c r="B302" s="145" t="s">
        <v>470</v>
      </c>
      <c r="C302" s="141" t="s">
        <v>770</v>
      </c>
      <c r="D302" s="142" t="s">
        <v>868</v>
      </c>
      <c r="E302" s="149" t="s">
        <v>734</v>
      </c>
      <c r="F302" s="542">
        <v>-1208133</v>
      </c>
      <c r="G302" s="542">
        <v>0</v>
      </c>
      <c r="H302" s="542">
        <v>-1208133</v>
      </c>
      <c r="I302" s="542">
        <v>84792</v>
      </c>
      <c r="J302" s="542">
        <v>0</v>
      </c>
      <c r="K302" s="542">
        <v>84792</v>
      </c>
      <c r="L302" s="542">
        <v>-1292925</v>
      </c>
      <c r="M302" s="542">
        <v>0</v>
      </c>
      <c r="N302" s="542">
        <v>-1292925</v>
      </c>
      <c r="O302" s="543">
        <v>0.5</v>
      </c>
      <c r="P302" s="543">
        <v>0.49</v>
      </c>
      <c r="Q302" s="543">
        <v>0</v>
      </c>
      <c r="R302" s="543">
        <v>0.01</v>
      </c>
      <c r="S302" s="542">
        <v>306743</v>
      </c>
      <c r="T302" s="542">
        <v>306743</v>
      </c>
      <c r="U302" s="542">
        <v>0</v>
      </c>
      <c r="V302" s="542">
        <v>0</v>
      </c>
      <c r="W302" s="542">
        <v>0</v>
      </c>
      <c r="X302" s="542">
        <v>0</v>
      </c>
      <c r="Y302" s="542">
        <v>0</v>
      </c>
      <c r="Z302" s="542">
        <v>0</v>
      </c>
      <c r="AA302" s="542">
        <v>0</v>
      </c>
      <c r="AB302" s="542">
        <v>0</v>
      </c>
      <c r="AC302" s="542">
        <v>0</v>
      </c>
      <c r="AD302" s="542">
        <v>0</v>
      </c>
      <c r="AE302" s="542">
        <v>0</v>
      </c>
      <c r="AF302" s="542">
        <v>0</v>
      </c>
      <c r="AG302" s="542">
        <v>0</v>
      </c>
      <c r="AH302" s="542">
        <v>0</v>
      </c>
      <c r="AI302" s="542">
        <v>0</v>
      </c>
      <c r="AJ302" s="542">
        <v>0</v>
      </c>
      <c r="AK302" s="542">
        <v>0</v>
      </c>
      <c r="AL302" s="542">
        <v>0</v>
      </c>
      <c r="AM302" s="542">
        <v>0</v>
      </c>
      <c r="AN302" s="542">
        <v>0</v>
      </c>
      <c r="AO302" s="542">
        <v>0</v>
      </c>
      <c r="AP302" s="542">
        <v>0</v>
      </c>
      <c r="AQ302" s="542">
        <v>778119.84</v>
      </c>
      <c r="AR302" s="542">
        <v>0</v>
      </c>
      <c r="AS302" s="542">
        <v>15880</v>
      </c>
      <c r="AT302" s="542">
        <v>665741</v>
      </c>
      <c r="AU302" s="542">
        <v>0</v>
      </c>
      <c r="AV302" s="542">
        <v>13587</v>
      </c>
      <c r="AW302" s="542">
        <v>112379</v>
      </c>
      <c r="AX302" s="542">
        <v>0</v>
      </c>
      <c r="AY302" s="542">
        <v>2293</v>
      </c>
      <c r="AZ302" s="542">
        <v>0</v>
      </c>
      <c r="BA302" s="542">
        <v>0</v>
      </c>
      <c r="BB302" s="542">
        <v>0</v>
      </c>
      <c r="BC302" s="542">
        <v>0</v>
      </c>
      <c r="BD302" s="542">
        <v>0</v>
      </c>
      <c r="BE302" s="542">
        <v>0</v>
      </c>
      <c r="BF302" s="542">
        <v>0</v>
      </c>
      <c r="BG302" s="542">
        <v>0</v>
      </c>
      <c r="BH302" s="542">
        <v>0</v>
      </c>
      <c r="BI302" s="542">
        <v>0</v>
      </c>
      <c r="BJ302" s="542">
        <v>0</v>
      </c>
      <c r="BK302" s="542">
        <v>0</v>
      </c>
      <c r="BL302" s="542">
        <v>0</v>
      </c>
      <c r="BM302" s="542">
        <v>0</v>
      </c>
      <c r="BN302" s="542">
        <v>0</v>
      </c>
      <c r="BO302" s="542">
        <v>0</v>
      </c>
      <c r="BP302" s="542">
        <v>0</v>
      </c>
      <c r="BQ302" s="542">
        <v>0</v>
      </c>
      <c r="BR302" s="542">
        <v>3079.66</v>
      </c>
      <c r="BS302" s="542">
        <v>0</v>
      </c>
      <c r="BT302" s="542">
        <v>62.85</v>
      </c>
      <c r="BU302" s="542">
        <v>0</v>
      </c>
      <c r="BV302" s="542">
        <v>0</v>
      </c>
      <c r="BW302" s="542">
        <v>0</v>
      </c>
      <c r="BX302" s="542">
        <v>3080</v>
      </c>
      <c r="BY302" s="542">
        <v>0</v>
      </c>
      <c r="BZ302" s="542">
        <v>63</v>
      </c>
      <c r="CA302" s="542">
        <v>302837.63</v>
      </c>
      <c r="CB302" s="542">
        <v>0</v>
      </c>
      <c r="CC302" s="542">
        <v>6180.36</v>
      </c>
      <c r="CD302" s="542">
        <v>506702.26</v>
      </c>
      <c r="CE302" s="542">
        <v>0</v>
      </c>
      <c r="CF302" s="542">
        <v>10340.86</v>
      </c>
      <c r="CG302" s="542">
        <v>-203865</v>
      </c>
      <c r="CH302" s="542">
        <v>0</v>
      </c>
      <c r="CI302" s="542">
        <v>-4161</v>
      </c>
      <c r="CJ302" s="542">
        <v>0</v>
      </c>
      <c r="CK302" s="542">
        <v>0</v>
      </c>
      <c r="CL302" s="542">
        <v>0</v>
      </c>
      <c r="CM302" s="542">
        <v>7160.12</v>
      </c>
      <c r="CN302" s="542">
        <v>0</v>
      </c>
      <c r="CO302" s="542">
        <v>146.12</v>
      </c>
      <c r="CP302" s="542">
        <v>0</v>
      </c>
      <c r="CQ302" s="542">
        <v>0</v>
      </c>
      <c r="CR302" s="542">
        <v>0</v>
      </c>
      <c r="CS302" s="542">
        <v>7160</v>
      </c>
      <c r="CT302" s="542">
        <v>0</v>
      </c>
      <c r="CU302" s="542">
        <v>146</v>
      </c>
      <c r="CV302" s="542">
        <v>526655.78</v>
      </c>
      <c r="CW302" s="542">
        <v>0</v>
      </c>
      <c r="CX302" s="542">
        <v>10748.08</v>
      </c>
      <c r="CY302" s="542">
        <v>543814</v>
      </c>
      <c r="CZ302" s="542">
        <v>0</v>
      </c>
      <c r="DA302" s="542">
        <v>11032</v>
      </c>
      <c r="DB302" s="542">
        <v>-17158</v>
      </c>
      <c r="DC302" s="542">
        <v>0</v>
      </c>
      <c r="DD302" s="542">
        <v>-284</v>
      </c>
      <c r="DE302" s="153" t="s">
        <v>734</v>
      </c>
      <c r="DF302" s="103" t="s">
        <v>770</v>
      </c>
      <c r="DG302" s="104" t="s">
        <v>796</v>
      </c>
      <c r="DH302" s="547"/>
      <c r="DI302" s="547"/>
    </row>
    <row r="303" spans="1:113" x14ac:dyDescent="0.2">
      <c r="A303" s="93">
        <v>297</v>
      </c>
      <c r="B303" s="145" t="s">
        <v>472</v>
      </c>
      <c r="C303" s="141" t="s">
        <v>866</v>
      </c>
      <c r="D303" s="142" t="s">
        <v>876</v>
      </c>
      <c r="E303" s="149" t="s">
        <v>471</v>
      </c>
      <c r="F303" s="542">
        <v>-795515</v>
      </c>
      <c r="G303" s="542">
        <v>0</v>
      </c>
      <c r="H303" s="542">
        <v>-795515</v>
      </c>
      <c r="I303" s="542">
        <v>39155</v>
      </c>
      <c r="J303" s="542">
        <v>0</v>
      </c>
      <c r="K303" s="542">
        <v>39155</v>
      </c>
      <c r="L303" s="542">
        <v>-834670</v>
      </c>
      <c r="M303" s="542">
        <v>0</v>
      </c>
      <c r="N303" s="542">
        <v>-834670</v>
      </c>
      <c r="O303" s="543">
        <v>0.5</v>
      </c>
      <c r="P303" s="543">
        <v>0.4</v>
      </c>
      <c r="Q303" s="543">
        <v>0.1</v>
      </c>
      <c r="R303" s="543">
        <v>0</v>
      </c>
      <c r="S303" s="542">
        <v>213591</v>
      </c>
      <c r="T303" s="542">
        <v>213591</v>
      </c>
      <c r="U303" s="542">
        <v>0</v>
      </c>
      <c r="V303" s="542">
        <v>0</v>
      </c>
      <c r="W303" s="542">
        <v>0</v>
      </c>
      <c r="X303" s="542">
        <v>0</v>
      </c>
      <c r="Y303" s="542">
        <v>0</v>
      </c>
      <c r="Z303" s="542">
        <v>0</v>
      </c>
      <c r="AA303" s="542">
        <v>0</v>
      </c>
      <c r="AB303" s="542">
        <v>0</v>
      </c>
      <c r="AC303" s="542">
        <v>0</v>
      </c>
      <c r="AD303" s="542">
        <v>0</v>
      </c>
      <c r="AE303" s="542">
        <v>0</v>
      </c>
      <c r="AF303" s="542">
        <v>0</v>
      </c>
      <c r="AG303" s="542">
        <v>0</v>
      </c>
      <c r="AH303" s="542">
        <v>0</v>
      </c>
      <c r="AI303" s="542">
        <v>0</v>
      </c>
      <c r="AJ303" s="542">
        <v>0</v>
      </c>
      <c r="AK303" s="542">
        <v>0</v>
      </c>
      <c r="AL303" s="542">
        <v>0</v>
      </c>
      <c r="AM303" s="542">
        <v>0</v>
      </c>
      <c r="AN303" s="542">
        <v>0</v>
      </c>
      <c r="AO303" s="542">
        <v>0</v>
      </c>
      <c r="AP303" s="542">
        <v>0</v>
      </c>
      <c r="AQ303" s="542">
        <v>571282.87</v>
      </c>
      <c r="AR303" s="542">
        <v>142820.717</v>
      </c>
      <c r="AS303" s="542">
        <v>0</v>
      </c>
      <c r="AT303" s="542">
        <v>415258</v>
      </c>
      <c r="AU303" s="542">
        <v>103815</v>
      </c>
      <c r="AV303" s="542">
        <v>0</v>
      </c>
      <c r="AW303" s="542">
        <v>156025</v>
      </c>
      <c r="AX303" s="542">
        <v>39006</v>
      </c>
      <c r="AY303" s="542">
        <v>0</v>
      </c>
      <c r="AZ303" s="542">
        <v>2462.6683600000001</v>
      </c>
      <c r="BA303" s="542">
        <v>615.66709100000003</v>
      </c>
      <c r="BB303" s="542">
        <v>0</v>
      </c>
      <c r="BC303" s="542">
        <v>6064</v>
      </c>
      <c r="BD303" s="542">
        <v>1516</v>
      </c>
      <c r="BE303" s="542">
        <v>0</v>
      </c>
      <c r="BF303" s="542">
        <v>-3601</v>
      </c>
      <c r="BG303" s="542">
        <v>-900</v>
      </c>
      <c r="BH303" s="542">
        <v>0</v>
      </c>
      <c r="BI303" s="542">
        <v>0</v>
      </c>
      <c r="BJ303" s="542">
        <v>0</v>
      </c>
      <c r="BK303" s="542">
        <v>0</v>
      </c>
      <c r="BL303" s="542">
        <v>0</v>
      </c>
      <c r="BM303" s="542">
        <v>0</v>
      </c>
      <c r="BN303" s="542">
        <v>0</v>
      </c>
      <c r="BO303" s="542">
        <v>0</v>
      </c>
      <c r="BP303" s="542">
        <v>0</v>
      </c>
      <c r="BQ303" s="542">
        <v>0</v>
      </c>
      <c r="BR303" s="542">
        <v>3610.3235599999998</v>
      </c>
      <c r="BS303" s="542">
        <v>902.58089099999995</v>
      </c>
      <c r="BT303" s="542">
        <v>0</v>
      </c>
      <c r="BU303" s="542">
        <v>29227</v>
      </c>
      <c r="BV303" s="542">
        <v>7307</v>
      </c>
      <c r="BW303" s="542">
        <v>0</v>
      </c>
      <c r="BX303" s="542">
        <v>-25617</v>
      </c>
      <c r="BY303" s="542">
        <v>-6404</v>
      </c>
      <c r="BZ303" s="542">
        <v>0</v>
      </c>
      <c r="CA303" s="542">
        <v>216801.32399999999</v>
      </c>
      <c r="CB303" s="542">
        <v>54200.331200000001</v>
      </c>
      <c r="CC303" s="542">
        <v>0</v>
      </c>
      <c r="CD303" s="542">
        <v>388885</v>
      </c>
      <c r="CE303" s="542">
        <v>97221</v>
      </c>
      <c r="CF303" s="542">
        <v>0</v>
      </c>
      <c r="CG303" s="542">
        <v>-172084</v>
      </c>
      <c r="CH303" s="542">
        <v>-43021</v>
      </c>
      <c r="CI303" s="542">
        <v>0</v>
      </c>
      <c r="CJ303" s="542">
        <v>0</v>
      </c>
      <c r="CK303" s="542">
        <v>0</v>
      </c>
      <c r="CL303" s="542">
        <v>0</v>
      </c>
      <c r="CM303" s="542">
        <v>0</v>
      </c>
      <c r="CN303" s="542">
        <v>0</v>
      </c>
      <c r="CO303" s="542">
        <v>0</v>
      </c>
      <c r="CP303" s="542">
        <v>0</v>
      </c>
      <c r="CQ303" s="542">
        <v>0</v>
      </c>
      <c r="CR303" s="542">
        <v>0</v>
      </c>
      <c r="CS303" s="542">
        <v>0</v>
      </c>
      <c r="CT303" s="542">
        <v>0</v>
      </c>
      <c r="CU303" s="542">
        <v>0</v>
      </c>
      <c r="CV303" s="542">
        <v>268818.73800000001</v>
      </c>
      <c r="CW303" s="542">
        <v>67204.684699999998</v>
      </c>
      <c r="CX303" s="542">
        <v>0</v>
      </c>
      <c r="CY303" s="542">
        <v>294558</v>
      </c>
      <c r="CZ303" s="542">
        <v>73073</v>
      </c>
      <c r="DA303" s="542">
        <v>0</v>
      </c>
      <c r="DB303" s="542">
        <v>-25739</v>
      </c>
      <c r="DC303" s="542">
        <v>-5868</v>
      </c>
      <c r="DD303" s="542">
        <v>0</v>
      </c>
      <c r="DE303" s="153" t="s">
        <v>471</v>
      </c>
      <c r="DF303" s="103" t="s">
        <v>816</v>
      </c>
      <c r="DG303" s="104" t="s">
        <v>751</v>
      </c>
      <c r="DH303" s="547"/>
      <c r="DI303" s="547"/>
    </row>
    <row r="304" spans="1:113" x14ac:dyDescent="0.2">
      <c r="A304" s="93">
        <v>298</v>
      </c>
      <c r="B304" s="145" t="s">
        <v>474</v>
      </c>
      <c r="C304" s="141" t="s">
        <v>866</v>
      </c>
      <c r="D304" s="142" t="s">
        <v>870</v>
      </c>
      <c r="E304" s="149" t="s">
        <v>473</v>
      </c>
      <c r="F304" s="542">
        <v>-1130871</v>
      </c>
      <c r="G304" s="542">
        <v>0</v>
      </c>
      <c r="H304" s="542">
        <v>-1130871</v>
      </c>
      <c r="I304" s="542">
        <v>201210</v>
      </c>
      <c r="J304" s="542">
        <v>0</v>
      </c>
      <c r="K304" s="542">
        <v>201210</v>
      </c>
      <c r="L304" s="542">
        <v>-1332081</v>
      </c>
      <c r="M304" s="542">
        <v>0</v>
      </c>
      <c r="N304" s="542">
        <v>-1332081</v>
      </c>
      <c r="O304" s="543">
        <v>0.5</v>
      </c>
      <c r="P304" s="543">
        <v>0.4</v>
      </c>
      <c r="Q304" s="543">
        <v>0.1</v>
      </c>
      <c r="R304" s="543">
        <v>0</v>
      </c>
      <c r="S304" s="542">
        <v>174144</v>
      </c>
      <c r="T304" s="542">
        <v>174144</v>
      </c>
      <c r="U304" s="542">
        <v>0</v>
      </c>
      <c r="V304" s="542">
        <v>0</v>
      </c>
      <c r="W304" s="542">
        <v>0</v>
      </c>
      <c r="X304" s="542">
        <v>0</v>
      </c>
      <c r="Y304" s="542">
        <v>0</v>
      </c>
      <c r="Z304" s="542">
        <v>0</v>
      </c>
      <c r="AA304" s="542">
        <v>0</v>
      </c>
      <c r="AB304" s="542">
        <v>0</v>
      </c>
      <c r="AC304" s="542">
        <v>0</v>
      </c>
      <c r="AD304" s="542">
        <v>0</v>
      </c>
      <c r="AE304" s="542">
        <v>0</v>
      </c>
      <c r="AF304" s="542">
        <v>0</v>
      </c>
      <c r="AG304" s="542">
        <v>0</v>
      </c>
      <c r="AH304" s="542">
        <v>0</v>
      </c>
      <c r="AI304" s="542">
        <v>0</v>
      </c>
      <c r="AJ304" s="542">
        <v>0</v>
      </c>
      <c r="AK304" s="542">
        <v>0</v>
      </c>
      <c r="AL304" s="542">
        <v>0</v>
      </c>
      <c r="AM304" s="542">
        <v>0</v>
      </c>
      <c r="AN304" s="542">
        <v>0</v>
      </c>
      <c r="AO304" s="542">
        <v>0</v>
      </c>
      <c r="AP304" s="542">
        <v>0</v>
      </c>
      <c r="AQ304" s="542">
        <v>280726.60800000001</v>
      </c>
      <c r="AR304" s="542">
        <v>70181.652199999997</v>
      </c>
      <c r="AS304" s="542">
        <v>0</v>
      </c>
      <c r="AT304" s="542">
        <v>269557</v>
      </c>
      <c r="AU304" s="542">
        <v>67389</v>
      </c>
      <c r="AV304" s="542">
        <v>0</v>
      </c>
      <c r="AW304" s="542">
        <v>11170</v>
      </c>
      <c r="AX304" s="542">
        <v>2793</v>
      </c>
      <c r="AY304" s="542">
        <v>0</v>
      </c>
      <c r="AZ304" s="542">
        <v>0</v>
      </c>
      <c r="BA304" s="542">
        <v>0</v>
      </c>
      <c r="BB304" s="542">
        <v>0</v>
      </c>
      <c r="BC304" s="542">
        <v>0</v>
      </c>
      <c r="BD304" s="542">
        <v>0</v>
      </c>
      <c r="BE304" s="542">
        <v>0</v>
      </c>
      <c r="BF304" s="542">
        <v>0</v>
      </c>
      <c r="BG304" s="542">
        <v>0</v>
      </c>
      <c r="BH304" s="542">
        <v>0</v>
      </c>
      <c r="BI304" s="542">
        <v>0</v>
      </c>
      <c r="BJ304" s="542">
        <v>0</v>
      </c>
      <c r="BK304" s="542">
        <v>0</v>
      </c>
      <c r="BL304" s="542">
        <v>0</v>
      </c>
      <c r="BM304" s="542">
        <v>0</v>
      </c>
      <c r="BN304" s="542">
        <v>0</v>
      </c>
      <c r="BO304" s="542">
        <v>0</v>
      </c>
      <c r="BP304" s="542">
        <v>0</v>
      </c>
      <c r="BQ304" s="542">
        <v>0</v>
      </c>
      <c r="BR304" s="542">
        <v>2464.68959</v>
      </c>
      <c r="BS304" s="542">
        <v>616.17239900000004</v>
      </c>
      <c r="BT304" s="542">
        <v>0</v>
      </c>
      <c r="BU304" s="542">
        <v>285600</v>
      </c>
      <c r="BV304" s="542">
        <v>71400</v>
      </c>
      <c r="BW304" s="542">
        <v>0</v>
      </c>
      <c r="BX304" s="542">
        <v>-283135</v>
      </c>
      <c r="BY304" s="542">
        <v>-70784</v>
      </c>
      <c r="BZ304" s="542">
        <v>0</v>
      </c>
      <c r="CA304" s="542">
        <v>204393.79300000001</v>
      </c>
      <c r="CB304" s="542">
        <v>51098.448400000001</v>
      </c>
      <c r="CC304" s="542">
        <v>0</v>
      </c>
      <c r="CD304" s="542">
        <v>404246</v>
      </c>
      <c r="CE304" s="542">
        <v>101062</v>
      </c>
      <c r="CF304" s="542">
        <v>0</v>
      </c>
      <c r="CG304" s="542">
        <v>-199852</v>
      </c>
      <c r="CH304" s="542">
        <v>-49964</v>
      </c>
      <c r="CI304" s="542">
        <v>0</v>
      </c>
      <c r="CJ304" s="542">
        <v>0</v>
      </c>
      <c r="CK304" s="542">
        <v>0</v>
      </c>
      <c r="CL304" s="542">
        <v>0</v>
      </c>
      <c r="CM304" s="542">
        <v>0</v>
      </c>
      <c r="CN304" s="542">
        <v>0</v>
      </c>
      <c r="CO304" s="542">
        <v>0</v>
      </c>
      <c r="CP304" s="542">
        <v>0</v>
      </c>
      <c r="CQ304" s="542">
        <v>0</v>
      </c>
      <c r="CR304" s="542">
        <v>0</v>
      </c>
      <c r="CS304" s="542">
        <v>0</v>
      </c>
      <c r="CT304" s="542">
        <v>0</v>
      </c>
      <c r="CU304" s="542">
        <v>0</v>
      </c>
      <c r="CV304" s="542">
        <v>232197.94899999999</v>
      </c>
      <c r="CW304" s="542">
        <v>58049.487200000003</v>
      </c>
      <c r="CX304" s="542">
        <v>0</v>
      </c>
      <c r="CY304" s="542">
        <v>278669</v>
      </c>
      <c r="CZ304" s="542">
        <v>69205</v>
      </c>
      <c r="DA304" s="542">
        <v>0</v>
      </c>
      <c r="DB304" s="542">
        <v>-46471</v>
      </c>
      <c r="DC304" s="542">
        <v>-11156</v>
      </c>
      <c r="DD304" s="542">
        <v>0</v>
      </c>
      <c r="DE304" s="153" t="s">
        <v>473</v>
      </c>
      <c r="DF304" s="103" t="s">
        <v>788</v>
      </c>
      <c r="DG304" s="104" t="s">
        <v>751</v>
      </c>
      <c r="DH304" s="547"/>
      <c r="DI304" s="547"/>
    </row>
    <row r="305" spans="1:113" x14ac:dyDescent="0.2">
      <c r="A305" s="93">
        <v>299</v>
      </c>
      <c r="B305" s="145" t="s">
        <v>476</v>
      </c>
      <c r="C305" s="141" t="s">
        <v>866</v>
      </c>
      <c r="D305" s="142" t="s">
        <v>870</v>
      </c>
      <c r="E305" s="149" t="s">
        <v>475</v>
      </c>
      <c r="F305" s="542">
        <v>-36283</v>
      </c>
      <c r="G305" s="542">
        <v>0</v>
      </c>
      <c r="H305" s="542">
        <v>-36283</v>
      </c>
      <c r="I305" s="542">
        <v>24514</v>
      </c>
      <c r="J305" s="542">
        <v>0</v>
      </c>
      <c r="K305" s="542">
        <v>24514</v>
      </c>
      <c r="L305" s="542">
        <v>-60797</v>
      </c>
      <c r="M305" s="542">
        <v>0</v>
      </c>
      <c r="N305" s="542">
        <v>-60797</v>
      </c>
      <c r="O305" s="543">
        <v>0.5</v>
      </c>
      <c r="P305" s="543">
        <v>0.4</v>
      </c>
      <c r="Q305" s="543">
        <v>0.1</v>
      </c>
      <c r="R305" s="543">
        <v>0</v>
      </c>
      <c r="S305" s="542">
        <v>205447</v>
      </c>
      <c r="T305" s="542">
        <v>205447</v>
      </c>
      <c r="U305" s="542">
        <v>0</v>
      </c>
      <c r="V305" s="542">
        <v>19487</v>
      </c>
      <c r="W305" s="542">
        <v>0</v>
      </c>
      <c r="X305" s="542">
        <v>19487</v>
      </c>
      <c r="Y305" s="542">
        <v>109423</v>
      </c>
      <c r="Z305" s="542">
        <v>0</v>
      </c>
      <c r="AA305" s="542">
        <v>0</v>
      </c>
      <c r="AB305" s="542">
        <v>0</v>
      </c>
      <c r="AC305" s="542">
        <v>109423</v>
      </c>
      <c r="AD305" s="542">
        <v>0</v>
      </c>
      <c r="AE305" s="542">
        <v>88340.951100000006</v>
      </c>
      <c r="AF305" s="542">
        <v>88340.951100000006</v>
      </c>
      <c r="AG305" s="542">
        <v>0</v>
      </c>
      <c r="AH305" s="542">
        <v>0</v>
      </c>
      <c r="AI305" s="542">
        <v>23103</v>
      </c>
      <c r="AJ305" s="542">
        <v>23103</v>
      </c>
      <c r="AK305" s="542">
        <v>0</v>
      </c>
      <c r="AL305" s="542">
        <v>0</v>
      </c>
      <c r="AM305" s="542">
        <v>65238</v>
      </c>
      <c r="AN305" s="542">
        <v>65238</v>
      </c>
      <c r="AO305" s="542">
        <v>0</v>
      </c>
      <c r="AP305" s="542">
        <v>0</v>
      </c>
      <c r="AQ305" s="542">
        <v>651577.50100000005</v>
      </c>
      <c r="AR305" s="542">
        <v>162894.375</v>
      </c>
      <c r="AS305" s="542">
        <v>0</v>
      </c>
      <c r="AT305" s="542">
        <v>609722</v>
      </c>
      <c r="AU305" s="542">
        <v>152430</v>
      </c>
      <c r="AV305" s="542">
        <v>0</v>
      </c>
      <c r="AW305" s="542">
        <v>41856</v>
      </c>
      <c r="AX305" s="542">
        <v>10464</v>
      </c>
      <c r="AY305" s="542">
        <v>0</v>
      </c>
      <c r="AZ305" s="542">
        <v>0</v>
      </c>
      <c r="BA305" s="542">
        <v>0</v>
      </c>
      <c r="BB305" s="542">
        <v>0</v>
      </c>
      <c r="BC305" s="542">
        <v>0</v>
      </c>
      <c r="BD305" s="542">
        <v>0</v>
      </c>
      <c r="BE305" s="542">
        <v>0</v>
      </c>
      <c r="BF305" s="542">
        <v>0</v>
      </c>
      <c r="BG305" s="542">
        <v>0</v>
      </c>
      <c r="BH305" s="542">
        <v>0</v>
      </c>
      <c r="BI305" s="542">
        <v>0</v>
      </c>
      <c r="BJ305" s="542">
        <v>0</v>
      </c>
      <c r="BK305" s="542">
        <v>0</v>
      </c>
      <c r="BL305" s="542">
        <v>0</v>
      </c>
      <c r="BM305" s="542">
        <v>0</v>
      </c>
      <c r="BN305" s="542">
        <v>0</v>
      </c>
      <c r="BO305" s="542">
        <v>0</v>
      </c>
      <c r="BP305" s="542">
        <v>0</v>
      </c>
      <c r="BQ305" s="542">
        <v>0</v>
      </c>
      <c r="BR305" s="542">
        <v>0</v>
      </c>
      <c r="BS305" s="542">
        <v>0</v>
      </c>
      <c r="BT305" s="542">
        <v>0</v>
      </c>
      <c r="BU305" s="542">
        <v>9055.8727099999996</v>
      </c>
      <c r="BV305" s="542">
        <v>2263.9681700000001</v>
      </c>
      <c r="BW305" s="542">
        <v>0</v>
      </c>
      <c r="BX305" s="542">
        <v>-9056</v>
      </c>
      <c r="BY305" s="542">
        <v>-2264</v>
      </c>
      <c r="BZ305" s="542">
        <v>0</v>
      </c>
      <c r="CA305" s="542">
        <v>197438.33199999999</v>
      </c>
      <c r="CB305" s="542">
        <v>49359.582999999999</v>
      </c>
      <c r="CC305" s="542">
        <v>0</v>
      </c>
      <c r="CD305" s="542">
        <v>211250.82500000001</v>
      </c>
      <c r="CE305" s="542">
        <v>52812.706299999998</v>
      </c>
      <c r="CF305" s="542">
        <v>0</v>
      </c>
      <c r="CG305" s="542">
        <v>-13812</v>
      </c>
      <c r="CH305" s="542">
        <v>-3453</v>
      </c>
      <c r="CI305" s="542">
        <v>0</v>
      </c>
      <c r="CJ305" s="542">
        <v>0</v>
      </c>
      <c r="CK305" s="542">
        <v>0</v>
      </c>
      <c r="CL305" s="542">
        <v>0</v>
      </c>
      <c r="CM305" s="542">
        <v>8903.1201700000001</v>
      </c>
      <c r="CN305" s="542">
        <v>2225.7800400000001</v>
      </c>
      <c r="CO305" s="542">
        <v>0</v>
      </c>
      <c r="CP305" s="542">
        <v>7198</v>
      </c>
      <c r="CQ305" s="542">
        <v>1799.568</v>
      </c>
      <c r="CR305" s="542">
        <v>0</v>
      </c>
      <c r="CS305" s="542">
        <v>1705</v>
      </c>
      <c r="CT305" s="542">
        <v>426</v>
      </c>
      <c r="CU305" s="542">
        <v>0</v>
      </c>
      <c r="CV305" s="542">
        <v>110079.087</v>
      </c>
      <c r="CW305" s="542">
        <v>27177.653900000001</v>
      </c>
      <c r="CX305" s="542">
        <v>0</v>
      </c>
      <c r="CY305" s="542">
        <v>112809</v>
      </c>
      <c r="CZ305" s="542">
        <v>27596</v>
      </c>
      <c r="DA305" s="542">
        <v>0</v>
      </c>
      <c r="DB305" s="542">
        <v>-2730</v>
      </c>
      <c r="DC305" s="542">
        <v>-418</v>
      </c>
      <c r="DD305" s="542">
        <v>0</v>
      </c>
      <c r="DE305" s="153" t="s">
        <v>475</v>
      </c>
      <c r="DF305" s="103" t="s">
        <v>761</v>
      </c>
      <c r="DG305" s="104" t="s">
        <v>751</v>
      </c>
      <c r="DH305" s="549" t="s">
        <v>1190</v>
      </c>
      <c r="DI305" s="549"/>
    </row>
    <row r="306" spans="1:113" x14ac:dyDescent="0.2">
      <c r="A306" s="93">
        <v>300</v>
      </c>
      <c r="B306" s="145" t="s">
        <v>478</v>
      </c>
      <c r="C306" s="141" t="s">
        <v>866</v>
      </c>
      <c r="D306" s="142" t="s">
        <v>867</v>
      </c>
      <c r="E306" s="149" t="s">
        <v>477</v>
      </c>
      <c r="F306" s="542">
        <v>-35798</v>
      </c>
      <c r="G306" s="542">
        <v>0</v>
      </c>
      <c r="H306" s="542">
        <v>-35798</v>
      </c>
      <c r="I306" s="542">
        <v>19642</v>
      </c>
      <c r="J306" s="542">
        <v>0</v>
      </c>
      <c r="K306" s="542">
        <v>19642</v>
      </c>
      <c r="L306" s="542">
        <v>-55440</v>
      </c>
      <c r="M306" s="542">
        <v>0</v>
      </c>
      <c r="N306" s="542">
        <v>-55440</v>
      </c>
      <c r="O306" s="543">
        <v>0.5</v>
      </c>
      <c r="P306" s="543">
        <v>0.4</v>
      </c>
      <c r="Q306" s="543">
        <v>0.1</v>
      </c>
      <c r="R306" s="543">
        <v>0</v>
      </c>
      <c r="S306" s="542">
        <v>180822</v>
      </c>
      <c r="T306" s="542">
        <v>180822</v>
      </c>
      <c r="U306" s="542">
        <v>0</v>
      </c>
      <c r="V306" s="542">
        <v>0</v>
      </c>
      <c r="W306" s="542">
        <v>0</v>
      </c>
      <c r="X306" s="542">
        <v>0</v>
      </c>
      <c r="Y306" s="542">
        <v>0</v>
      </c>
      <c r="Z306" s="542">
        <v>0</v>
      </c>
      <c r="AA306" s="542">
        <v>0</v>
      </c>
      <c r="AB306" s="542">
        <v>0</v>
      </c>
      <c r="AC306" s="542">
        <v>0</v>
      </c>
      <c r="AD306" s="542">
        <v>0</v>
      </c>
      <c r="AE306" s="542">
        <v>0</v>
      </c>
      <c r="AF306" s="542">
        <v>0</v>
      </c>
      <c r="AG306" s="542">
        <v>0</v>
      </c>
      <c r="AH306" s="542">
        <v>0</v>
      </c>
      <c r="AI306" s="542">
        <v>0</v>
      </c>
      <c r="AJ306" s="542">
        <v>0</v>
      </c>
      <c r="AK306" s="542">
        <v>0</v>
      </c>
      <c r="AL306" s="542">
        <v>0</v>
      </c>
      <c r="AM306" s="542">
        <v>0</v>
      </c>
      <c r="AN306" s="542">
        <v>0</v>
      </c>
      <c r="AO306" s="542">
        <v>0</v>
      </c>
      <c r="AP306" s="542">
        <v>0</v>
      </c>
      <c r="AQ306" s="542">
        <v>453041.64</v>
      </c>
      <c r="AR306" s="542">
        <v>113260.41</v>
      </c>
      <c r="AS306" s="542">
        <v>0</v>
      </c>
      <c r="AT306" s="542">
        <v>407922</v>
      </c>
      <c r="AU306" s="542">
        <v>101980</v>
      </c>
      <c r="AV306" s="542">
        <v>0</v>
      </c>
      <c r="AW306" s="542">
        <v>45120</v>
      </c>
      <c r="AX306" s="542">
        <v>11280</v>
      </c>
      <c r="AY306" s="542">
        <v>0</v>
      </c>
      <c r="AZ306" s="542">
        <v>3596.1749399999999</v>
      </c>
      <c r="BA306" s="542">
        <v>899.04373599999997</v>
      </c>
      <c r="BB306" s="542">
        <v>0</v>
      </c>
      <c r="BC306" s="542">
        <v>40425</v>
      </c>
      <c r="BD306" s="542">
        <v>10106</v>
      </c>
      <c r="BE306" s="542">
        <v>0</v>
      </c>
      <c r="BF306" s="542">
        <v>-36829</v>
      </c>
      <c r="BG306" s="542">
        <v>-9207</v>
      </c>
      <c r="BH306" s="542">
        <v>0</v>
      </c>
      <c r="BI306" s="542">
        <v>8310.8993599999994</v>
      </c>
      <c r="BJ306" s="542">
        <v>2077.7248399999999</v>
      </c>
      <c r="BK306" s="542">
        <v>0</v>
      </c>
      <c r="BL306" s="542">
        <v>40425</v>
      </c>
      <c r="BM306" s="542">
        <v>10106</v>
      </c>
      <c r="BN306" s="542">
        <v>0</v>
      </c>
      <c r="BO306" s="542">
        <v>-32114</v>
      </c>
      <c r="BP306" s="542">
        <v>-8028</v>
      </c>
      <c r="BQ306" s="542">
        <v>0</v>
      </c>
      <c r="BR306" s="542">
        <v>1418.90445</v>
      </c>
      <c r="BS306" s="542">
        <v>354.726114</v>
      </c>
      <c r="BT306" s="542">
        <v>0</v>
      </c>
      <c r="BU306" s="542">
        <v>40425</v>
      </c>
      <c r="BV306" s="542">
        <v>10106</v>
      </c>
      <c r="BW306" s="542">
        <v>0</v>
      </c>
      <c r="BX306" s="542">
        <v>-39006</v>
      </c>
      <c r="BY306" s="542">
        <v>-9751</v>
      </c>
      <c r="BZ306" s="542">
        <v>0</v>
      </c>
      <c r="CA306" s="542">
        <v>314434.88699999999</v>
      </c>
      <c r="CB306" s="542">
        <v>78608.721799999999</v>
      </c>
      <c r="CC306" s="542">
        <v>0</v>
      </c>
      <c r="CD306" s="542">
        <v>262760</v>
      </c>
      <c r="CE306" s="542">
        <v>65690</v>
      </c>
      <c r="CF306" s="542">
        <v>0</v>
      </c>
      <c r="CG306" s="542">
        <v>51675</v>
      </c>
      <c r="CH306" s="542">
        <v>12919</v>
      </c>
      <c r="CI306" s="542">
        <v>0</v>
      </c>
      <c r="CJ306" s="542">
        <v>12007.6</v>
      </c>
      <c r="CK306" s="542">
        <v>3001.9</v>
      </c>
      <c r="CL306" s="542">
        <v>0</v>
      </c>
      <c r="CM306" s="542">
        <v>887.32059400000003</v>
      </c>
      <c r="CN306" s="542">
        <v>221.83014800000001</v>
      </c>
      <c r="CO306" s="542">
        <v>0</v>
      </c>
      <c r="CP306" s="542">
        <v>12494</v>
      </c>
      <c r="CQ306" s="542">
        <v>3123.4609999999998</v>
      </c>
      <c r="CR306" s="542">
        <v>0</v>
      </c>
      <c r="CS306" s="542">
        <v>401</v>
      </c>
      <c r="CT306" s="542">
        <v>100</v>
      </c>
      <c r="CU306" s="542">
        <v>0</v>
      </c>
      <c r="CV306" s="542">
        <v>150123.81299999999</v>
      </c>
      <c r="CW306" s="542">
        <v>37530.953200000004</v>
      </c>
      <c r="CX306" s="542">
        <v>0</v>
      </c>
      <c r="CY306" s="542">
        <v>147687</v>
      </c>
      <c r="CZ306" s="542">
        <v>36442</v>
      </c>
      <c r="DA306" s="542">
        <v>0</v>
      </c>
      <c r="DB306" s="542">
        <v>2437</v>
      </c>
      <c r="DC306" s="542">
        <v>1089</v>
      </c>
      <c r="DD306" s="542">
        <v>0</v>
      </c>
      <c r="DE306" s="153" t="s">
        <v>477</v>
      </c>
      <c r="DF306" s="103" t="s">
        <v>807</v>
      </c>
      <c r="DG306" s="104" t="s">
        <v>751</v>
      </c>
      <c r="DH306" s="547"/>
      <c r="DI306" s="547"/>
    </row>
    <row r="307" spans="1:113" x14ac:dyDescent="0.2">
      <c r="A307" s="93">
        <v>301</v>
      </c>
      <c r="B307" s="145" t="s">
        <v>480</v>
      </c>
      <c r="C307" s="141" t="s">
        <v>866</v>
      </c>
      <c r="D307" s="142" t="s">
        <v>867</v>
      </c>
      <c r="E307" s="149" t="s">
        <v>479</v>
      </c>
      <c r="F307" s="542">
        <v>-163891</v>
      </c>
      <c r="G307" s="542">
        <v>0</v>
      </c>
      <c r="H307" s="542">
        <v>-163891</v>
      </c>
      <c r="I307" s="542">
        <v>88457</v>
      </c>
      <c r="J307" s="542">
        <v>0</v>
      </c>
      <c r="K307" s="542">
        <v>88457</v>
      </c>
      <c r="L307" s="542">
        <v>-252348</v>
      </c>
      <c r="M307" s="542">
        <v>0</v>
      </c>
      <c r="N307" s="542">
        <v>-252348</v>
      </c>
      <c r="O307" s="543">
        <v>0.5</v>
      </c>
      <c r="P307" s="543">
        <v>0.4</v>
      </c>
      <c r="Q307" s="543">
        <v>0.09</v>
      </c>
      <c r="R307" s="543">
        <v>0.01</v>
      </c>
      <c r="S307" s="542">
        <v>209532</v>
      </c>
      <c r="T307" s="542">
        <v>209532</v>
      </c>
      <c r="U307" s="542">
        <v>0</v>
      </c>
      <c r="V307" s="542">
        <v>0</v>
      </c>
      <c r="W307" s="542">
        <v>0</v>
      </c>
      <c r="X307" s="542">
        <v>0</v>
      </c>
      <c r="Y307" s="542">
        <v>0</v>
      </c>
      <c r="Z307" s="542">
        <v>0</v>
      </c>
      <c r="AA307" s="542">
        <v>0</v>
      </c>
      <c r="AB307" s="542">
        <v>0</v>
      </c>
      <c r="AC307" s="542">
        <v>0</v>
      </c>
      <c r="AD307" s="542">
        <v>0</v>
      </c>
      <c r="AE307" s="542">
        <v>0</v>
      </c>
      <c r="AF307" s="542">
        <v>0</v>
      </c>
      <c r="AG307" s="542">
        <v>0</v>
      </c>
      <c r="AH307" s="542">
        <v>0</v>
      </c>
      <c r="AI307" s="542">
        <v>0</v>
      </c>
      <c r="AJ307" s="542">
        <v>0</v>
      </c>
      <c r="AK307" s="542">
        <v>0</v>
      </c>
      <c r="AL307" s="542">
        <v>0</v>
      </c>
      <c r="AM307" s="542">
        <v>0</v>
      </c>
      <c r="AN307" s="542">
        <v>0</v>
      </c>
      <c r="AO307" s="542">
        <v>0</v>
      </c>
      <c r="AP307" s="542">
        <v>0</v>
      </c>
      <c r="AQ307" s="542">
        <v>920885.36499999999</v>
      </c>
      <c r="AR307" s="542">
        <v>207199.20699999999</v>
      </c>
      <c r="AS307" s="542">
        <v>23022.134099999999</v>
      </c>
      <c r="AT307" s="542">
        <v>865873</v>
      </c>
      <c r="AU307" s="542">
        <v>194822</v>
      </c>
      <c r="AV307" s="542">
        <v>21647</v>
      </c>
      <c r="AW307" s="542">
        <v>55012</v>
      </c>
      <c r="AX307" s="542">
        <v>12377</v>
      </c>
      <c r="AY307" s="542">
        <v>1375</v>
      </c>
      <c r="AZ307" s="542">
        <v>3345.1379999999999</v>
      </c>
      <c r="BA307" s="542">
        <v>752.65605100000005</v>
      </c>
      <c r="BB307" s="542">
        <v>83.628450099999995</v>
      </c>
      <c r="BC307" s="542">
        <v>0</v>
      </c>
      <c r="BD307" s="542">
        <v>0</v>
      </c>
      <c r="BE307" s="542">
        <v>0</v>
      </c>
      <c r="BF307" s="542">
        <v>3345</v>
      </c>
      <c r="BG307" s="542">
        <v>753</v>
      </c>
      <c r="BH307" s="542">
        <v>84</v>
      </c>
      <c r="BI307" s="542">
        <v>0</v>
      </c>
      <c r="BJ307" s="542">
        <v>0</v>
      </c>
      <c r="BK307" s="542">
        <v>0</v>
      </c>
      <c r="BL307" s="542">
        <v>28298</v>
      </c>
      <c r="BM307" s="542">
        <v>6367</v>
      </c>
      <c r="BN307" s="542">
        <v>707</v>
      </c>
      <c r="BO307" s="542">
        <v>-28298</v>
      </c>
      <c r="BP307" s="542">
        <v>-6367</v>
      </c>
      <c r="BQ307" s="542">
        <v>-707</v>
      </c>
      <c r="BR307" s="542">
        <v>1865.19235</v>
      </c>
      <c r="BS307" s="542">
        <v>419.66827999999998</v>
      </c>
      <c r="BT307" s="542">
        <v>46.6298089</v>
      </c>
      <c r="BU307" s="542">
        <v>23456</v>
      </c>
      <c r="BV307" s="542">
        <v>5277</v>
      </c>
      <c r="BW307" s="542">
        <v>586</v>
      </c>
      <c r="BX307" s="542">
        <v>-21591</v>
      </c>
      <c r="BY307" s="542">
        <v>-4857</v>
      </c>
      <c r="BZ307" s="542">
        <v>-539</v>
      </c>
      <c r="CA307" s="542">
        <v>296950.42700000003</v>
      </c>
      <c r="CB307" s="542">
        <v>66813.846099999995</v>
      </c>
      <c r="CC307" s="542">
        <v>7423.7606699999997</v>
      </c>
      <c r="CD307" s="542">
        <v>358397</v>
      </c>
      <c r="CE307" s="542">
        <v>80639</v>
      </c>
      <c r="CF307" s="542">
        <v>8960</v>
      </c>
      <c r="CG307" s="542">
        <v>-61447</v>
      </c>
      <c r="CH307" s="542">
        <v>-13825</v>
      </c>
      <c r="CI307" s="542">
        <v>-1536</v>
      </c>
      <c r="CJ307" s="542">
        <v>1510</v>
      </c>
      <c r="CK307" s="542">
        <v>339.75</v>
      </c>
      <c r="CL307" s="542">
        <v>37.75</v>
      </c>
      <c r="CM307" s="542">
        <v>0</v>
      </c>
      <c r="CN307" s="542">
        <v>0</v>
      </c>
      <c r="CO307" s="542">
        <v>0</v>
      </c>
      <c r="CP307" s="542">
        <v>1510</v>
      </c>
      <c r="CQ307" s="542">
        <v>339.66</v>
      </c>
      <c r="CR307" s="542">
        <v>37.74</v>
      </c>
      <c r="CS307" s="542">
        <v>0</v>
      </c>
      <c r="CT307" s="542">
        <v>0</v>
      </c>
      <c r="CU307" s="542">
        <v>0</v>
      </c>
      <c r="CV307" s="542">
        <v>121915.125</v>
      </c>
      <c r="CW307" s="542">
        <v>27430.9031</v>
      </c>
      <c r="CX307" s="542">
        <v>3047.8781300000001</v>
      </c>
      <c r="CY307" s="542">
        <v>123774</v>
      </c>
      <c r="CZ307" s="542">
        <v>27349</v>
      </c>
      <c r="DA307" s="542">
        <v>3039</v>
      </c>
      <c r="DB307" s="542">
        <v>-1859</v>
      </c>
      <c r="DC307" s="542">
        <v>82</v>
      </c>
      <c r="DD307" s="542">
        <v>9</v>
      </c>
      <c r="DE307" s="153" t="s">
        <v>479</v>
      </c>
      <c r="DF307" s="103" t="s">
        <v>806</v>
      </c>
      <c r="DG307" s="104" t="s">
        <v>784</v>
      </c>
      <c r="DH307" s="547"/>
      <c r="DI307" s="547"/>
    </row>
    <row r="308" spans="1:113" x14ac:dyDescent="0.2">
      <c r="A308" s="93">
        <v>302</v>
      </c>
      <c r="B308" s="145" t="s">
        <v>482</v>
      </c>
      <c r="C308" s="141" t="s">
        <v>866</v>
      </c>
      <c r="D308" s="142" t="s">
        <v>869</v>
      </c>
      <c r="E308" s="149" t="s">
        <v>481</v>
      </c>
      <c r="F308" s="542">
        <v>-63004</v>
      </c>
      <c r="G308" s="542">
        <v>0</v>
      </c>
      <c r="H308" s="542">
        <v>-63004</v>
      </c>
      <c r="I308" s="542">
        <v>11994</v>
      </c>
      <c r="J308" s="542">
        <v>0</v>
      </c>
      <c r="K308" s="542">
        <v>11994</v>
      </c>
      <c r="L308" s="542">
        <v>-74998</v>
      </c>
      <c r="M308" s="542">
        <v>0</v>
      </c>
      <c r="N308" s="542">
        <v>-74998</v>
      </c>
      <c r="O308" s="543">
        <v>0.5</v>
      </c>
      <c r="P308" s="543">
        <v>0.4</v>
      </c>
      <c r="Q308" s="543">
        <v>0.1</v>
      </c>
      <c r="R308" s="543">
        <v>0</v>
      </c>
      <c r="S308" s="542">
        <v>112434</v>
      </c>
      <c r="T308" s="542">
        <v>112434</v>
      </c>
      <c r="U308" s="542">
        <v>0</v>
      </c>
      <c r="V308" s="542">
        <v>0</v>
      </c>
      <c r="W308" s="542">
        <v>0</v>
      </c>
      <c r="X308" s="542">
        <v>0</v>
      </c>
      <c r="Y308" s="542">
        <v>32952</v>
      </c>
      <c r="Z308" s="542">
        <v>0</v>
      </c>
      <c r="AA308" s="542">
        <v>0</v>
      </c>
      <c r="AB308" s="542">
        <v>0</v>
      </c>
      <c r="AC308" s="542">
        <v>32952</v>
      </c>
      <c r="AD308" s="542">
        <v>0</v>
      </c>
      <c r="AE308" s="542">
        <v>0</v>
      </c>
      <c r="AF308" s="542">
        <v>0</v>
      </c>
      <c r="AG308" s="542">
        <v>0</v>
      </c>
      <c r="AH308" s="542">
        <v>0</v>
      </c>
      <c r="AI308" s="542">
        <v>0</v>
      </c>
      <c r="AJ308" s="542">
        <v>0</v>
      </c>
      <c r="AK308" s="542">
        <v>0</v>
      </c>
      <c r="AL308" s="542">
        <v>0</v>
      </c>
      <c r="AM308" s="542">
        <v>0</v>
      </c>
      <c r="AN308" s="542">
        <v>0</v>
      </c>
      <c r="AO308" s="542">
        <v>0</v>
      </c>
      <c r="AP308" s="542">
        <v>0</v>
      </c>
      <c r="AQ308" s="542">
        <v>393446.23800000001</v>
      </c>
      <c r="AR308" s="542">
        <v>98361.559599999993</v>
      </c>
      <c r="AS308" s="542">
        <v>0</v>
      </c>
      <c r="AT308" s="542">
        <v>376086</v>
      </c>
      <c r="AU308" s="542">
        <v>94022</v>
      </c>
      <c r="AV308" s="542">
        <v>0</v>
      </c>
      <c r="AW308" s="542">
        <v>17360</v>
      </c>
      <c r="AX308" s="542">
        <v>4340</v>
      </c>
      <c r="AY308" s="542">
        <v>0</v>
      </c>
      <c r="AZ308" s="542">
        <v>0</v>
      </c>
      <c r="BA308" s="542">
        <v>0</v>
      </c>
      <c r="BB308" s="542">
        <v>0</v>
      </c>
      <c r="BC308" s="542">
        <v>0</v>
      </c>
      <c r="BD308" s="542">
        <v>0</v>
      </c>
      <c r="BE308" s="542">
        <v>0</v>
      </c>
      <c r="BF308" s="542">
        <v>0</v>
      </c>
      <c r="BG308" s="542">
        <v>0</v>
      </c>
      <c r="BH308" s="542">
        <v>0</v>
      </c>
      <c r="BI308" s="542">
        <v>0</v>
      </c>
      <c r="BJ308" s="542">
        <v>0</v>
      </c>
      <c r="BK308" s="542">
        <v>0</v>
      </c>
      <c r="BL308" s="542">
        <v>0</v>
      </c>
      <c r="BM308" s="542">
        <v>0</v>
      </c>
      <c r="BN308" s="542">
        <v>0</v>
      </c>
      <c r="BO308" s="542">
        <v>0</v>
      </c>
      <c r="BP308" s="542">
        <v>0</v>
      </c>
      <c r="BQ308" s="542">
        <v>0</v>
      </c>
      <c r="BR308" s="542">
        <v>9199.8369399999992</v>
      </c>
      <c r="BS308" s="542">
        <v>2299.9592299999999</v>
      </c>
      <c r="BT308" s="542">
        <v>0</v>
      </c>
      <c r="BU308" s="542">
        <v>0</v>
      </c>
      <c r="BV308" s="542">
        <v>0</v>
      </c>
      <c r="BW308" s="542">
        <v>0</v>
      </c>
      <c r="BX308" s="542">
        <v>9200</v>
      </c>
      <c r="BY308" s="542">
        <v>2300</v>
      </c>
      <c r="BZ308" s="542">
        <v>0</v>
      </c>
      <c r="CA308" s="542">
        <v>104561.939</v>
      </c>
      <c r="CB308" s="542">
        <v>26140.484899999999</v>
      </c>
      <c r="CC308" s="542">
        <v>0</v>
      </c>
      <c r="CD308" s="542">
        <v>93470</v>
      </c>
      <c r="CE308" s="542">
        <v>23368</v>
      </c>
      <c r="CF308" s="542">
        <v>0</v>
      </c>
      <c r="CG308" s="542">
        <v>11092</v>
      </c>
      <c r="CH308" s="542">
        <v>2772</v>
      </c>
      <c r="CI308" s="542">
        <v>0</v>
      </c>
      <c r="CJ308" s="542">
        <v>0</v>
      </c>
      <c r="CK308" s="542">
        <v>0</v>
      </c>
      <c r="CL308" s="542">
        <v>0</v>
      </c>
      <c r="CM308" s="542">
        <v>0</v>
      </c>
      <c r="CN308" s="542">
        <v>0</v>
      </c>
      <c r="CO308" s="542">
        <v>0</v>
      </c>
      <c r="CP308" s="542">
        <v>0</v>
      </c>
      <c r="CQ308" s="542">
        <v>0</v>
      </c>
      <c r="CR308" s="542">
        <v>0</v>
      </c>
      <c r="CS308" s="542">
        <v>0</v>
      </c>
      <c r="CT308" s="542">
        <v>0</v>
      </c>
      <c r="CU308" s="542">
        <v>0</v>
      </c>
      <c r="CV308" s="542">
        <v>116626.789</v>
      </c>
      <c r="CW308" s="542">
        <v>29069.245200000001</v>
      </c>
      <c r="CX308" s="542">
        <v>0</v>
      </c>
      <c r="CY308" s="542">
        <v>129060</v>
      </c>
      <c r="CZ308" s="542">
        <v>31967</v>
      </c>
      <c r="DA308" s="542">
        <v>0</v>
      </c>
      <c r="DB308" s="542">
        <v>-12433</v>
      </c>
      <c r="DC308" s="542">
        <v>-2898</v>
      </c>
      <c r="DD308" s="542">
        <v>0</v>
      </c>
      <c r="DE308" s="153" t="s">
        <v>481</v>
      </c>
      <c r="DF308" s="103" t="s">
        <v>799</v>
      </c>
      <c r="DG308" s="104" t="s">
        <v>751</v>
      </c>
      <c r="DH308" s="547"/>
      <c r="DI308" s="547"/>
    </row>
    <row r="309" spans="1:113" x14ac:dyDescent="0.2">
      <c r="A309" s="93">
        <v>303</v>
      </c>
      <c r="B309" s="145" t="s">
        <v>484</v>
      </c>
      <c r="C309" s="141" t="s">
        <v>866</v>
      </c>
      <c r="D309" s="142" t="s">
        <v>870</v>
      </c>
      <c r="E309" s="149" t="s">
        <v>483</v>
      </c>
      <c r="F309" s="542">
        <v>-220821</v>
      </c>
      <c r="G309" s="542">
        <v>0</v>
      </c>
      <c r="H309" s="542">
        <v>-220821</v>
      </c>
      <c r="I309" s="542">
        <v>52590</v>
      </c>
      <c r="J309" s="542">
        <v>0</v>
      </c>
      <c r="K309" s="542">
        <v>52590</v>
      </c>
      <c r="L309" s="542">
        <v>-273411</v>
      </c>
      <c r="M309" s="542">
        <v>0</v>
      </c>
      <c r="N309" s="542">
        <v>-273411</v>
      </c>
      <c r="O309" s="543">
        <v>0.5</v>
      </c>
      <c r="P309" s="543">
        <v>0.4</v>
      </c>
      <c r="Q309" s="543">
        <v>0.1</v>
      </c>
      <c r="R309" s="543">
        <v>0</v>
      </c>
      <c r="S309" s="542">
        <v>152796</v>
      </c>
      <c r="T309" s="542">
        <v>152796</v>
      </c>
      <c r="U309" s="542">
        <v>0</v>
      </c>
      <c r="V309" s="542">
        <v>0</v>
      </c>
      <c r="W309" s="542">
        <v>0</v>
      </c>
      <c r="X309" s="542">
        <v>0</v>
      </c>
      <c r="Y309" s="542">
        <v>0</v>
      </c>
      <c r="Z309" s="542">
        <v>0</v>
      </c>
      <c r="AA309" s="542">
        <v>0</v>
      </c>
      <c r="AB309" s="542">
        <v>0</v>
      </c>
      <c r="AC309" s="542">
        <v>0</v>
      </c>
      <c r="AD309" s="542">
        <v>0</v>
      </c>
      <c r="AE309" s="542">
        <v>0</v>
      </c>
      <c r="AF309" s="542">
        <v>0</v>
      </c>
      <c r="AG309" s="542">
        <v>0</v>
      </c>
      <c r="AH309" s="542">
        <v>0</v>
      </c>
      <c r="AI309" s="542">
        <v>0</v>
      </c>
      <c r="AJ309" s="542">
        <v>0</v>
      </c>
      <c r="AK309" s="542">
        <v>0</v>
      </c>
      <c r="AL309" s="542">
        <v>0</v>
      </c>
      <c r="AM309" s="542">
        <v>0</v>
      </c>
      <c r="AN309" s="542">
        <v>0</v>
      </c>
      <c r="AO309" s="542">
        <v>0</v>
      </c>
      <c r="AP309" s="542">
        <v>0</v>
      </c>
      <c r="AQ309" s="542">
        <v>269357.78899999999</v>
      </c>
      <c r="AR309" s="542">
        <v>67339.447100000005</v>
      </c>
      <c r="AS309" s="542">
        <v>0</v>
      </c>
      <c r="AT309" s="542">
        <v>237569</v>
      </c>
      <c r="AU309" s="542">
        <v>59392</v>
      </c>
      <c r="AV309" s="542">
        <v>0</v>
      </c>
      <c r="AW309" s="542">
        <v>31789</v>
      </c>
      <c r="AX309" s="542">
        <v>7947</v>
      </c>
      <c r="AY309" s="542">
        <v>0</v>
      </c>
      <c r="AZ309" s="542">
        <v>1123.4004199999999</v>
      </c>
      <c r="BA309" s="542">
        <v>280.85010599999998</v>
      </c>
      <c r="BB309" s="542">
        <v>0</v>
      </c>
      <c r="BC309" s="542">
        <v>0</v>
      </c>
      <c r="BD309" s="542">
        <v>0</v>
      </c>
      <c r="BE309" s="542">
        <v>0</v>
      </c>
      <c r="BF309" s="542">
        <v>1123</v>
      </c>
      <c r="BG309" s="542">
        <v>281</v>
      </c>
      <c r="BH309" s="542">
        <v>0</v>
      </c>
      <c r="BI309" s="542">
        <v>1391.41571</v>
      </c>
      <c r="BJ309" s="542">
        <v>347.853928</v>
      </c>
      <c r="BK309" s="542">
        <v>0</v>
      </c>
      <c r="BL309" s="542">
        <v>200692</v>
      </c>
      <c r="BM309" s="542">
        <v>50173</v>
      </c>
      <c r="BN309" s="542">
        <v>0</v>
      </c>
      <c r="BO309" s="542">
        <v>-199301</v>
      </c>
      <c r="BP309" s="542">
        <v>-49825</v>
      </c>
      <c r="BQ309" s="542">
        <v>0</v>
      </c>
      <c r="BR309" s="542">
        <v>0</v>
      </c>
      <c r="BS309" s="542">
        <v>0</v>
      </c>
      <c r="BT309" s="542">
        <v>0</v>
      </c>
      <c r="BU309" s="542">
        <v>26490</v>
      </c>
      <c r="BV309" s="542">
        <v>6622</v>
      </c>
      <c r="BW309" s="542">
        <v>0</v>
      </c>
      <c r="BX309" s="542">
        <v>-26490</v>
      </c>
      <c r="BY309" s="542">
        <v>-6622</v>
      </c>
      <c r="BZ309" s="542">
        <v>0</v>
      </c>
      <c r="CA309" s="542">
        <v>132398.33900000001</v>
      </c>
      <c r="CB309" s="542">
        <v>33099.584699999999</v>
      </c>
      <c r="CC309" s="542">
        <v>0</v>
      </c>
      <c r="CD309" s="542">
        <v>227590</v>
      </c>
      <c r="CE309" s="542">
        <v>56898</v>
      </c>
      <c r="CF309" s="542">
        <v>0</v>
      </c>
      <c r="CG309" s="542">
        <v>-95192</v>
      </c>
      <c r="CH309" s="542">
        <v>-23798</v>
      </c>
      <c r="CI309" s="542">
        <v>0</v>
      </c>
      <c r="CJ309" s="542">
        <v>0</v>
      </c>
      <c r="CK309" s="542">
        <v>0</v>
      </c>
      <c r="CL309" s="542">
        <v>0</v>
      </c>
      <c r="CM309" s="542">
        <v>0</v>
      </c>
      <c r="CN309" s="542">
        <v>0</v>
      </c>
      <c r="CO309" s="542">
        <v>0</v>
      </c>
      <c r="CP309" s="542">
        <v>0</v>
      </c>
      <c r="CQ309" s="542">
        <v>0</v>
      </c>
      <c r="CR309" s="542">
        <v>0</v>
      </c>
      <c r="CS309" s="542">
        <v>0</v>
      </c>
      <c r="CT309" s="542">
        <v>0</v>
      </c>
      <c r="CU309" s="542">
        <v>0</v>
      </c>
      <c r="CV309" s="542">
        <v>244425.97</v>
      </c>
      <c r="CW309" s="542">
        <v>61106.492599999998</v>
      </c>
      <c r="CX309" s="542">
        <v>0</v>
      </c>
      <c r="CY309" s="542">
        <v>234413</v>
      </c>
      <c r="CZ309" s="542">
        <v>58198</v>
      </c>
      <c r="DA309" s="542">
        <v>0</v>
      </c>
      <c r="DB309" s="542">
        <v>10013</v>
      </c>
      <c r="DC309" s="542">
        <v>2908</v>
      </c>
      <c r="DD309" s="542">
        <v>0</v>
      </c>
      <c r="DE309" s="153" t="s">
        <v>483</v>
      </c>
      <c r="DF309" s="103" t="s">
        <v>788</v>
      </c>
      <c r="DG309" s="104" t="s">
        <v>751</v>
      </c>
      <c r="DH309" s="547"/>
      <c r="DI309" s="547"/>
    </row>
    <row r="310" spans="1:113" x14ac:dyDescent="0.2">
      <c r="A310" s="93">
        <v>304</v>
      </c>
      <c r="B310" s="145" t="s">
        <v>486</v>
      </c>
      <c r="C310" s="141" t="s">
        <v>770</v>
      </c>
      <c r="D310" s="142" t="s">
        <v>867</v>
      </c>
      <c r="E310" s="149" t="s">
        <v>735</v>
      </c>
      <c r="F310" s="542">
        <v>-1678</v>
      </c>
      <c r="G310" s="542">
        <v>0</v>
      </c>
      <c r="H310" s="542">
        <v>-1678</v>
      </c>
      <c r="I310" s="542">
        <v>78625</v>
      </c>
      <c r="J310" s="542">
        <v>0</v>
      </c>
      <c r="K310" s="542">
        <v>78625</v>
      </c>
      <c r="L310" s="542">
        <v>-80303</v>
      </c>
      <c r="M310" s="542">
        <v>0</v>
      </c>
      <c r="N310" s="542">
        <v>-80303</v>
      </c>
      <c r="O310" s="543">
        <v>0.5</v>
      </c>
      <c r="P310" s="543">
        <v>0.49</v>
      </c>
      <c r="Q310" s="543">
        <v>0</v>
      </c>
      <c r="R310" s="543">
        <v>0.01</v>
      </c>
      <c r="S310" s="542">
        <v>259810</v>
      </c>
      <c r="T310" s="542">
        <v>259810</v>
      </c>
      <c r="U310" s="542">
        <v>0</v>
      </c>
      <c r="V310" s="542">
        <v>0</v>
      </c>
      <c r="W310" s="542">
        <v>0</v>
      </c>
      <c r="X310" s="542">
        <v>0</v>
      </c>
      <c r="Y310" s="542">
        <v>0</v>
      </c>
      <c r="Z310" s="542">
        <v>0</v>
      </c>
      <c r="AA310" s="542">
        <v>0</v>
      </c>
      <c r="AB310" s="542">
        <v>0</v>
      </c>
      <c r="AC310" s="542">
        <v>0</v>
      </c>
      <c r="AD310" s="542">
        <v>0</v>
      </c>
      <c r="AE310" s="542">
        <v>0</v>
      </c>
      <c r="AF310" s="542">
        <v>0</v>
      </c>
      <c r="AG310" s="542">
        <v>0</v>
      </c>
      <c r="AH310" s="542">
        <v>0</v>
      </c>
      <c r="AI310" s="542">
        <v>0</v>
      </c>
      <c r="AJ310" s="542">
        <v>0</v>
      </c>
      <c r="AK310" s="542">
        <v>0</v>
      </c>
      <c r="AL310" s="542">
        <v>0</v>
      </c>
      <c r="AM310" s="542">
        <v>0</v>
      </c>
      <c r="AN310" s="542">
        <v>0</v>
      </c>
      <c r="AO310" s="542">
        <v>0</v>
      </c>
      <c r="AP310" s="542">
        <v>0</v>
      </c>
      <c r="AQ310" s="542">
        <v>566017.52</v>
      </c>
      <c r="AR310" s="542">
        <v>0</v>
      </c>
      <c r="AS310" s="542">
        <v>11551.38</v>
      </c>
      <c r="AT310" s="542">
        <v>445681</v>
      </c>
      <c r="AU310" s="542">
        <v>0</v>
      </c>
      <c r="AV310" s="542">
        <v>9096</v>
      </c>
      <c r="AW310" s="542">
        <v>120337</v>
      </c>
      <c r="AX310" s="542">
        <v>0</v>
      </c>
      <c r="AY310" s="542">
        <v>2455</v>
      </c>
      <c r="AZ310" s="542">
        <v>3555.05</v>
      </c>
      <c r="BA310" s="542">
        <v>0</v>
      </c>
      <c r="BB310" s="542">
        <v>72.55</v>
      </c>
      <c r="BC310" s="542">
        <v>0</v>
      </c>
      <c r="BD310" s="542">
        <v>0</v>
      </c>
      <c r="BE310" s="542">
        <v>0</v>
      </c>
      <c r="BF310" s="542">
        <v>3555</v>
      </c>
      <c r="BG310" s="542">
        <v>0</v>
      </c>
      <c r="BH310" s="542">
        <v>73</v>
      </c>
      <c r="BI310" s="542">
        <v>3454.53</v>
      </c>
      <c r="BJ310" s="542">
        <v>0</v>
      </c>
      <c r="BK310" s="542">
        <v>70.5</v>
      </c>
      <c r="BL310" s="542">
        <v>0</v>
      </c>
      <c r="BM310" s="542">
        <v>0</v>
      </c>
      <c r="BN310" s="542">
        <v>0</v>
      </c>
      <c r="BO310" s="542">
        <v>3455</v>
      </c>
      <c r="BP310" s="542">
        <v>0</v>
      </c>
      <c r="BQ310" s="542">
        <v>71</v>
      </c>
      <c r="BR310" s="542">
        <v>28.72</v>
      </c>
      <c r="BS310" s="542">
        <v>0</v>
      </c>
      <c r="BT310" s="542">
        <v>0.59</v>
      </c>
      <c r="BU310" s="542">
        <v>66853</v>
      </c>
      <c r="BV310" s="542">
        <v>0</v>
      </c>
      <c r="BW310" s="542">
        <v>1364</v>
      </c>
      <c r="BX310" s="542">
        <v>-66824</v>
      </c>
      <c r="BY310" s="542">
        <v>0</v>
      </c>
      <c r="BZ310" s="542">
        <v>-1363</v>
      </c>
      <c r="CA310" s="542">
        <v>158724.51999999999</v>
      </c>
      <c r="CB310" s="542">
        <v>0</v>
      </c>
      <c r="CC310" s="542">
        <v>3239.28</v>
      </c>
      <c r="CD310" s="542">
        <v>200557</v>
      </c>
      <c r="CE310" s="542">
        <v>0</v>
      </c>
      <c r="CF310" s="542">
        <v>4093</v>
      </c>
      <c r="CG310" s="542">
        <v>-41832</v>
      </c>
      <c r="CH310" s="542">
        <v>0</v>
      </c>
      <c r="CI310" s="542">
        <v>-854</v>
      </c>
      <c r="CJ310" s="542">
        <v>9737.2800000000007</v>
      </c>
      <c r="CK310" s="542">
        <v>0</v>
      </c>
      <c r="CL310" s="542">
        <v>198.72</v>
      </c>
      <c r="CM310" s="542">
        <v>46177.06</v>
      </c>
      <c r="CN310" s="542">
        <v>0</v>
      </c>
      <c r="CO310" s="542">
        <v>942.39</v>
      </c>
      <c r="CP310" s="542">
        <v>0</v>
      </c>
      <c r="CQ310" s="542">
        <v>0</v>
      </c>
      <c r="CR310" s="542">
        <v>0</v>
      </c>
      <c r="CS310" s="542">
        <v>55914</v>
      </c>
      <c r="CT310" s="542">
        <v>0</v>
      </c>
      <c r="CU310" s="542">
        <v>1141</v>
      </c>
      <c r="CV310" s="542">
        <v>391096.11</v>
      </c>
      <c r="CW310" s="542">
        <v>0</v>
      </c>
      <c r="CX310" s="542">
        <v>7981.55</v>
      </c>
      <c r="CY310" s="542">
        <v>435931</v>
      </c>
      <c r="CZ310" s="542">
        <v>0</v>
      </c>
      <c r="DA310" s="542">
        <v>8840</v>
      </c>
      <c r="DB310" s="542">
        <v>-44835</v>
      </c>
      <c r="DC310" s="542">
        <v>0</v>
      </c>
      <c r="DD310" s="542">
        <v>-858</v>
      </c>
      <c r="DE310" s="153" t="s">
        <v>735</v>
      </c>
      <c r="DF310" s="103" t="s">
        <v>770</v>
      </c>
      <c r="DG310" s="104" t="s">
        <v>780</v>
      </c>
      <c r="DH310" s="547"/>
      <c r="DI310" s="547"/>
    </row>
    <row r="311" spans="1:113" x14ac:dyDescent="0.2">
      <c r="A311" s="93">
        <v>305</v>
      </c>
      <c r="B311" s="145" t="s">
        <v>488</v>
      </c>
      <c r="C311" s="141" t="s">
        <v>866</v>
      </c>
      <c r="D311" s="142" t="s">
        <v>875</v>
      </c>
      <c r="E311" s="149" t="s">
        <v>487</v>
      </c>
      <c r="F311" s="542">
        <v>-40670</v>
      </c>
      <c r="G311" s="542">
        <v>0</v>
      </c>
      <c r="H311" s="542">
        <v>-40670</v>
      </c>
      <c r="I311" s="542">
        <v>64232</v>
      </c>
      <c r="J311" s="542">
        <v>0</v>
      </c>
      <c r="K311" s="542">
        <v>64232</v>
      </c>
      <c r="L311" s="542">
        <v>-104902</v>
      </c>
      <c r="M311" s="542">
        <v>0</v>
      </c>
      <c r="N311" s="542">
        <v>-104902</v>
      </c>
      <c r="O311" s="543">
        <v>0.5</v>
      </c>
      <c r="P311" s="543">
        <v>0.4</v>
      </c>
      <c r="Q311" s="543">
        <v>0.09</v>
      </c>
      <c r="R311" s="543">
        <v>0.01</v>
      </c>
      <c r="S311" s="542">
        <v>84601</v>
      </c>
      <c r="T311" s="542">
        <v>84601</v>
      </c>
      <c r="U311" s="542">
        <v>0</v>
      </c>
      <c r="V311" s="542">
        <v>0</v>
      </c>
      <c r="W311" s="542">
        <v>0</v>
      </c>
      <c r="X311" s="542">
        <v>0</v>
      </c>
      <c r="Y311" s="542">
        <v>0</v>
      </c>
      <c r="Z311" s="542">
        <v>0</v>
      </c>
      <c r="AA311" s="542">
        <v>0</v>
      </c>
      <c r="AB311" s="542">
        <v>0</v>
      </c>
      <c r="AC311" s="542">
        <v>0</v>
      </c>
      <c r="AD311" s="542">
        <v>0</v>
      </c>
      <c r="AE311" s="542">
        <v>0</v>
      </c>
      <c r="AF311" s="542">
        <v>0</v>
      </c>
      <c r="AG311" s="542">
        <v>0</v>
      </c>
      <c r="AH311" s="542">
        <v>0</v>
      </c>
      <c r="AI311" s="542">
        <v>0</v>
      </c>
      <c r="AJ311" s="542">
        <v>0</v>
      </c>
      <c r="AK311" s="542">
        <v>0</v>
      </c>
      <c r="AL311" s="542">
        <v>0</v>
      </c>
      <c r="AM311" s="542">
        <v>0</v>
      </c>
      <c r="AN311" s="542">
        <v>0</v>
      </c>
      <c r="AO311" s="542">
        <v>0</v>
      </c>
      <c r="AP311" s="542">
        <v>0</v>
      </c>
      <c r="AQ311" s="542">
        <v>298903.745</v>
      </c>
      <c r="AR311" s="542">
        <v>67253.342600000004</v>
      </c>
      <c r="AS311" s="542">
        <v>7472.5936300000003</v>
      </c>
      <c r="AT311" s="542">
        <v>305998</v>
      </c>
      <c r="AU311" s="542">
        <v>68849</v>
      </c>
      <c r="AV311" s="542">
        <v>7650</v>
      </c>
      <c r="AW311" s="542">
        <v>-7094</v>
      </c>
      <c r="AX311" s="542">
        <v>-1596</v>
      </c>
      <c r="AY311" s="542">
        <v>-177</v>
      </c>
      <c r="AZ311" s="542">
        <v>0</v>
      </c>
      <c r="BA311" s="542">
        <v>0</v>
      </c>
      <c r="BB311" s="542">
        <v>0</v>
      </c>
      <c r="BC311" s="542">
        <v>4042</v>
      </c>
      <c r="BD311" s="542">
        <v>910</v>
      </c>
      <c r="BE311" s="542">
        <v>101</v>
      </c>
      <c r="BF311" s="542">
        <v>-4042</v>
      </c>
      <c r="BG311" s="542">
        <v>-910</v>
      </c>
      <c r="BH311" s="542">
        <v>-101</v>
      </c>
      <c r="BI311" s="542">
        <v>0</v>
      </c>
      <c r="BJ311" s="542">
        <v>0</v>
      </c>
      <c r="BK311" s="542">
        <v>0</v>
      </c>
      <c r="BL311" s="542">
        <v>4042</v>
      </c>
      <c r="BM311" s="542">
        <v>910</v>
      </c>
      <c r="BN311" s="542">
        <v>101</v>
      </c>
      <c r="BO311" s="542">
        <v>-4042</v>
      </c>
      <c r="BP311" s="542">
        <v>-910</v>
      </c>
      <c r="BQ311" s="542">
        <v>-101</v>
      </c>
      <c r="BR311" s="542">
        <v>0</v>
      </c>
      <c r="BS311" s="542">
        <v>0</v>
      </c>
      <c r="BT311" s="542">
        <v>0</v>
      </c>
      <c r="BU311" s="542">
        <v>8084.92569</v>
      </c>
      <c r="BV311" s="542">
        <v>1819.1082799999999</v>
      </c>
      <c r="BW311" s="542">
        <v>202.123142</v>
      </c>
      <c r="BX311" s="542">
        <v>-8085</v>
      </c>
      <c r="BY311" s="542">
        <v>-1819</v>
      </c>
      <c r="BZ311" s="542">
        <v>-202</v>
      </c>
      <c r="CA311" s="542">
        <v>135946.81200000001</v>
      </c>
      <c r="CB311" s="542">
        <v>30588.032800000001</v>
      </c>
      <c r="CC311" s="542">
        <v>3398.67031</v>
      </c>
      <c r="CD311" s="542">
        <v>166145.22200000001</v>
      </c>
      <c r="CE311" s="542">
        <v>37382.6751</v>
      </c>
      <c r="CF311" s="542">
        <v>4153.6305700000003</v>
      </c>
      <c r="CG311" s="542">
        <v>-30198</v>
      </c>
      <c r="CH311" s="542">
        <v>-6795</v>
      </c>
      <c r="CI311" s="542">
        <v>-755</v>
      </c>
      <c r="CJ311" s="542">
        <v>0</v>
      </c>
      <c r="CK311" s="542">
        <v>0</v>
      </c>
      <c r="CL311" s="542">
        <v>0</v>
      </c>
      <c r="CM311" s="542">
        <v>2030.9333300000001</v>
      </c>
      <c r="CN311" s="542">
        <v>456.96</v>
      </c>
      <c r="CO311" s="542">
        <v>50.773333299999997</v>
      </c>
      <c r="CP311" s="542">
        <v>0</v>
      </c>
      <c r="CQ311" s="542">
        <v>0</v>
      </c>
      <c r="CR311" s="542">
        <v>0</v>
      </c>
      <c r="CS311" s="542">
        <v>2031</v>
      </c>
      <c r="CT311" s="542">
        <v>457</v>
      </c>
      <c r="CU311" s="542">
        <v>51</v>
      </c>
      <c r="CV311" s="542">
        <v>42677.532899999998</v>
      </c>
      <c r="CW311" s="542">
        <v>9602.4449000000004</v>
      </c>
      <c r="CX311" s="542">
        <v>1066.93832</v>
      </c>
      <c r="CY311" s="542">
        <v>43700</v>
      </c>
      <c r="CZ311" s="542">
        <v>9630</v>
      </c>
      <c r="DA311" s="542">
        <v>1070</v>
      </c>
      <c r="DB311" s="542">
        <v>-1022</v>
      </c>
      <c r="DC311" s="542">
        <v>-28</v>
      </c>
      <c r="DD311" s="542">
        <v>-3</v>
      </c>
      <c r="DE311" s="153" t="s">
        <v>487</v>
      </c>
      <c r="DF311" s="103" t="s">
        <v>803</v>
      </c>
      <c r="DG311" s="104" t="s">
        <v>804</v>
      </c>
      <c r="DH311" s="547"/>
      <c r="DI311" s="547"/>
    </row>
    <row r="312" spans="1:113" x14ac:dyDescent="0.2">
      <c r="A312" s="93">
        <v>306</v>
      </c>
      <c r="B312" s="145" t="s">
        <v>490</v>
      </c>
      <c r="C312" s="141" t="s">
        <v>866</v>
      </c>
      <c r="D312" s="142" t="s">
        <v>875</v>
      </c>
      <c r="E312" s="149" t="s">
        <v>489</v>
      </c>
      <c r="F312" s="542">
        <v>-56335</v>
      </c>
      <c r="G312" s="542">
        <v>0</v>
      </c>
      <c r="H312" s="542">
        <v>-56335</v>
      </c>
      <c r="I312" s="542">
        <v>35860</v>
      </c>
      <c r="J312" s="542">
        <v>0</v>
      </c>
      <c r="K312" s="542">
        <v>35860</v>
      </c>
      <c r="L312" s="542">
        <v>-92195</v>
      </c>
      <c r="M312" s="542">
        <v>0</v>
      </c>
      <c r="N312" s="542">
        <v>-92195</v>
      </c>
      <c r="O312" s="543">
        <v>0.5</v>
      </c>
      <c r="P312" s="543">
        <v>0.4</v>
      </c>
      <c r="Q312" s="543">
        <v>0.09</v>
      </c>
      <c r="R312" s="543">
        <v>0.01</v>
      </c>
      <c r="S312" s="542">
        <v>206892</v>
      </c>
      <c r="T312" s="542">
        <v>206892</v>
      </c>
      <c r="U312" s="542">
        <v>0</v>
      </c>
      <c r="V312" s="542">
        <v>0</v>
      </c>
      <c r="W312" s="542">
        <v>0</v>
      </c>
      <c r="X312" s="542">
        <v>0</v>
      </c>
      <c r="Y312" s="542">
        <v>164551</v>
      </c>
      <c r="Z312" s="542">
        <v>0</v>
      </c>
      <c r="AA312" s="542">
        <v>0</v>
      </c>
      <c r="AB312" s="542">
        <v>0</v>
      </c>
      <c r="AC312" s="542">
        <v>164551</v>
      </c>
      <c r="AD312" s="542">
        <v>0</v>
      </c>
      <c r="AE312" s="542">
        <v>0</v>
      </c>
      <c r="AF312" s="542">
        <v>0</v>
      </c>
      <c r="AG312" s="542">
        <v>0</v>
      </c>
      <c r="AH312" s="542">
        <v>0</v>
      </c>
      <c r="AI312" s="542">
        <v>0</v>
      </c>
      <c r="AJ312" s="542">
        <v>0</v>
      </c>
      <c r="AK312" s="542">
        <v>0</v>
      </c>
      <c r="AL312" s="542">
        <v>0</v>
      </c>
      <c r="AM312" s="542">
        <v>0</v>
      </c>
      <c r="AN312" s="542">
        <v>0</v>
      </c>
      <c r="AO312" s="542">
        <v>0</v>
      </c>
      <c r="AP312" s="542">
        <v>0</v>
      </c>
      <c r="AQ312" s="542">
        <v>779941.86600000004</v>
      </c>
      <c r="AR312" s="542">
        <v>175486.92</v>
      </c>
      <c r="AS312" s="542">
        <v>19498.546600000001</v>
      </c>
      <c r="AT312" s="542">
        <v>713569</v>
      </c>
      <c r="AU312" s="542">
        <v>160553</v>
      </c>
      <c r="AV312" s="542">
        <v>17839</v>
      </c>
      <c r="AW312" s="542">
        <v>66373</v>
      </c>
      <c r="AX312" s="542">
        <v>14934</v>
      </c>
      <c r="AY312" s="542">
        <v>1660</v>
      </c>
      <c r="AZ312" s="542">
        <v>3037.9108200000001</v>
      </c>
      <c r="BA312" s="542">
        <v>683.52993600000002</v>
      </c>
      <c r="BB312" s="542">
        <v>75.947770700000007</v>
      </c>
      <c r="BC312" s="542">
        <v>4042</v>
      </c>
      <c r="BD312" s="542">
        <v>910</v>
      </c>
      <c r="BE312" s="542">
        <v>101</v>
      </c>
      <c r="BF312" s="542">
        <v>-1004</v>
      </c>
      <c r="BG312" s="542">
        <v>-226</v>
      </c>
      <c r="BH312" s="542">
        <v>-25</v>
      </c>
      <c r="BI312" s="542">
        <v>33801.861499999999</v>
      </c>
      <c r="BJ312" s="542">
        <v>7605.41885</v>
      </c>
      <c r="BK312" s="542">
        <v>845.04653900000005</v>
      </c>
      <c r="BL312" s="542">
        <v>4042</v>
      </c>
      <c r="BM312" s="542">
        <v>910</v>
      </c>
      <c r="BN312" s="542">
        <v>101</v>
      </c>
      <c r="BO312" s="542">
        <v>29760</v>
      </c>
      <c r="BP312" s="542">
        <v>6695</v>
      </c>
      <c r="BQ312" s="542">
        <v>744</v>
      </c>
      <c r="BR312" s="542">
        <v>1719.6636900000001</v>
      </c>
      <c r="BS312" s="542">
        <v>386.924331</v>
      </c>
      <c r="BT312" s="542">
        <v>42.991592300000001</v>
      </c>
      <c r="BU312" s="542">
        <v>4042</v>
      </c>
      <c r="BV312" s="542">
        <v>910</v>
      </c>
      <c r="BW312" s="542">
        <v>101</v>
      </c>
      <c r="BX312" s="542">
        <v>-2322</v>
      </c>
      <c r="BY312" s="542">
        <v>-523</v>
      </c>
      <c r="BZ312" s="542">
        <v>-58</v>
      </c>
      <c r="CA312" s="542">
        <v>293771.43400000001</v>
      </c>
      <c r="CB312" s="542">
        <v>66098.572700000004</v>
      </c>
      <c r="CC312" s="542">
        <v>7344.28586</v>
      </c>
      <c r="CD312" s="542">
        <v>330274</v>
      </c>
      <c r="CE312" s="542">
        <v>74312</v>
      </c>
      <c r="CF312" s="542">
        <v>8257</v>
      </c>
      <c r="CG312" s="542">
        <v>-36503</v>
      </c>
      <c r="CH312" s="542">
        <v>-8213</v>
      </c>
      <c r="CI312" s="542">
        <v>-913</v>
      </c>
      <c r="CJ312" s="542">
        <v>0</v>
      </c>
      <c r="CK312" s="542">
        <v>0</v>
      </c>
      <c r="CL312" s="542">
        <v>0</v>
      </c>
      <c r="CM312" s="542">
        <v>4319.3715499999998</v>
      </c>
      <c r="CN312" s="542">
        <v>971.85859800000003</v>
      </c>
      <c r="CO312" s="542">
        <v>107.98428800000001</v>
      </c>
      <c r="CP312" s="542">
        <v>4274</v>
      </c>
      <c r="CQ312" s="542">
        <v>961.61400000000003</v>
      </c>
      <c r="CR312" s="542">
        <v>106.846</v>
      </c>
      <c r="CS312" s="542">
        <v>45</v>
      </c>
      <c r="CT312" s="542">
        <v>10</v>
      </c>
      <c r="CU312" s="542">
        <v>1</v>
      </c>
      <c r="CV312" s="542">
        <v>119951.428</v>
      </c>
      <c r="CW312" s="542">
        <v>26596.035599999999</v>
      </c>
      <c r="CX312" s="542">
        <v>2955.1150699999998</v>
      </c>
      <c r="CY312" s="542">
        <v>116256</v>
      </c>
      <c r="CZ312" s="542">
        <v>25663</v>
      </c>
      <c r="DA312" s="542">
        <v>2851</v>
      </c>
      <c r="DB312" s="542">
        <v>3695</v>
      </c>
      <c r="DC312" s="542">
        <v>933</v>
      </c>
      <c r="DD312" s="542">
        <v>104</v>
      </c>
      <c r="DE312" s="153" t="s">
        <v>489</v>
      </c>
      <c r="DF312" s="103" t="s">
        <v>797</v>
      </c>
      <c r="DG312" s="104" t="s">
        <v>779</v>
      </c>
      <c r="DH312" s="547"/>
      <c r="DI312" s="547"/>
    </row>
    <row r="313" spans="1:113" x14ac:dyDescent="0.2">
      <c r="A313" s="93">
        <v>307</v>
      </c>
      <c r="B313" s="145" t="s">
        <v>492</v>
      </c>
      <c r="C313" s="141" t="s">
        <v>866</v>
      </c>
      <c r="D313" s="142" t="s">
        <v>868</v>
      </c>
      <c r="E313" s="149" t="s">
        <v>491</v>
      </c>
      <c r="F313" s="542">
        <v>-136354</v>
      </c>
      <c r="G313" s="542">
        <v>0</v>
      </c>
      <c r="H313" s="542">
        <v>-136354</v>
      </c>
      <c r="I313" s="542">
        <v>59548</v>
      </c>
      <c r="J313" s="542">
        <v>0</v>
      </c>
      <c r="K313" s="542">
        <v>59548</v>
      </c>
      <c r="L313" s="542">
        <v>-195902</v>
      </c>
      <c r="M313" s="542">
        <v>0</v>
      </c>
      <c r="N313" s="542">
        <v>-195902</v>
      </c>
      <c r="O313" s="543">
        <v>0.5</v>
      </c>
      <c r="P313" s="543">
        <v>0.4</v>
      </c>
      <c r="Q313" s="543">
        <v>0.09</v>
      </c>
      <c r="R313" s="543">
        <v>0.01</v>
      </c>
      <c r="S313" s="542">
        <v>132942</v>
      </c>
      <c r="T313" s="542">
        <v>132942</v>
      </c>
      <c r="U313" s="542">
        <v>0</v>
      </c>
      <c r="V313" s="542">
        <v>0</v>
      </c>
      <c r="W313" s="542">
        <v>0</v>
      </c>
      <c r="X313" s="542">
        <v>0</v>
      </c>
      <c r="Y313" s="542">
        <v>0</v>
      </c>
      <c r="Z313" s="542">
        <v>0</v>
      </c>
      <c r="AA313" s="542">
        <v>0</v>
      </c>
      <c r="AB313" s="542">
        <v>0</v>
      </c>
      <c r="AC313" s="542">
        <v>0</v>
      </c>
      <c r="AD313" s="542">
        <v>0</v>
      </c>
      <c r="AE313" s="542">
        <v>0</v>
      </c>
      <c r="AF313" s="542">
        <v>0</v>
      </c>
      <c r="AG313" s="542">
        <v>0</v>
      </c>
      <c r="AH313" s="542">
        <v>0</v>
      </c>
      <c r="AI313" s="542">
        <v>0</v>
      </c>
      <c r="AJ313" s="542">
        <v>0</v>
      </c>
      <c r="AK313" s="542">
        <v>0</v>
      </c>
      <c r="AL313" s="542">
        <v>0</v>
      </c>
      <c r="AM313" s="542">
        <v>0</v>
      </c>
      <c r="AN313" s="542">
        <v>0</v>
      </c>
      <c r="AO313" s="542">
        <v>0</v>
      </c>
      <c r="AP313" s="542">
        <v>0</v>
      </c>
      <c r="AQ313" s="542">
        <v>415269.67599999998</v>
      </c>
      <c r="AR313" s="542">
        <v>93435.677200000006</v>
      </c>
      <c r="AS313" s="542">
        <v>10381.741900000001</v>
      </c>
      <c r="AT313" s="542">
        <v>386248</v>
      </c>
      <c r="AU313" s="542">
        <v>86906</v>
      </c>
      <c r="AV313" s="542">
        <v>9656</v>
      </c>
      <c r="AW313" s="542">
        <v>29022</v>
      </c>
      <c r="AX313" s="542">
        <v>6530</v>
      </c>
      <c r="AY313" s="542">
        <v>726</v>
      </c>
      <c r="AZ313" s="542">
        <v>962.91464900000005</v>
      </c>
      <c r="BA313" s="542">
        <v>216.65579600000001</v>
      </c>
      <c r="BB313" s="542">
        <v>24.0728662</v>
      </c>
      <c r="BC313" s="542">
        <v>752</v>
      </c>
      <c r="BD313" s="542">
        <v>169</v>
      </c>
      <c r="BE313" s="542">
        <v>19</v>
      </c>
      <c r="BF313" s="542">
        <v>211</v>
      </c>
      <c r="BG313" s="542">
        <v>48</v>
      </c>
      <c r="BH313" s="542">
        <v>5</v>
      </c>
      <c r="BI313" s="542">
        <v>3556.1545599999999</v>
      </c>
      <c r="BJ313" s="542">
        <v>800.13477699999999</v>
      </c>
      <c r="BK313" s="542">
        <v>88.903864100000007</v>
      </c>
      <c r="BL313" s="542">
        <v>0</v>
      </c>
      <c r="BM313" s="542">
        <v>0</v>
      </c>
      <c r="BN313" s="542">
        <v>0</v>
      </c>
      <c r="BO313" s="542">
        <v>3556</v>
      </c>
      <c r="BP313" s="542">
        <v>800</v>
      </c>
      <c r="BQ313" s="542">
        <v>89</v>
      </c>
      <c r="BR313" s="542">
        <v>4932.2089100000003</v>
      </c>
      <c r="BS313" s="542">
        <v>1109.7470000000001</v>
      </c>
      <c r="BT313" s="542">
        <v>123.305222</v>
      </c>
      <c r="BU313" s="542">
        <v>163587</v>
      </c>
      <c r="BV313" s="542">
        <v>36807</v>
      </c>
      <c r="BW313" s="542">
        <v>4090</v>
      </c>
      <c r="BX313" s="542">
        <v>-158655</v>
      </c>
      <c r="BY313" s="542">
        <v>-35697</v>
      </c>
      <c r="BZ313" s="542">
        <v>-3967</v>
      </c>
      <c r="CA313" s="542">
        <v>103754.659</v>
      </c>
      <c r="CB313" s="542">
        <v>23344.7984</v>
      </c>
      <c r="CC313" s="542">
        <v>2593.8664899999999</v>
      </c>
      <c r="CD313" s="542">
        <v>208995</v>
      </c>
      <c r="CE313" s="542">
        <v>47024</v>
      </c>
      <c r="CF313" s="542">
        <v>5225</v>
      </c>
      <c r="CG313" s="542">
        <v>-105240</v>
      </c>
      <c r="CH313" s="542">
        <v>-23679</v>
      </c>
      <c r="CI313" s="542">
        <v>-2631</v>
      </c>
      <c r="CJ313" s="542">
        <v>0</v>
      </c>
      <c r="CK313" s="542">
        <v>0</v>
      </c>
      <c r="CL313" s="542">
        <v>0</v>
      </c>
      <c r="CM313" s="542">
        <v>0</v>
      </c>
      <c r="CN313" s="542">
        <v>0</v>
      </c>
      <c r="CO313" s="542">
        <v>0</v>
      </c>
      <c r="CP313" s="542">
        <v>0</v>
      </c>
      <c r="CQ313" s="542">
        <v>0</v>
      </c>
      <c r="CR313" s="542">
        <v>0</v>
      </c>
      <c r="CS313" s="542">
        <v>0</v>
      </c>
      <c r="CT313" s="542">
        <v>0</v>
      </c>
      <c r="CU313" s="542">
        <v>0</v>
      </c>
      <c r="CV313" s="542">
        <v>126074.02899999999</v>
      </c>
      <c r="CW313" s="542">
        <v>28366.656599999998</v>
      </c>
      <c r="CX313" s="542">
        <v>3151.8507399999999</v>
      </c>
      <c r="CY313" s="542">
        <v>128442</v>
      </c>
      <c r="CZ313" s="542">
        <v>28582</v>
      </c>
      <c r="DA313" s="542">
        <v>3176</v>
      </c>
      <c r="DB313" s="542">
        <v>-2368</v>
      </c>
      <c r="DC313" s="542">
        <v>-215</v>
      </c>
      <c r="DD313" s="542">
        <v>-24</v>
      </c>
      <c r="DE313" s="153" t="s">
        <v>491</v>
      </c>
      <c r="DF313" s="103" t="s">
        <v>789</v>
      </c>
      <c r="DG313" s="104" t="s">
        <v>776</v>
      </c>
      <c r="DH313" s="547"/>
      <c r="DI313" s="547"/>
    </row>
    <row r="314" spans="1:113" x14ac:dyDescent="0.2">
      <c r="A314" s="93">
        <v>308</v>
      </c>
      <c r="B314" s="145" t="s">
        <v>494</v>
      </c>
      <c r="C314" s="141" t="s">
        <v>866</v>
      </c>
      <c r="D314" s="142" t="s">
        <v>869</v>
      </c>
      <c r="E314" s="149" t="s">
        <v>493</v>
      </c>
      <c r="F314" s="542">
        <v>-75543</v>
      </c>
      <c r="G314" s="542">
        <v>0</v>
      </c>
      <c r="H314" s="542">
        <v>-75543</v>
      </c>
      <c r="I314" s="542">
        <v>-21369</v>
      </c>
      <c r="J314" s="542">
        <v>0</v>
      </c>
      <c r="K314" s="542">
        <v>-21369</v>
      </c>
      <c r="L314" s="542">
        <v>-54174</v>
      </c>
      <c r="M314" s="542">
        <v>0</v>
      </c>
      <c r="N314" s="542">
        <v>-54174</v>
      </c>
      <c r="O314" s="543">
        <v>0.5</v>
      </c>
      <c r="P314" s="543">
        <v>0.4</v>
      </c>
      <c r="Q314" s="543">
        <v>0.1</v>
      </c>
      <c r="R314" s="543">
        <v>0</v>
      </c>
      <c r="S314" s="542">
        <v>107102</v>
      </c>
      <c r="T314" s="542">
        <v>107102</v>
      </c>
      <c r="U314" s="542">
        <v>0</v>
      </c>
      <c r="V314" s="542">
        <v>0</v>
      </c>
      <c r="W314" s="542">
        <v>0</v>
      </c>
      <c r="X314" s="542">
        <v>0</v>
      </c>
      <c r="Y314" s="542">
        <v>674</v>
      </c>
      <c r="Z314" s="542">
        <v>169</v>
      </c>
      <c r="AA314" s="542">
        <v>0</v>
      </c>
      <c r="AB314" s="542">
        <v>0</v>
      </c>
      <c r="AC314" s="542">
        <v>674</v>
      </c>
      <c r="AD314" s="542">
        <v>169</v>
      </c>
      <c r="AE314" s="542">
        <v>0</v>
      </c>
      <c r="AF314" s="542">
        <v>0</v>
      </c>
      <c r="AG314" s="542">
        <v>0</v>
      </c>
      <c r="AH314" s="542">
        <v>0</v>
      </c>
      <c r="AI314" s="542">
        <v>0</v>
      </c>
      <c r="AJ314" s="542">
        <v>0</v>
      </c>
      <c r="AK314" s="542">
        <v>0</v>
      </c>
      <c r="AL314" s="542">
        <v>0</v>
      </c>
      <c r="AM314" s="542">
        <v>0</v>
      </c>
      <c r="AN314" s="542">
        <v>0</v>
      </c>
      <c r="AO314" s="542">
        <v>0</v>
      </c>
      <c r="AP314" s="542">
        <v>0</v>
      </c>
      <c r="AQ314" s="542">
        <v>349697.7</v>
      </c>
      <c r="AR314" s="542">
        <v>87424.42</v>
      </c>
      <c r="AS314" s="542">
        <v>0</v>
      </c>
      <c r="AT314" s="542">
        <v>328510</v>
      </c>
      <c r="AU314" s="542">
        <v>82128</v>
      </c>
      <c r="AV314" s="542">
        <v>0</v>
      </c>
      <c r="AW314" s="542">
        <v>21188</v>
      </c>
      <c r="AX314" s="542">
        <v>5296</v>
      </c>
      <c r="AY314" s="542">
        <v>0</v>
      </c>
      <c r="AZ314" s="542">
        <v>685.6</v>
      </c>
      <c r="BA314" s="542">
        <v>171.4</v>
      </c>
      <c r="BB314" s="542">
        <v>0</v>
      </c>
      <c r="BC314" s="542">
        <v>404</v>
      </c>
      <c r="BD314" s="542">
        <v>101</v>
      </c>
      <c r="BE314" s="542">
        <v>0</v>
      </c>
      <c r="BF314" s="542">
        <v>282</v>
      </c>
      <c r="BG314" s="542">
        <v>70</v>
      </c>
      <c r="BH314" s="542">
        <v>0</v>
      </c>
      <c r="BI314" s="542">
        <v>5453.69</v>
      </c>
      <c r="BJ314" s="542">
        <v>1363.42</v>
      </c>
      <c r="BK314" s="542">
        <v>0</v>
      </c>
      <c r="BL314" s="542">
        <v>12127</v>
      </c>
      <c r="BM314" s="542">
        <v>3032</v>
      </c>
      <c r="BN314" s="542">
        <v>0</v>
      </c>
      <c r="BO314" s="542">
        <v>-6673</v>
      </c>
      <c r="BP314" s="542">
        <v>-1669</v>
      </c>
      <c r="BQ314" s="542">
        <v>0</v>
      </c>
      <c r="BR314" s="542">
        <v>696.52</v>
      </c>
      <c r="BS314" s="542">
        <v>174.13</v>
      </c>
      <c r="BT314" s="542">
        <v>0</v>
      </c>
      <c r="BU314" s="542">
        <v>19029</v>
      </c>
      <c r="BV314" s="542">
        <v>4757</v>
      </c>
      <c r="BW314" s="542">
        <v>0</v>
      </c>
      <c r="BX314" s="542">
        <v>-18332</v>
      </c>
      <c r="BY314" s="542">
        <v>-4583</v>
      </c>
      <c r="BZ314" s="542">
        <v>0</v>
      </c>
      <c r="CA314" s="542">
        <v>80162.44</v>
      </c>
      <c r="CB314" s="542">
        <v>20040.61</v>
      </c>
      <c r="CC314" s="542">
        <v>0</v>
      </c>
      <c r="CD314" s="542">
        <v>133402</v>
      </c>
      <c r="CE314" s="542">
        <v>33350</v>
      </c>
      <c r="CF314" s="542">
        <v>0</v>
      </c>
      <c r="CG314" s="542">
        <v>-53240</v>
      </c>
      <c r="CH314" s="542">
        <v>-13309</v>
      </c>
      <c r="CI314" s="542">
        <v>0</v>
      </c>
      <c r="CJ314" s="542">
        <v>0</v>
      </c>
      <c r="CK314" s="542">
        <v>0</v>
      </c>
      <c r="CL314" s="542">
        <v>0</v>
      </c>
      <c r="CM314" s="542">
        <v>0</v>
      </c>
      <c r="CN314" s="542">
        <v>0</v>
      </c>
      <c r="CO314" s="542">
        <v>0</v>
      </c>
      <c r="CP314" s="542">
        <v>0</v>
      </c>
      <c r="CQ314" s="542">
        <v>0</v>
      </c>
      <c r="CR314" s="542">
        <v>0</v>
      </c>
      <c r="CS314" s="542">
        <v>0</v>
      </c>
      <c r="CT314" s="542">
        <v>0</v>
      </c>
      <c r="CU314" s="542">
        <v>0</v>
      </c>
      <c r="CV314" s="542">
        <v>65599.350000000006</v>
      </c>
      <c r="CW314" s="542">
        <v>16399.84</v>
      </c>
      <c r="CX314" s="542">
        <v>0</v>
      </c>
      <c r="CY314" s="542">
        <v>69680</v>
      </c>
      <c r="CZ314" s="542">
        <v>17136</v>
      </c>
      <c r="DA314" s="542">
        <v>0</v>
      </c>
      <c r="DB314" s="542">
        <v>-4081</v>
      </c>
      <c r="DC314" s="542">
        <v>-736</v>
      </c>
      <c r="DD314" s="542">
        <v>0</v>
      </c>
      <c r="DE314" s="153" t="s">
        <v>493</v>
      </c>
      <c r="DF314" s="103" t="s">
        <v>778</v>
      </c>
      <c r="DG314" s="104" t="s">
        <v>751</v>
      </c>
      <c r="DH314" s="547"/>
      <c r="DI314" s="547"/>
    </row>
    <row r="315" spans="1:113" ht="12.75" x14ac:dyDescent="0.2">
      <c r="A315" s="93">
        <v>309</v>
      </c>
      <c r="B315" s="145" t="s">
        <v>496</v>
      </c>
      <c r="C315" s="141" t="s">
        <v>866</v>
      </c>
      <c r="D315" s="142" t="s">
        <v>867</v>
      </c>
      <c r="E315" s="149" t="s">
        <v>495</v>
      </c>
      <c r="F315" s="542">
        <v>68295</v>
      </c>
      <c r="G315" s="542">
        <v>0</v>
      </c>
      <c r="H315" s="542">
        <v>68295</v>
      </c>
      <c r="I315" s="542">
        <v>64473</v>
      </c>
      <c r="J315" s="542">
        <v>0</v>
      </c>
      <c r="K315" s="542">
        <v>64473</v>
      </c>
      <c r="L315" s="542">
        <v>3822</v>
      </c>
      <c r="M315" s="542">
        <v>0</v>
      </c>
      <c r="N315" s="542">
        <v>3822</v>
      </c>
      <c r="O315" s="543">
        <v>0.5</v>
      </c>
      <c r="P315" s="543">
        <v>0.4</v>
      </c>
      <c r="Q315" s="543">
        <v>0.1</v>
      </c>
      <c r="R315" s="543">
        <v>0</v>
      </c>
      <c r="S315" s="542">
        <v>164331</v>
      </c>
      <c r="T315" s="542">
        <v>164331</v>
      </c>
      <c r="U315" s="542">
        <v>0</v>
      </c>
      <c r="V315" s="542">
        <v>0</v>
      </c>
      <c r="W315" s="542">
        <v>0</v>
      </c>
      <c r="X315" s="542">
        <v>0</v>
      </c>
      <c r="Y315" s="542">
        <v>120573</v>
      </c>
      <c r="Z315" s="542">
        <v>0</v>
      </c>
      <c r="AA315" s="542">
        <v>0</v>
      </c>
      <c r="AB315" s="542">
        <v>0</v>
      </c>
      <c r="AC315" s="542">
        <v>120573</v>
      </c>
      <c r="AD315" s="542">
        <v>0</v>
      </c>
      <c r="AE315" s="542">
        <v>0</v>
      </c>
      <c r="AF315" s="542">
        <v>0</v>
      </c>
      <c r="AG315" s="542">
        <v>0</v>
      </c>
      <c r="AH315" s="542">
        <v>0</v>
      </c>
      <c r="AI315" s="542">
        <v>0</v>
      </c>
      <c r="AJ315" s="542">
        <v>0</v>
      </c>
      <c r="AK315" s="542">
        <v>0</v>
      </c>
      <c r="AL315" s="542">
        <v>0</v>
      </c>
      <c r="AM315" s="542">
        <v>0</v>
      </c>
      <c r="AN315" s="542">
        <v>0</v>
      </c>
      <c r="AO315" s="542">
        <v>0</v>
      </c>
      <c r="AP315" s="542">
        <v>0</v>
      </c>
      <c r="AQ315" s="542">
        <v>475114.902</v>
      </c>
      <c r="AR315" s="542">
        <v>118778.72500000001</v>
      </c>
      <c r="AS315" s="542">
        <v>0</v>
      </c>
      <c r="AT315" s="542">
        <v>446728</v>
      </c>
      <c r="AU315" s="542">
        <v>111682</v>
      </c>
      <c r="AV315" s="542">
        <v>0</v>
      </c>
      <c r="AW315" s="542">
        <v>28387</v>
      </c>
      <c r="AX315" s="542">
        <v>7097</v>
      </c>
      <c r="AY315" s="542">
        <v>0</v>
      </c>
      <c r="AZ315" s="542">
        <v>2085.5065800000002</v>
      </c>
      <c r="BA315" s="542">
        <v>521.37664500000005</v>
      </c>
      <c r="BB315" s="542">
        <v>0</v>
      </c>
      <c r="BC315" s="542">
        <v>0</v>
      </c>
      <c r="BD315" s="542">
        <v>0</v>
      </c>
      <c r="BE315" s="542">
        <v>0</v>
      </c>
      <c r="BF315" s="542">
        <v>2086</v>
      </c>
      <c r="BG315" s="542">
        <v>521</v>
      </c>
      <c r="BH315" s="542">
        <v>0</v>
      </c>
      <c r="BI315" s="542">
        <v>0</v>
      </c>
      <c r="BJ315" s="542">
        <v>0</v>
      </c>
      <c r="BK315" s="542">
        <v>0</v>
      </c>
      <c r="BL315" s="542">
        <v>0</v>
      </c>
      <c r="BM315" s="542">
        <v>0</v>
      </c>
      <c r="BN315" s="542">
        <v>0</v>
      </c>
      <c r="BO315" s="542">
        <v>0</v>
      </c>
      <c r="BP315" s="542">
        <v>0</v>
      </c>
      <c r="BQ315" s="542">
        <v>0</v>
      </c>
      <c r="BR315" s="542">
        <v>2700.7694200000001</v>
      </c>
      <c r="BS315" s="542">
        <v>675.19235600000002</v>
      </c>
      <c r="BT315" s="542">
        <v>0</v>
      </c>
      <c r="BU315" s="542">
        <v>4464</v>
      </c>
      <c r="BV315" s="542">
        <v>1116</v>
      </c>
      <c r="BW315" s="542">
        <v>0</v>
      </c>
      <c r="BX315" s="542">
        <v>-1763</v>
      </c>
      <c r="BY315" s="542">
        <v>-441</v>
      </c>
      <c r="BZ315" s="542">
        <v>0</v>
      </c>
      <c r="CA315" s="542">
        <v>172830.24299999999</v>
      </c>
      <c r="CB315" s="542">
        <v>43207.560899999997</v>
      </c>
      <c r="CC315" s="542">
        <v>0</v>
      </c>
      <c r="CD315" s="542">
        <v>86814</v>
      </c>
      <c r="CE315" s="542">
        <v>21703</v>
      </c>
      <c r="CF315" s="542">
        <v>0</v>
      </c>
      <c r="CG315" s="542">
        <v>86016</v>
      </c>
      <c r="CH315" s="542">
        <v>21505</v>
      </c>
      <c r="CI315" s="542">
        <v>0</v>
      </c>
      <c r="CJ315" s="542">
        <v>2342.9839999999999</v>
      </c>
      <c r="CK315" s="542">
        <v>585.74599999999998</v>
      </c>
      <c r="CL315" s="542">
        <v>0</v>
      </c>
      <c r="CM315" s="542">
        <v>0</v>
      </c>
      <c r="CN315" s="542">
        <v>0</v>
      </c>
      <c r="CO315" s="542">
        <v>0</v>
      </c>
      <c r="CP315" s="542">
        <v>3030</v>
      </c>
      <c r="CQ315" s="542">
        <v>757.5</v>
      </c>
      <c r="CR315" s="542">
        <v>0</v>
      </c>
      <c r="CS315" s="542">
        <v>-687</v>
      </c>
      <c r="CT315" s="542">
        <v>-172</v>
      </c>
      <c r="CU315" s="542">
        <v>0</v>
      </c>
      <c r="CV315" s="542">
        <v>135761.51300000001</v>
      </c>
      <c r="CW315" s="542">
        <v>33620.386400000003</v>
      </c>
      <c r="CX315" s="542">
        <v>0</v>
      </c>
      <c r="CY315" s="542">
        <v>139508</v>
      </c>
      <c r="CZ315" s="542">
        <v>34441</v>
      </c>
      <c r="DA315" s="542">
        <v>0</v>
      </c>
      <c r="DB315" s="542">
        <v>-3746</v>
      </c>
      <c r="DC315" s="542">
        <v>-821</v>
      </c>
      <c r="DD315" s="542">
        <v>0</v>
      </c>
      <c r="DE315" s="153" t="s">
        <v>495</v>
      </c>
      <c r="DF315" s="103" t="s">
        <v>795</v>
      </c>
      <c r="DG315" s="104" t="s">
        <v>751</v>
      </c>
      <c r="DH315" s="548"/>
      <c r="DI315" s="548"/>
    </row>
    <row r="316" spans="1:113" x14ac:dyDescent="0.2">
      <c r="A316" s="93">
        <v>310</v>
      </c>
      <c r="B316" s="145" t="s">
        <v>498</v>
      </c>
      <c r="C316" s="141" t="s">
        <v>866</v>
      </c>
      <c r="D316" s="142" t="s">
        <v>875</v>
      </c>
      <c r="E316" s="149" t="s">
        <v>497</v>
      </c>
      <c r="F316" s="542">
        <v>-13936</v>
      </c>
      <c r="G316" s="542">
        <v>0</v>
      </c>
      <c r="H316" s="542">
        <v>-13936</v>
      </c>
      <c r="I316" s="542">
        <v>53793</v>
      </c>
      <c r="J316" s="542">
        <v>0</v>
      </c>
      <c r="K316" s="542">
        <v>53793</v>
      </c>
      <c r="L316" s="542">
        <v>-67729</v>
      </c>
      <c r="M316" s="542">
        <v>0</v>
      </c>
      <c r="N316" s="542">
        <v>-67729</v>
      </c>
      <c r="O316" s="543">
        <v>0.5</v>
      </c>
      <c r="P316" s="543">
        <v>0.4</v>
      </c>
      <c r="Q316" s="543">
        <v>0.09</v>
      </c>
      <c r="R316" s="543">
        <v>0.01</v>
      </c>
      <c r="S316" s="542">
        <v>75158</v>
      </c>
      <c r="T316" s="542">
        <v>75158</v>
      </c>
      <c r="U316" s="542">
        <v>0</v>
      </c>
      <c r="V316" s="542">
        <v>0</v>
      </c>
      <c r="W316" s="542">
        <v>0</v>
      </c>
      <c r="X316" s="542">
        <v>0</v>
      </c>
      <c r="Y316" s="542">
        <v>0</v>
      </c>
      <c r="Z316" s="542">
        <v>0</v>
      </c>
      <c r="AA316" s="542">
        <v>0</v>
      </c>
      <c r="AB316" s="542">
        <v>0</v>
      </c>
      <c r="AC316" s="542">
        <v>0</v>
      </c>
      <c r="AD316" s="542">
        <v>0</v>
      </c>
      <c r="AE316" s="542">
        <v>0</v>
      </c>
      <c r="AF316" s="542">
        <v>0</v>
      </c>
      <c r="AG316" s="542">
        <v>0</v>
      </c>
      <c r="AH316" s="542">
        <v>0</v>
      </c>
      <c r="AI316" s="542">
        <v>0</v>
      </c>
      <c r="AJ316" s="542">
        <v>0</v>
      </c>
      <c r="AK316" s="542">
        <v>0</v>
      </c>
      <c r="AL316" s="542">
        <v>0</v>
      </c>
      <c r="AM316" s="542">
        <v>0</v>
      </c>
      <c r="AN316" s="542">
        <v>0</v>
      </c>
      <c r="AO316" s="542">
        <v>0</v>
      </c>
      <c r="AP316" s="542">
        <v>0</v>
      </c>
      <c r="AQ316" s="542">
        <v>283950.27</v>
      </c>
      <c r="AR316" s="542">
        <v>63888.810899999997</v>
      </c>
      <c r="AS316" s="542">
        <v>7098.75677</v>
      </c>
      <c r="AT316" s="542">
        <v>253623</v>
      </c>
      <c r="AU316" s="542">
        <v>57065</v>
      </c>
      <c r="AV316" s="542">
        <v>6341</v>
      </c>
      <c r="AW316" s="542">
        <v>30327</v>
      </c>
      <c r="AX316" s="542">
        <v>6824</v>
      </c>
      <c r="AY316" s="542">
        <v>758</v>
      </c>
      <c r="AZ316" s="542">
        <v>6461.4726099999998</v>
      </c>
      <c r="BA316" s="542">
        <v>1453.83133</v>
      </c>
      <c r="BB316" s="542">
        <v>161.53681499999999</v>
      </c>
      <c r="BC316" s="542">
        <v>1213</v>
      </c>
      <c r="BD316" s="542">
        <v>273</v>
      </c>
      <c r="BE316" s="542">
        <v>30</v>
      </c>
      <c r="BF316" s="542">
        <v>5248</v>
      </c>
      <c r="BG316" s="542">
        <v>1181</v>
      </c>
      <c r="BH316" s="542">
        <v>132</v>
      </c>
      <c r="BI316" s="542">
        <v>0</v>
      </c>
      <c r="BJ316" s="542">
        <v>0</v>
      </c>
      <c r="BK316" s="542">
        <v>0</v>
      </c>
      <c r="BL316" s="542">
        <v>202</v>
      </c>
      <c r="BM316" s="542">
        <v>46</v>
      </c>
      <c r="BN316" s="542">
        <v>5</v>
      </c>
      <c r="BO316" s="542">
        <v>-202</v>
      </c>
      <c r="BP316" s="542">
        <v>-46</v>
      </c>
      <c r="BQ316" s="542">
        <v>-5</v>
      </c>
      <c r="BR316" s="542">
        <v>0</v>
      </c>
      <c r="BS316" s="542">
        <v>0</v>
      </c>
      <c r="BT316" s="542">
        <v>0</v>
      </c>
      <c r="BU316" s="542">
        <v>2021</v>
      </c>
      <c r="BV316" s="542">
        <v>455</v>
      </c>
      <c r="BW316" s="542">
        <v>51</v>
      </c>
      <c r="BX316" s="542">
        <v>-2021</v>
      </c>
      <c r="BY316" s="542">
        <v>-455</v>
      </c>
      <c r="BZ316" s="542">
        <v>-51</v>
      </c>
      <c r="CA316" s="542">
        <v>68916.714999999997</v>
      </c>
      <c r="CB316" s="542">
        <v>15506.2608</v>
      </c>
      <c r="CC316" s="542">
        <v>1722.91787</v>
      </c>
      <c r="CD316" s="542">
        <v>84892</v>
      </c>
      <c r="CE316" s="542">
        <v>19101</v>
      </c>
      <c r="CF316" s="542">
        <v>2122</v>
      </c>
      <c r="CG316" s="542">
        <v>-15975</v>
      </c>
      <c r="CH316" s="542">
        <v>-3595</v>
      </c>
      <c r="CI316" s="542">
        <v>-399</v>
      </c>
      <c r="CJ316" s="542">
        <v>0</v>
      </c>
      <c r="CK316" s="542">
        <v>0</v>
      </c>
      <c r="CL316" s="542">
        <v>0</v>
      </c>
      <c r="CM316" s="542">
        <v>0</v>
      </c>
      <c r="CN316" s="542">
        <v>0</v>
      </c>
      <c r="CO316" s="542">
        <v>0</v>
      </c>
      <c r="CP316" s="542">
        <v>0</v>
      </c>
      <c r="CQ316" s="542">
        <v>0</v>
      </c>
      <c r="CR316" s="542">
        <v>0</v>
      </c>
      <c r="CS316" s="542">
        <v>0</v>
      </c>
      <c r="CT316" s="542">
        <v>0</v>
      </c>
      <c r="CU316" s="542">
        <v>0</v>
      </c>
      <c r="CV316" s="542">
        <v>25492.5265</v>
      </c>
      <c r="CW316" s="542">
        <v>5735.8184700000002</v>
      </c>
      <c r="CX316" s="542">
        <v>637.31316300000003</v>
      </c>
      <c r="CY316" s="542">
        <v>50905</v>
      </c>
      <c r="CZ316" s="542">
        <v>11274</v>
      </c>
      <c r="DA316" s="542">
        <v>1253</v>
      </c>
      <c r="DB316" s="542">
        <v>-25412</v>
      </c>
      <c r="DC316" s="542">
        <v>-5538</v>
      </c>
      <c r="DD316" s="542">
        <v>-616</v>
      </c>
      <c r="DE316" s="153" t="s">
        <v>497</v>
      </c>
      <c r="DF316" s="103" t="s">
        <v>815</v>
      </c>
      <c r="DG316" s="104" t="s">
        <v>804</v>
      </c>
      <c r="DH316" s="547"/>
      <c r="DI316" s="547"/>
    </row>
    <row r="317" spans="1:113" x14ac:dyDescent="0.2">
      <c r="A317" s="93">
        <v>311</v>
      </c>
      <c r="B317" s="145" t="s">
        <v>500</v>
      </c>
      <c r="C317" s="141" t="s">
        <v>877</v>
      </c>
      <c r="D317" s="142" t="s">
        <v>872</v>
      </c>
      <c r="E317" s="149" t="s">
        <v>499</v>
      </c>
      <c r="F317" s="542">
        <v>-43800511</v>
      </c>
      <c r="G317" s="542">
        <v>0</v>
      </c>
      <c r="H317" s="542">
        <v>-43800511</v>
      </c>
      <c r="I317" s="542">
        <v>3937633</v>
      </c>
      <c r="J317" s="542">
        <v>0</v>
      </c>
      <c r="K317" s="542">
        <v>3937633</v>
      </c>
      <c r="L317" s="542">
        <v>-47738144</v>
      </c>
      <c r="M317" s="542">
        <v>0</v>
      </c>
      <c r="N317" s="542">
        <v>-47738144</v>
      </c>
      <c r="O317" s="543">
        <v>0.5</v>
      </c>
      <c r="P317" s="543">
        <v>0.3</v>
      </c>
      <c r="Q317" s="543">
        <v>0.2</v>
      </c>
      <c r="R317" s="543">
        <v>0</v>
      </c>
      <c r="S317" s="542">
        <v>3154688</v>
      </c>
      <c r="T317" s="542">
        <v>3154688</v>
      </c>
      <c r="U317" s="542">
        <v>0</v>
      </c>
      <c r="V317" s="542">
        <v>0</v>
      </c>
      <c r="W317" s="542">
        <v>0</v>
      </c>
      <c r="X317" s="542">
        <v>0</v>
      </c>
      <c r="Y317" s="542">
        <v>0</v>
      </c>
      <c r="Z317" s="542">
        <v>0</v>
      </c>
      <c r="AA317" s="542">
        <v>0</v>
      </c>
      <c r="AB317" s="542">
        <v>0</v>
      </c>
      <c r="AC317" s="542">
        <v>0</v>
      </c>
      <c r="AD317" s="542">
        <v>0</v>
      </c>
      <c r="AE317" s="542">
        <v>0</v>
      </c>
      <c r="AF317" s="542">
        <v>0</v>
      </c>
      <c r="AG317" s="542">
        <v>0</v>
      </c>
      <c r="AH317" s="542">
        <v>0</v>
      </c>
      <c r="AI317" s="542">
        <v>0</v>
      </c>
      <c r="AJ317" s="542">
        <v>0</v>
      </c>
      <c r="AK317" s="542">
        <v>0</v>
      </c>
      <c r="AL317" s="542">
        <v>0</v>
      </c>
      <c r="AM317" s="542">
        <v>0</v>
      </c>
      <c r="AN317" s="542">
        <v>0</v>
      </c>
      <c r="AO317" s="542">
        <v>0</v>
      </c>
      <c r="AP317" s="542">
        <v>0</v>
      </c>
      <c r="AQ317" s="542">
        <v>344916.72399999999</v>
      </c>
      <c r="AR317" s="542">
        <v>229944.48300000001</v>
      </c>
      <c r="AS317" s="542">
        <v>0</v>
      </c>
      <c r="AT317" s="542">
        <v>285635</v>
      </c>
      <c r="AU317" s="542">
        <v>190423</v>
      </c>
      <c r="AV317" s="542">
        <v>0</v>
      </c>
      <c r="AW317" s="542">
        <v>59282</v>
      </c>
      <c r="AX317" s="542">
        <v>39521</v>
      </c>
      <c r="AY317" s="542">
        <v>0</v>
      </c>
      <c r="AZ317" s="542">
        <v>0</v>
      </c>
      <c r="BA317" s="542">
        <v>0</v>
      </c>
      <c r="BB317" s="542">
        <v>0</v>
      </c>
      <c r="BC317" s="542">
        <v>0</v>
      </c>
      <c r="BD317" s="542">
        <v>0</v>
      </c>
      <c r="BE317" s="542">
        <v>0</v>
      </c>
      <c r="BF317" s="542">
        <v>0</v>
      </c>
      <c r="BG317" s="542">
        <v>0</v>
      </c>
      <c r="BH317" s="542">
        <v>0</v>
      </c>
      <c r="BI317" s="542">
        <v>0</v>
      </c>
      <c r="BJ317" s="542">
        <v>0</v>
      </c>
      <c r="BK317" s="542">
        <v>0</v>
      </c>
      <c r="BL317" s="542">
        <v>0</v>
      </c>
      <c r="BM317" s="542">
        <v>0</v>
      </c>
      <c r="BN317" s="542">
        <v>0</v>
      </c>
      <c r="BO317" s="542">
        <v>0</v>
      </c>
      <c r="BP317" s="542">
        <v>0</v>
      </c>
      <c r="BQ317" s="542">
        <v>0</v>
      </c>
      <c r="BR317" s="542">
        <v>6767.9923500000004</v>
      </c>
      <c r="BS317" s="542">
        <v>4511.9948999999997</v>
      </c>
      <c r="BT317" s="542">
        <v>0</v>
      </c>
      <c r="BU317" s="542">
        <v>0</v>
      </c>
      <c r="BV317" s="542">
        <v>0</v>
      </c>
      <c r="BW317" s="542">
        <v>0</v>
      </c>
      <c r="BX317" s="542">
        <v>6768</v>
      </c>
      <c r="BY317" s="542">
        <v>4512</v>
      </c>
      <c r="BZ317" s="542">
        <v>0</v>
      </c>
      <c r="CA317" s="542">
        <v>692996.57499999995</v>
      </c>
      <c r="CB317" s="542">
        <v>461997.717</v>
      </c>
      <c r="CC317" s="542">
        <v>0</v>
      </c>
      <c r="CD317" s="542">
        <v>909554.14</v>
      </c>
      <c r="CE317" s="542">
        <v>606369.42599999998</v>
      </c>
      <c r="CF317" s="542">
        <v>0</v>
      </c>
      <c r="CG317" s="542">
        <v>-216558</v>
      </c>
      <c r="CH317" s="542">
        <v>-144372</v>
      </c>
      <c r="CI317" s="542">
        <v>0</v>
      </c>
      <c r="CJ317" s="542">
        <v>0</v>
      </c>
      <c r="CK317" s="542">
        <v>0</v>
      </c>
      <c r="CL317" s="542">
        <v>0</v>
      </c>
      <c r="CM317" s="542">
        <v>0</v>
      </c>
      <c r="CN317" s="542">
        <v>0</v>
      </c>
      <c r="CO317" s="542">
        <v>0</v>
      </c>
      <c r="CP317" s="542">
        <v>0</v>
      </c>
      <c r="CQ317" s="542">
        <v>0</v>
      </c>
      <c r="CR317" s="542">
        <v>0</v>
      </c>
      <c r="CS317" s="542">
        <v>0</v>
      </c>
      <c r="CT317" s="542">
        <v>0</v>
      </c>
      <c r="CU317" s="542">
        <v>0</v>
      </c>
      <c r="CV317" s="542">
        <v>4901266.93</v>
      </c>
      <c r="CW317" s="542">
        <v>3267511.28</v>
      </c>
      <c r="CX317" s="542">
        <v>0</v>
      </c>
      <c r="CY317" s="542">
        <v>5587692</v>
      </c>
      <c r="CZ317" s="542">
        <v>3702802</v>
      </c>
      <c r="DA317" s="542">
        <v>0</v>
      </c>
      <c r="DB317" s="542">
        <v>-686425</v>
      </c>
      <c r="DC317" s="542">
        <v>-435291</v>
      </c>
      <c r="DD317" s="542">
        <v>0</v>
      </c>
      <c r="DE317" s="153" t="s">
        <v>499</v>
      </c>
      <c r="DF317" s="103" t="s">
        <v>762</v>
      </c>
      <c r="DG317" s="103" t="s">
        <v>750</v>
      </c>
      <c r="DH317" s="547"/>
      <c r="DI317" s="547"/>
    </row>
    <row r="318" spans="1:113" x14ac:dyDescent="0.2">
      <c r="A318" s="93">
        <v>312</v>
      </c>
      <c r="B318" s="145" t="s">
        <v>502</v>
      </c>
      <c r="C318" s="141" t="s">
        <v>866</v>
      </c>
      <c r="D318" s="142" t="s">
        <v>875</v>
      </c>
      <c r="E318" s="149" t="s">
        <v>736</v>
      </c>
      <c r="F318" s="542">
        <v>-77979</v>
      </c>
      <c r="G318" s="542">
        <v>0</v>
      </c>
      <c r="H318" s="542">
        <v>-77979</v>
      </c>
      <c r="I318" s="542">
        <v>19529</v>
      </c>
      <c r="J318" s="542">
        <v>0</v>
      </c>
      <c r="K318" s="542">
        <v>19529</v>
      </c>
      <c r="L318" s="542">
        <v>-97508</v>
      </c>
      <c r="M318" s="542">
        <v>0</v>
      </c>
      <c r="N318" s="542">
        <v>-97508</v>
      </c>
      <c r="O318" s="543">
        <v>0.5</v>
      </c>
      <c r="P318" s="543">
        <v>0.4</v>
      </c>
      <c r="Q318" s="543">
        <v>0.09</v>
      </c>
      <c r="R318" s="543">
        <v>0.01</v>
      </c>
      <c r="S318" s="542">
        <v>108024</v>
      </c>
      <c r="T318" s="542">
        <v>108024</v>
      </c>
      <c r="U318" s="542">
        <v>0</v>
      </c>
      <c r="V318" s="542">
        <v>0</v>
      </c>
      <c r="W318" s="542">
        <v>0</v>
      </c>
      <c r="X318" s="542">
        <v>0</v>
      </c>
      <c r="Y318" s="542">
        <v>1213</v>
      </c>
      <c r="Z318" s="542">
        <v>0</v>
      </c>
      <c r="AA318" s="542">
        <v>0</v>
      </c>
      <c r="AB318" s="542">
        <v>0</v>
      </c>
      <c r="AC318" s="542">
        <v>1213</v>
      </c>
      <c r="AD318" s="542">
        <v>0</v>
      </c>
      <c r="AE318" s="542">
        <v>0</v>
      </c>
      <c r="AF318" s="542">
        <v>0</v>
      </c>
      <c r="AG318" s="542">
        <v>0</v>
      </c>
      <c r="AH318" s="542">
        <v>0</v>
      </c>
      <c r="AI318" s="542">
        <v>0</v>
      </c>
      <c r="AJ318" s="542">
        <v>0</v>
      </c>
      <c r="AK318" s="542">
        <v>0</v>
      </c>
      <c r="AL318" s="542">
        <v>0</v>
      </c>
      <c r="AM318" s="542">
        <v>0</v>
      </c>
      <c r="AN318" s="542">
        <v>0</v>
      </c>
      <c r="AO318" s="542">
        <v>0</v>
      </c>
      <c r="AP318" s="542">
        <v>0</v>
      </c>
      <c r="AQ318" s="542">
        <v>318312.21500000003</v>
      </c>
      <c r="AR318" s="542">
        <v>71620.248500000002</v>
      </c>
      <c r="AS318" s="542">
        <v>7957.8053900000004</v>
      </c>
      <c r="AT318" s="542">
        <v>304287</v>
      </c>
      <c r="AU318" s="542">
        <v>68465</v>
      </c>
      <c r="AV318" s="542">
        <v>7607</v>
      </c>
      <c r="AW318" s="542">
        <v>14025</v>
      </c>
      <c r="AX318" s="542">
        <v>3155</v>
      </c>
      <c r="AY318" s="542">
        <v>351</v>
      </c>
      <c r="AZ318" s="542">
        <v>0</v>
      </c>
      <c r="BA318" s="542">
        <v>0</v>
      </c>
      <c r="BB318" s="542">
        <v>0</v>
      </c>
      <c r="BC318" s="542">
        <v>4042</v>
      </c>
      <c r="BD318" s="542">
        <v>910</v>
      </c>
      <c r="BE318" s="542">
        <v>101</v>
      </c>
      <c r="BF318" s="542">
        <v>-4042</v>
      </c>
      <c r="BG318" s="542">
        <v>-910</v>
      </c>
      <c r="BH318" s="542">
        <v>-101</v>
      </c>
      <c r="BI318" s="542">
        <v>0</v>
      </c>
      <c r="BJ318" s="542">
        <v>0</v>
      </c>
      <c r="BK318" s="542">
        <v>0</v>
      </c>
      <c r="BL318" s="542">
        <v>4042</v>
      </c>
      <c r="BM318" s="542">
        <v>910</v>
      </c>
      <c r="BN318" s="542">
        <v>101</v>
      </c>
      <c r="BO318" s="542">
        <v>-4042</v>
      </c>
      <c r="BP318" s="542">
        <v>-910</v>
      </c>
      <c r="BQ318" s="542">
        <v>-101</v>
      </c>
      <c r="BR318" s="542">
        <v>4302.79745</v>
      </c>
      <c r="BS318" s="542">
        <v>968.12942599999997</v>
      </c>
      <c r="BT318" s="542">
        <v>107.569936</v>
      </c>
      <c r="BU318" s="542">
        <v>4042</v>
      </c>
      <c r="BV318" s="542">
        <v>910</v>
      </c>
      <c r="BW318" s="542">
        <v>101</v>
      </c>
      <c r="BX318" s="542">
        <v>261</v>
      </c>
      <c r="BY318" s="542">
        <v>58</v>
      </c>
      <c r="BZ318" s="542">
        <v>7</v>
      </c>
      <c r="CA318" s="542">
        <v>160181.37700000001</v>
      </c>
      <c r="CB318" s="542">
        <v>36040.8099</v>
      </c>
      <c r="CC318" s="542">
        <v>4004.5344300000002</v>
      </c>
      <c r="CD318" s="542">
        <v>199261</v>
      </c>
      <c r="CE318" s="542">
        <v>44834</v>
      </c>
      <c r="CF318" s="542">
        <v>4982</v>
      </c>
      <c r="CG318" s="542">
        <v>-39080</v>
      </c>
      <c r="CH318" s="542">
        <v>-8793</v>
      </c>
      <c r="CI318" s="542">
        <v>-977</v>
      </c>
      <c r="CJ318" s="542">
        <v>0</v>
      </c>
      <c r="CK318" s="542">
        <v>0</v>
      </c>
      <c r="CL318" s="542">
        <v>0</v>
      </c>
      <c r="CM318" s="542">
        <v>1946.04161</v>
      </c>
      <c r="CN318" s="542">
        <v>437.85936299999997</v>
      </c>
      <c r="CO318" s="542">
        <v>48.651040299999998</v>
      </c>
      <c r="CP318" s="542">
        <v>1831</v>
      </c>
      <c r="CQ318" s="542">
        <v>411.9228</v>
      </c>
      <c r="CR318" s="542">
        <v>45.769199999999998</v>
      </c>
      <c r="CS318" s="542">
        <v>115</v>
      </c>
      <c r="CT318" s="542">
        <v>26</v>
      </c>
      <c r="CU318" s="542">
        <v>3</v>
      </c>
      <c r="CV318" s="542">
        <v>68904.2696</v>
      </c>
      <c r="CW318" s="542">
        <v>15500.5633</v>
      </c>
      <c r="CX318" s="542">
        <v>1722.2848200000001</v>
      </c>
      <c r="CY318" s="542">
        <v>64455</v>
      </c>
      <c r="CZ318" s="542">
        <v>14244</v>
      </c>
      <c r="DA318" s="542">
        <v>1583</v>
      </c>
      <c r="DB318" s="542">
        <v>4449</v>
      </c>
      <c r="DC318" s="542">
        <v>1257</v>
      </c>
      <c r="DD318" s="542">
        <v>139</v>
      </c>
      <c r="DE318" s="153" t="s">
        <v>736</v>
      </c>
      <c r="DF318" s="103" t="s">
        <v>797</v>
      </c>
      <c r="DG318" s="104" t="s">
        <v>779</v>
      </c>
      <c r="DH318" s="547"/>
      <c r="DI318" s="547"/>
    </row>
    <row r="319" spans="1:113" x14ac:dyDescent="0.2">
      <c r="A319" s="93">
        <v>313</v>
      </c>
      <c r="B319" s="150" t="s">
        <v>504</v>
      </c>
      <c r="C319" s="143" t="s">
        <v>873</v>
      </c>
      <c r="D319" s="144" t="s">
        <v>868</v>
      </c>
      <c r="E319" s="151" t="s">
        <v>503</v>
      </c>
      <c r="F319" s="542">
        <v>-1982249</v>
      </c>
      <c r="G319" s="542">
        <v>0</v>
      </c>
      <c r="H319" s="542">
        <v>-1982249</v>
      </c>
      <c r="I319" s="542">
        <v>383400</v>
      </c>
      <c r="J319" s="542">
        <v>0</v>
      </c>
      <c r="K319" s="542">
        <v>383400</v>
      </c>
      <c r="L319" s="542">
        <v>-2365649</v>
      </c>
      <c r="M319" s="542">
        <v>0</v>
      </c>
      <c r="N319" s="542">
        <v>-2365649</v>
      </c>
      <c r="O319" s="543">
        <v>0.5</v>
      </c>
      <c r="P319" s="543">
        <v>0.49</v>
      </c>
      <c r="Q319" s="543">
        <v>0</v>
      </c>
      <c r="R319" s="543">
        <v>0.01</v>
      </c>
      <c r="S319" s="542">
        <v>387845</v>
      </c>
      <c r="T319" s="542">
        <v>387845</v>
      </c>
      <c r="U319" s="542">
        <v>0</v>
      </c>
      <c r="V319" s="542">
        <v>0</v>
      </c>
      <c r="W319" s="542">
        <v>0</v>
      </c>
      <c r="X319" s="542">
        <v>0</v>
      </c>
      <c r="Y319" s="542">
        <v>0</v>
      </c>
      <c r="Z319" s="542">
        <v>0</v>
      </c>
      <c r="AA319" s="542">
        <v>0</v>
      </c>
      <c r="AB319" s="542">
        <v>0</v>
      </c>
      <c r="AC319" s="542">
        <v>0</v>
      </c>
      <c r="AD319" s="542">
        <v>0</v>
      </c>
      <c r="AE319" s="542">
        <v>0</v>
      </c>
      <c r="AF319" s="542">
        <v>0</v>
      </c>
      <c r="AG319" s="542">
        <v>0</v>
      </c>
      <c r="AH319" s="542">
        <v>0</v>
      </c>
      <c r="AI319" s="542">
        <v>0</v>
      </c>
      <c r="AJ319" s="542">
        <v>0</v>
      </c>
      <c r="AK319" s="542">
        <v>0</v>
      </c>
      <c r="AL319" s="542">
        <v>0</v>
      </c>
      <c r="AM319" s="542">
        <v>0</v>
      </c>
      <c r="AN319" s="542">
        <v>0</v>
      </c>
      <c r="AO319" s="542">
        <v>0</v>
      </c>
      <c r="AP319" s="542">
        <v>0</v>
      </c>
      <c r="AQ319" s="542">
        <v>1717201.27</v>
      </c>
      <c r="AR319" s="542">
        <v>0</v>
      </c>
      <c r="AS319" s="542">
        <v>35044.92</v>
      </c>
      <c r="AT319" s="542">
        <v>793852</v>
      </c>
      <c r="AU319" s="542">
        <v>0</v>
      </c>
      <c r="AV319" s="542">
        <v>16201</v>
      </c>
      <c r="AW319" s="542">
        <v>923349</v>
      </c>
      <c r="AX319" s="542">
        <v>0</v>
      </c>
      <c r="AY319" s="542">
        <v>18844</v>
      </c>
      <c r="AZ319" s="542">
        <v>7518.15</v>
      </c>
      <c r="BA319" s="542">
        <v>0</v>
      </c>
      <c r="BB319" s="542">
        <v>153.43</v>
      </c>
      <c r="BC319" s="542">
        <v>0</v>
      </c>
      <c r="BD319" s="542">
        <v>0</v>
      </c>
      <c r="BE319" s="542">
        <v>0</v>
      </c>
      <c r="BF319" s="542">
        <v>7518</v>
      </c>
      <c r="BG319" s="542">
        <v>0</v>
      </c>
      <c r="BH319" s="542">
        <v>153</v>
      </c>
      <c r="BI319" s="542">
        <v>0</v>
      </c>
      <c r="BJ319" s="542">
        <v>0</v>
      </c>
      <c r="BK319" s="542">
        <v>0</v>
      </c>
      <c r="BL319" s="542">
        <v>0</v>
      </c>
      <c r="BM319" s="542">
        <v>0</v>
      </c>
      <c r="BN319" s="542">
        <v>0</v>
      </c>
      <c r="BO319" s="542">
        <v>0</v>
      </c>
      <c r="BP319" s="542">
        <v>0</v>
      </c>
      <c r="BQ319" s="542">
        <v>0</v>
      </c>
      <c r="BR319" s="542">
        <v>5321.93</v>
      </c>
      <c r="BS319" s="542">
        <v>0</v>
      </c>
      <c r="BT319" s="542">
        <v>108.61</v>
      </c>
      <c r="BU319" s="542">
        <v>0</v>
      </c>
      <c r="BV319" s="542">
        <v>0</v>
      </c>
      <c r="BW319" s="542">
        <v>0</v>
      </c>
      <c r="BX319" s="542">
        <v>5322</v>
      </c>
      <c r="BY319" s="542">
        <v>0</v>
      </c>
      <c r="BZ319" s="542">
        <v>109</v>
      </c>
      <c r="CA319" s="542">
        <v>585895.91</v>
      </c>
      <c r="CB319" s="542">
        <v>0</v>
      </c>
      <c r="CC319" s="542">
        <v>11957.06</v>
      </c>
      <c r="CD319" s="542">
        <v>622502</v>
      </c>
      <c r="CE319" s="542">
        <v>0</v>
      </c>
      <c r="CF319" s="542">
        <v>12704</v>
      </c>
      <c r="CG319" s="542">
        <v>-36606</v>
      </c>
      <c r="CH319" s="542">
        <v>0</v>
      </c>
      <c r="CI319" s="542">
        <v>-747</v>
      </c>
      <c r="CJ319" s="542">
        <v>0</v>
      </c>
      <c r="CK319" s="542">
        <v>0</v>
      </c>
      <c r="CL319" s="542">
        <v>0</v>
      </c>
      <c r="CM319" s="542">
        <v>0</v>
      </c>
      <c r="CN319" s="542">
        <v>0</v>
      </c>
      <c r="CO319" s="542">
        <v>0</v>
      </c>
      <c r="CP319" s="542">
        <v>0</v>
      </c>
      <c r="CQ319" s="542">
        <v>0</v>
      </c>
      <c r="CR319" s="542">
        <v>0</v>
      </c>
      <c r="CS319" s="542">
        <v>0</v>
      </c>
      <c r="CT319" s="542">
        <v>0</v>
      </c>
      <c r="CU319" s="542">
        <v>0</v>
      </c>
      <c r="CV319" s="542">
        <v>387995.98</v>
      </c>
      <c r="CW319" s="542">
        <v>0</v>
      </c>
      <c r="CX319" s="542">
        <v>7918.29</v>
      </c>
      <c r="CY319" s="542">
        <v>441652</v>
      </c>
      <c r="CZ319" s="542">
        <v>0</v>
      </c>
      <c r="DA319" s="542">
        <v>8929</v>
      </c>
      <c r="DB319" s="542">
        <v>-53656</v>
      </c>
      <c r="DC319" s="542">
        <v>0</v>
      </c>
      <c r="DD319" s="542">
        <v>-1011</v>
      </c>
      <c r="DE319" s="153" t="s">
        <v>503</v>
      </c>
      <c r="DF319" s="103" t="s">
        <v>763</v>
      </c>
      <c r="DG319" s="104" t="s">
        <v>777</v>
      </c>
      <c r="DH319" s="547"/>
      <c r="DI319" s="547"/>
    </row>
    <row r="320" spans="1:113" x14ac:dyDescent="0.2">
      <c r="A320" s="93">
        <v>314</v>
      </c>
      <c r="B320" s="145" t="s">
        <v>506</v>
      </c>
      <c r="C320" s="141" t="s">
        <v>770</v>
      </c>
      <c r="D320" s="142" t="s">
        <v>875</v>
      </c>
      <c r="E320" s="149" t="s">
        <v>505</v>
      </c>
      <c r="F320" s="542">
        <v>361643</v>
      </c>
      <c r="G320" s="542">
        <v>0</v>
      </c>
      <c r="H320" s="542">
        <v>361643</v>
      </c>
      <c r="I320" s="542">
        <v>184570</v>
      </c>
      <c r="J320" s="542">
        <v>0</v>
      </c>
      <c r="K320" s="542">
        <v>184570</v>
      </c>
      <c r="L320" s="542">
        <v>177073</v>
      </c>
      <c r="M320" s="542">
        <v>0</v>
      </c>
      <c r="N320" s="542">
        <v>177073</v>
      </c>
      <c r="O320" s="543">
        <v>0.5</v>
      </c>
      <c r="P320" s="543">
        <v>0.49</v>
      </c>
      <c r="Q320" s="543">
        <v>0</v>
      </c>
      <c r="R320" s="543">
        <v>0.01</v>
      </c>
      <c r="S320" s="542">
        <v>616399</v>
      </c>
      <c r="T320" s="542">
        <v>616399</v>
      </c>
      <c r="U320" s="542">
        <v>0</v>
      </c>
      <c r="V320" s="542">
        <v>0</v>
      </c>
      <c r="W320" s="542">
        <v>0</v>
      </c>
      <c r="X320" s="542">
        <v>0</v>
      </c>
      <c r="Y320" s="542">
        <v>464303</v>
      </c>
      <c r="Z320" s="542">
        <v>0</v>
      </c>
      <c r="AA320" s="542">
        <v>255473</v>
      </c>
      <c r="AB320" s="542">
        <v>0</v>
      </c>
      <c r="AC320" s="542">
        <v>208830</v>
      </c>
      <c r="AD320" s="542">
        <v>0</v>
      </c>
      <c r="AE320" s="542">
        <v>0</v>
      </c>
      <c r="AF320" s="542">
        <v>0</v>
      </c>
      <c r="AG320" s="542">
        <v>0</v>
      </c>
      <c r="AH320" s="542">
        <v>0</v>
      </c>
      <c r="AI320" s="542">
        <v>0</v>
      </c>
      <c r="AJ320" s="542">
        <v>0</v>
      </c>
      <c r="AK320" s="542">
        <v>0</v>
      </c>
      <c r="AL320" s="542">
        <v>0</v>
      </c>
      <c r="AM320" s="542">
        <v>0</v>
      </c>
      <c r="AN320" s="542">
        <v>0</v>
      </c>
      <c r="AO320" s="542">
        <v>0</v>
      </c>
      <c r="AP320" s="542">
        <v>0</v>
      </c>
      <c r="AQ320" s="542">
        <v>2426966.94</v>
      </c>
      <c r="AR320" s="542">
        <v>0</v>
      </c>
      <c r="AS320" s="542">
        <v>49529.94</v>
      </c>
      <c r="AT320" s="542">
        <v>2191574</v>
      </c>
      <c r="AU320" s="542">
        <v>0</v>
      </c>
      <c r="AV320" s="542">
        <v>44726</v>
      </c>
      <c r="AW320" s="542">
        <v>235393</v>
      </c>
      <c r="AX320" s="542">
        <v>0</v>
      </c>
      <c r="AY320" s="542">
        <v>4804</v>
      </c>
      <c r="AZ320" s="542">
        <v>10572.06</v>
      </c>
      <c r="BA320" s="542">
        <v>0</v>
      </c>
      <c r="BB320" s="542">
        <v>215.76</v>
      </c>
      <c r="BC320" s="542">
        <v>0</v>
      </c>
      <c r="BD320" s="542">
        <v>0</v>
      </c>
      <c r="BE320" s="542">
        <v>0</v>
      </c>
      <c r="BF320" s="542">
        <v>10572</v>
      </c>
      <c r="BG320" s="542">
        <v>0</v>
      </c>
      <c r="BH320" s="542">
        <v>216</v>
      </c>
      <c r="BI320" s="542">
        <v>91055.71</v>
      </c>
      <c r="BJ320" s="542">
        <v>0</v>
      </c>
      <c r="BK320" s="542">
        <v>1858.28</v>
      </c>
      <c r="BL320" s="542">
        <v>49520</v>
      </c>
      <c r="BM320" s="542">
        <v>0</v>
      </c>
      <c r="BN320" s="542">
        <v>1011</v>
      </c>
      <c r="BO320" s="542">
        <v>41536</v>
      </c>
      <c r="BP320" s="542">
        <v>0</v>
      </c>
      <c r="BQ320" s="542">
        <v>847</v>
      </c>
      <c r="BR320" s="542">
        <v>8136.66</v>
      </c>
      <c r="BS320" s="542">
        <v>0</v>
      </c>
      <c r="BT320" s="542">
        <v>166.05</v>
      </c>
      <c r="BU320" s="542">
        <v>89136</v>
      </c>
      <c r="BV320" s="542">
        <v>0</v>
      </c>
      <c r="BW320" s="542">
        <v>1819</v>
      </c>
      <c r="BX320" s="542">
        <v>-80999</v>
      </c>
      <c r="BY320" s="542">
        <v>0</v>
      </c>
      <c r="BZ320" s="542">
        <v>-1653</v>
      </c>
      <c r="CA320" s="542">
        <v>827675.66</v>
      </c>
      <c r="CB320" s="542">
        <v>0</v>
      </c>
      <c r="CC320" s="542">
        <v>16891.34</v>
      </c>
      <c r="CD320" s="542">
        <v>1067159</v>
      </c>
      <c r="CE320" s="542">
        <v>0</v>
      </c>
      <c r="CF320" s="542">
        <v>21779</v>
      </c>
      <c r="CG320" s="542">
        <v>-239483</v>
      </c>
      <c r="CH320" s="542">
        <v>0</v>
      </c>
      <c r="CI320" s="542">
        <v>-4888</v>
      </c>
      <c r="CJ320" s="542">
        <v>7980.14</v>
      </c>
      <c r="CK320" s="542">
        <v>0</v>
      </c>
      <c r="CL320" s="542">
        <v>162.86000000000001</v>
      </c>
      <c r="CM320" s="542">
        <v>6446.04</v>
      </c>
      <c r="CN320" s="542">
        <v>0</v>
      </c>
      <c r="CO320" s="542">
        <v>131.55000000000001</v>
      </c>
      <c r="CP320" s="542">
        <v>11494</v>
      </c>
      <c r="CQ320" s="542">
        <v>0</v>
      </c>
      <c r="CR320" s="542">
        <v>234.57</v>
      </c>
      <c r="CS320" s="542">
        <v>2932</v>
      </c>
      <c r="CT320" s="542">
        <v>0</v>
      </c>
      <c r="CU320" s="542">
        <v>60</v>
      </c>
      <c r="CV320" s="542">
        <v>715439.54</v>
      </c>
      <c r="CW320" s="542">
        <v>0</v>
      </c>
      <c r="CX320" s="542">
        <v>14500.22</v>
      </c>
      <c r="CY320" s="542">
        <v>747822</v>
      </c>
      <c r="CZ320" s="542">
        <v>0</v>
      </c>
      <c r="DA320" s="542">
        <v>15073</v>
      </c>
      <c r="DB320" s="542">
        <v>-32382</v>
      </c>
      <c r="DC320" s="542">
        <v>0</v>
      </c>
      <c r="DD320" s="542">
        <v>-573</v>
      </c>
      <c r="DE320" s="153" t="s">
        <v>505</v>
      </c>
      <c r="DF320" s="103" t="s">
        <v>770</v>
      </c>
      <c r="DG320" s="104" t="s">
        <v>819</v>
      </c>
      <c r="DH320" s="547"/>
      <c r="DI320" s="547"/>
    </row>
    <row r="321" spans="1:143" x14ac:dyDescent="0.2">
      <c r="A321" s="93">
        <v>315</v>
      </c>
      <c r="B321" s="145" t="s">
        <v>508</v>
      </c>
      <c r="C321" s="141" t="s">
        <v>866</v>
      </c>
      <c r="D321" s="142" t="s">
        <v>867</v>
      </c>
      <c r="E321" s="149" t="s">
        <v>507</v>
      </c>
      <c r="F321" s="542">
        <v>-200212</v>
      </c>
      <c r="G321" s="542">
        <v>0</v>
      </c>
      <c r="H321" s="542">
        <v>-200212</v>
      </c>
      <c r="I321" s="542">
        <v>168214</v>
      </c>
      <c r="J321" s="542">
        <v>0</v>
      </c>
      <c r="K321" s="542">
        <v>168214</v>
      </c>
      <c r="L321" s="542">
        <v>-368426</v>
      </c>
      <c r="M321" s="542">
        <v>0</v>
      </c>
      <c r="N321" s="542">
        <v>-368426</v>
      </c>
      <c r="O321" s="543">
        <v>0.5</v>
      </c>
      <c r="P321" s="543">
        <v>0.4</v>
      </c>
      <c r="Q321" s="543">
        <v>0.09</v>
      </c>
      <c r="R321" s="543">
        <v>0.01</v>
      </c>
      <c r="S321" s="542">
        <v>197633</v>
      </c>
      <c r="T321" s="542">
        <v>197633</v>
      </c>
      <c r="U321" s="542">
        <v>0</v>
      </c>
      <c r="V321" s="542">
        <v>0</v>
      </c>
      <c r="W321" s="542">
        <v>0</v>
      </c>
      <c r="X321" s="542">
        <v>0</v>
      </c>
      <c r="Y321" s="542">
        <v>85452</v>
      </c>
      <c r="Z321" s="542">
        <v>0</v>
      </c>
      <c r="AA321" s="542">
        <v>0</v>
      </c>
      <c r="AB321" s="542">
        <v>0</v>
      </c>
      <c r="AC321" s="542">
        <v>85452</v>
      </c>
      <c r="AD321" s="542">
        <v>0</v>
      </c>
      <c r="AE321" s="542">
        <v>0</v>
      </c>
      <c r="AF321" s="542">
        <v>0</v>
      </c>
      <c r="AG321" s="542">
        <v>0</v>
      </c>
      <c r="AH321" s="542">
        <v>0</v>
      </c>
      <c r="AI321" s="542">
        <v>0</v>
      </c>
      <c r="AJ321" s="542">
        <v>0</v>
      </c>
      <c r="AK321" s="542">
        <v>0</v>
      </c>
      <c r="AL321" s="542">
        <v>0</v>
      </c>
      <c r="AM321" s="542">
        <v>0</v>
      </c>
      <c r="AN321" s="542">
        <v>0</v>
      </c>
      <c r="AO321" s="542">
        <v>0</v>
      </c>
      <c r="AP321" s="542">
        <v>0</v>
      </c>
      <c r="AQ321" s="542">
        <v>518992.19799999997</v>
      </c>
      <c r="AR321" s="542">
        <v>116773.24400000001</v>
      </c>
      <c r="AS321" s="542">
        <v>12974.804899999999</v>
      </c>
      <c r="AT321" s="542">
        <v>473568</v>
      </c>
      <c r="AU321" s="542">
        <v>106553</v>
      </c>
      <c r="AV321" s="542">
        <v>11839</v>
      </c>
      <c r="AW321" s="542">
        <v>45424</v>
      </c>
      <c r="AX321" s="542">
        <v>10220</v>
      </c>
      <c r="AY321" s="542">
        <v>1136</v>
      </c>
      <c r="AZ321" s="542">
        <v>0</v>
      </c>
      <c r="BA321" s="542">
        <v>0</v>
      </c>
      <c r="BB321" s="542">
        <v>0</v>
      </c>
      <c r="BC321" s="542">
        <v>22848</v>
      </c>
      <c r="BD321" s="542">
        <v>5141</v>
      </c>
      <c r="BE321" s="542">
        <v>571</v>
      </c>
      <c r="BF321" s="542">
        <v>-22848</v>
      </c>
      <c r="BG321" s="542">
        <v>-5141</v>
      </c>
      <c r="BH321" s="542">
        <v>-571</v>
      </c>
      <c r="BI321" s="542">
        <v>0</v>
      </c>
      <c r="BJ321" s="542">
        <v>0</v>
      </c>
      <c r="BK321" s="542">
        <v>0</v>
      </c>
      <c r="BL321" s="542">
        <v>31625</v>
      </c>
      <c r="BM321" s="542">
        <v>7116</v>
      </c>
      <c r="BN321" s="542">
        <v>791</v>
      </c>
      <c r="BO321" s="542">
        <v>-31625</v>
      </c>
      <c r="BP321" s="542">
        <v>-7116</v>
      </c>
      <c r="BQ321" s="542">
        <v>-791</v>
      </c>
      <c r="BR321" s="542">
        <v>0</v>
      </c>
      <c r="BS321" s="542">
        <v>0</v>
      </c>
      <c r="BT321" s="542">
        <v>0</v>
      </c>
      <c r="BU321" s="542">
        <v>32467</v>
      </c>
      <c r="BV321" s="542">
        <v>7305</v>
      </c>
      <c r="BW321" s="542">
        <v>812</v>
      </c>
      <c r="BX321" s="542">
        <v>-32467</v>
      </c>
      <c r="BY321" s="542">
        <v>-7305</v>
      </c>
      <c r="BZ321" s="542">
        <v>-812</v>
      </c>
      <c r="CA321" s="542">
        <v>180146.69699999999</v>
      </c>
      <c r="CB321" s="542">
        <v>40533.006800000003</v>
      </c>
      <c r="CC321" s="542">
        <v>4503.6674300000004</v>
      </c>
      <c r="CD321" s="542">
        <v>278394</v>
      </c>
      <c r="CE321" s="542">
        <v>62639</v>
      </c>
      <c r="CF321" s="542">
        <v>6960</v>
      </c>
      <c r="CG321" s="542">
        <v>-98247</v>
      </c>
      <c r="CH321" s="542">
        <v>-22106</v>
      </c>
      <c r="CI321" s="542">
        <v>-2456</v>
      </c>
      <c r="CJ321" s="542">
        <v>0</v>
      </c>
      <c r="CK321" s="542">
        <v>0</v>
      </c>
      <c r="CL321" s="542">
        <v>0</v>
      </c>
      <c r="CM321" s="542">
        <v>11877.968500000001</v>
      </c>
      <c r="CN321" s="542">
        <v>2672.5429300000001</v>
      </c>
      <c r="CO321" s="542">
        <v>296.94921399999998</v>
      </c>
      <c r="CP321" s="542">
        <v>5306</v>
      </c>
      <c r="CQ321" s="542">
        <v>1193.9445000000001</v>
      </c>
      <c r="CR321" s="542">
        <v>132.66050000000001</v>
      </c>
      <c r="CS321" s="542">
        <v>6572</v>
      </c>
      <c r="CT321" s="542">
        <v>1479</v>
      </c>
      <c r="CU321" s="542">
        <v>164</v>
      </c>
      <c r="CV321" s="542">
        <v>224465.027</v>
      </c>
      <c r="CW321" s="542">
        <v>50300.526100000003</v>
      </c>
      <c r="CX321" s="542">
        <v>5588.9473399999997</v>
      </c>
      <c r="CY321" s="542">
        <v>224502</v>
      </c>
      <c r="CZ321" s="542">
        <v>50041</v>
      </c>
      <c r="DA321" s="542">
        <v>5560</v>
      </c>
      <c r="DB321" s="542">
        <v>-37</v>
      </c>
      <c r="DC321" s="542">
        <v>260</v>
      </c>
      <c r="DD321" s="542">
        <v>29</v>
      </c>
      <c r="DE321" s="153" t="s">
        <v>507</v>
      </c>
      <c r="DF321" s="103" t="s">
        <v>767</v>
      </c>
      <c r="DG321" s="104" t="s">
        <v>768</v>
      </c>
      <c r="DH321" s="547"/>
      <c r="DI321" s="547"/>
    </row>
    <row r="322" spans="1:143" x14ac:dyDescent="0.2">
      <c r="A322" s="93">
        <v>316</v>
      </c>
      <c r="B322" s="145" t="s">
        <v>510</v>
      </c>
      <c r="C322" s="141" t="s">
        <v>770</v>
      </c>
      <c r="D322" s="142" t="s">
        <v>867</v>
      </c>
      <c r="E322" s="149" t="s">
        <v>737</v>
      </c>
      <c r="F322" s="542">
        <v>-358821</v>
      </c>
      <c r="G322" s="542">
        <v>0</v>
      </c>
      <c r="H322" s="542">
        <v>-358821</v>
      </c>
      <c r="I322" s="542">
        <v>43274</v>
      </c>
      <c r="J322" s="542">
        <v>0</v>
      </c>
      <c r="K322" s="542">
        <v>43274</v>
      </c>
      <c r="L322" s="542">
        <v>-402095</v>
      </c>
      <c r="M322" s="542">
        <v>0</v>
      </c>
      <c r="N322" s="542">
        <v>-402095</v>
      </c>
      <c r="O322" s="543">
        <v>0.5</v>
      </c>
      <c r="P322" s="543">
        <v>0.49</v>
      </c>
      <c r="Q322" s="543">
        <v>0</v>
      </c>
      <c r="R322" s="543">
        <v>0.01</v>
      </c>
      <c r="S322" s="542">
        <v>248540</v>
      </c>
      <c r="T322" s="542">
        <v>248540</v>
      </c>
      <c r="U322" s="542">
        <v>0</v>
      </c>
      <c r="V322" s="542">
        <v>0</v>
      </c>
      <c r="W322" s="542">
        <v>0</v>
      </c>
      <c r="X322" s="542">
        <v>0</v>
      </c>
      <c r="Y322" s="542">
        <v>7159</v>
      </c>
      <c r="Z322" s="542">
        <v>0</v>
      </c>
      <c r="AA322" s="542">
        <v>0</v>
      </c>
      <c r="AB322" s="542">
        <v>0</v>
      </c>
      <c r="AC322" s="542">
        <v>7159</v>
      </c>
      <c r="AD322" s="542">
        <v>0</v>
      </c>
      <c r="AE322" s="542">
        <v>0</v>
      </c>
      <c r="AF322" s="542">
        <v>0</v>
      </c>
      <c r="AG322" s="542">
        <v>0</v>
      </c>
      <c r="AH322" s="542">
        <v>0</v>
      </c>
      <c r="AI322" s="542">
        <v>0</v>
      </c>
      <c r="AJ322" s="542">
        <v>0</v>
      </c>
      <c r="AK322" s="542">
        <v>0</v>
      </c>
      <c r="AL322" s="542">
        <v>0</v>
      </c>
      <c r="AM322" s="542">
        <v>0</v>
      </c>
      <c r="AN322" s="542">
        <v>0</v>
      </c>
      <c r="AO322" s="542">
        <v>0</v>
      </c>
      <c r="AP322" s="542">
        <v>0</v>
      </c>
      <c r="AQ322" s="542">
        <v>436811.72</v>
      </c>
      <c r="AR322" s="542">
        <v>0</v>
      </c>
      <c r="AS322" s="542">
        <v>8914.52</v>
      </c>
      <c r="AT322" s="542">
        <v>417944</v>
      </c>
      <c r="AU322" s="542">
        <v>0</v>
      </c>
      <c r="AV322" s="542">
        <v>8529</v>
      </c>
      <c r="AW322" s="542">
        <v>18868</v>
      </c>
      <c r="AX322" s="542">
        <v>0</v>
      </c>
      <c r="AY322" s="542">
        <v>386</v>
      </c>
      <c r="AZ322" s="542">
        <v>0</v>
      </c>
      <c r="BA322" s="542">
        <v>0</v>
      </c>
      <c r="BB322" s="542">
        <v>0</v>
      </c>
      <c r="BC322" s="542">
        <v>0</v>
      </c>
      <c r="BD322" s="542">
        <v>0</v>
      </c>
      <c r="BE322" s="542">
        <v>0</v>
      </c>
      <c r="BF322" s="542">
        <v>0</v>
      </c>
      <c r="BG322" s="542">
        <v>0</v>
      </c>
      <c r="BH322" s="542">
        <v>0</v>
      </c>
      <c r="BI322" s="542">
        <v>0</v>
      </c>
      <c r="BJ322" s="542">
        <v>0</v>
      </c>
      <c r="BK322" s="542">
        <v>0</v>
      </c>
      <c r="BL322" s="542">
        <v>24760</v>
      </c>
      <c r="BM322" s="542">
        <v>0</v>
      </c>
      <c r="BN322" s="542">
        <v>505</v>
      </c>
      <c r="BO322" s="542">
        <v>-24760</v>
      </c>
      <c r="BP322" s="542">
        <v>0</v>
      </c>
      <c r="BQ322" s="542">
        <v>-505</v>
      </c>
      <c r="BR322" s="542">
        <v>1860.97</v>
      </c>
      <c r="BS322" s="542">
        <v>0</v>
      </c>
      <c r="BT322" s="542">
        <v>37.979999999999997</v>
      </c>
      <c r="BU322" s="542">
        <v>47623</v>
      </c>
      <c r="BV322" s="542">
        <v>0</v>
      </c>
      <c r="BW322" s="542">
        <v>972</v>
      </c>
      <c r="BX322" s="542">
        <v>-45762</v>
      </c>
      <c r="BY322" s="542">
        <v>0</v>
      </c>
      <c r="BZ322" s="542">
        <v>-934</v>
      </c>
      <c r="CA322" s="542">
        <v>437679.07</v>
      </c>
      <c r="CB322" s="542">
        <v>0</v>
      </c>
      <c r="CC322" s="542">
        <v>8932.23</v>
      </c>
      <c r="CD322" s="542">
        <v>510976</v>
      </c>
      <c r="CE322" s="542">
        <v>0</v>
      </c>
      <c r="CF322" s="542">
        <v>10428</v>
      </c>
      <c r="CG322" s="542">
        <v>-73297</v>
      </c>
      <c r="CH322" s="542">
        <v>0</v>
      </c>
      <c r="CI322" s="542">
        <v>-1496</v>
      </c>
      <c r="CJ322" s="542">
        <v>88760.51</v>
      </c>
      <c r="CK322" s="542">
        <v>0</v>
      </c>
      <c r="CL322" s="542">
        <v>1811.44</v>
      </c>
      <c r="CM322" s="542">
        <v>97549.29</v>
      </c>
      <c r="CN322" s="542">
        <v>0</v>
      </c>
      <c r="CO322" s="542">
        <v>1990.8</v>
      </c>
      <c r="CP322" s="542">
        <v>90129</v>
      </c>
      <c r="CQ322" s="542">
        <v>0</v>
      </c>
      <c r="CR322" s="542">
        <v>1839.37</v>
      </c>
      <c r="CS322" s="542">
        <v>96181</v>
      </c>
      <c r="CT322" s="542">
        <v>0</v>
      </c>
      <c r="CU322" s="542">
        <v>1963</v>
      </c>
      <c r="CV322" s="542">
        <v>396010.65</v>
      </c>
      <c r="CW322" s="542">
        <v>0</v>
      </c>
      <c r="CX322" s="542">
        <v>8080.3</v>
      </c>
      <c r="CY322" s="542">
        <v>381573</v>
      </c>
      <c r="CZ322" s="542">
        <v>0</v>
      </c>
      <c r="DA322" s="542">
        <v>7733</v>
      </c>
      <c r="DB322" s="542">
        <v>14438</v>
      </c>
      <c r="DC322" s="542">
        <v>0</v>
      </c>
      <c r="DD322" s="542">
        <v>347</v>
      </c>
      <c r="DE322" s="153" t="s">
        <v>737</v>
      </c>
      <c r="DF322" s="103" t="s">
        <v>770</v>
      </c>
      <c r="DG322" s="104" t="s">
        <v>780</v>
      </c>
      <c r="DH322" s="547"/>
      <c r="DI322" s="547"/>
    </row>
    <row r="323" spans="1:143" x14ac:dyDescent="0.2">
      <c r="A323" s="93">
        <v>317</v>
      </c>
      <c r="B323" s="145" t="s">
        <v>512</v>
      </c>
      <c r="C323" s="141" t="s">
        <v>873</v>
      </c>
      <c r="D323" s="142" t="s">
        <v>868</v>
      </c>
      <c r="E323" s="149" t="s">
        <v>511</v>
      </c>
      <c r="F323" s="542">
        <v>-374876</v>
      </c>
      <c r="G323" s="542">
        <v>0</v>
      </c>
      <c r="H323" s="542">
        <v>-374876</v>
      </c>
      <c r="I323" s="542">
        <v>70362</v>
      </c>
      <c r="J323" s="542">
        <v>0</v>
      </c>
      <c r="K323" s="542">
        <v>70362</v>
      </c>
      <c r="L323" s="542">
        <v>-445238</v>
      </c>
      <c r="M323" s="542">
        <v>0</v>
      </c>
      <c r="N323" s="542">
        <v>-445238</v>
      </c>
      <c r="O323" s="543">
        <v>0.5</v>
      </c>
      <c r="P323" s="543">
        <v>0.49</v>
      </c>
      <c r="Q323" s="543">
        <v>0</v>
      </c>
      <c r="R323" s="543">
        <v>0.01</v>
      </c>
      <c r="S323" s="542">
        <v>339424</v>
      </c>
      <c r="T323" s="542">
        <v>339424</v>
      </c>
      <c r="U323" s="542">
        <v>0</v>
      </c>
      <c r="V323" s="542">
        <v>0</v>
      </c>
      <c r="W323" s="542">
        <v>0</v>
      </c>
      <c r="X323" s="542">
        <v>0</v>
      </c>
      <c r="Y323" s="542">
        <v>0</v>
      </c>
      <c r="Z323" s="542">
        <v>0</v>
      </c>
      <c r="AA323" s="542">
        <v>0</v>
      </c>
      <c r="AB323" s="542">
        <v>0</v>
      </c>
      <c r="AC323" s="542">
        <v>0</v>
      </c>
      <c r="AD323" s="542">
        <v>0</v>
      </c>
      <c r="AE323" s="542">
        <v>0</v>
      </c>
      <c r="AF323" s="542">
        <v>0</v>
      </c>
      <c r="AG323" s="542">
        <v>0</v>
      </c>
      <c r="AH323" s="542">
        <v>0</v>
      </c>
      <c r="AI323" s="542">
        <v>0</v>
      </c>
      <c r="AJ323" s="542">
        <v>0</v>
      </c>
      <c r="AK323" s="542">
        <v>0</v>
      </c>
      <c r="AL323" s="542">
        <v>0</v>
      </c>
      <c r="AM323" s="542">
        <v>0</v>
      </c>
      <c r="AN323" s="542">
        <v>0</v>
      </c>
      <c r="AO323" s="542">
        <v>0</v>
      </c>
      <c r="AP323" s="542">
        <v>0</v>
      </c>
      <c r="AQ323" s="542">
        <v>1541166.73</v>
      </c>
      <c r="AR323" s="542">
        <v>0</v>
      </c>
      <c r="AS323" s="542">
        <v>31452.38</v>
      </c>
      <c r="AT323" s="542">
        <v>1457185</v>
      </c>
      <c r="AU323" s="542">
        <v>0</v>
      </c>
      <c r="AV323" s="542">
        <v>29738</v>
      </c>
      <c r="AW323" s="542">
        <v>83982</v>
      </c>
      <c r="AX323" s="542">
        <v>0</v>
      </c>
      <c r="AY323" s="542">
        <v>1714</v>
      </c>
      <c r="AZ323" s="542">
        <v>8130.72</v>
      </c>
      <c r="BA323" s="542">
        <v>0</v>
      </c>
      <c r="BB323" s="542">
        <v>165.93</v>
      </c>
      <c r="BC323" s="542">
        <v>9904</v>
      </c>
      <c r="BD323" s="542">
        <v>0</v>
      </c>
      <c r="BE323" s="542">
        <v>202</v>
      </c>
      <c r="BF323" s="542">
        <v>-1773</v>
      </c>
      <c r="BG323" s="542">
        <v>0</v>
      </c>
      <c r="BH323" s="542">
        <v>-36</v>
      </c>
      <c r="BI323" s="542">
        <v>0</v>
      </c>
      <c r="BJ323" s="542">
        <v>0</v>
      </c>
      <c r="BK323" s="542">
        <v>0</v>
      </c>
      <c r="BL323" s="542">
        <v>24760</v>
      </c>
      <c r="BM323" s="542">
        <v>0</v>
      </c>
      <c r="BN323" s="542">
        <v>505</v>
      </c>
      <c r="BO323" s="542">
        <v>-24760</v>
      </c>
      <c r="BP323" s="542">
        <v>0</v>
      </c>
      <c r="BQ323" s="542">
        <v>-505</v>
      </c>
      <c r="BR323" s="542">
        <v>17691.080000000002</v>
      </c>
      <c r="BS323" s="542">
        <v>0</v>
      </c>
      <c r="BT323" s="542">
        <v>361.04</v>
      </c>
      <c r="BU323" s="542">
        <v>45048.99</v>
      </c>
      <c r="BV323" s="542">
        <v>0</v>
      </c>
      <c r="BW323" s="542">
        <v>919.37</v>
      </c>
      <c r="BX323" s="542">
        <v>-27358</v>
      </c>
      <c r="BY323" s="542">
        <v>0</v>
      </c>
      <c r="BZ323" s="542">
        <v>-558</v>
      </c>
      <c r="CA323" s="542">
        <v>495700.37</v>
      </c>
      <c r="CB323" s="542">
        <v>0</v>
      </c>
      <c r="CC323" s="542">
        <v>10116.33</v>
      </c>
      <c r="CD323" s="542">
        <v>651232.32999999996</v>
      </c>
      <c r="CE323" s="542">
        <v>0</v>
      </c>
      <c r="CF323" s="542">
        <v>13290.46</v>
      </c>
      <c r="CG323" s="542">
        <v>-155532</v>
      </c>
      <c r="CH323" s="542">
        <v>0</v>
      </c>
      <c r="CI323" s="542">
        <v>-3174</v>
      </c>
      <c r="CJ323" s="542">
        <v>158575.26999999999</v>
      </c>
      <c r="CK323" s="542">
        <v>0</v>
      </c>
      <c r="CL323" s="542">
        <v>3236.23</v>
      </c>
      <c r="CM323" s="542">
        <v>145895.32999999999</v>
      </c>
      <c r="CN323" s="542">
        <v>0</v>
      </c>
      <c r="CO323" s="542">
        <v>2977.46</v>
      </c>
      <c r="CP323" s="542">
        <v>0</v>
      </c>
      <c r="CQ323" s="542">
        <v>0</v>
      </c>
      <c r="CR323" s="542">
        <v>0</v>
      </c>
      <c r="CS323" s="542">
        <v>304471</v>
      </c>
      <c r="CT323" s="542">
        <v>0</v>
      </c>
      <c r="CU323" s="542">
        <v>6214</v>
      </c>
      <c r="CV323" s="542">
        <v>340126.16</v>
      </c>
      <c r="CW323" s="542">
        <v>0</v>
      </c>
      <c r="CX323" s="542">
        <v>6941.35</v>
      </c>
      <c r="CY323" s="542">
        <v>352589</v>
      </c>
      <c r="CZ323" s="542">
        <v>0</v>
      </c>
      <c r="DA323" s="542">
        <v>7122</v>
      </c>
      <c r="DB323" s="542">
        <v>-12463</v>
      </c>
      <c r="DC323" s="542">
        <v>0</v>
      </c>
      <c r="DD323" s="542">
        <v>-181</v>
      </c>
      <c r="DE323" s="153" t="s">
        <v>511</v>
      </c>
      <c r="DF323" s="103" t="s">
        <v>763</v>
      </c>
      <c r="DG323" s="104" t="s">
        <v>814</v>
      </c>
      <c r="DH323" s="549" t="s">
        <v>1197</v>
      </c>
      <c r="DI323" s="549"/>
    </row>
    <row r="324" spans="1:143" x14ac:dyDescent="0.2">
      <c r="A324" s="93">
        <v>318</v>
      </c>
      <c r="B324" s="145" t="s">
        <v>514</v>
      </c>
      <c r="C324" s="141" t="s">
        <v>866</v>
      </c>
      <c r="D324" s="142" t="s">
        <v>867</v>
      </c>
      <c r="E324" s="149" t="s">
        <v>513</v>
      </c>
      <c r="F324" s="542">
        <v>-263187</v>
      </c>
      <c r="G324" s="542">
        <v>0</v>
      </c>
      <c r="H324" s="542">
        <v>-263187</v>
      </c>
      <c r="I324" s="542">
        <v>-37944</v>
      </c>
      <c r="J324" s="542">
        <v>0</v>
      </c>
      <c r="K324" s="542">
        <v>-37944</v>
      </c>
      <c r="L324" s="542">
        <v>-225243</v>
      </c>
      <c r="M324" s="542">
        <v>0</v>
      </c>
      <c r="N324" s="542">
        <v>-225243</v>
      </c>
      <c r="O324" s="543">
        <v>0.5</v>
      </c>
      <c r="P324" s="543">
        <v>0.4</v>
      </c>
      <c r="Q324" s="543">
        <v>0.1</v>
      </c>
      <c r="R324" s="543">
        <v>0</v>
      </c>
      <c r="S324" s="542">
        <v>136562</v>
      </c>
      <c r="T324" s="542">
        <v>136562</v>
      </c>
      <c r="U324" s="542">
        <v>0</v>
      </c>
      <c r="V324" s="542">
        <v>0</v>
      </c>
      <c r="W324" s="542">
        <v>0</v>
      </c>
      <c r="X324" s="542">
        <v>0</v>
      </c>
      <c r="Y324" s="542">
        <v>0</v>
      </c>
      <c r="Z324" s="542">
        <v>0</v>
      </c>
      <c r="AA324" s="542">
        <v>0</v>
      </c>
      <c r="AB324" s="542">
        <v>0</v>
      </c>
      <c r="AC324" s="542">
        <v>0</v>
      </c>
      <c r="AD324" s="542">
        <v>0</v>
      </c>
      <c r="AE324" s="542">
        <v>0</v>
      </c>
      <c r="AF324" s="542">
        <v>0</v>
      </c>
      <c r="AG324" s="542">
        <v>0</v>
      </c>
      <c r="AH324" s="542">
        <v>0</v>
      </c>
      <c r="AI324" s="542">
        <v>0</v>
      </c>
      <c r="AJ324" s="542">
        <v>0</v>
      </c>
      <c r="AK324" s="542">
        <v>0</v>
      </c>
      <c r="AL324" s="542">
        <v>0</v>
      </c>
      <c r="AM324" s="542">
        <v>0</v>
      </c>
      <c r="AN324" s="542">
        <v>0</v>
      </c>
      <c r="AO324" s="542">
        <v>0</v>
      </c>
      <c r="AP324" s="542">
        <v>0</v>
      </c>
      <c r="AQ324" s="542">
        <v>206725.68799999999</v>
      </c>
      <c r="AR324" s="542">
        <v>51681.421999999999</v>
      </c>
      <c r="AS324" s="542">
        <v>0</v>
      </c>
      <c r="AT324" s="542">
        <v>196810</v>
      </c>
      <c r="AU324" s="542">
        <v>49202</v>
      </c>
      <c r="AV324" s="542">
        <v>0</v>
      </c>
      <c r="AW324" s="542">
        <v>9916</v>
      </c>
      <c r="AX324" s="542">
        <v>2479</v>
      </c>
      <c r="AY324" s="542">
        <v>0</v>
      </c>
      <c r="AZ324" s="542">
        <v>0</v>
      </c>
      <c r="BA324" s="542">
        <v>0</v>
      </c>
      <c r="BB324" s="542">
        <v>0</v>
      </c>
      <c r="BC324" s="542">
        <v>0</v>
      </c>
      <c r="BD324" s="542">
        <v>0</v>
      </c>
      <c r="BE324" s="542">
        <v>0</v>
      </c>
      <c r="BF324" s="542">
        <v>0</v>
      </c>
      <c r="BG324" s="542">
        <v>0</v>
      </c>
      <c r="BH324" s="542">
        <v>0</v>
      </c>
      <c r="BI324" s="542">
        <v>0</v>
      </c>
      <c r="BJ324" s="542">
        <v>0</v>
      </c>
      <c r="BK324" s="542">
        <v>0</v>
      </c>
      <c r="BL324" s="542">
        <v>20212</v>
      </c>
      <c r="BM324" s="542">
        <v>5053</v>
      </c>
      <c r="BN324" s="542">
        <v>0</v>
      </c>
      <c r="BO324" s="542">
        <v>-20212</v>
      </c>
      <c r="BP324" s="542">
        <v>-5053</v>
      </c>
      <c r="BQ324" s="542">
        <v>0</v>
      </c>
      <c r="BR324" s="542">
        <v>1285.0989300000001</v>
      </c>
      <c r="BS324" s="542">
        <v>321.27473400000002</v>
      </c>
      <c r="BT324" s="542">
        <v>0</v>
      </c>
      <c r="BU324" s="542">
        <v>59104.849199999997</v>
      </c>
      <c r="BV324" s="542">
        <v>14776.212299999999</v>
      </c>
      <c r="BW324" s="542">
        <v>0</v>
      </c>
      <c r="BX324" s="542">
        <v>-57820</v>
      </c>
      <c r="BY324" s="542">
        <v>-14455</v>
      </c>
      <c r="BZ324" s="542">
        <v>0</v>
      </c>
      <c r="CA324" s="542">
        <v>95242.850099999996</v>
      </c>
      <c r="CB324" s="542">
        <v>23810.712500000001</v>
      </c>
      <c r="CC324" s="542">
        <v>0</v>
      </c>
      <c r="CD324" s="542">
        <v>184550.55600000001</v>
      </c>
      <c r="CE324" s="542">
        <v>46137.639000000003</v>
      </c>
      <c r="CF324" s="542">
        <v>0</v>
      </c>
      <c r="CG324" s="542">
        <v>-89308</v>
      </c>
      <c r="CH324" s="542">
        <v>-22327</v>
      </c>
      <c r="CI324" s="542">
        <v>0</v>
      </c>
      <c r="CJ324" s="542">
        <v>0</v>
      </c>
      <c r="CK324" s="542">
        <v>0</v>
      </c>
      <c r="CL324" s="542">
        <v>0</v>
      </c>
      <c r="CM324" s="542">
        <v>0</v>
      </c>
      <c r="CN324" s="542">
        <v>0</v>
      </c>
      <c r="CO324" s="542">
        <v>0</v>
      </c>
      <c r="CP324" s="542">
        <v>0</v>
      </c>
      <c r="CQ324" s="542">
        <v>0</v>
      </c>
      <c r="CR324" s="542">
        <v>0</v>
      </c>
      <c r="CS324" s="542">
        <v>0</v>
      </c>
      <c r="CT324" s="542">
        <v>0</v>
      </c>
      <c r="CU324" s="542">
        <v>0</v>
      </c>
      <c r="CV324" s="542">
        <v>178685.932</v>
      </c>
      <c r="CW324" s="542">
        <v>44671.483</v>
      </c>
      <c r="CX324" s="542">
        <v>0</v>
      </c>
      <c r="CY324" s="542">
        <v>183271</v>
      </c>
      <c r="CZ324" s="542">
        <v>45455</v>
      </c>
      <c r="DA324" s="542">
        <v>0</v>
      </c>
      <c r="DB324" s="542">
        <v>-4585</v>
      </c>
      <c r="DC324" s="542">
        <v>-784</v>
      </c>
      <c r="DD324" s="542">
        <v>0</v>
      </c>
      <c r="DE324" s="153" t="s">
        <v>513</v>
      </c>
      <c r="DF324" s="103" t="s">
        <v>807</v>
      </c>
      <c r="DG324" s="104" t="s">
        <v>751</v>
      </c>
      <c r="DH324" s="547"/>
      <c r="DI324" s="547"/>
    </row>
    <row r="325" spans="1:143" x14ac:dyDescent="0.2">
      <c r="A325" s="93">
        <v>319</v>
      </c>
      <c r="B325" s="145" t="s">
        <v>516</v>
      </c>
      <c r="C325" s="141" t="s">
        <v>770</v>
      </c>
      <c r="D325" s="142" t="s">
        <v>867</v>
      </c>
      <c r="E325" s="149" t="s">
        <v>738</v>
      </c>
      <c r="F325" s="542">
        <v>-249440</v>
      </c>
      <c r="G325" s="542">
        <v>0</v>
      </c>
      <c r="H325" s="542">
        <v>-249440</v>
      </c>
      <c r="I325" s="542">
        <v>26997</v>
      </c>
      <c r="J325" s="542">
        <v>0</v>
      </c>
      <c r="K325" s="542">
        <v>26997</v>
      </c>
      <c r="L325" s="542">
        <v>-276437</v>
      </c>
      <c r="M325" s="542">
        <v>0</v>
      </c>
      <c r="N325" s="542">
        <v>-276437</v>
      </c>
      <c r="O325" s="543">
        <v>0.5</v>
      </c>
      <c r="P325" s="543">
        <v>0.49</v>
      </c>
      <c r="Q325" s="543">
        <v>0</v>
      </c>
      <c r="R325" s="543">
        <v>0.01</v>
      </c>
      <c r="S325" s="542">
        <v>180513</v>
      </c>
      <c r="T325" s="542">
        <v>180513</v>
      </c>
      <c r="U325" s="542">
        <v>0</v>
      </c>
      <c r="V325" s="542">
        <v>0</v>
      </c>
      <c r="W325" s="542">
        <v>0</v>
      </c>
      <c r="X325" s="542">
        <v>0</v>
      </c>
      <c r="Y325" s="542">
        <v>0</v>
      </c>
      <c r="Z325" s="542">
        <v>0</v>
      </c>
      <c r="AA325" s="542">
        <v>0</v>
      </c>
      <c r="AB325" s="542">
        <v>0</v>
      </c>
      <c r="AC325" s="542">
        <v>0</v>
      </c>
      <c r="AD325" s="542">
        <v>0</v>
      </c>
      <c r="AE325" s="542">
        <v>0</v>
      </c>
      <c r="AF325" s="542">
        <v>0</v>
      </c>
      <c r="AG325" s="542">
        <v>0</v>
      </c>
      <c r="AH325" s="542">
        <v>0</v>
      </c>
      <c r="AI325" s="542">
        <v>0</v>
      </c>
      <c r="AJ325" s="542">
        <v>0</v>
      </c>
      <c r="AK325" s="542">
        <v>0</v>
      </c>
      <c r="AL325" s="542">
        <v>0</v>
      </c>
      <c r="AM325" s="542">
        <v>0</v>
      </c>
      <c r="AN325" s="542">
        <v>0</v>
      </c>
      <c r="AO325" s="542">
        <v>0</v>
      </c>
      <c r="AP325" s="542">
        <v>0</v>
      </c>
      <c r="AQ325" s="542">
        <v>487519.14</v>
      </c>
      <c r="AR325" s="542">
        <v>0</v>
      </c>
      <c r="AS325" s="542">
        <v>9949.3700000000008</v>
      </c>
      <c r="AT325" s="542">
        <v>401561</v>
      </c>
      <c r="AU325" s="542">
        <v>0</v>
      </c>
      <c r="AV325" s="542">
        <v>8195</v>
      </c>
      <c r="AW325" s="542">
        <v>85958</v>
      </c>
      <c r="AX325" s="542">
        <v>0</v>
      </c>
      <c r="AY325" s="542">
        <v>1754</v>
      </c>
      <c r="AZ325" s="542">
        <v>1993.19</v>
      </c>
      <c r="BA325" s="542">
        <v>0</v>
      </c>
      <c r="BB325" s="542">
        <v>40.68</v>
      </c>
      <c r="BC325" s="542">
        <v>6933</v>
      </c>
      <c r="BD325" s="542">
        <v>0</v>
      </c>
      <c r="BE325" s="542">
        <v>141</v>
      </c>
      <c r="BF325" s="542">
        <v>-4940</v>
      </c>
      <c r="BG325" s="542">
        <v>0</v>
      </c>
      <c r="BH325" s="542">
        <v>-100</v>
      </c>
      <c r="BI325" s="542">
        <v>0</v>
      </c>
      <c r="BJ325" s="542">
        <v>0</v>
      </c>
      <c r="BK325" s="542">
        <v>0</v>
      </c>
      <c r="BL325" s="542">
        <v>0</v>
      </c>
      <c r="BM325" s="542">
        <v>0</v>
      </c>
      <c r="BN325" s="542">
        <v>0</v>
      </c>
      <c r="BO325" s="542">
        <v>0</v>
      </c>
      <c r="BP325" s="542">
        <v>0</v>
      </c>
      <c r="BQ325" s="542">
        <v>0</v>
      </c>
      <c r="BR325" s="542">
        <v>6063.74</v>
      </c>
      <c r="BS325" s="542">
        <v>0</v>
      </c>
      <c r="BT325" s="542">
        <v>123.75</v>
      </c>
      <c r="BU325" s="542">
        <v>54320</v>
      </c>
      <c r="BV325" s="542">
        <v>0</v>
      </c>
      <c r="BW325" s="542">
        <v>1109</v>
      </c>
      <c r="BX325" s="542">
        <v>-48256</v>
      </c>
      <c r="BY325" s="542">
        <v>0</v>
      </c>
      <c r="BZ325" s="542">
        <v>-985</v>
      </c>
      <c r="CA325" s="542">
        <v>138809</v>
      </c>
      <c r="CB325" s="542">
        <v>0</v>
      </c>
      <c r="CC325" s="542">
        <v>2832.84</v>
      </c>
      <c r="CD325" s="542">
        <v>261887</v>
      </c>
      <c r="CE325" s="542">
        <v>0</v>
      </c>
      <c r="CF325" s="542">
        <v>5345</v>
      </c>
      <c r="CG325" s="542">
        <v>-123078</v>
      </c>
      <c r="CH325" s="542">
        <v>0</v>
      </c>
      <c r="CI325" s="542">
        <v>-2512</v>
      </c>
      <c r="CJ325" s="542">
        <v>33212.69</v>
      </c>
      <c r="CK325" s="542">
        <v>0</v>
      </c>
      <c r="CL325" s="542">
        <v>677.81</v>
      </c>
      <c r="CM325" s="542">
        <v>66259.47</v>
      </c>
      <c r="CN325" s="542">
        <v>0</v>
      </c>
      <c r="CO325" s="542">
        <v>1352.23</v>
      </c>
      <c r="CP325" s="542">
        <v>33662</v>
      </c>
      <c r="CQ325" s="542">
        <v>0</v>
      </c>
      <c r="CR325" s="542">
        <v>686.98</v>
      </c>
      <c r="CS325" s="542">
        <v>65810</v>
      </c>
      <c r="CT325" s="542">
        <v>0</v>
      </c>
      <c r="CU325" s="542">
        <v>1343</v>
      </c>
      <c r="CV325" s="542">
        <v>292052.38</v>
      </c>
      <c r="CW325" s="542">
        <v>0</v>
      </c>
      <c r="CX325" s="542">
        <v>5960.25</v>
      </c>
      <c r="CY325" s="542">
        <v>277846</v>
      </c>
      <c r="CZ325" s="542">
        <v>0</v>
      </c>
      <c r="DA325" s="542">
        <v>5631</v>
      </c>
      <c r="DB325" s="542">
        <v>14206</v>
      </c>
      <c r="DC325" s="542">
        <v>0</v>
      </c>
      <c r="DD325" s="542">
        <v>329</v>
      </c>
      <c r="DE325" s="153" t="s">
        <v>738</v>
      </c>
      <c r="DF325" s="103" t="s">
        <v>770</v>
      </c>
      <c r="DG325" s="104" t="s">
        <v>780</v>
      </c>
      <c r="DH325" s="547"/>
      <c r="DI325" s="547"/>
    </row>
    <row r="326" spans="1:143" x14ac:dyDescent="0.2">
      <c r="A326" s="93">
        <v>320</v>
      </c>
      <c r="B326" s="145" t="s">
        <v>518</v>
      </c>
      <c r="C326" s="141" t="s">
        <v>873</v>
      </c>
      <c r="D326" s="142" t="s">
        <v>876</v>
      </c>
      <c r="E326" s="149" t="s">
        <v>517</v>
      </c>
      <c r="F326" s="542">
        <v>-75683</v>
      </c>
      <c r="G326" s="542">
        <v>0</v>
      </c>
      <c r="H326" s="542">
        <v>-75683</v>
      </c>
      <c r="I326" s="542">
        <v>303589</v>
      </c>
      <c r="J326" s="542">
        <v>0</v>
      </c>
      <c r="K326" s="542">
        <v>303589</v>
      </c>
      <c r="L326" s="542">
        <v>-379272</v>
      </c>
      <c r="M326" s="542">
        <v>0</v>
      </c>
      <c r="N326" s="542">
        <v>-379272</v>
      </c>
      <c r="O326" s="543">
        <v>0.5</v>
      </c>
      <c r="P326" s="543">
        <v>0.49</v>
      </c>
      <c r="Q326" s="543">
        <v>0</v>
      </c>
      <c r="R326" s="543">
        <v>0.01</v>
      </c>
      <c r="S326" s="542">
        <v>346243</v>
      </c>
      <c r="T326" s="542">
        <v>346243</v>
      </c>
      <c r="U326" s="542">
        <v>0</v>
      </c>
      <c r="V326" s="542">
        <v>473</v>
      </c>
      <c r="W326" s="542">
        <v>1632</v>
      </c>
      <c r="X326" s="542">
        <v>-1159</v>
      </c>
      <c r="Y326" s="542">
        <v>0</v>
      </c>
      <c r="Z326" s="542">
        <v>0</v>
      </c>
      <c r="AA326" s="542">
        <v>0</v>
      </c>
      <c r="AB326" s="542">
        <v>0</v>
      </c>
      <c r="AC326" s="542">
        <v>0</v>
      </c>
      <c r="AD326" s="542">
        <v>0</v>
      </c>
      <c r="AE326" s="542">
        <v>0</v>
      </c>
      <c r="AF326" s="542">
        <v>0</v>
      </c>
      <c r="AG326" s="542">
        <v>0</v>
      </c>
      <c r="AH326" s="542">
        <v>0</v>
      </c>
      <c r="AI326" s="542">
        <v>0</v>
      </c>
      <c r="AJ326" s="542">
        <v>0</v>
      </c>
      <c r="AK326" s="542">
        <v>0</v>
      </c>
      <c r="AL326" s="542">
        <v>0</v>
      </c>
      <c r="AM326" s="542">
        <v>0</v>
      </c>
      <c r="AN326" s="542">
        <v>0</v>
      </c>
      <c r="AO326" s="542">
        <v>0</v>
      </c>
      <c r="AP326" s="542">
        <v>0</v>
      </c>
      <c r="AQ326" s="542">
        <v>1357635.32</v>
      </c>
      <c r="AR326" s="542">
        <v>0</v>
      </c>
      <c r="AS326" s="542">
        <v>27706.84</v>
      </c>
      <c r="AT326" s="542">
        <v>1203442</v>
      </c>
      <c r="AU326" s="542">
        <v>0</v>
      </c>
      <c r="AV326" s="542">
        <v>24560</v>
      </c>
      <c r="AW326" s="542">
        <v>154193</v>
      </c>
      <c r="AX326" s="542">
        <v>0</v>
      </c>
      <c r="AY326" s="542">
        <v>3147</v>
      </c>
      <c r="AZ326" s="542">
        <v>5548.24</v>
      </c>
      <c r="BA326" s="542">
        <v>0</v>
      </c>
      <c r="BB326" s="542">
        <v>113.23</v>
      </c>
      <c r="BC326" s="542">
        <v>0</v>
      </c>
      <c r="BD326" s="542">
        <v>0</v>
      </c>
      <c r="BE326" s="542">
        <v>0</v>
      </c>
      <c r="BF326" s="542">
        <v>5548</v>
      </c>
      <c r="BG326" s="542">
        <v>0</v>
      </c>
      <c r="BH326" s="542">
        <v>113</v>
      </c>
      <c r="BI326" s="542">
        <v>0</v>
      </c>
      <c r="BJ326" s="542">
        <v>0</v>
      </c>
      <c r="BK326" s="542">
        <v>0</v>
      </c>
      <c r="BL326" s="542">
        <v>0</v>
      </c>
      <c r="BM326" s="542">
        <v>0</v>
      </c>
      <c r="BN326" s="542">
        <v>0</v>
      </c>
      <c r="BO326" s="542">
        <v>0</v>
      </c>
      <c r="BP326" s="542">
        <v>0</v>
      </c>
      <c r="BQ326" s="542">
        <v>0</v>
      </c>
      <c r="BR326" s="542">
        <v>16305.01</v>
      </c>
      <c r="BS326" s="542">
        <v>0</v>
      </c>
      <c r="BT326" s="542">
        <v>332.76</v>
      </c>
      <c r="BU326" s="542">
        <v>4952</v>
      </c>
      <c r="BV326" s="542">
        <v>0</v>
      </c>
      <c r="BW326" s="542">
        <v>101</v>
      </c>
      <c r="BX326" s="542">
        <v>11353</v>
      </c>
      <c r="BY326" s="542">
        <v>0</v>
      </c>
      <c r="BZ326" s="542">
        <v>232</v>
      </c>
      <c r="CA326" s="542">
        <v>245151.09</v>
      </c>
      <c r="CB326" s="542">
        <v>0</v>
      </c>
      <c r="CC326" s="542">
        <v>5003.08</v>
      </c>
      <c r="CD326" s="542">
        <v>495202</v>
      </c>
      <c r="CE326" s="542">
        <v>0</v>
      </c>
      <c r="CF326" s="542">
        <v>10106</v>
      </c>
      <c r="CG326" s="542">
        <v>-250051</v>
      </c>
      <c r="CH326" s="542">
        <v>0</v>
      </c>
      <c r="CI326" s="542">
        <v>-5103</v>
      </c>
      <c r="CJ326" s="542">
        <v>0</v>
      </c>
      <c r="CK326" s="542">
        <v>0</v>
      </c>
      <c r="CL326" s="542">
        <v>0</v>
      </c>
      <c r="CM326" s="542">
        <v>0</v>
      </c>
      <c r="CN326" s="542">
        <v>0</v>
      </c>
      <c r="CO326" s="542">
        <v>0</v>
      </c>
      <c r="CP326" s="542">
        <v>0</v>
      </c>
      <c r="CQ326" s="542">
        <v>0</v>
      </c>
      <c r="CR326" s="542">
        <v>0</v>
      </c>
      <c r="CS326" s="542">
        <v>0</v>
      </c>
      <c r="CT326" s="542">
        <v>0</v>
      </c>
      <c r="CU326" s="542">
        <v>0</v>
      </c>
      <c r="CV326" s="542">
        <v>343597.79</v>
      </c>
      <c r="CW326" s="542">
        <v>0</v>
      </c>
      <c r="CX326" s="542">
        <v>7012.1</v>
      </c>
      <c r="CY326" s="542">
        <v>390252</v>
      </c>
      <c r="CZ326" s="542">
        <v>0</v>
      </c>
      <c r="DA326" s="542">
        <v>7889</v>
      </c>
      <c r="DB326" s="542">
        <v>-46654</v>
      </c>
      <c r="DC326" s="542">
        <v>0</v>
      </c>
      <c r="DD326" s="542">
        <v>-877</v>
      </c>
      <c r="DE326" s="153" t="s">
        <v>517</v>
      </c>
      <c r="DF326" s="103" t="s">
        <v>763</v>
      </c>
      <c r="DG326" s="104" t="s">
        <v>773</v>
      </c>
      <c r="DH326" s="549" t="s">
        <v>1207</v>
      </c>
      <c r="DI326" s="549"/>
    </row>
    <row r="327" spans="1:143" x14ac:dyDescent="0.2">
      <c r="A327" s="93">
        <v>321</v>
      </c>
      <c r="B327" s="145" t="s">
        <v>520</v>
      </c>
      <c r="C327" s="141" t="s">
        <v>866</v>
      </c>
      <c r="D327" s="142" t="s">
        <v>876</v>
      </c>
      <c r="E327" s="149" t="s">
        <v>519</v>
      </c>
      <c r="F327" s="542">
        <v>-188832</v>
      </c>
      <c r="G327" s="542">
        <v>0</v>
      </c>
      <c r="H327" s="542">
        <v>-188832</v>
      </c>
      <c r="I327" s="542">
        <v>29041</v>
      </c>
      <c r="J327" s="542">
        <v>0</v>
      </c>
      <c r="K327" s="542">
        <v>29041</v>
      </c>
      <c r="L327" s="542">
        <v>-217873</v>
      </c>
      <c r="M327" s="542">
        <v>0</v>
      </c>
      <c r="N327" s="542">
        <v>-217873</v>
      </c>
      <c r="O327" s="543">
        <v>0.5</v>
      </c>
      <c r="P327" s="543">
        <v>0.4</v>
      </c>
      <c r="Q327" s="543">
        <v>0.09</v>
      </c>
      <c r="R327" s="543">
        <v>0.01</v>
      </c>
      <c r="S327" s="542">
        <v>139191</v>
      </c>
      <c r="T327" s="542">
        <v>139191</v>
      </c>
      <c r="U327" s="542">
        <v>0</v>
      </c>
      <c r="V327" s="542">
        <v>0</v>
      </c>
      <c r="W327" s="542">
        <v>0</v>
      </c>
      <c r="X327" s="542">
        <v>0</v>
      </c>
      <c r="Y327" s="542">
        <v>0</v>
      </c>
      <c r="Z327" s="542">
        <v>0</v>
      </c>
      <c r="AA327" s="542">
        <v>0</v>
      </c>
      <c r="AB327" s="542">
        <v>0</v>
      </c>
      <c r="AC327" s="542">
        <v>0</v>
      </c>
      <c r="AD327" s="542">
        <v>0</v>
      </c>
      <c r="AE327" s="542">
        <v>0</v>
      </c>
      <c r="AF327" s="542">
        <v>0</v>
      </c>
      <c r="AG327" s="542">
        <v>0</v>
      </c>
      <c r="AH327" s="542">
        <v>0</v>
      </c>
      <c r="AI327" s="542">
        <v>0</v>
      </c>
      <c r="AJ327" s="542">
        <v>0</v>
      </c>
      <c r="AK327" s="542">
        <v>0</v>
      </c>
      <c r="AL327" s="542">
        <v>0</v>
      </c>
      <c r="AM327" s="542">
        <v>0</v>
      </c>
      <c r="AN327" s="542">
        <v>0</v>
      </c>
      <c r="AO327" s="542">
        <v>0</v>
      </c>
      <c r="AP327" s="542">
        <v>0</v>
      </c>
      <c r="AQ327" s="542">
        <v>371492.83500000002</v>
      </c>
      <c r="AR327" s="542">
        <v>83585.888000000006</v>
      </c>
      <c r="AS327" s="542">
        <v>9287.3208900000009</v>
      </c>
      <c r="AT327" s="542">
        <v>342097</v>
      </c>
      <c r="AU327" s="542">
        <v>76972</v>
      </c>
      <c r="AV327" s="542">
        <v>8552</v>
      </c>
      <c r="AW327" s="542">
        <v>29396</v>
      </c>
      <c r="AX327" s="542">
        <v>6614</v>
      </c>
      <c r="AY327" s="542">
        <v>735</v>
      </c>
      <c r="AZ327" s="542">
        <v>899.85222899999997</v>
      </c>
      <c r="BA327" s="542">
        <v>202.46675099999999</v>
      </c>
      <c r="BB327" s="542">
        <v>22.496305700000001</v>
      </c>
      <c r="BC327" s="542">
        <v>0</v>
      </c>
      <c r="BD327" s="542">
        <v>0</v>
      </c>
      <c r="BE327" s="542">
        <v>0</v>
      </c>
      <c r="BF327" s="542">
        <v>900</v>
      </c>
      <c r="BG327" s="542">
        <v>202</v>
      </c>
      <c r="BH327" s="542">
        <v>22</v>
      </c>
      <c r="BI327" s="542">
        <v>0</v>
      </c>
      <c r="BJ327" s="542">
        <v>0</v>
      </c>
      <c r="BK327" s="542">
        <v>0</v>
      </c>
      <c r="BL327" s="542">
        <v>0</v>
      </c>
      <c r="BM327" s="542">
        <v>0</v>
      </c>
      <c r="BN327" s="542">
        <v>0</v>
      </c>
      <c r="BO327" s="542">
        <v>0</v>
      </c>
      <c r="BP327" s="542">
        <v>0</v>
      </c>
      <c r="BQ327" s="542">
        <v>0</v>
      </c>
      <c r="BR327" s="542">
        <v>3080.3566799999999</v>
      </c>
      <c r="BS327" s="542">
        <v>693.08025399999997</v>
      </c>
      <c r="BT327" s="542">
        <v>77.008917199999999</v>
      </c>
      <c r="BU327" s="542">
        <v>28099</v>
      </c>
      <c r="BV327" s="542">
        <v>6323</v>
      </c>
      <c r="BW327" s="542">
        <v>703</v>
      </c>
      <c r="BX327" s="542">
        <v>-25019</v>
      </c>
      <c r="BY327" s="542">
        <v>-5630</v>
      </c>
      <c r="BZ327" s="542">
        <v>-626</v>
      </c>
      <c r="CA327" s="542">
        <v>197281.88800000001</v>
      </c>
      <c r="CB327" s="542">
        <v>44388.424899999998</v>
      </c>
      <c r="CC327" s="542">
        <v>4932.0472099999997</v>
      </c>
      <c r="CD327" s="542">
        <v>213185</v>
      </c>
      <c r="CE327" s="542">
        <v>47967</v>
      </c>
      <c r="CF327" s="542">
        <v>5330</v>
      </c>
      <c r="CG327" s="542">
        <v>-15903</v>
      </c>
      <c r="CH327" s="542">
        <v>-3579</v>
      </c>
      <c r="CI327" s="542">
        <v>-398</v>
      </c>
      <c r="CJ327" s="542">
        <v>11751.2</v>
      </c>
      <c r="CK327" s="542">
        <v>2644.02</v>
      </c>
      <c r="CL327" s="542">
        <v>293.77999999999997</v>
      </c>
      <c r="CM327" s="542">
        <v>23498.432199999999</v>
      </c>
      <c r="CN327" s="542">
        <v>5287.1472599999997</v>
      </c>
      <c r="CO327" s="542">
        <v>587.46080600000005</v>
      </c>
      <c r="CP327" s="542">
        <v>29666</v>
      </c>
      <c r="CQ327" s="542">
        <v>6674.76</v>
      </c>
      <c r="CR327" s="542">
        <v>741.64</v>
      </c>
      <c r="CS327" s="542">
        <v>5584</v>
      </c>
      <c r="CT327" s="542">
        <v>1256</v>
      </c>
      <c r="CU327" s="542">
        <v>140</v>
      </c>
      <c r="CV327" s="542">
        <v>150897.902</v>
      </c>
      <c r="CW327" s="542">
        <v>33952.027999999998</v>
      </c>
      <c r="CX327" s="542">
        <v>3772.4475499999999</v>
      </c>
      <c r="CY327" s="542">
        <v>172146</v>
      </c>
      <c r="CZ327" s="542">
        <v>38400</v>
      </c>
      <c r="DA327" s="542">
        <v>4267</v>
      </c>
      <c r="DB327" s="542">
        <v>-21248</v>
      </c>
      <c r="DC327" s="542">
        <v>-4448</v>
      </c>
      <c r="DD327" s="542">
        <v>-495</v>
      </c>
      <c r="DE327" s="153" t="s">
        <v>519</v>
      </c>
      <c r="DF327" s="103" t="s">
        <v>786</v>
      </c>
      <c r="DG327" s="104" t="s">
        <v>787</v>
      </c>
      <c r="DH327" s="547"/>
      <c r="DI327" s="547"/>
    </row>
    <row r="328" spans="1:143" x14ac:dyDescent="0.2">
      <c r="A328" s="93">
        <v>322</v>
      </c>
      <c r="B328" s="145" t="s">
        <v>522</v>
      </c>
      <c r="C328" s="141" t="s">
        <v>866</v>
      </c>
      <c r="D328" s="142" t="s">
        <v>867</v>
      </c>
      <c r="E328" s="149" t="s">
        <v>521</v>
      </c>
      <c r="F328" s="542">
        <v>-72804</v>
      </c>
      <c r="G328" s="542">
        <v>0</v>
      </c>
      <c r="H328" s="542">
        <v>-72804</v>
      </c>
      <c r="I328" s="542">
        <v>-6061</v>
      </c>
      <c r="J328" s="542">
        <v>0</v>
      </c>
      <c r="K328" s="542">
        <v>-6061</v>
      </c>
      <c r="L328" s="542">
        <v>-66743</v>
      </c>
      <c r="M328" s="542">
        <v>0</v>
      </c>
      <c r="N328" s="542">
        <v>-66743</v>
      </c>
      <c r="O328" s="543">
        <v>0.5</v>
      </c>
      <c r="P328" s="543">
        <v>0.4</v>
      </c>
      <c r="Q328" s="543">
        <v>0.1</v>
      </c>
      <c r="R328" s="543">
        <v>0</v>
      </c>
      <c r="S328" s="542">
        <v>132502</v>
      </c>
      <c r="T328" s="542">
        <v>132502</v>
      </c>
      <c r="U328" s="542">
        <v>0</v>
      </c>
      <c r="V328" s="542">
        <v>0</v>
      </c>
      <c r="W328" s="542">
        <v>0</v>
      </c>
      <c r="X328" s="542">
        <v>0</v>
      </c>
      <c r="Y328" s="542">
        <v>0</v>
      </c>
      <c r="Z328" s="542">
        <v>0</v>
      </c>
      <c r="AA328" s="542">
        <v>0</v>
      </c>
      <c r="AB328" s="542">
        <v>0</v>
      </c>
      <c r="AC328" s="542">
        <v>0</v>
      </c>
      <c r="AD328" s="542">
        <v>0</v>
      </c>
      <c r="AE328" s="542">
        <v>0</v>
      </c>
      <c r="AF328" s="542">
        <v>0</v>
      </c>
      <c r="AG328" s="542">
        <v>0</v>
      </c>
      <c r="AH328" s="542">
        <v>0</v>
      </c>
      <c r="AI328" s="542">
        <v>0</v>
      </c>
      <c r="AJ328" s="542">
        <v>0</v>
      </c>
      <c r="AK328" s="542">
        <v>0</v>
      </c>
      <c r="AL328" s="542">
        <v>0</v>
      </c>
      <c r="AM328" s="542">
        <v>0</v>
      </c>
      <c r="AN328" s="542">
        <v>0</v>
      </c>
      <c r="AO328" s="542">
        <v>0</v>
      </c>
      <c r="AP328" s="542">
        <v>0</v>
      </c>
      <c r="AQ328" s="542">
        <v>413008.929</v>
      </c>
      <c r="AR328" s="542">
        <v>103252.232</v>
      </c>
      <c r="AS328" s="542">
        <v>0</v>
      </c>
      <c r="AT328" s="542">
        <v>396879</v>
      </c>
      <c r="AU328" s="542">
        <v>99220</v>
      </c>
      <c r="AV328" s="542">
        <v>0</v>
      </c>
      <c r="AW328" s="542">
        <v>16130</v>
      </c>
      <c r="AX328" s="542">
        <v>4032</v>
      </c>
      <c r="AY328" s="542">
        <v>0</v>
      </c>
      <c r="AZ328" s="542">
        <v>0</v>
      </c>
      <c r="BA328" s="542">
        <v>0</v>
      </c>
      <c r="BB328" s="542">
        <v>0</v>
      </c>
      <c r="BC328" s="542">
        <v>0</v>
      </c>
      <c r="BD328" s="542">
        <v>0</v>
      </c>
      <c r="BE328" s="542">
        <v>0</v>
      </c>
      <c r="BF328" s="542">
        <v>0</v>
      </c>
      <c r="BG328" s="542">
        <v>0</v>
      </c>
      <c r="BH328" s="542">
        <v>0</v>
      </c>
      <c r="BI328" s="542">
        <v>2235.0776999999998</v>
      </c>
      <c r="BJ328" s="542">
        <v>558.76942599999995</v>
      </c>
      <c r="BK328" s="542">
        <v>0</v>
      </c>
      <c r="BL328" s="542">
        <v>9742</v>
      </c>
      <c r="BM328" s="542">
        <v>2436</v>
      </c>
      <c r="BN328" s="542">
        <v>0</v>
      </c>
      <c r="BO328" s="542">
        <v>-7507</v>
      </c>
      <c r="BP328" s="542">
        <v>-1877</v>
      </c>
      <c r="BQ328" s="542">
        <v>0</v>
      </c>
      <c r="BR328" s="542">
        <v>0</v>
      </c>
      <c r="BS328" s="542">
        <v>0</v>
      </c>
      <c r="BT328" s="542">
        <v>0</v>
      </c>
      <c r="BU328" s="542">
        <v>0</v>
      </c>
      <c r="BV328" s="542">
        <v>0</v>
      </c>
      <c r="BW328" s="542">
        <v>0</v>
      </c>
      <c r="BX328" s="542">
        <v>0</v>
      </c>
      <c r="BY328" s="542">
        <v>0</v>
      </c>
      <c r="BZ328" s="542">
        <v>0</v>
      </c>
      <c r="CA328" s="542">
        <v>216347.76</v>
      </c>
      <c r="CB328" s="542">
        <v>54086.9401</v>
      </c>
      <c r="CC328" s="542">
        <v>0</v>
      </c>
      <c r="CD328" s="542">
        <v>479032</v>
      </c>
      <c r="CE328" s="542">
        <v>119758</v>
      </c>
      <c r="CF328" s="542">
        <v>0</v>
      </c>
      <c r="CG328" s="542">
        <v>-262684</v>
      </c>
      <c r="CH328" s="542">
        <v>-65671</v>
      </c>
      <c r="CI328" s="542">
        <v>0</v>
      </c>
      <c r="CJ328" s="542">
        <v>0</v>
      </c>
      <c r="CK328" s="542">
        <v>0</v>
      </c>
      <c r="CL328" s="542">
        <v>0</v>
      </c>
      <c r="CM328" s="542">
        <v>0</v>
      </c>
      <c r="CN328" s="542">
        <v>0</v>
      </c>
      <c r="CO328" s="542">
        <v>0</v>
      </c>
      <c r="CP328" s="542">
        <v>0</v>
      </c>
      <c r="CQ328" s="542">
        <v>0</v>
      </c>
      <c r="CR328" s="542">
        <v>0</v>
      </c>
      <c r="CS328" s="542">
        <v>0</v>
      </c>
      <c r="CT328" s="542">
        <v>0</v>
      </c>
      <c r="CU328" s="542">
        <v>0</v>
      </c>
      <c r="CV328" s="542">
        <v>124346.20299999999</v>
      </c>
      <c r="CW328" s="542">
        <v>31086.550899999998</v>
      </c>
      <c r="CX328" s="542">
        <v>0</v>
      </c>
      <c r="CY328" s="542">
        <v>127711</v>
      </c>
      <c r="CZ328" s="542">
        <v>31576</v>
      </c>
      <c r="DA328" s="542">
        <v>0</v>
      </c>
      <c r="DB328" s="542">
        <v>-3365</v>
      </c>
      <c r="DC328" s="542">
        <v>-489</v>
      </c>
      <c r="DD328" s="542">
        <v>0</v>
      </c>
      <c r="DE328" s="153" t="s">
        <v>521</v>
      </c>
      <c r="DF328" s="103" t="s">
        <v>749</v>
      </c>
      <c r="DG328" s="104" t="s">
        <v>751</v>
      </c>
      <c r="DH328" s="547"/>
      <c r="DI328" s="547"/>
    </row>
    <row r="329" spans="1:143" x14ac:dyDescent="0.2">
      <c r="A329" s="93">
        <v>323</v>
      </c>
      <c r="B329" s="145" t="s">
        <v>524</v>
      </c>
      <c r="C329" s="141" t="s">
        <v>866</v>
      </c>
      <c r="D329" s="142" t="s">
        <v>876</v>
      </c>
      <c r="E329" s="149" t="s">
        <v>523</v>
      </c>
      <c r="F329" s="542">
        <v>9160</v>
      </c>
      <c r="G329" s="542">
        <v>0</v>
      </c>
      <c r="H329" s="542">
        <v>9160</v>
      </c>
      <c r="I329" s="542">
        <v>31316</v>
      </c>
      <c r="J329" s="542">
        <v>0</v>
      </c>
      <c r="K329" s="542">
        <v>31316</v>
      </c>
      <c r="L329" s="542">
        <v>-22156</v>
      </c>
      <c r="M329" s="542">
        <v>0</v>
      </c>
      <c r="N329" s="542">
        <v>-22156</v>
      </c>
      <c r="O329" s="543">
        <v>0.5</v>
      </c>
      <c r="P329" s="543">
        <v>0.4</v>
      </c>
      <c r="Q329" s="543">
        <v>0.09</v>
      </c>
      <c r="R329" s="543">
        <v>0.01</v>
      </c>
      <c r="S329" s="542">
        <v>188752</v>
      </c>
      <c r="T329" s="542">
        <v>188752</v>
      </c>
      <c r="U329" s="542">
        <v>0</v>
      </c>
      <c r="V329" s="542">
        <v>0</v>
      </c>
      <c r="W329" s="542">
        <v>0</v>
      </c>
      <c r="X329" s="542">
        <v>0</v>
      </c>
      <c r="Y329" s="542">
        <v>23313</v>
      </c>
      <c r="Z329" s="542">
        <v>0</v>
      </c>
      <c r="AA329" s="542">
        <v>0</v>
      </c>
      <c r="AB329" s="542">
        <v>0</v>
      </c>
      <c r="AC329" s="542">
        <v>23313</v>
      </c>
      <c r="AD329" s="542">
        <v>0</v>
      </c>
      <c r="AE329" s="542">
        <v>0</v>
      </c>
      <c r="AF329" s="542">
        <v>0</v>
      </c>
      <c r="AG329" s="542">
        <v>0</v>
      </c>
      <c r="AH329" s="542">
        <v>0</v>
      </c>
      <c r="AI329" s="542">
        <v>0</v>
      </c>
      <c r="AJ329" s="542">
        <v>0</v>
      </c>
      <c r="AK329" s="542">
        <v>0</v>
      </c>
      <c r="AL329" s="542">
        <v>0</v>
      </c>
      <c r="AM329" s="542">
        <v>0</v>
      </c>
      <c r="AN329" s="542">
        <v>0</v>
      </c>
      <c r="AO329" s="542">
        <v>0</v>
      </c>
      <c r="AP329" s="542">
        <v>0</v>
      </c>
      <c r="AQ329" s="542">
        <v>637079.20799999998</v>
      </c>
      <c r="AR329" s="542">
        <v>143342.821</v>
      </c>
      <c r="AS329" s="542">
        <v>15926.9802</v>
      </c>
      <c r="AT329" s="542">
        <v>577776</v>
      </c>
      <c r="AU329" s="542">
        <v>129999</v>
      </c>
      <c r="AV329" s="542">
        <v>14444</v>
      </c>
      <c r="AW329" s="542">
        <v>59303</v>
      </c>
      <c r="AX329" s="542">
        <v>13344</v>
      </c>
      <c r="AY329" s="542">
        <v>1483</v>
      </c>
      <c r="AZ329" s="542">
        <v>740.98343899999998</v>
      </c>
      <c r="BA329" s="542">
        <v>166.721273</v>
      </c>
      <c r="BB329" s="542">
        <v>18.524585900000002</v>
      </c>
      <c r="BC329" s="542">
        <v>0</v>
      </c>
      <c r="BD329" s="542">
        <v>0</v>
      </c>
      <c r="BE329" s="542">
        <v>0</v>
      </c>
      <c r="BF329" s="542">
        <v>741</v>
      </c>
      <c r="BG329" s="542">
        <v>167</v>
      </c>
      <c r="BH329" s="542">
        <v>19</v>
      </c>
      <c r="BI329" s="542">
        <v>779.38683600000002</v>
      </c>
      <c r="BJ329" s="542">
        <v>175.36203800000001</v>
      </c>
      <c r="BK329" s="542">
        <v>19.484670900000001</v>
      </c>
      <c r="BL329" s="542">
        <v>0</v>
      </c>
      <c r="BM329" s="542">
        <v>0</v>
      </c>
      <c r="BN329" s="542">
        <v>0</v>
      </c>
      <c r="BO329" s="542">
        <v>779</v>
      </c>
      <c r="BP329" s="542">
        <v>175</v>
      </c>
      <c r="BQ329" s="542">
        <v>19</v>
      </c>
      <c r="BR329" s="542">
        <v>2553.6237700000001</v>
      </c>
      <c r="BS329" s="542">
        <v>574.56534999999997</v>
      </c>
      <c r="BT329" s="542">
        <v>63.840594400000001</v>
      </c>
      <c r="BU329" s="542">
        <v>19888</v>
      </c>
      <c r="BV329" s="542">
        <v>4475</v>
      </c>
      <c r="BW329" s="542">
        <v>497</v>
      </c>
      <c r="BX329" s="542">
        <v>-17334</v>
      </c>
      <c r="BY329" s="542">
        <v>-3900</v>
      </c>
      <c r="BZ329" s="542">
        <v>-433</v>
      </c>
      <c r="CA329" s="542">
        <v>205307.39</v>
      </c>
      <c r="CB329" s="542">
        <v>46194.162799999998</v>
      </c>
      <c r="CC329" s="542">
        <v>5132.6847500000003</v>
      </c>
      <c r="CD329" s="542">
        <v>218593</v>
      </c>
      <c r="CE329" s="542">
        <v>49183</v>
      </c>
      <c r="CF329" s="542">
        <v>5465</v>
      </c>
      <c r="CG329" s="542">
        <v>-13286</v>
      </c>
      <c r="CH329" s="542">
        <v>-2989</v>
      </c>
      <c r="CI329" s="542">
        <v>-332</v>
      </c>
      <c r="CJ329" s="542">
        <v>1963.2</v>
      </c>
      <c r="CK329" s="542">
        <v>441.72</v>
      </c>
      <c r="CL329" s="542">
        <v>49.08</v>
      </c>
      <c r="CM329" s="542">
        <v>2030.52908</v>
      </c>
      <c r="CN329" s="542">
        <v>456.86904399999997</v>
      </c>
      <c r="CO329" s="542">
        <v>50.763227100000002</v>
      </c>
      <c r="CP329" s="542">
        <v>3043</v>
      </c>
      <c r="CQ329" s="542">
        <v>684.72</v>
      </c>
      <c r="CR329" s="542">
        <v>76.08</v>
      </c>
      <c r="CS329" s="542">
        <v>951</v>
      </c>
      <c r="CT329" s="542">
        <v>214</v>
      </c>
      <c r="CU329" s="542">
        <v>24</v>
      </c>
      <c r="CV329" s="542">
        <v>147556.88500000001</v>
      </c>
      <c r="CW329" s="542">
        <v>33144.6152</v>
      </c>
      <c r="CX329" s="542">
        <v>3682.7350299999998</v>
      </c>
      <c r="CY329" s="542">
        <v>166908</v>
      </c>
      <c r="CZ329" s="542">
        <v>37103</v>
      </c>
      <c r="DA329" s="542">
        <v>4123</v>
      </c>
      <c r="DB329" s="542">
        <v>-19351</v>
      </c>
      <c r="DC329" s="542">
        <v>-3958</v>
      </c>
      <c r="DD329" s="542">
        <v>-440</v>
      </c>
      <c r="DE329" s="153" t="s">
        <v>523</v>
      </c>
      <c r="DF329" s="103" t="s">
        <v>786</v>
      </c>
      <c r="DG329" s="104" t="s">
        <v>787</v>
      </c>
      <c r="DH329" s="547"/>
      <c r="DI329" s="547"/>
    </row>
    <row r="330" spans="1:143" x14ac:dyDescent="0.2">
      <c r="A330" s="93">
        <v>324</v>
      </c>
      <c r="B330" s="145" t="s">
        <v>526</v>
      </c>
      <c r="C330" s="141" t="s">
        <v>866</v>
      </c>
      <c r="D330" s="142" t="s">
        <v>867</v>
      </c>
      <c r="E330" s="149" t="s">
        <v>525</v>
      </c>
      <c r="F330" s="542">
        <v>30699</v>
      </c>
      <c r="G330" s="542">
        <v>0</v>
      </c>
      <c r="H330" s="542">
        <v>30699</v>
      </c>
      <c r="I330" s="542">
        <v>-36390</v>
      </c>
      <c r="J330" s="542">
        <v>0</v>
      </c>
      <c r="K330" s="542">
        <v>-36390</v>
      </c>
      <c r="L330" s="542">
        <v>67089</v>
      </c>
      <c r="M330" s="542">
        <v>0</v>
      </c>
      <c r="N330" s="542">
        <v>67089</v>
      </c>
      <c r="O330" s="543">
        <v>0.5</v>
      </c>
      <c r="P330" s="543">
        <v>0.4</v>
      </c>
      <c r="Q330" s="543">
        <v>0.09</v>
      </c>
      <c r="R330" s="543">
        <v>0.01</v>
      </c>
      <c r="S330" s="542">
        <v>247286</v>
      </c>
      <c r="T330" s="542">
        <v>247286</v>
      </c>
      <c r="U330" s="542">
        <v>0</v>
      </c>
      <c r="V330" s="542">
        <v>0</v>
      </c>
      <c r="W330" s="542">
        <v>0</v>
      </c>
      <c r="X330" s="542">
        <v>0</v>
      </c>
      <c r="Y330" s="542">
        <v>0</v>
      </c>
      <c r="Z330" s="542">
        <v>0</v>
      </c>
      <c r="AA330" s="542">
        <v>0</v>
      </c>
      <c r="AB330" s="542">
        <v>0</v>
      </c>
      <c r="AC330" s="542">
        <v>0</v>
      </c>
      <c r="AD330" s="542">
        <v>0</v>
      </c>
      <c r="AE330" s="542">
        <v>0</v>
      </c>
      <c r="AF330" s="542">
        <v>0</v>
      </c>
      <c r="AG330" s="542">
        <v>0</v>
      </c>
      <c r="AH330" s="542">
        <v>0</v>
      </c>
      <c r="AI330" s="542">
        <v>0</v>
      </c>
      <c r="AJ330" s="542">
        <v>0</v>
      </c>
      <c r="AK330" s="542">
        <v>0</v>
      </c>
      <c r="AL330" s="542">
        <v>0</v>
      </c>
      <c r="AM330" s="542">
        <v>0</v>
      </c>
      <c r="AN330" s="542">
        <v>0</v>
      </c>
      <c r="AO330" s="542">
        <v>0</v>
      </c>
      <c r="AP330" s="542">
        <v>0</v>
      </c>
      <c r="AQ330" s="542">
        <v>465593.08299999998</v>
      </c>
      <c r="AR330" s="542">
        <v>104758.443</v>
      </c>
      <c r="AS330" s="542">
        <v>11639.826999999999</v>
      </c>
      <c r="AT330" s="542">
        <v>405535</v>
      </c>
      <c r="AU330" s="542">
        <v>91245</v>
      </c>
      <c r="AV330" s="542">
        <v>10138</v>
      </c>
      <c r="AW330" s="542">
        <v>60058</v>
      </c>
      <c r="AX330" s="542">
        <v>13513</v>
      </c>
      <c r="AY330" s="542">
        <v>1502</v>
      </c>
      <c r="AZ330" s="542">
        <v>0</v>
      </c>
      <c r="BA330" s="542">
        <v>0</v>
      </c>
      <c r="BB330" s="542">
        <v>0</v>
      </c>
      <c r="BC330" s="542">
        <v>42688</v>
      </c>
      <c r="BD330" s="542">
        <v>9605</v>
      </c>
      <c r="BE330" s="542">
        <v>1067</v>
      </c>
      <c r="BF330" s="542">
        <v>-42688</v>
      </c>
      <c r="BG330" s="542">
        <v>-9605</v>
      </c>
      <c r="BH330" s="542">
        <v>-1067</v>
      </c>
      <c r="BI330" s="542">
        <v>0</v>
      </c>
      <c r="BJ330" s="542">
        <v>0</v>
      </c>
      <c r="BK330" s="542">
        <v>0</v>
      </c>
      <c r="BL330" s="542">
        <v>20212</v>
      </c>
      <c r="BM330" s="542">
        <v>4548</v>
      </c>
      <c r="BN330" s="542">
        <v>505</v>
      </c>
      <c r="BO330" s="542">
        <v>-20212</v>
      </c>
      <c r="BP330" s="542">
        <v>-4548</v>
      </c>
      <c r="BQ330" s="542">
        <v>-505</v>
      </c>
      <c r="BR330" s="542">
        <v>730.87728200000004</v>
      </c>
      <c r="BS330" s="542">
        <v>164.44738799999999</v>
      </c>
      <c r="BT330" s="542">
        <v>18.271932</v>
      </c>
      <c r="BU330" s="542">
        <v>310455</v>
      </c>
      <c r="BV330" s="542">
        <v>69852</v>
      </c>
      <c r="BW330" s="542">
        <v>7761</v>
      </c>
      <c r="BX330" s="542">
        <v>-309724</v>
      </c>
      <c r="BY330" s="542">
        <v>-69688</v>
      </c>
      <c r="BZ330" s="542">
        <v>-7743</v>
      </c>
      <c r="CA330" s="542">
        <v>67569.766399999993</v>
      </c>
      <c r="CB330" s="542">
        <v>15203.197399999999</v>
      </c>
      <c r="CC330" s="542">
        <v>1689.24416</v>
      </c>
      <c r="CD330" s="542">
        <v>161011</v>
      </c>
      <c r="CE330" s="542">
        <v>36228</v>
      </c>
      <c r="CF330" s="542">
        <v>4025</v>
      </c>
      <c r="CG330" s="542">
        <v>-93441</v>
      </c>
      <c r="CH330" s="542">
        <v>-21025</v>
      </c>
      <c r="CI330" s="542">
        <v>-2336</v>
      </c>
      <c r="CJ330" s="542">
        <v>0</v>
      </c>
      <c r="CK330" s="542">
        <v>0</v>
      </c>
      <c r="CL330" s="542">
        <v>0</v>
      </c>
      <c r="CM330" s="542">
        <v>10415.001200000001</v>
      </c>
      <c r="CN330" s="542">
        <v>2343.3752800000002</v>
      </c>
      <c r="CO330" s="542">
        <v>260.37503099999998</v>
      </c>
      <c r="CP330" s="542">
        <v>10257</v>
      </c>
      <c r="CQ330" s="542">
        <v>2307.87</v>
      </c>
      <c r="CR330" s="542">
        <v>256.43</v>
      </c>
      <c r="CS330" s="542">
        <v>158</v>
      </c>
      <c r="CT330" s="542">
        <v>36</v>
      </c>
      <c r="CU330" s="542">
        <v>4</v>
      </c>
      <c r="CV330" s="542">
        <v>289689.47700000001</v>
      </c>
      <c r="CW330" s="542">
        <v>65180.132400000002</v>
      </c>
      <c r="CX330" s="542">
        <v>7242.2369399999998</v>
      </c>
      <c r="CY330" s="542">
        <v>285849</v>
      </c>
      <c r="CZ330" s="542">
        <v>63714</v>
      </c>
      <c r="DA330" s="542">
        <v>7079</v>
      </c>
      <c r="DB330" s="542">
        <v>3840</v>
      </c>
      <c r="DC330" s="542">
        <v>1466</v>
      </c>
      <c r="DD330" s="542">
        <v>163</v>
      </c>
      <c r="DE330" s="153" t="s">
        <v>525</v>
      </c>
      <c r="DF330" s="103" t="s">
        <v>759</v>
      </c>
      <c r="DG330" s="104" t="s">
        <v>760</v>
      </c>
      <c r="DH330" s="547"/>
      <c r="DI330" s="547"/>
    </row>
    <row r="331" spans="1:143" x14ac:dyDescent="0.2">
      <c r="A331" s="93">
        <v>325</v>
      </c>
      <c r="B331" s="145" t="s">
        <v>528</v>
      </c>
      <c r="C331" s="141" t="s">
        <v>866</v>
      </c>
      <c r="D331" s="142" t="s">
        <v>868</v>
      </c>
      <c r="E331" s="149" t="s">
        <v>527</v>
      </c>
      <c r="F331" s="542">
        <v>50466</v>
      </c>
      <c r="G331" s="542">
        <v>0</v>
      </c>
      <c r="H331" s="542">
        <v>50466</v>
      </c>
      <c r="I331" s="542">
        <v>90941</v>
      </c>
      <c r="J331" s="542">
        <v>0</v>
      </c>
      <c r="K331" s="542">
        <v>90941</v>
      </c>
      <c r="L331" s="542">
        <v>-40475</v>
      </c>
      <c r="M331" s="542">
        <v>0</v>
      </c>
      <c r="N331" s="542">
        <v>-40475</v>
      </c>
      <c r="O331" s="543">
        <v>0.5</v>
      </c>
      <c r="P331" s="543">
        <v>0.4</v>
      </c>
      <c r="Q331" s="543">
        <v>0.09</v>
      </c>
      <c r="R331" s="543">
        <v>0.01</v>
      </c>
      <c r="S331" s="542">
        <v>154288</v>
      </c>
      <c r="T331" s="542">
        <v>154288</v>
      </c>
      <c r="U331" s="542">
        <v>0</v>
      </c>
      <c r="V331" s="542">
        <v>0</v>
      </c>
      <c r="W331" s="542">
        <v>0</v>
      </c>
      <c r="X331" s="542">
        <v>0</v>
      </c>
      <c r="Y331" s="542">
        <v>0</v>
      </c>
      <c r="Z331" s="542">
        <v>0</v>
      </c>
      <c r="AA331" s="542">
        <v>0</v>
      </c>
      <c r="AB331" s="542">
        <v>0</v>
      </c>
      <c r="AC331" s="542">
        <v>0</v>
      </c>
      <c r="AD331" s="542">
        <v>0</v>
      </c>
      <c r="AE331" s="542">
        <v>0</v>
      </c>
      <c r="AF331" s="542">
        <v>0</v>
      </c>
      <c r="AG331" s="542">
        <v>0</v>
      </c>
      <c r="AH331" s="542">
        <v>0</v>
      </c>
      <c r="AI331" s="542">
        <v>0</v>
      </c>
      <c r="AJ331" s="542">
        <v>0</v>
      </c>
      <c r="AK331" s="542">
        <v>0</v>
      </c>
      <c r="AL331" s="542">
        <v>0</v>
      </c>
      <c r="AM331" s="542">
        <v>0</v>
      </c>
      <c r="AN331" s="542">
        <v>0</v>
      </c>
      <c r="AO331" s="542">
        <v>0</v>
      </c>
      <c r="AP331" s="542">
        <v>0</v>
      </c>
      <c r="AQ331" s="542">
        <v>585728.81299999997</v>
      </c>
      <c r="AR331" s="542">
        <v>131788.98300000001</v>
      </c>
      <c r="AS331" s="542">
        <v>14643.220300000001</v>
      </c>
      <c r="AT331" s="542">
        <v>558261</v>
      </c>
      <c r="AU331" s="542">
        <v>125609</v>
      </c>
      <c r="AV331" s="542">
        <v>13957</v>
      </c>
      <c r="AW331" s="542">
        <v>27468</v>
      </c>
      <c r="AX331" s="542">
        <v>6180</v>
      </c>
      <c r="AY331" s="542">
        <v>686</v>
      </c>
      <c r="AZ331" s="542">
        <v>1369.99065</v>
      </c>
      <c r="BA331" s="542">
        <v>308.24789800000002</v>
      </c>
      <c r="BB331" s="542">
        <v>34.249766399999999</v>
      </c>
      <c r="BC331" s="542">
        <v>0</v>
      </c>
      <c r="BD331" s="542">
        <v>0</v>
      </c>
      <c r="BE331" s="542">
        <v>0</v>
      </c>
      <c r="BF331" s="542">
        <v>1370</v>
      </c>
      <c r="BG331" s="542">
        <v>308</v>
      </c>
      <c r="BH331" s="542">
        <v>34</v>
      </c>
      <c r="BI331" s="542">
        <v>0</v>
      </c>
      <c r="BJ331" s="542">
        <v>0</v>
      </c>
      <c r="BK331" s="542">
        <v>0</v>
      </c>
      <c r="BL331" s="542">
        <v>0</v>
      </c>
      <c r="BM331" s="542">
        <v>0</v>
      </c>
      <c r="BN331" s="542">
        <v>0</v>
      </c>
      <c r="BO331" s="542">
        <v>0</v>
      </c>
      <c r="BP331" s="542">
        <v>0</v>
      </c>
      <c r="BQ331" s="542">
        <v>0</v>
      </c>
      <c r="BR331" s="542">
        <v>0</v>
      </c>
      <c r="BS331" s="542">
        <v>0</v>
      </c>
      <c r="BT331" s="542">
        <v>0</v>
      </c>
      <c r="BU331" s="542">
        <v>0</v>
      </c>
      <c r="BV331" s="542">
        <v>0</v>
      </c>
      <c r="BW331" s="542">
        <v>0</v>
      </c>
      <c r="BX331" s="542">
        <v>0</v>
      </c>
      <c r="BY331" s="542">
        <v>0</v>
      </c>
      <c r="BZ331" s="542">
        <v>0</v>
      </c>
      <c r="CA331" s="542">
        <v>173625.39600000001</v>
      </c>
      <c r="CB331" s="542">
        <v>39065.714099999997</v>
      </c>
      <c r="CC331" s="542">
        <v>4340.6349</v>
      </c>
      <c r="CD331" s="542">
        <v>296888</v>
      </c>
      <c r="CE331" s="542">
        <v>66800</v>
      </c>
      <c r="CF331" s="542">
        <v>7422</v>
      </c>
      <c r="CG331" s="542">
        <v>-123263</v>
      </c>
      <c r="CH331" s="542">
        <v>-27734</v>
      </c>
      <c r="CI331" s="542">
        <v>-3081</v>
      </c>
      <c r="CJ331" s="542">
        <v>0</v>
      </c>
      <c r="CK331" s="542">
        <v>0</v>
      </c>
      <c r="CL331" s="542">
        <v>0</v>
      </c>
      <c r="CM331" s="542">
        <v>207.378343</v>
      </c>
      <c r="CN331" s="542">
        <v>46.660127299999999</v>
      </c>
      <c r="CO331" s="542">
        <v>5.1844585900000002</v>
      </c>
      <c r="CP331" s="542">
        <v>0</v>
      </c>
      <c r="CQ331" s="542">
        <v>0</v>
      </c>
      <c r="CR331" s="542">
        <v>0</v>
      </c>
      <c r="CS331" s="542">
        <v>207</v>
      </c>
      <c r="CT331" s="542">
        <v>47</v>
      </c>
      <c r="CU331" s="542">
        <v>5</v>
      </c>
      <c r="CV331" s="542">
        <v>109992.636</v>
      </c>
      <c r="CW331" s="542">
        <v>24748.3433</v>
      </c>
      <c r="CX331" s="542">
        <v>2749.81592</v>
      </c>
      <c r="CY331" s="542">
        <v>109805</v>
      </c>
      <c r="CZ331" s="542">
        <v>24338</v>
      </c>
      <c r="DA331" s="542">
        <v>2704</v>
      </c>
      <c r="DB331" s="542">
        <v>188</v>
      </c>
      <c r="DC331" s="542">
        <v>410</v>
      </c>
      <c r="DD331" s="542">
        <v>46</v>
      </c>
      <c r="DE331" s="153" t="s">
        <v>527</v>
      </c>
      <c r="DF331" s="103" t="s">
        <v>789</v>
      </c>
      <c r="DG331" s="104" t="s">
        <v>776</v>
      </c>
      <c r="DH331" s="547"/>
      <c r="DI331" s="547"/>
    </row>
    <row r="332" spans="1:143" x14ac:dyDescent="0.2">
      <c r="A332" s="93">
        <v>326</v>
      </c>
      <c r="B332" s="145" t="s">
        <v>530</v>
      </c>
      <c r="C332" s="141" t="s">
        <v>866</v>
      </c>
      <c r="D332" s="142" t="s">
        <v>876</v>
      </c>
      <c r="E332" s="149" t="s">
        <v>529</v>
      </c>
      <c r="F332" s="542">
        <v>-156796</v>
      </c>
      <c r="G332" s="542">
        <v>0</v>
      </c>
      <c r="H332" s="542">
        <v>-156796</v>
      </c>
      <c r="I332" s="542">
        <v>18378</v>
      </c>
      <c r="J332" s="542">
        <v>0</v>
      </c>
      <c r="K332" s="542">
        <v>18378</v>
      </c>
      <c r="L332" s="542">
        <v>-175174</v>
      </c>
      <c r="M332" s="542">
        <v>0</v>
      </c>
      <c r="N332" s="542">
        <v>-175174</v>
      </c>
      <c r="O332" s="543">
        <v>0.5</v>
      </c>
      <c r="P332" s="543">
        <v>0.4</v>
      </c>
      <c r="Q332" s="543">
        <v>0.09</v>
      </c>
      <c r="R332" s="543">
        <v>0.01</v>
      </c>
      <c r="S332" s="542">
        <v>137170</v>
      </c>
      <c r="T332" s="542">
        <v>137170</v>
      </c>
      <c r="U332" s="542">
        <v>0</v>
      </c>
      <c r="V332" s="542">
        <v>0</v>
      </c>
      <c r="W332" s="542">
        <v>0</v>
      </c>
      <c r="X332" s="542">
        <v>0</v>
      </c>
      <c r="Y332" s="542">
        <v>0</v>
      </c>
      <c r="Z332" s="542">
        <v>0</v>
      </c>
      <c r="AA332" s="542">
        <v>0</v>
      </c>
      <c r="AB332" s="542">
        <v>0</v>
      </c>
      <c r="AC332" s="542">
        <v>0</v>
      </c>
      <c r="AD332" s="542">
        <v>0</v>
      </c>
      <c r="AE332" s="542">
        <v>0</v>
      </c>
      <c r="AF332" s="542">
        <v>0</v>
      </c>
      <c r="AG332" s="542">
        <v>0</v>
      </c>
      <c r="AH332" s="542">
        <v>0</v>
      </c>
      <c r="AI332" s="542">
        <v>0</v>
      </c>
      <c r="AJ332" s="542">
        <v>0</v>
      </c>
      <c r="AK332" s="542">
        <v>0</v>
      </c>
      <c r="AL332" s="542">
        <v>0</v>
      </c>
      <c r="AM332" s="542">
        <v>0</v>
      </c>
      <c r="AN332" s="542">
        <v>0</v>
      </c>
      <c r="AO332" s="542">
        <v>0</v>
      </c>
      <c r="AP332" s="542">
        <v>0</v>
      </c>
      <c r="AQ332" s="542">
        <v>451114.39600000001</v>
      </c>
      <c r="AR332" s="542">
        <v>101500.739</v>
      </c>
      <c r="AS332" s="542">
        <v>11277.859899999999</v>
      </c>
      <c r="AT332" s="542">
        <v>407381</v>
      </c>
      <c r="AU332" s="542">
        <v>91661</v>
      </c>
      <c r="AV332" s="542">
        <v>10185</v>
      </c>
      <c r="AW332" s="542">
        <v>43733</v>
      </c>
      <c r="AX332" s="542">
        <v>9840</v>
      </c>
      <c r="AY332" s="542">
        <v>1093</v>
      </c>
      <c r="AZ332" s="542">
        <v>0</v>
      </c>
      <c r="BA332" s="542">
        <v>0</v>
      </c>
      <c r="BB332" s="542">
        <v>0</v>
      </c>
      <c r="BC332" s="542">
        <v>0</v>
      </c>
      <c r="BD332" s="542">
        <v>0</v>
      </c>
      <c r="BE332" s="542">
        <v>0</v>
      </c>
      <c r="BF332" s="542">
        <v>0</v>
      </c>
      <c r="BG332" s="542">
        <v>0</v>
      </c>
      <c r="BH332" s="542">
        <v>0</v>
      </c>
      <c r="BI332" s="542">
        <v>0</v>
      </c>
      <c r="BJ332" s="542">
        <v>0</v>
      </c>
      <c r="BK332" s="542">
        <v>0</v>
      </c>
      <c r="BL332" s="542">
        <v>0</v>
      </c>
      <c r="BM332" s="542">
        <v>0</v>
      </c>
      <c r="BN332" s="542">
        <v>0</v>
      </c>
      <c r="BO332" s="542">
        <v>0</v>
      </c>
      <c r="BP332" s="542">
        <v>0</v>
      </c>
      <c r="BQ332" s="542">
        <v>0</v>
      </c>
      <c r="BR332" s="542">
        <v>5692.5961699999998</v>
      </c>
      <c r="BS332" s="542">
        <v>1280.8341399999999</v>
      </c>
      <c r="BT332" s="542">
        <v>142.31490400000001</v>
      </c>
      <c r="BU332" s="542">
        <v>31421</v>
      </c>
      <c r="BV332" s="542">
        <v>7070</v>
      </c>
      <c r="BW332" s="542">
        <v>786</v>
      </c>
      <c r="BX332" s="542">
        <v>-25728</v>
      </c>
      <c r="BY332" s="542">
        <v>-5789</v>
      </c>
      <c r="BZ332" s="542">
        <v>-644</v>
      </c>
      <c r="CA332" s="542">
        <v>76644.286999999997</v>
      </c>
      <c r="CB332" s="542">
        <v>17244.964499999998</v>
      </c>
      <c r="CC332" s="542">
        <v>1916.10717</v>
      </c>
      <c r="CD332" s="542">
        <v>127338</v>
      </c>
      <c r="CE332" s="542">
        <v>28651</v>
      </c>
      <c r="CF332" s="542">
        <v>3183</v>
      </c>
      <c r="CG332" s="542">
        <v>-50694</v>
      </c>
      <c r="CH332" s="542">
        <v>-11406</v>
      </c>
      <c r="CI332" s="542">
        <v>-1267</v>
      </c>
      <c r="CJ332" s="542">
        <v>24422.400000000001</v>
      </c>
      <c r="CK332" s="542">
        <v>5495.04</v>
      </c>
      <c r="CL332" s="542">
        <v>610.55999999999995</v>
      </c>
      <c r="CM332" s="542">
        <v>12682.0144</v>
      </c>
      <c r="CN332" s="542">
        <v>2853.4532399999998</v>
      </c>
      <c r="CO332" s="542">
        <v>317.05036000000001</v>
      </c>
      <c r="CP332" s="542">
        <v>36971</v>
      </c>
      <c r="CQ332" s="542">
        <v>8318.4984000000004</v>
      </c>
      <c r="CR332" s="542">
        <v>924.27760000000001</v>
      </c>
      <c r="CS332" s="542">
        <v>133</v>
      </c>
      <c r="CT332" s="542">
        <v>30</v>
      </c>
      <c r="CU332" s="542">
        <v>3</v>
      </c>
      <c r="CV332" s="542">
        <v>111502.076</v>
      </c>
      <c r="CW332" s="542">
        <v>25087.967199999999</v>
      </c>
      <c r="CX332" s="542">
        <v>2787.5519100000001</v>
      </c>
      <c r="CY332" s="542">
        <v>123709</v>
      </c>
      <c r="CZ332" s="542">
        <v>27507</v>
      </c>
      <c r="DA332" s="542">
        <v>3056</v>
      </c>
      <c r="DB332" s="542">
        <v>-12207</v>
      </c>
      <c r="DC332" s="542">
        <v>-2419</v>
      </c>
      <c r="DD332" s="542">
        <v>-268</v>
      </c>
      <c r="DE332" s="153" t="s">
        <v>529</v>
      </c>
      <c r="DF332" s="103" t="s">
        <v>786</v>
      </c>
      <c r="DG332" s="104" t="s">
        <v>787</v>
      </c>
      <c r="DH332" s="547"/>
      <c r="DI332" s="547"/>
    </row>
    <row r="333" spans="1:143" ht="15.75" thickBot="1" x14ac:dyDescent="0.25">
      <c r="A333" s="93">
        <v>327</v>
      </c>
      <c r="B333" s="145" t="s">
        <v>532</v>
      </c>
      <c r="C333" s="141" t="s">
        <v>770</v>
      </c>
      <c r="D333" s="142" t="s">
        <v>874</v>
      </c>
      <c r="E333" s="149" t="s">
        <v>739</v>
      </c>
      <c r="F333" s="542">
        <v>-206335</v>
      </c>
      <c r="G333" s="542">
        <v>0</v>
      </c>
      <c r="H333" s="542">
        <v>-206335</v>
      </c>
      <c r="I333" s="542">
        <v>101000</v>
      </c>
      <c r="J333" s="542">
        <v>0</v>
      </c>
      <c r="K333" s="542">
        <v>101000</v>
      </c>
      <c r="L333" s="542">
        <v>-307335</v>
      </c>
      <c r="M333" s="542">
        <v>0</v>
      </c>
      <c r="N333" s="542">
        <v>-307335</v>
      </c>
      <c r="O333" s="543">
        <v>0.5</v>
      </c>
      <c r="P333" s="543">
        <v>0.49</v>
      </c>
      <c r="Q333" s="543">
        <v>0</v>
      </c>
      <c r="R333" s="543">
        <v>0.01</v>
      </c>
      <c r="S333" s="542">
        <v>294970</v>
      </c>
      <c r="T333" s="542">
        <v>294970</v>
      </c>
      <c r="U333" s="542">
        <v>0</v>
      </c>
      <c r="V333" s="542">
        <v>0</v>
      </c>
      <c r="W333" s="542">
        <v>0</v>
      </c>
      <c r="X333" s="542">
        <v>0</v>
      </c>
      <c r="Y333" s="542">
        <v>0</v>
      </c>
      <c r="Z333" s="542">
        <v>0</v>
      </c>
      <c r="AA333" s="542">
        <v>0</v>
      </c>
      <c r="AB333" s="542">
        <v>0</v>
      </c>
      <c r="AC333" s="542">
        <v>0</v>
      </c>
      <c r="AD333" s="542">
        <v>0</v>
      </c>
      <c r="AE333" s="542">
        <v>0</v>
      </c>
      <c r="AF333" s="542">
        <v>0</v>
      </c>
      <c r="AG333" s="542">
        <v>0</v>
      </c>
      <c r="AH333" s="542">
        <v>0</v>
      </c>
      <c r="AI333" s="542">
        <v>0</v>
      </c>
      <c r="AJ333" s="542">
        <v>0</v>
      </c>
      <c r="AK333" s="542">
        <v>0</v>
      </c>
      <c r="AL333" s="542">
        <v>0</v>
      </c>
      <c r="AM333" s="542">
        <v>0</v>
      </c>
      <c r="AN333" s="542">
        <v>0</v>
      </c>
      <c r="AO333" s="542">
        <v>0</v>
      </c>
      <c r="AP333" s="542">
        <v>0</v>
      </c>
      <c r="AQ333" s="542">
        <v>797758.79</v>
      </c>
      <c r="AR333" s="542">
        <v>0</v>
      </c>
      <c r="AS333" s="542">
        <v>16280.79</v>
      </c>
      <c r="AT333" s="542">
        <v>742803</v>
      </c>
      <c r="AU333" s="542">
        <v>0</v>
      </c>
      <c r="AV333" s="542">
        <v>15159</v>
      </c>
      <c r="AW333" s="542">
        <v>54956</v>
      </c>
      <c r="AX333" s="542">
        <v>0</v>
      </c>
      <c r="AY333" s="542">
        <v>1122</v>
      </c>
      <c r="AZ333" s="542">
        <v>512.53</v>
      </c>
      <c r="BA333" s="542">
        <v>0</v>
      </c>
      <c r="BB333" s="542">
        <v>10.46</v>
      </c>
      <c r="BC333" s="542">
        <v>49520</v>
      </c>
      <c r="BD333" s="542">
        <v>0</v>
      </c>
      <c r="BE333" s="542">
        <v>1011</v>
      </c>
      <c r="BF333" s="542">
        <v>-49007</v>
      </c>
      <c r="BG333" s="542">
        <v>0</v>
      </c>
      <c r="BH333" s="542">
        <v>-1001</v>
      </c>
      <c r="BI333" s="542">
        <v>30089.94</v>
      </c>
      <c r="BJ333" s="542">
        <v>0</v>
      </c>
      <c r="BK333" s="542">
        <v>614.08000000000004</v>
      </c>
      <c r="BL333" s="542">
        <v>123800</v>
      </c>
      <c r="BM333" s="542">
        <v>0</v>
      </c>
      <c r="BN333" s="542">
        <v>2527</v>
      </c>
      <c r="BO333" s="542">
        <v>-93710</v>
      </c>
      <c r="BP333" s="542">
        <v>0</v>
      </c>
      <c r="BQ333" s="542">
        <v>-1913</v>
      </c>
      <c r="BR333" s="542">
        <v>6899.15</v>
      </c>
      <c r="BS333" s="542">
        <v>0</v>
      </c>
      <c r="BT333" s="542">
        <v>140.80000000000001</v>
      </c>
      <c r="BU333" s="542">
        <v>148560</v>
      </c>
      <c r="BV333" s="542">
        <v>0</v>
      </c>
      <c r="BW333" s="542">
        <v>3032</v>
      </c>
      <c r="BX333" s="542">
        <v>-141661</v>
      </c>
      <c r="BY333" s="542">
        <v>0</v>
      </c>
      <c r="BZ333" s="542">
        <v>-2891</v>
      </c>
      <c r="CA333" s="542">
        <v>527397.73</v>
      </c>
      <c r="CB333" s="542">
        <v>0</v>
      </c>
      <c r="CC333" s="542">
        <v>10763.22</v>
      </c>
      <c r="CD333" s="542">
        <v>623954</v>
      </c>
      <c r="CE333" s="542">
        <v>0</v>
      </c>
      <c r="CF333" s="542">
        <v>12734</v>
      </c>
      <c r="CG333" s="542">
        <v>-96556</v>
      </c>
      <c r="CH333" s="542">
        <v>0</v>
      </c>
      <c r="CI333" s="542">
        <v>-1971</v>
      </c>
      <c r="CJ333" s="542">
        <v>0</v>
      </c>
      <c r="CK333" s="542">
        <v>0</v>
      </c>
      <c r="CL333" s="542">
        <v>0</v>
      </c>
      <c r="CM333" s="542">
        <v>0</v>
      </c>
      <c r="CN333" s="542">
        <v>0</v>
      </c>
      <c r="CO333" s="542">
        <v>0</v>
      </c>
      <c r="CP333" s="542">
        <v>0</v>
      </c>
      <c r="CQ333" s="542">
        <v>0</v>
      </c>
      <c r="CR333" s="542">
        <v>0</v>
      </c>
      <c r="CS333" s="542">
        <v>0</v>
      </c>
      <c r="CT333" s="542">
        <v>0</v>
      </c>
      <c r="CU333" s="542">
        <v>0</v>
      </c>
      <c r="CV333" s="542">
        <v>512502.01</v>
      </c>
      <c r="CW333" s="542">
        <v>0</v>
      </c>
      <c r="CX333" s="542">
        <v>10459.219999999999</v>
      </c>
      <c r="CY333" s="542">
        <v>491020</v>
      </c>
      <c r="CZ333" s="542">
        <v>0</v>
      </c>
      <c r="DA333" s="542">
        <v>9957</v>
      </c>
      <c r="DB333" s="542">
        <v>21482</v>
      </c>
      <c r="DC333" s="542">
        <v>0</v>
      </c>
      <c r="DD333" s="542">
        <v>502</v>
      </c>
      <c r="DE333" s="153" t="s">
        <v>739</v>
      </c>
      <c r="DF333" s="103" t="s">
        <v>770</v>
      </c>
      <c r="DG333" s="104" t="s">
        <v>801</v>
      </c>
      <c r="DH333" s="550"/>
      <c r="DI333" s="550"/>
    </row>
    <row r="334" spans="1:143" ht="15.75" thickBot="1" x14ac:dyDescent="0.25">
      <c r="A334" s="93">
        <v>1</v>
      </c>
      <c r="B334" s="72"/>
      <c r="D334" s="94" t="s">
        <v>870</v>
      </c>
      <c r="E334" s="94" t="s">
        <v>686</v>
      </c>
      <c r="F334" s="76">
        <f>SUM(F8:F333)</f>
        <v>-118444108</v>
      </c>
      <c r="G334" s="76">
        <f t="shared" ref="G334:BR334" si="3">SUM(G8:G333)</f>
        <v>-704808</v>
      </c>
      <c r="H334" s="76">
        <f t="shared" si="3"/>
        <v>-119148916</v>
      </c>
      <c r="I334" s="76">
        <f t="shared" si="3"/>
        <v>73861944</v>
      </c>
      <c r="J334" s="76">
        <f t="shared" si="3"/>
        <v>12783</v>
      </c>
      <c r="K334" s="76">
        <f t="shared" si="3"/>
        <v>73874727</v>
      </c>
      <c r="L334" s="76">
        <f t="shared" si="3"/>
        <v>-192306052</v>
      </c>
      <c r="M334" s="76">
        <f t="shared" si="3"/>
        <v>-717591</v>
      </c>
      <c r="N334" s="76">
        <f t="shared" si="3"/>
        <v>-193023643</v>
      </c>
      <c r="O334" s="625" t="s">
        <v>1165</v>
      </c>
      <c r="P334" s="625" t="s">
        <v>1165</v>
      </c>
      <c r="Q334" s="625" t="s">
        <v>1165</v>
      </c>
      <c r="R334" s="625" t="s">
        <v>1165</v>
      </c>
      <c r="S334" s="76">
        <f t="shared" si="3"/>
        <v>84048210</v>
      </c>
      <c r="T334" s="76">
        <f t="shared" si="3"/>
        <v>83999996</v>
      </c>
      <c r="U334" s="76">
        <f t="shared" si="3"/>
        <v>48214</v>
      </c>
      <c r="V334" s="76">
        <f t="shared" si="3"/>
        <v>15279209</v>
      </c>
      <c r="W334" s="76">
        <f t="shared" si="3"/>
        <v>15893793.5</v>
      </c>
      <c r="X334" s="76">
        <f t="shared" si="3"/>
        <v>-614584.5</v>
      </c>
      <c r="Y334" s="76">
        <f t="shared" si="3"/>
        <v>21779806</v>
      </c>
      <c r="Z334" s="76">
        <f t="shared" si="3"/>
        <v>678589</v>
      </c>
      <c r="AA334" s="76">
        <f t="shared" si="3"/>
        <v>8087962</v>
      </c>
      <c r="AB334" s="76">
        <f t="shared" si="3"/>
        <v>592787</v>
      </c>
      <c r="AC334" s="76">
        <f t="shared" si="3"/>
        <v>13691844</v>
      </c>
      <c r="AD334" s="76">
        <f t="shared" si="3"/>
        <v>85802</v>
      </c>
      <c r="AE334" s="76">
        <f t="shared" si="3"/>
        <v>8835704.5087000001</v>
      </c>
      <c r="AF334" s="76">
        <f t="shared" si="3"/>
        <v>8559486.3887000009</v>
      </c>
      <c r="AG334" s="76">
        <f t="shared" si="3"/>
        <v>245487.769</v>
      </c>
      <c r="AH334" s="76">
        <f t="shared" si="3"/>
        <v>30730.345400000002</v>
      </c>
      <c r="AI334" s="76">
        <f t="shared" si="3"/>
        <v>5969159</v>
      </c>
      <c r="AJ334" s="76">
        <f t="shared" si="3"/>
        <v>5909279</v>
      </c>
      <c r="AK334" s="76">
        <f t="shared" si="3"/>
        <v>50344</v>
      </c>
      <c r="AL334" s="76">
        <f t="shared" si="3"/>
        <v>9536</v>
      </c>
      <c r="AM334" s="76">
        <f t="shared" si="3"/>
        <v>2866544</v>
      </c>
      <c r="AN334" s="76">
        <f t="shared" si="3"/>
        <v>2650206</v>
      </c>
      <c r="AO334" s="76">
        <f t="shared" si="3"/>
        <v>195144</v>
      </c>
      <c r="AP334" s="76">
        <f t="shared" si="3"/>
        <v>21194</v>
      </c>
      <c r="AQ334" s="76">
        <f t="shared" si="3"/>
        <v>236105442.54760009</v>
      </c>
      <c r="AR334" s="76">
        <f t="shared" si="3"/>
        <v>34077708.990300015</v>
      </c>
      <c r="AS334" s="76">
        <f t="shared" si="3"/>
        <v>3801001.5913999998</v>
      </c>
      <c r="AT334" s="76">
        <f t="shared" si="3"/>
        <v>213984760</v>
      </c>
      <c r="AU334" s="76">
        <f t="shared" si="3"/>
        <v>31041015</v>
      </c>
      <c r="AV334" s="76">
        <f t="shared" si="3"/>
        <v>3461108</v>
      </c>
      <c r="AW334" s="76">
        <f t="shared" si="3"/>
        <v>22120686</v>
      </c>
      <c r="AX334" s="76">
        <f t="shared" si="3"/>
        <v>3036688</v>
      </c>
      <c r="AY334" s="76">
        <f t="shared" si="3"/>
        <v>339894</v>
      </c>
      <c r="AZ334" s="76">
        <f t="shared" si="3"/>
        <v>742041.80512498028</v>
      </c>
      <c r="BA334" s="76">
        <f t="shared" si="3"/>
        <v>90247.517441580028</v>
      </c>
      <c r="BB334" s="76">
        <f t="shared" si="3"/>
        <v>13505.056407070004</v>
      </c>
      <c r="BC334" s="76">
        <f t="shared" si="3"/>
        <v>3488405</v>
      </c>
      <c r="BD334" s="76">
        <f t="shared" si="3"/>
        <v>547167</v>
      </c>
      <c r="BE334" s="76">
        <f t="shared" si="3"/>
        <v>57107</v>
      </c>
      <c r="BF334" s="76">
        <f t="shared" si="3"/>
        <v>-2746356</v>
      </c>
      <c r="BG334" s="76">
        <f t="shared" si="3"/>
        <v>-456919</v>
      </c>
      <c r="BH334" s="76">
        <f t="shared" si="3"/>
        <v>-43603</v>
      </c>
      <c r="BI334" s="76">
        <f t="shared" si="3"/>
        <v>1779090.8652792994</v>
      </c>
      <c r="BJ334" s="76">
        <f t="shared" si="3"/>
        <v>315423.5674914</v>
      </c>
      <c r="BK334" s="76">
        <f t="shared" si="3"/>
        <v>25779.271831830003</v>
      </c>
      <c r="BL334" s="76">
        <f t="shared" si="3"/>
        <v>8876359</v>
      </c>
      <c r="BM334" s="76">
        <f t="shared" si="3"/>
        <v>2662676</v>
      </c>
      <c r="BN334" s="76">
        <f t="shared" si="3"/>
        <v>93206</v>
      </c>
      <c r="BO334" s="76">
        <f t="shared" si="3"/>
        <v>-7097268</v>
      </c>
      <c r="BP334" s="76">
        <f t="shared" si="3"/>
        <v>-2347251</v>
      </c>
      <c r="BQ334" s="76">
        <f t="shared" si="3"/>
        <v>-67429</v>
      </c>
      <c r="BR334" s="76">
        <f t="shared" si="3"/>
        <v>1810711.6797842998</v>
      </c>
      <c r="BS334" s="76">
        <f t="shared" ref="BS334:DD334" si="4">SUM(BS8:BS333)</f>
        <v>265100.80611129996</v>
      </c>
      <c r="BT334" s="76">
        <f t="shared" si="4"/>
        <v>30542.792042509998</v>
      </c>
      <c r="BU334" s="76">
        <f t="shared" si="4"/>
        <v>20343389.275059998</v>
      </c>
      <c r="BV334" s="76">
        <f t="shared" si="4"/>
        <v>5392543.231691001</v>
      </c>
      <c r="BW334" s="76">
        <f t="shared" si="4"/>
        <v>253934.08375509997</v>
      </c>
      <c r="BX334" s="76">
        <f t="shared" si="4"/>
        <v>-18532675</v>
      </c>
      <c r="BY334" s="76">
        <f t="shared" si="4"/>
        <v>-5127449</v>
      </c>
      <c r="BZ334" s="76">
        <f t="shared" si="4"/>
        <v>-223388</v>
      </c>
      <c r="CA334" s="76">
        <f t="shared" si="4"/>
        <v>82617956.266600057</v>
      </c>
      <c r="CB334" s="76">
        <f t="shared" si="4"/>
        <v>15258451.615139997</v>
      </c>
      <c r="CC334" s="76">
        <f t="shared" si="4"/>
        <v>1213385.770393</v>
      </c>
      <c r="CD334" s="76">
        <f t="shared" si="4"/>
        <v>113967976.37823996</v>
      </c>
      <c r="CE334" s="76">
        <f t="shared" si="4"/>
        <v>21872412.479605999</v>
      </c>
      <c r="CF334" s="76">
        <f t="shared" si="4"/>
        <v>1653083.8238959995</v>
      </c>
      <c r="CG334" s="76">
        <f t="shared" si="4"/>
        <v>-31350025</v>
      </c>
      <c r="CH334" s="76">
        <f t="shared" si="4"/>
        <v>-6613962</v>
      </c>
      <c r="CI334" s="76">
        <f t="shared" si="4"/>
        <v>-439696</v>
      </c>
      <c r="CJ334" s="76">
        <f t="shared" si="4"/>
        <v>1460540.6739999992</v>
      </c>
      <c r="CK334" s="76">
        <f t="shared" si="4"/>
        <v>112545.38679999999</v>
      </c>
      <c r="CL334" s="76">
        <f t="shared" si="4"/>
        <v>26593.309200000003</v>
      </c>
      <c r="CM334" s="76">
        <f t="shared" si="4"/>
        <v>2586815.5650870008</v>
      </c>
      <c r="CN334" s="76">
        <f t="shared" si="4"/>
        <v>316527.40997050004</v>
      </c>
      <c r="CO334" s="76">
        <f t="shared" si="4"/>
        <v>39341.174341990009</v>
      </c>
      <c r="CP334" s="76">
        <f t="shared" si="4"/>
        <v>1848594</v>
      </c>
      <c r="CQ334" s="76">
        <f t="shared" si="4"/>
        <v>225566.75340000005</v>
      </c>
      <c r="CR334" s="76">
        <f t="shared" si="4"/>
        <v>30523.554600000007</v>
      </c>
      <c r="CS334" s="76">
        <f t="shared" si="4"/>
        <v>2198760</v>
      </c>
      <c r="CT334" s="76">
        <f t="shared" si="4"/>
        <v>203504</v>
      </c>
      <c r="CU334" s="76">
        <f t="shared" si="4"/>
        <v>35408</v>
      </c>
      <c r="CV334" s="76">
        <f t="shared" si="4"/>
        <v>93448458.442760035</v>
      </c>
      <c r="CW334" s="76">
        <f t="shared" si="4"/>
        <v>20374944.567080002</v>
      </c>
      <c r="CX334" s="76">
        <f t="shared" si="4"/>
        <v>1281516.5573390007</v>
      </c>
      <c r="CY334" s="76">
        <f t="shared" si="4"/>
        <v>97618724</v>
      </c>
      <c r="CZ334" s="76">
        <f t="shared" si="4"/>
        <v>21252036</v>
      </c>
      <c r="DA334" s="76">
        <f t="shared" si="4"/>
        <v>1318893</v>
      </c>
      <c r="DB334" s="76">
        <f t="shared" si="4"/>
        <v>-4170271</v>
      </c>
      <c r="DC334" s="76">
        <f t="shared" si="4"/>
        <v>-877094</v>
      </c>
      <c r="DD334" s="76">
        <f t="shared" si="4"/>
        <v>-37379</v>
      </c>
      <c r="DE334" s="154" t="s">
        <v>686</v>
      </c>
      <c r="DF334" s="468" t="s">
        <v>1164</v>
      </c>
      <c r="DG334" s="468" t="s">
        <v>822</v>
      </c>
    </row>
    <row r="335" spans="1:143" x14ac:dyDescent="0.2">
      <c r="D335" s="146"/>
      <c r="E335" s="147"/>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417"/>
      <c r="DF335" s="469"/>
      <c r="DG335" s="468"/>
      <c r="DH335" s="148"/>
      <c r="DI335" s="148"/>
      <c r="DJ335" s="148"/>
      <c r="DK335" s="148"/>
      <c r="DL335" s="148"/>
      <c r="DM335" s="148"/>
      <c r="DN335" s="148"/>
      <c r="DO335" s="148"/>
      <c r="DP335" s="148"/>
      <c r="DQ335" s="148"/>
      <c r="DR335" s="148"/>
      <c r="DS335" s="148"/>
      <c r="DT335" s="148"/>
      <c r="DU335" s="148"/>
      <c r="DV335" s="148"/>
      <c r="DW335" s="148"/>
      <c r="DX335" s="148"/>
      <c r="DY335" s="148"/>
      <c r="DZ335" s="148"/>
      <c r="EA335" s="148"/>
      <c r="EB335" s="148"/>
      <c r="EC335" s="148"/>
      <c r="ED335" s="148"/>
      <c r="EE335" s="148"/>
      <c r="EF335" s="148"/>
      <c r="EG335" s="148"/>
      <c r="EH335" s="148"/>
      <c r="EI335" s="148"/>
      <c r="EJ335" s="148"/>
      <c r="EK335" s="148"/>
      <c r="EL335" s="148"/>
      <c r="EM335" s="148"/>
    </row>
    <row r="336" spans="1:143" x14ac:dyDescent="0.2">
      <c r="D336" s="146"/>
      <c r="E336" s="147"/>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417"/>
      <c r="DF336" s="469"/>
      <c r="DG336" s="468"/>
      <c r="DH336" s="148"/>
      <c r="DI336" s="148"/>
      <c r="DJ336" s="148"/>
      <c r="DK336" s="148"/>
      <c r="DL336" s="148"/>
      <c r="DM336" s="148"/>
      <c r="DN336" s="148"/>
      <c r="DO336" s="148"/>
      <c r="DP336" s="148"/>
      <c r="DQ336" s="148"/>
      <c r="DR336" s="148"/>
      <c r="DS336" s="148"/>
      <c r="DT336" s="148"/>
      <c r="DU336" s="148"/>
      <c r="DV336" s="148"/>
      <c r="DW336" s="148"/>
      <c r="DX336" s="148"/>
      <c r="DY336" s="148"/>
      <c r="DZ336" s="148"/>
      <c r="EA336" s="148"/>
      <c r="EB336" s="148"/>
      <c r="EC336" s="148"/>
      <c r="ED336" s="148"/>
      <c r="EE336" s="148"/>
      <c r="EF336" s="148"/>
      <c r="EG336" s="148"/>
      <c r="EH336" s="148"/>
      <c r="EI336" s="148"/>
      <c r="EJ336" s="148"/>
      <c r="EK336" s="148"/>
      <c r="EL336" s="148"/>
      <c r="EM336" s="148"/>
    </row>
    <row r="337" spans="4:143" x14ac:dyDescent="0.2">
      <c r="D337" s="146"/>
      <c r="E337" s="147"/>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417"/>
      <c r="DF337" s="469"/>
      <c r="DG337" s="468"/>
      <c r="DH337" s="148"/>
      <c r="DI337" s="148"/>
      <c r="DJ337" s="148"/>
      <c r="DK337" s="148"/>
      <c r="DL337" s="148"/>
      <c r="DM337" s="148"/>
      <c r="DN337" s="148"/>
      <c r="DO337" s="148"/>
      <c r="DP337" s="148"/>
      <c r="DQ337" s="148"/>
      <c r="DR337" s="148"/>
      <c r="DS337" s="148"/>
      <c r="DT337" s="148"/>
      <c r="DU337" s="148"/>
      <c r="DV337" s="148"/>
      <c r="DW337" s="148"/>
      <c r="DX337" s="148"/>
      <c r="DY337" s="148"/>
      <c r="DZ337" s="148"/>
      <c r="EA337" s="148"/>
      <c r="EB337" s="148"/>
      <c r="EC337" s="148"/>
      <c r="ED337" s="148"/>
      <c r="EE337" s="148"/>
      <c r="EF337" s="148"/>
      <c r="EG337" s="148"/>
      <c r="EH337" s="148"/>
      <c r="EI337" s="148"/>
      <c r="EJ337" s="148"/>
      <c r="EK337" s="148"/>
      <c r="EL337" s="148"/>
      <c r="EM337" s="148"/>
    </row>
    <row r="338" spans="4:143" x14ac:dyDescent="0.2">
      <c r="D338" s="146"/>
      <c r="E338" s="147"/>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417"/>
      <c r="DF338" s="469"/>
      <c r="DG338" s="468"/>
      <c r="DH338" s="148"/>
      <c r="DI338" s="148"/>
      <c r="DJ338" s="148"/>
      <c r="DK338" s="148"/>
      <c r="DL338" s="148"/>
      <c r="DM338" s="148"/>
      <c r="DN338" s="148"/>
      <c r="DO338" s="148"/>
      <c r="DP338" s="148"/>
      <c r="DQ338" s="148"/>
      <c r="DR338" s="148"/>
      <c r="DS338" s="148"/>
      <c r="DT338" s="148"/>
      <c r="DU338" s="148"/>
      <c r="DV338" s="148"/>
      <c r="DW338" s="148"/>
      <c r="DX338" s="148"/>
      <c r="DY338" s="148"/>
      <c r="DZ338" s="148"/>
      <c r="EA338" s="148"/>
      <c r="EB338" s="148"/>
      <c r="EC338" s="148"/>
      <c r="ED338" s="148"/>
      <c r="EE338" s="148"/>
      <c r="EF338" s="148"/>
      <c r="EG338" s="148"/>
      <c r="EH338" s="148"/>
      <c r="EI338" s="148"/>
      <c r="EJ338" s="148"/>
      <c r="EK338" s="148"/>
      <c r="EL338" s="148"/>
      <c r="EM338" s="148"/>
    </row>
    <row r="339" spans="4:143" x14ac:dyDescent="0.2">
      <c r="D339" s="146"/>
      <c r="E339" s="147"/>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417"/>
      <c r="DF339" s="469"/>
      <c r="DG339" s="468"/>
      <c r="DH339" s="148"/>
      <c r="DI339" s="148"/>
      <c r="DJ339" s="148"/>
      <c r="DK339" s="148"/>
      <c r="DL339" s="148"/>
      <c r="DM339" s="148"/>
      <c r="DN339" s="148"/>
      <c r="DO339" s="148"/>
      <c r="DP339" s="148"/>
      <c r="DQ339" s="148"/>
      <c r="DR339" s="148"/>
      <c r="DS339" s="148"/>
      <c r="DT339" s="148"/>
      <c r="DU339" s="148"/>
      <c r="DV339" s="148"/>
      <c r="DW339" s="148"/>
      <c r="DX339" s="148"/>
      <c r="DY339" s="148"/>
      <c r="DZ339" s="148"/>
      <c r="EA339" s="148"/>
      <c r="EB339" s="148"/>
      <c r="EC339" s="148"/>
      <c r="ED339" s="148"/>
      <c r="EE339" s="148"/>
      <c r="EF339" s="148"/>
      <c r="EG339" s="148"/>
      <c r="EH339" s="148"/>
      <c r="EI339" s="148"/>
      <c r="EJ339" s="148"/>
      <c r="EK339" s="148"/>
      <c r="EL339" s="148"/>
      <c r="EM339" s="148"/>
    </row>
    <row r="340" spans="4:143" x14ac:dyDescent="0.2">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DE340" s="127"/>
      <c r="DF340" s="127"/>
    </row>
    <row r="341" spans="4:143" x14ac:dyDescent="0.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row>
  </sheetData>
  <mergeCells count="32">
    <mergeCell ref="F1:H1"/>
    <mergeCell ref="I1:K1"/>
    <mergeCell ref="L1:N1"/>
    <mergeCell ref="O1:R1"/>
    <mergeCell ref="Y1:Z1"/>
    <mergeCell ref="AA1:AB1"/>
    <mergeCell ref="AC1:AD1"/>
    <mergeCell ref="AE1:AH1"/>
    <mergeCell ref="AI1:AL1"/>
    <mergeCell ref="AM1:AP1"/>
    <mergeCell ref="BX1:BZ1"/>
    <mergeCell ref="AQ1:AS1"/>
    <mergeCell ref="AT1:AV1"/>
    <mergeCell ref="AW1:AY1"/>
    <mergeCell ref="AZ1:BB1"/>
    <mergeCell ref="BC1:BE1"/>
    <mergeCell ref="BF1:BH1"/>
    <mergeCell ref="BI1:BK1"/>
    <mergeCell ref="BL1:BN1"/>
    <mergeCell ref="BO1:BQ1"/>
    <mergeCell ref="BR1:BT1"/>
    <mergeCell ref="BU1:BW1"/>
    <mergeCell ref="CS1:CU1"/>
    <mergeCell ref="CV1:CX1"/>
    <mergeCell ref="CY1:DA1"/>
    <mergeCell ref="DB1:DD1"/>
    <mergeCell ref="CA1:CC1"/>
    <mergeCell ref="CD1:CF1"/>
    <mergeCell ref="CG1:CI1"/>
    <mergeCell ref="CJ1:CL1"/>
    <mergeCell ref="CM1:CO1"/>
    <mergeCell ref="CP1:CR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341"/>
  <sheetViews>
    <sheetView workbookViewId="0">
      <selection activeCell="F39" sqref="F39"/>
    </sheetView>
  </sheetViews>
  <sheetFormatPr defaultRowHeight="15" x14ac:dyDescent="0.2"/>
  <cols>
    <col min="1" max="1" width="4" style="93" bestFit="1" customWidth="1"/>
    <col min="2" max="2" width="8.42578125" style="17" customWidth="1"/>
    <col min="3" max="3" width="5.5703125" style="17" customWidth="1"/>
    <col min="4" max="4" width="8.140625" style="17" hidden="1" customWidth="1"/>
    <col min="5" max="5" width="27" style="17" bestFit="1" customWidth="1"/>
    <col min="6" max="79" width="16.7109375" customWidth="1"/>
  </cols>
  <sheetData>
    <row r="1" spans="1:79" ht="52.5" thickTop="1" thickBot="1" x14ac:dyDescent="0.25">
      <c r="A1" s="747"/>
      <c r="B1" s="748"/>
      <c r="C1" s="748"/>
      <c r="D1" s="748"/>
      <c r="E1" s="749"/>
      <c r="F1" s="754" t="s">
        <v>1147</v>
      </c>
      <c r="G1" s="753"/>
      <c r="H1" s="753"/>
      <c r="I1" s="753"/>
      <c r="J1" s="753"/>
      <c r="K1" s="753" t="s">
        <v>1148</v>
      </c>
      <c r="L1" s="753"/>
      <c r="M1" s="753"/>
      <c r="N1" s="753"/>
      <c r="O1" s="753"/>
      <c r="P1" s="753" t="s">
        <v>1149</v>
      </c>
      <c r="Q1" s="753"/>
      <c r="R1" s="637" t="s">
        <v>1150</v>
      </c>
      <c r="S1" s="753" t="s">
        <v>860</v>
      </c>
      <c r="T1" s="753"/>
      <c r="U1" s="753" t="s">
        <v>1151</v>
      </c>
      <c r="V1" s="753"/>
      <c r="W1" s="753" t="s">
        <v>1152</v>
      </c>
      <c r="X1" s="753"/>
      <c r="Y1" s="753"/>
      <c r="Z1" s="753" t="s">
        <v>861</v>
      </c>
      <c r="AA1" s="753"/>
      <c r="AB1" s="753"/>
      <c r="AC1" s="753"/>
      <c r="AD1" s="753" t="s">
        <v>862</v>
      </c>
      <c r="AE1" s="753"/>
      <c r="AF1" s="753"/>
      <c r="AG1" s="753"/>
      <c r="AH1" s="753"/>
      <c r="AI1" s="753" t="s">
        <v>863</v>
      </c>
      <c r="AJ1" s="753"/>
      <c r="AK1" s="753"/>
      <c r="AL1" s="753"/>
      <c r="AM1" s="753"/>
      <c r="AN1" s="753" t="s">
        <v>1153</v>
      </c>
      <c r="AO1" s="753"/>
      <c r="AP1" s="753"/>
      <c r="AQ1" s="753"/>
      <c r="AR1" s="753"/>
      <c r="AS1" s="753" t="s">
        <v>1154</v>
      </c>
      <c r="AT1" s="753"/>
      <c r="AU1" s="753"/>
      <c r="AV1" s="753"/>
      <c r="AW1" s="753"/>
      <c r="AX1" s="753" t="s">
        <v>1155</v>
      </c>
      <c r="AY1" s="753"/>
      <c r="AZ1" s="753"/>
      <c r="BA1" s="753"/>
      <c r="BB1" s="753"/>
      <c r="BC1" s="753" t="s">
        <v>1156</v>
      </c>
      <c r="BD1" s="753"/>
      <c r="BE1" s="753"/>
      <c r="BF1" s="753"/>
      <c r="BG1" s="753"/>
      <c r="BH1" s="753" t="s">
        <v>1157</v>
      </c>
      <c r="BI1" s="753"/>
      <c r="BJ1" s="753"/>
      <c r="BK1" s="753"/>
      <c r="BL1" s="753"/>
      <c r="BM1" s="753" t="s">
        <v>1158</v>
      </c>
      <c r="BN1" s="753"/>
      <c r="BO1" s="753"/>
      <c r="BP1" s="753"/>
      <c r="BQ1" s="753"/>
      <c r="BR1" s="753" t="s">
        <v>1159</v>
      </c>
      <c r="BS1" s="753"/>
      <c r="BT1" s="753"/>
      <c r="BU1" s="753"/>
      <c r="BV1" s="753"/>
      <c r="BW1" s="753" t="s">
        <v>1160</v>
      </c>
      <c r="BX1" s="753"/>
      <c r="BY1" s="753"/>
      <c r="BZ1" s="753"/>
      <c r="CA1" s="753"/>
    </row>
    <row r="2" spans="1:79" ht="14.25" thickTop="1" thickBot="1" x14ac:dyDescent="0.25">
      <c r="A2" s="750"/>
      <c r="B2" s="751"/>
      <c r="C2" s="751"/>
      <c r="D2" s="751"/>
      <c r="E2" s="752"/>
      <c r="F2" s="636"/>
      <c r="G2" s="626"/>
      <c r="H2" s="626"/>
      <c r="I2" s="626"/>
      <c r="J2" s="626"/>
      <c r="K2" s="626"/>
      <c r="L2" s="626"/>
      <c r="M2" s="626"/>
      <c r="N2" s="626"/>
      <c r="O2" s="626"/>
      <c r="P2" s="626"/>
      <c r="Q2" s="626"/>
      <c r="R2" s="626"/>
      <c r="S2" s="626"/>
      <c r="T2" s="626"/>
      <c r="U2" s="626"/>
      <c r="V2" s="626"/>
      <c r="W2" s="627"/>
      <c r="X2" s="627"/>
      <c r="Y2" s="627"/>
      <c r="Z2" s="627"/>
      <c r="AA2" s="627"/>
      <c r="AB2" s="627"/>
      <c r="AC2" s="627"/>
      <c r="AD2" s="627"/>
      <c r="AE2" s="627"/>
      <c r="AF2" s="627"/>
      <c r="AG2" s="628"/>
      <c r="AH2" s="628"/>
      <c r="AI2" s="628"/>
      <c r="AJ2" s="628"/>
      <c r="AK2" s="628"/>
      <c r="AL2" s="628"/>
      <c r="AM2" s="628"/>
      <c r="AN2" s="628"/>
      <c r="AO2" s="628"/>
      <c r="AP2" s="628"/>
      <c r="AQ2" s="628"/>
      <c r="AR2" s="628"/>
      <c r="AS2" s="628"/>
      <c r="AT2" s="628"/>
      <c r="AU2" s="628"/>
      <c r="AV2" s="628"/>
      <c r="AW2" s="628"/>
      <c r="AX2" s="628"/>
      <c r="AY2" s="628"/>
      <c r="AZ2" s="628"/>
      <c r="BA2" s="628"/>
      <c r="BB2" s="628"/>
      <c r="BC2" s="628"/>
      <c r="BD2" s="628"/>
      <c r="BE2" s="628"/>
      <c r="BF2" s="628"/>
      <c r="BG2" s="628"/>
      <c r="BH2" s="628"/>
      <c r="BI2" s="628"/>
      <c r="BJ2" s="628"/>
      <c r="BK2" s="628"/>
      <c r="BL2" s="628"/>
      <c r="BM2" s="628"/>
      <c r="BN2" s="628"/>
      <c r="BO2" s="628"/>
      <c r="BP2" s="628"/>
      <c r="BQ2" s="628"/>
      <c r="BR2" s="628"/>
      <c r="BS2" s="628"/>
      <c r="BT2" s="628"/>
      <c r="BU2" s="628"/>
      <c r="BV2" s="628"/>
      <c r="BW2" s="628"/>
      <c r="BX2" s="628"/>
      <c r="BY2" s="628"/>
      <c r="BZ2" s="628"/>
      <c r="CA2" s="628"/>
    </row>
    <row r="3" spans="1:79" s="93" customFormat="1" ht="13.5" thickBot="1" x14ac:dyDescent="0.25">
      <c r="A3" s="591">
        <v>1</v>
      </c>
      <c r="B3" s="582">
        <v>2</v>
      </c>
      <c r="C3" s="582">
        <v>3</v>
      </c>
      <c r="D3" s="592">
        <v>4</v>
      </c>
      <c r="E3" s="582">
        <v>5</v>
      </c>
      <c r="F3" s="629">
        <v>6</v>
      </c>
      <c r="G3" s="629">
        <v>7</v>
      </c>
      <c r="H3" s="629">
        <v>8</v>
      </c>
      <c r="I3" s="629">
        <v>9</v>
      </c>
      <c r="J3" s="629">
        <v>10</v>
      </c>
      <c r="K3" s="629">
        <v>11</v>
      </c>
      <c r="L3" s="629">
        <v>12</v>
      </c>
      <c r="M3" s="629">
        <v>13</v>
      </c>
      <c r="N3" s="629">
        <v>14</v>
      </c>
      <c r="O3" s="629">
        <v>15</v>
      </c>
      <c r="P3" s="629">
        <v>16</v>
      </c>
      <c r="Q3" s="629">
        <v>17</v>
      </c>
      <c r="R3" s="629">
        <v>18</v>
      </c>
      <c r="S3" s="629">
        <v>19</v>
      </c>
      <c r="T3" s="629">
        <v>20</v>
      </c>
      <c r="U3" s="629">
        <v>21</v>
      </c>
      <c r="V3" s="629">
        <v>22</v>
      </c>
      <c r="W3" s="629">
        <v>23</v>
      </c>
      <c r="X3" s="629">
        <v>24</v>
      </c>
      <c r="Y3" s="629">
        <v>25</v>
      </c>
      <c r="Z3" s="629">
        <v>26</v>
      </c>
      <c r="AA3" s="629">
        <v>27</v>
      </c>
      <c r="AB3" s="629">
        <v>28</v>
      </c>
      <c r="AC3" s="629">
        <v>29</v>
      </c>
      <c r="AD3" s="629">
        <v>30</v>
      </c>
      <c r="AE3" s="629">
        <v>31</v>
      </c>
      <c r="AF3" s="629">
        <v>32</v>
      </c>
      <c r="AG3" s="629">
        <v>33</v>
      </c>
      <c r="AH3" s="629">
        <v>34</v>
      </c>
      <c r="AI3" s="629">
        <v>35</v>
      </c>
      <c r="AJ3" s="629">
        <v>36</v>
      </c>
      <c r="AK3" s="629">
        <v>37</v>
      </c>
      <c r="AL3" s="629">
        <v>38</v>
      </c>
      <c r="AM3" s="629">
        <v>39</v>
      </c>
      <c r="AN3" s="629">
        <v>40</v>
      </c>
      <c r="AO3" s="629">
        <v>41</v>
      </c>
      <c r="AP3" s="629">
        <v>42</v>
      </c>
      <c r="AQ3" s="629">
        <v>43</v>
      </c>
      <c r="AR3" s="629">
        <v>44</v>
      </c>
      <c r="AS3" s="629">
        <v>45</v>
      </c>
      <c r="AT3" s="629">
        <v>46</v>
      </c>
      <c r="AU3" s="629">
        <v>47</v>
      </c>
      <c r="AV3" s="629">
        <v>48</v>
      </c>
      <c r="AW3" s="629">
        <v>49</v>
      </c>
      <c r="AX3" s="629">
        <v>50</v>
      </c>
      <c r="AY3" s="629">
        <v>51</v>
      </c>
      <c r="AZ3" s="629">
        <v>52</v>
      </c>
      <c r="BA3" s="629">
        <v>53</v>
      </c>
      <c r="BB3" s="629">
        <v>54</v>
      </c>
      <c r="BC3" s="629">
        <v>55</v>
      </c>
      <c r="BD3" s="629">
        <v>56</v>
      </c>
      <c r="BE3" s="629">
        <v>57</v>
      </c>
      <c r="BF3" s="629">
        <v>58</v>
      </c>
      <c r="BG3" s="629">
        <v>59</v>
      </c>
      <c r="BH3" s="629">
        <v>60</v>
      </c>
      <c r="BI3" s="629">
        <v>61</v>
      </c>
      <c r="BJ3" s="629">
        <v>62</v>
      </c>
      <c r="BK3" s="629">
        <v>63</v>
      </c>
      <c r="BL3" s="629">
        <v>64</v>
      </c>
      <c r="BM3" s="629">
        <v>65</v>
      </c>
      <c r="BN3" s="629">
        <v>66</v>
      </c>
      <c r="BO3" s="629">
        <v>67</v>
      </c>
      <c r="BP3" s="629">
        <v>68</v>
      </c>
      <c r="BQ3" s="629">
        <v>69</v>
      </c>
      <c r="BR3" s="629">
        <v>70</v>
      </c>
      <c r="BS3" s="629">
        <v>71</v>
      </c>
      <c r="BT3" s="629">
        <v>72</v>
      </c>
      <c r="BU3" s="629">
        <v>73</v>
      </c>
      <c r="BV3" s="629">
        <v>74</v>
      </c>
      <c r="BW3" s="629">
        <v>75</v>
      </c>
      <c r="BX3" s="629">
        <v>76</v>
      </c>
      <c r="BY3" s="629">
        <v>77</v>
      </c>
      <c r="BZ3" s="629">
        <v>78</v>
      </c>
      <c r="CA3" s="635">
        <v>79</v>
      </c>
    </row>
    <row r="4" spans="1:79" ht="12.75" x14ac:dyDescent="0.2">
      <c r="A4" s="411"/>
      <c r="B4" s="156"/>
      <c r="C4" s="24"/>
      <c r="D4" s="62"/>
      <c r="E4" s="92"/>
      <c r="F4" s="630"/>
      <c r="G4" s="631"/>
      <c r="H4" s="631"/>
      <c r="I4" s="632"/>
      <c r="J4" s="632"/>
      <c r="K4" s="632"/>
      <c r="L4" s="632"/>
      <c r="M4" s="632"/>
      <c r="N4" s="632"/>
      <c r="O4" s="632"/>
      <c r="P4" s="632"/>
      <c r="Q4" s="632"/>
      <c r="R4" s="632"/>
      <c r="S4" s="632"/>
      <c r="T4" s="632"/>
      <c r="U4" s="632"/>
      <c r="V4" s="633"/>
      <c r="W4" s="632"/>
      <c r="X4" s="632"/>
      <c r="Y4" s="633"/>
      <c r="Z4" s="632"/>
      <c r="AA4" s="632"/>
      <c r="AB4" s="633"/>
      <c r="AC4" s="632"/>
      <c r="AD4" s="632"/>
      <c r="AE4" s="633"/>
      <c r="AF4" s="632"/>
      <c r="AG4" s="632"/>
      <c r="AH4" s="633"/>
      <c r="AI4" s="632"/>
      <c r="AJ4" s="632"/>
      <c r="AK4" s="633"/>
      <c r="AL4" s="632"/>
      <c r="AM4" s="632"/>
      <c r="AN4" s="633"/>
      <c r="AO4" s="632"/>
      <c r="AP4" s="632"/>
      <c r="AQ4" s="633"/>
      <c r="AR4" s="632"/>
      <c r="AS4" s="632"/>
      <c r="AT4" s="633"/>
      <c r="AU4" s="632"/>
      <c r="AV4" s="632"/>
      <c r="AW4" s="633"/>
      <c r="AX4" s="632"/>
      <c r="AY4" s="632"/>
      <c r="AZ4" s="633"/>
      <c r="BA4" s="632"/>
      <c r="BB4" s="632"/>
      <c r="BC4" s="633"/>
      <c r="BD4" s="632"/>
      <c r="BE4" s="632"/>
      <c r="BF4" s="633"/>
      <c r="BG4" s="632"/>
      <c r="BH4" s="632"/>
      <c r="BI4" s="633"/>
      <c r="BJ4" s="632"/>
      <c r="BK4" s="632"/>
      <c r="BL4" s="633"/>
      <c r="BM4" s="632"/>
      <c r="BN4" s="632"/>
      <c r="BO4" s="633"/>
      <c r="BP4" s="632"/>
      <c r="BQ4" s="632"/>
      <c r="BR4" s="633"/>
      <c r="BS4" s="632"/>
      <c r="BT4" s="632"/>
      <c r="BU4" s="633"/>
      <c r="BV4" s="632"/>
      <c r="BW4" s="632"/>
      <c r="BX4" s="633"/>
      <c r="BY4" s="632"/>
      <c r="BZ4" s="632"/>
      <c r="CA4" s="634"/>
    </row>
    <row r="5" spans="1:79" s="93" customFormat="1" ht="12.75" x14ac:dyDescent="0.2">
      <c r="A5" s="411"/>
      <c r="B5" s="81" t="s">
        <v>561</v>
      </c>
      <c r="C5" s="81" t="s">
        <v>864</v>
      </c>
      <c r="D5" s="81" t="s">
        <v>865</v>
      </c>
      <c r="E5" s="81" t="s">
        <v>560</v>
      </c>
      <c r="F5" s="623">
        <v>1</v>
      </c>
      <c r="G5" s="623">
        <v>2</v>
      </c>
      <c r="H5" s="623">
        <v>3</v>
      </c>
      <c r="I5" s="623">
        <v>4</v>
      </c>
      <c r="J5" s="623">
        <v>5</v>
      </c>
      <c r="K5" s="623">
        <v>6</v>
      </c>
      <c r="L5" s="623">
        <v>7</v>
      </c>
      <c r="M5" s="623">
        <v>8</v>
      </c>
      <c r="N5" s="623">
        <v>9</v>
      </c>
      <c r="O5" s="623">
        <v>10</v>
      </c>
      <c r="P5" s="623">
        <v>11</v>
      </c>
      <c r="Q5" s="623">
        <v>12</v>
      </c>
      <c r="R5" s="623">
        <v>13</v>
      </c>
      <c r="S5" s="623">
        <v>14</v>
      </c>
      <c r="T5" s="623">
        <v>15</v>
      </c>
      <c r="U5" s="623">
        <v>16</v>
      </c>
      <c r="V5" s="623">
        <v>17</v>
      </c>
      <c r="W5" s="623">
        <v>18</v>
      </c>
      <c r="X5" s="623">
        <v>19</v>
      </c>
      <c r="Y5" s="623">
        <v>20</v>
      </c>
      <c r="Z5" s="623">
        <v>21</v>
      </c>
      <c r="AA5" s="623">
        <v>22</v>
      </c>
      <c r="AB5" s="623">
        <v>23</v>
      </c>
      <c r="AC5" s="623">
        <v>24</v>
      </c>
      <c r="AD5" s="623">
        <v>25</v>
      </c>
      <c r="AE5" s="623">
        <v>26</v>
      </c>
      <c r="AF5" s="623">
        <v>27</v>
      </c>
      <c r="AG5" s="623">
        <v>28</v>
      </c>
      <c r="AH5" s="623">
        <v>29</v>
      </c>
      <c r="AI5" s="623">
        <v>30</v>
      </c>
      <c r="AJ5" s="623">
        <v>31</v>
      </c>
      <c r="AK5" s="623">
        <v>32</v>
      </c>
      <c r="AL5" s="623">
        <v>33</v>
      </c>
      <c r="AM5" s="623">
        <v>34</v>
      </c>
      <c r="AN5" s="623">
        <v>35</v>
      </c>
      <c r="AO5" s="623">
        <v>36</v>
      </c>
      <c r="AP5" s="623">
        <v>37</v>
      </c>
      <c r="AQ5" s="623">
        <v>38</v>
      </c>
      <c r="AR5" s="623">
        <v>39</v>
      </c>
      <c r="AS5" s="623">
        <v>40</v>
      </c>
      <c r="AT5" s="623">
        <v>41</v>
      </c>
      <c r="AU5" s="623">
        <v>42</v>
      </c>
      <c r="AV5" s="623">
        <v>43</v>
      </c>
      <c r="AW5" s="623">
        <v>44</v>
      </c>
      <c r="AX5" s="623">
        <v>45</v>
      </c>
      <c r="AY5" s="623">
        <v>46</v>
      </c>
      <c r="AZ5" s="623">
        <v>47</v>
      </c>
      <c r="BA5" s="623">
        <v>48</v>
      </c>
      <c r="BB5" s="623">
        <v>49</v>
      </c>
      <c r="BC5" s="623">
        <v>50</v>
      </c>
      <c r="BD5" s="623">
        <v>51</v>
      </c>
      <c r="BE5" s="623">
        <v>52</v>
      </c>
      <c r="BF5" s="623">
        <v>53</v>
      </c>
      <c r="BG5" s="623">
        <v>54</v>
      </c>
      <c r="BH5" s="623">
        <v>55</v>
      </c>
      <c r="BI5" s="623">
        <v>56</v>
      </c>
      <c r="BJ5" s="623">
        <v>57</v>
      </c>
      <c r="BK5" s="623">
        <v>58</v>
      </c>
      <c r="BL5" s="623">
        <v>59</v>
      </c>
      <c r="BM5" s="623">
        <v>60</v>
      </c>
      <c r="BN5" s="623">
        <v>61</v>
      </c>
      <c r="BO5" s="623">
        <v>62</v>
      </c>
      <c r="BP5" s="623">
        <v>63</v>
      </c>
      <c r="BQ5" s="623">
        <v>64</v>
      </c>
      <c r="BR5" s="623">
        <v>65</v>
      </c>
      <c r="BS5" s="623">
        <v>66</v>
      </c>
      <c r="BT5" s="623">
        <v>67</v>
      </c>
      <c r="BU5" s="623">
        <v>68</v>
      </c>
      <c r="BV5" s="623">
        <v>69</v>
      </c>
      <c r="BW5" s="623">
        <v>70</v>
      </c>
      <c r="BX5" s="623">
        <v>71</v>
      </c>
      <c r="BY5" s="623">
        <v>72</v>
      </c>
      <c r="BZ5" s="623">
        <v>73</v>
      </c>
      <c r="CA5" s="623">
        <v>74</v>
      </c>
    </row>
    <row r="6" spans="1:79" s="93" customFormat="1" ht="13.5" thickBot="1" x14ac:dyDescent="0.25">
      <c r="A6" s="591"/>
      <c r="B6" s="157"/>
      <c r="C6" s="82"/>
      <c r="D6" s="65"/>
      <c r="E6" s="82"/>
      <c r="F6" s="623">
        <v>1</v>
      </c>
      <c r="G6" s="623">
        <v>2</v>
      </c>
      <c r="H6" s="623">
        <v>3</v>
      </c>
      <c r="I6" s="623">
        <v>4</v>
      </c>
      <c r="J6" s="623">
        <v>5</v>
      </c>
      <c r="K6" s="623">
        <v>1</v>
      </c>
      <c r="L6" s="623">
        <v>2</v>
      </c>
      <c r="M6" s="623">
        <v>3</v>
      </c>
      <c r="N6" s="623">
        <v>4</v>
      </c>
      <c r="O6" s="623">
        <v>5</v>
      </c>
      <c r="P6" s="623">
        <v>1</v>
      </c>
      <c r="Q6" s="623">
        <v>2</v>
      </c>
      <c r="R6" s="623">
        <v>1</v>
      </c>
      <c r="S6" s="623">
        <v>1</v>
      </c>
      <c r="T6" s="623">
        <v>2</v>
      </c>
      <c r="U6" s="623">
        <v>1</v>
      </c>
      <c r="V6" s="623">
        <v>2</v>
      </c>
      <c r="W6" s="623">
        <v>1</v>
      </c>
      <c r="X6" s="623">
        <v>2</v>
      </c>
      <c r="Y6" s="623">
        <v>3</v>
      </c>
      <c r="Z6" s="623">
        <v>1</v>
      </c>
      <c r="AA6" s="623">
        <v>2</v>
      </c>
      <c r="AB6" s="623">
        <v>3</v>
      </c>
      <c r="AC6" s="623">
        <v>4</v>
      </c>
      <c r="AD6" s="623">
        <v>1</v>
      </c>
      <c r="AE6" s="623">
        <v>2</v>
      </c>
      <c r="AF6" s="623">
        <v>3</v>
      </c>
      <c r="AG6" s="623">
        <v>4</v>
      </c>
      <c r="AH6" s="623">
        <v>5</v>
      </c>
      <c r="AI6" s="623">
        <v>1</v>
      </c>
      <c r="AJ6" s="623">
        <v>2</v>
      </c>
      <c r="AK6" s="623">
        <v>3</v>
      </c>
      <c r="AL6" s="623">
        <v>4</v>
      </c>
      <c r="AM6" s="623">
        <v>5</v>
      </c>
      <c r="AN6" s="623">
        <v>1</v>
      </c>
      <c r="AO6" s="623">
        <v>2</v>
      </c>
      <c r="AP6" s="623">
        <v>3</v>
      </c>
      <c r="AQ6" s="623">
        <v>4</v>
      </c>
      <c r="AR6" s="623">
        <v>5</v>
      </c>
      <c r="AS6" s="623">
        <v>1</v>
      </c>
      <c r="AT6" s="623">
        <v>2</v>
      </c>
      <c r="AU6" s="623">
        <v>3</v>
      </c>
      <c r="AV6" s="623">
        <v>4</v>
      </c>
      <c r="AW6" s="623">
        <v>5</v>
      </c>
      <c r="AX6" s="623">
        <v>1</v>
      </c>
      <c r="AY6" s="623">
        <v>2</v>
      </c>
      <c r="AZ6" s="623">
        <v>3</v>
      </c>
      <c r="BA6" s="623">
        <v>4</v>
      </c>
      <c r="BB6" s="623">
        <v>5</v>
      </c>
      <c r="BC6" s="623">
        <v>1</v>
      </c>
      <c r="BD6" s="623">
        <v>2</v>
      </c>
      <c r="BE6" s="623">
        <v>3</v>
      </c>
      <c r="BF6" s="623">
        <v>4</v>
      </c>
      <c r="BG6" s="623">
        <v>5</v>
      </c>
      <c r="BH6" s="623">
        <v>1</v>
      </c>
      <c r="BI6" s="623">
        <v>2</v>
      </c>
      <c r="BJ6" s="623">
        <v>3</v>
      </c>
      <c r="BK6" s="623">
        <v>4</v>
      </c>
      <c r="BL6" s="623">
        <v>5</v>
      </c>
      <c r="BM6" s="623">
        <v>1</v>
      </c>
      <c r="BN6" s="623">
        <v>2</v>
      </c>
      <c r="BO6" s="623">
        <v>3</v>
      </c>
      <c r="BP6" s="623">
        <v>4</v>
      </c>
      <c r="BQ6" s="623">
        <v>5</v>
      </c>
      <c r="BR6" s="623">
        <v>1</v>
      </c>
      <c r="BS6" s="623">
        <v>2</v>
      </c>
      <c r="BT6" s="623">
        <v>3</v>
      </c>
      <c r="BU6" s="623">
        <v>4</v>
      </c>
      <c r="BV6" s="623">
        <v>5</v>
      </c>
      <c r="BW6" s="623">
        <v>1</v>
      </c>
      <c r="BX6" s="623">
        <v>2</v>
      </c>
      <c r="BY6" s="623">
        <v>3</v>
      </c>
      <c r="BZ6" s="623">
        <v>4</v>
      </c>
      <c r="CA6" s="623">
        <v>5</v>
      </c>
    </row>
    <row r="7" spans="1:79" ht="13.5" thickBot="1" x14ac:dyDescent="0.25">
      <c r="A7" s="614"/>
      <c r="B7" s="51"/>
      <c r="C7" s="52"/>
      <c r="D7" s="59"/>
      <c r="E7" s="152"/>
      <c r="F7" s="87"/>
      <c r="G7" s="88"/>
      <c r="H7" s="88"/>
      <c r="I7" s="89"/>
      <c r="J7" s="90"/>
      <c r="K7" s="89"/>
      <c r="L7" s="89"/>
      <c r="M7" s="89"/>
      <c r="N7" s="89"/>
      <c r="O7" s="89"/>
      <c r="P7" s="89"/>
      <c r="Q7" s="89"/>
      <c r="R7" s="89"/>
      <c r="S7" s="89"/>
      <c r="T7" s="89"/>
      <c r="U7" s="89"/>
      <c r="V7" s="91"/>
      <c r="W7" s="89"/>
      <c r="X7" s="89"/>
      <c r="Y7" s="91"/>
      <c r="Z7" s="89"/>
      <c r="AA7" s="89"/>
      <c r="AB7" s="91"/>
      <c r="AC7" s="89"/>
      <c r="AD7" s="89"/>
      <c r="AE7" s="91"/>
      <c r="AF7" s="89"/>
      <c r="AG7" s="89"/>
      <c r="AH7" s="91"/>
      <c r="AI7" s="89"/>
      <c r="AJ7" s="89"/>
      <c r="AK7" s="91"/>
      <c r="AL7" s="89"/>
      <c r="AM7" s="89"/>
      <c r="AN7" s="91"/>
      <c r="AO7" s="89"/>
      <c r="AP7" s="89"/>
      <c r="AQ7" s="91"/>
      <c r="AR7" s="89"/>
      <c r="AS7" s="89"/>
      <c r="AT7" s="91"/>
      <c r="AU7" s="89"/>
      <c r="AV7" s="89"/>
      <c r="AW7" s="91"/>
      <c r="AX7" s="89"/>
      <c r="AY7" s="89"/>
      <c r="AZ7" s="91"/>
      <c r="BA7" s="89"/>
      <c r="BB7" s="89"/>
      <c r="BC7" s="91"/>
      <c r="BD7" s="89"/>
      <c r="BE7" s="89"/>
      <c r="BF7" s="91"/>
      <c r="BG7" s="89"/>
      <c r="BH7" s="89"/>
      <c r="BI7" s="91"/>
      <c r="BJ7" s="89"/>
      <c r="BK7" s="89"/>
      <c r="BL7" s="91"/>
      <c r="BM7" s="89"/>
      <c r="BN7" s="89"/>
      <c r="BO7" s="91"/>
      <c r="BP7" s="89"/>
      <c r="BQ7" s="89"/>
      <c r="BR7" s="91"/>
      <c r="BS7" s="89"/>
      <c r="BT7" s="89"/>
      <c r="BU7" s="91"/>
      <c r="BV7" s="89"/>
      <c r="BW7" s="89"/>
      <c r="BX7" s="91"/>
      <c r="BY7" s="89"/>
      <c r="BZ7" s="89"/>
      <c r="CA7" s="91"/>
    </row>
    <row r="8" spans="1:79" ht="12.75" x14ac:dyDescent="0.2">
      <c r="A8" s="93">
        <v>2</v>
      </c>
      <c r="B8" s="145" t="s">
        <v>563</v>
      </c>
      <c r="C8" s="141" t="s">
        <v>866</v>
      </c>
      <c r="D8" s="142" t="s">
        <v>867</v>
      </c>
      <c r="E8" s="149" t="s">
        <v>562</v>
      </c>
      <c r="F8" s="543">
        <v>0.5</v>
      </c>
      <c r="G8" s="543">
        <v>0.4</v>
      </c>
      <c r="H8" s="543">
        <v>0.1</v>
      </c>
      <c r="I8" s="543">
        <v>0</v>
      </c>
      <c r="J8" s="543">
        <v>1</v>
      </c>
      <c r="K8" s="542">
        <v>8875698</v>
      </c>
      <c r="L8" s="542">
        <v>7100558</v>
      </c>
      <c r="M8" s="542">
        <v>1775140</v>
      </c>
      <c r="N8" s="542">
        <v>0</v>
      </c>
      <c r="O8" s="542">
        <v>17751396</v>
      </c>
      <c r="P8" s="542">
        <v>0</v>
      </c>
      <c r="Q8" s="542">
        <v>0</v>
      </c>
      <c r="R8" s="542">
        <v>8875698</v>
      </c>
      <c r="S8" s="542">
        <v>86084</v>
      </c>
      <c r="T8" s="542">
        <v>86084</v>
      </c>
      <c r="U8" s="542">
        <v>0</v>
      </c>
      <c r="V8" s="542">
        <v>0</v>
      </c>
      <c r="W8" s="542">
        <v>0</v>
      </c>
      <c r="X8" s="542">
        <v>0</v>
      </c>
      <c r="Y8" s="542">
        <v>0</v>
      </c>
      <c r="Z8" s="542">
        <v>0</v>
      </c>
      <c r="AA8" s="542">
        <v>0</v>
      </c>
      <c r="AB8" s="542">
        <v>0</v>
      </c>
      <c r="AC8" s="542">
        <v>0</v>
      </c>
      <c r="AD8" s="542">
        <v>464436</v>
      </c>
      <c r="AE8" s="542">
        <v>371549</v>
      </c>
      <c r="AF8" s="542">
        <v>92887</v>
      </c>
      <c r="AG8" s="542">
        <v>0</v>
      </c>
      <c r="AH8" s="542">
        <v>928872</v>
      </c>
      <c r="AI8" s="542">
        <v>-159736</v>
      </c>
      <c r="AJ8" s="542">
        <v>-127788</v>
      </c>
      <c r="AK8" s="542">
        <v>-31947</v>
      </c>
      <c r="AL8" s="542">
        <v>0</v>
      </c>
      <c r="AM8" s="542">
        <v>-319471</v>
      </c>
      <c r="AN8" s="542">
        <v>-202265</v>
      </c>
      <c r="AO8" s="542">
        <v>-161812</v>
      </c>
      <c r="AP8" s="542">
        <v>-40453</v>
      </c>
      <c r="AQ8" s="542">
        <v>0</v>
      </c>
      <c r="AR8" s="542">
        <v>-404530</v>
      </c>
      <c r="AS8" s="542">
        <v>60354</v>
      </c>
      <c r="AT8" s="542">
        <v>48283</v>
      </c>
      <c r="AU8" s="542">
        <v>12071</v>
      </c>
      <c r="AV8" s="542">
        <v>0</v>
      </c>
      <c r="AW8" s="542">
        <v>120708</v>
      </c>
      <c r="AX8" s="542">
        <v>-73068</v>
      </c>
      <c r="AY8" s="542">
        <v>-58455</v>
      </c>
      <c r="AZ8" s="542">
        <v>-14614</v>
      </c>
      <c r="BA8" s="542">
        <v>0</v>
      </c>
      <c r="BB8" s="542">
        <v>-146137</v>
      </c>
      <c r="BC8" s="542">
        <v>-214979</v>
      </c>
      <c r="BD8" s="542">
        <v>-171984</v>
      </c>
      <c r="BE8" s="542">
        <v>-42996</v>
      </c>
      <c r="BF8" s="542">
        <v>0</v>
      </c>
      <c r="BG8" s="542">
        <v>-429959</v>
      </c>
      <c r="BH8" s="542">
        <v>-588516</v>
      </c>
      <c r="BI8" s="542">
        <v>-470813</v>
      </c>
      <c r="BJ8" s="542">
        <v>-117703</v>
      </c>
      <c r="BK8" s="542">
        <v>0</v>
      </c>
      <c r="BL8" s="542">
        <v>-1177032</v>
      </c>
      <c r="BM8" s="542">
        <v>89965</v>
      </c>
      <c r="BN8" s="542">
        <v>71972</v>
      </c>
      <c r="BO8" s="542">
        <v>17993</v>
      </c>
      <c r="BP8" s="542">
        <v>0</v>
      </c>
      <c r="BQ8" s="542">
        <v>179930</v>
      </c>
      <c r="BR8" s="542">
        <v>9872</v>
      </c>
      <c r="BS8" s="542">
        <v>7898</v>
      </c>
      <c r="BT8" s="542">
        <v>1974</v>
      </c>
      <c r="BU8" s="542">
        <v>0</v>
      </c>
      <c r="BV8" s="542">
        <v>19744</v>
      </c>
      <c r="BW8" s="542">
        <v>-488679</v>
      </c>
      <c r="BX8" s="542">
        <v>-390943</v>
      </c>
      <c r="BY8" s="542">
        <v>-97736</v>
      </c>
      <c r="BZ8" s="542">
        <v>0</v>
      </c>
      <c r="CA8" s="542">
        <v>-977358</v>
      </c>
    </row>
    <row r="9" spans="1:79" ht="12.75" x14ac:dyDescent="0.2">
      <c r="A9" s="93">
        <v>3</v>
      </c>
      <c r="B9" s="145" t="s">
        <v>565</v>
      </c>
      <c r="C9" s="141" t="s">
        <v>866</v>
      </c>
      <c r="D9" s="142" t="s">
        <v>868</v>
      </c>
      <c r="E9" s="149" t="s">
        <v>564</v>
      </c>
      <c r="F9" s="543">
        <v>0.5</v>
      </c>
      <c r="G9" s="543">
        <v>0.4</v>
      </c>
      <c r="H9" s="543">
        <v>0.1</v>
      </c>
      <c r="I9" s="543">
        <v>0</v>
      </c>
      <c r="J9" s="543">
        <v>1</v>
      </c>
      <c r="K9" s="542">
        <v>12360643</v>
      </c>
      <c r="L9" s="542">
        <v>9888514</v>
      </c>
      <c r="M9" s="542">
        <v>2472129</v>
      </c>
      <c r="N9" s="542">
        <v>0</v>
      </c>
      <c r="O9" s="542">
        <v>24721286</v>
      </c>
      <c r="P9" s="542">
        <v>0</v>
      </c>
      <c r="Q9" s="542">
        <v>0</v>
      </c>
      <c r="R9" s="542">
        <v>12360643</v>
      </c>
      <c r="S9" s="542">
        <v>181754</v>
      </c>
      <c r="T9" s="542">
        <v>181754</v>
      </c>
      <c r="U9" s="542">
        <v>0</v>
      </c>
      <c r="V9" s="542">
        <v>0</v>
      </c>
      <c r="W9" s="542">
        <v>411621</v>
      </c>
      <c r="X9" s="542">
        <v>0</v>
      </c>
      <c r="Y9" s="542">
        <v>411621</v>
      </c>
      <c r="Z9" s="542">
        <v>0</v>
      </c>
      <c r="AA9" s="542">
        <v>0</v>
      </c>
      <c r="AB9" s="542">
        <v>0</v>
      </c>
      <c r="AC9" s="542">
        <v>0</v>
      </c>
      <c r="AD9" s="542">
        <v>505407</v>
      </c>
      <c r="AE9" s="542">
        <v>404325</v>
      </c>
      <c r="AF9" s="542">
        <v>101081</v>
      </c>
      <c r="AG9" s="542">
        <v>0</v>
      </c>
      <c r="AH9" s="542">
        <v>1010813</v>
      </c>
      <c r="AI9" s="542">
        <v>-228310</v>
      </c>
      <c r="AJ9" s="542">
        <v>-182648</v>
      </c>
      <c r="AK9" s="542">
        <v>-45662</v>
      </c>
      <c r="AL9" s="542">
        <v>0</v>
      </c>
      <c r="AM9" s="542">
        <v>-456620</v>
      </c>
      <c r="AN9" s="542">
        <v>-195753</v>
      </c>
      <c r="AO9" s="542">
        <v>-156602</v>
      </c>
      <c r="AP9" s="542">
        <v>-39150</v>
      </c>
      <c r="AQ9" s="542">
        <v>0</v>
      </c>
      <c r="AR9" s="542">
        <v>-391505</v>
      </c>
      <c r="AS9" s="542">
        <v>46424</v>
      </c>
      <c r="AT9" s="542">
        <v>37140</v>
      </c>
      <c r="AU9" s="542">
        <v>9285</v>
      </c>
      <c r="AV9" s="542">
        <v>0</v>
      </c>
      <c r="AW9" s="542">
        <v>92849</v>
      </c>
      <c r="AX9" s="542">
        <v>-62643</v>
      </c>
      <c r="AY9" s="542">
        <v>-50114</v>
      </c>
      <c r="AZ9" s="542">
        <v>-12529</v>
      </c>
      <c r="BA9" s="542">
        <v>0</v>
      </c>
      <c r="BB9" s="542">
        <v>-125286</v>
      </c>
      <c r="BC9" s="542">
        <v>-211972</v>
      </c>
      <c r="BD9" s="542">
        <v>-169576</v>
      </c>
      <c r="BE9" s="542">
        <v>-42394</v>
      </c>
      <c r="BF9" s="542">
        <v>0</v>
      </c>
      <c r="BG9" s="542">
        <v>-423942</v>
      </c>
      <c r="BH9" s="542">
        <v>-1246843</v>
      </c>
      <c r="BI9" s="542">
        <v>-997473</v>
      </c>
      <c r="BJ9" s="542">
        <v>-249368</v>
      </c>
      <c r="BK9" s="542">
        <v>0</v>
      </c>
      <c r="BL9" s="542">
        <v>-2493684</v>
      </c>
      <c r="BM9" s="542">
        <v>1246842</v>
      </c>
      <c r="BN9" s="542">
        <v>997474</v>
      </c>
      <c r="BO9" s="542">
        <v>249368</v>
      </c>
      <c r="BP9" s="542">
        <v>0</v>
      </c>
      <c r="BQ9" s="542">
        <v>2493684</v>
      </c>
      <c r="BR9" s="542">
        <v>-732872</v>
      </c>
      <c r="BS9" s="542">
        <v>-586298</v>
      </c>
      <c r="BT9" s="542">
        <v>-146574</v>
      </c>
      <c r="BU9" s="542">
        <v>0</v>
      </c>
      <c r="BV9" s="542">
        <v>-1465744</v>
      </c>
      <c r="BW9" s="542">
        <v>-732873</v>
      </c>
      <c r="BX9" s="542">
        <v>-586297</v>
      </c>
      <c r="BY9" s="542">
        <v>-146574</v>
      </c>
      <c r="BZ9" s="542">
        <v>0</v>
      </c>
      <c r="CA9" s="542">
        <v>-1465744</v>
      </c>
    </row>
    <row r="10" spans="1:79" ht="12.75" x14ac:dyDescent="0.2">
      <c r="A10" s="93">
        <v>4</v>
      </c>
      <c r="B10" s="145" t="s">
        <v>567</v>
      </c>
      <c r="C10" s="141" t="s">
        <v>866</v>
      </c>
      <c r="D10" s="142" t="s">
        <v>869</v>
      </c>
      <c r="E10" s="149" t="s">
        <v>566</v>
      </c>
      <c r="F10" s="543">
        <v>0.5</v>
      </c>
      <c r="G10" s="543">
        <v>0.4</v>
      </c>
      <c r="H10" s="543">
        <v>0.09</v>
      </c>
      <c r="I10" s="543">
        <v>0.01</v>
      </c>
      <c r="J10" s="543">
        <v>1</v>
      </c>
      <c r="K10" s="542">
        <v>14487324</v>
      </c>
      <c r="L10" s="542">
        <v>11589858</v>
      </c>
      <c r="M10" s="542">
        <v>2607718</v>
      </c>
      <c r="N10" s="542">
        <v>289746</v>
      </c>
      <c r="O10" s="542">
        <v>28974646</v>
      </c>
      <c r="P10" s="542">
        <v>0</v>
      </c>
      <c r="Q10" s="542">
        <v>0</v>
      </c>
      <c r="R10" s="542">
        <v>14487324</v>
      </c>
      <c r="S10" s="542">
        <v>154029</v>
      </c>
      <c r="T10" s="542">
        <v>154029</v>
      </c>
      <c r="U10" s="542">
        <v>0</v>
      </c>
      <c r="V10" s="542">
        <v>0</v>
      </c>
      <c r="W10" s="542">
        <v>0</v>
      </c>
      <c r="X10" s="542">
        <v>0</v>
      </c>
      <c r="Y10" s="542">
        <v>0</v>
      </c>
      <c r="Z10" s="542">
        <v>0</v>
      </c>
      <c r="AA10" s="542">
        <v>0</v>
      </c>
      <c r="AB10" s="542">
        <v>0</v>
      </c>
      <c r="AC10" s="542">
        <v>0</v>
      </c>
      <c r="AD10" s="542">
        <v>227445</v>
      </c>
      <c r="AE10" s="542">
        <v>181956</v>
      </c>
      <c r="AF10" s="542">
        <v>40940</v>
      </c>
      <c r="AG10" s="542">
        <v>4549</v>
      </c>
      <c r="AH10" s="542">
        <v>454890</v>
      </c>
      <c r="AI10" s="542">
        <v>-341654</v>
      </c>
      <c r="AJ10" s="542">
        <v>-273323</v>
      </c>
      <c r="AK10" s="542">
        <v>-61498</v>
      </c>
      <c r="AL10" s="542">
        <v>-6833</v>
      </c>
      <c r="AM10" s="542">
        <v>-683308</v>
      </c>
      <c r="AN10" s="542">
        <v>-237500</v>
      </c>
      <c r="AO10" s="542">
        <v>-190000</v>
      </c>
      <c r="AP10" s="542">
        <v>-42750</v>
      </c>
      <c r="AQ10" s="542">
        <v>-4750</v>
      </c>
      <c r="AR10" s="542">
        <v>-475000</v>
      </c>
      <c r="AS10" s="542">
        <v>126591</v>
      </c>
      <c r="AT10" s="542">
        <v>101274</v>
      </c>
      <c r="AU10" s="542">
        <v>22787</v>
      </c>
      <c r="AV10" s="542">
        <v>2532</v>
      </c>
      <c r="AW10" s="542">
        <v>253184</v>
      </c>
      <c r="AX10" s="542">
        <v>-116591</v>
      </c>
      <c r="AY10" s="542">
        <v>-93274</v>
      </c>
      <c r="AZ10" s="542">
        <v>-20987</v>
      </c>
      <c r="BA10" s="542">
        <v>-2332</v>
      </c>
      <c r="BB10" s="542">
        <v>-233184</v>
      </c>
      <c r="BC10" s="542">
        <v>-227500</v>
      </c>
      <c r="BD10" s="542">
        <v>-182000</v>
      </c>
      <c r="BE10" s="542">
        <v>-40950</v>
      </c>
      <c r="BF10" s="542">
        <v>-4550</v>
      </c>
      <c r="BG10" s="542">
        <v>-455000</v>
      </c>
      <c r="BH10" s="542">
        <v>-230000</v>
      </c>
      <c r="BI10" s="542">
        <v>-184000</v>
      </c>
      <c r="BJ10" s="542">
        <v>-41400</v>
      </c>
      <c r="BK10" s="542">
        <v>-4600</v>
      </c>
      <c r="BL10" s="542">
        <v>-460000</v>
      </c>
      <c r="BM10" s="542">
        <v>157041</v>
      </c>
      <c r="BN10" s="542">
        <v>125634</v>
      </c>
      <c r="BO10" s="542">
        <v>28268</v>
      </c>
      <c r="BP10" s="542">
        <v>3141</v>
      </c>
      <c r="BQ10" s="542">
        <v>314084</v>
      </c>
      <c r="BR10" s="542">
        <v>-327041</v>
      </c>
      <c r="BS10" s="542">
        <v>-261634</v>
      </c>
      <c r="BT10" s="542">
        <v>-58868</v>
      </c>
      <c r="BU10" s="542">
        <v>-6541</v>
      </c>
      <c r="BV10" s="542">
        <v>-654084</v>
      </c>
      <c r="BW10" s="542">
        <v>-400000</v>
      </c>
      <c r="BX10" s="542">
        <v>-320000</v>
      </c>
      <c r="BY10" s="542">
        <v>-72000</v>
      </c>
      <c r="BZ10" s="542">
        <v>-8000</v>
      </c>
      <c r="CA10" s="542">
        <v>-800000</v>
      </c>
    </row>
    <row r="11" spans="1:79" ht="12.75" x14ac:dyDescent="0.2">
      <c r="A11" s="93">
        <v>5</v>
      </c>
      <c r="B11" s="145" t="s">
        <v>569</v>
      </c>
      <c r="C11" s="141" t="s">
        <v>866</v>
      </c>
      <c r="D11" s="142" t="s">
        <v>867</v>
      </c>
      <c r="E11" s="149" t="s">
        <v>568</v>
      </c>
      <c r="F11" s="543">
        <v>0.5</v>
      </c>
      <c r="G11" s="543">
        <v>0.4</v>
      </c>
      <c r="H11" s="543">
        <v>0.1</v>
      </c>
      <c r="I11" s="543">
        <v>0</v>
      </c>
      <c r="J11" s="543">
        <v>1</v>
      </c>
      <c r="K11" s="542">
        <v>15898061</v>
      </c>
      <c r="L11" s="542">
        <v>12718448</v>
      </c>
      <c r="M11" s="542">
        <v>3179612</v>
      </c>
      <c r="N11" s="542">
        <v>0</v>
      </c>
      <c r="O11" s="542">
        <v>31796121</v>
      </c>
      <c r="P11" s="542">
        <v>0</v>
      </c>
      <c r="Q11" s="542">
        <v>0</v>
      </c>
      <c r="R11" s="542">
        <v>15898061</v>
      </c>
      <c r="S11" s="542">
        <v>174261</v>
      </c>
      <c r="T11" s="542">
        <v>174261</v>
      </c>
      <c r="U11" s="542">
        <v>0</v>
      </c>
      <c r="V11" s="542">
        <v>0</v>
      </c>
      <c r="W11" s="542">
        <v>0</v>
      </c>
      <c r="X11" s="542">
        <v>0</v>
      </c>
      <c r="Y11" s="542">
        <v>0</v>
      </c>
      <c r="Z11" s="542">
        <v>0</v>
      </c>
      <c r="AA11" s="542">
        <v>0</v>
      </c>
      <c r="AB11" s="542">
        <v>0</v>
      </c>
      <c r="AC11" s="542">
        <v>0</v>
      </c>
      <c r="AD11" s="542">
        <v>437837</v>
      </c>
      <c r="AE11" s="542">
        <v>350269</v>
      </c>
      <c r="AF11" s="542">
        <v>87567</v>
      </c>
      <c r="AG11" s="542">
        <v>0</v>
      </c>
      <c r="AH11" s="542">
        <v>875673</v>
      </c>
      <c r="AI11" s="542">
        <v>-176957</v>
      </c>
      <c r="AJ11" s="542">
        <v>-141565</v>
      </c>
      <c r="AK11" s="542">
        <v>-35391</v>
      </c>
      <c r="AL11" s="542">
        <v>0</v>
      </c>
      <c r="AM11" s="542">
        <v>-353913</v>
      </c>
      <c r="AN11" s="542">
        <v>-205500</v>
      </c>
      <c r="AO11" s="542">
        <v>-164400</v>
      </c>
      <c r="AP11" s="542">
        <v>-41100</v>
      </c>
      <c r="AQ11" s="542">
        <v>0</v>
      </c>
      <c r="AR11" s="542">
        <v>-411000</v>
      </c>
      <c r="AS11" s="542">
        <v>92185</v>
      </c>
      <c r="AT11" s="542">
        <v>73748</v>
      </c>
      <c r="AU11" s="542">
        <v>18437</v>
      </c>
      <c r="AV11" s="542">
        <v>0</v>
      </c>
      <c r="AW11" s="542">
        <v>184370</v>
      </c>
      <c r="AX11" s="542">
        <v>-77685</v>
      </c>
      <c r="AY11" s="542">
        <v>-62148</v>
      </c>
      <c r="AZ11" s="542">
        <v>-15537</v>
      </c>
      <c r="BA11" s="542">
        <v>0</v>
      </c>
      <c r="BB11" s="542">
        <v>-155370</v>
      </c>
      <c r="BC11" s="542">
        <v>-191000</v>
      </c>
      <c r="BD11" s="542">
        <v>-152800</v>
      </c>
      <c r="BE11" s="542">
        <v>-38200</v>
      </c>
      <c r="BF11" s="542">
        <v>0</v>
      </c>
      <c r="BG11" s="542">
        <v>-382000</v>
      </c>
      <c r="BH11" s="542">
        <v>-1271500</v>
      </c>
      <c r="BI11" s="542">
        <v>-1017200</v>
      </c>
      <c r="BJ11" s="542">
        <v>-254300</v>
      </c>
      <c r="BK11" s="542">
        <v>0</v>
      </c>
      <c r="BL11" s="542">
        <v>-2543000</v>
      </c>
      <c r="BM11" s="542">
        <v>925024</v>
      </c>
      <c r="BN11" s="542">
        <v>740019</v>
      </c>
      <c r="BO11" s="542">
        <v>185005</v>
      </c>
      <c r="BP11" s="542">
        <v>0</v>
      </c>
      <c r="BQ11" s="542">
        <v>1850048</v>
      </c>
      <c r="BR11" s="542">
        <v>-1270524</v>
      </c>
      <c r="BS11" s="542">
        <v>-1016419</v>
      </c>
      <c r="BT11" s="542">
        <v>-254105</v>
      </c>
      <c r="BU11" s="542">
        <v>0</v>
      </c>
      <c r="BV11" s="542">
        <v>-2541048</v>
      </c>
      <c r="BW11" s="542">
        <v>-1617000</v>
      </c>
      <c r="BX11" s="542">
        <v>-1293600</v>
      </c>
      <c r="BY11" s="542">
        <v>-323400</v>
      </c>
      <c r="BZ11" s="542">
        <v>0</v>
      </c>
      <c r="CA11" s="542">
        <v>-3234000</v>
      </c>
    </row>
    <row r="12" spans="1:79" ht="12.75" x14ac:dyDescent="0.2">
      <c r="A12" s="93">
        <v>6</v>
      </c>
      <c r="B12" s="145" t="s">
        <v>571</v>
      </c>
      <c r="C12" s="141" t="s">
        <v>866</v>
      </c>
      <c r="D12" s="142" t="s">
        <v>869</v>
      </c>
      <c r="E12" s="149" t="s">
        <v>570</v>
      </c>
      <c r="F12" s="543">
        <v>0.5</v>
      </c>
      <c r="G12" s="543">
        <v>0.4</v>
      </c>
      <c r="H12" s="543">
        <v>0.09</v>
      </c>
      <c r="I12" s="543">
        <v>0.01</v>
      </c>
      <c r="J12" s="543">
        <v>1</v>
      </c>
      <c r="K12" s="542">
        <v>16283219</v>
      </c>
      <c r="L12" s="542">
        <v>13026576</v>
      </c>
      <c r="M12" s="542">
        <v>2930980</v>
      </c>
      <c r="N12" s="542">
        <v>325664</v>
      </c>
      <c r="O12" s="542">
        <v>32566439</v>
      </c>
      <c r="P12" s="542">
        <v>0</v>
      </c>
      <c r="Q12" s="542">
        <v>0</v>
      </c>
      <c r="R12" s="542">
        <v>16283219</v>
      </c>
      <c r="S12" s="542">
        <v>128854</v>
      </c>
      <c r="T12" s="542">
        <v>128854</v>
      </c>
      <c r="U12" s="542">
        <v>0</v>
      </c>
      <c r="V12" s="542">
        <v>0</v>
      </c>
      <c r="W12" s="542">
        <v>0</v>
      </c>
      <c r="X12" s="542">
        <v>0</v>
      </c>
      <c r="Y12" s="542">
        <v>0</v>
      </c>
      <c r="Z12" s="542">
        <v>0</v>
      </c>
      <c r="AA12" s="542">
        <v>0</v>
      </c>
      <c r="AB12" s="542">
        <v>0</v>
      </c>
      <c r="AC12" s="542">
        <v>0</v>
      </c>
      <c r="AD12" s="542">
        <v>1034424</v>
      </c>
      <c r="AE12" s="542">
        <v>827538</v>
      </c>
      <c r="AF12" s="542">
        <v>186196</v>
      </c>
      <c r="AG12" s="542">
        <v>20688</v>
      </c>
      <c r="AH12" s="542">
        <v>2068846</v>
      </c>
      <c r="AI12" s="542">
        <v>-94836</v>
      </c>
      <c r="AJ12" s="542">
        <v>-75869</v>
      </c>
      <c r="AK12" s="542">
        <v>-17071</v>
      </c>
      <c r="AL12" s="542">
        <v>-1897</v>
      </c>
      <c r="AM12" s="542">
        <v>-189673</v>
      </c>
      <c r="AN12" s="542">
        <v>-272690</v>
      </c>
      <c r="AO12" s="542">
        <v>-218152</v>
      </c>
      <c r="AP12" s="542">
        <v>-49084</v>
      </c>
      <c r="AQ12" s="542">
        <v>-5454</v>
      </c>
      <c r="AR12" s="542">
        <v>-545380</v>
      </c>
      <c r="AS12" s="542">
        <v>186636</v>
      </c>
      <c r="AT12" s="542">
        <v>149310</v>
      </c>
      <c r="AU12" s="542">
        <v>33595</v>
      </c>
      <c r="AV12" s="542">
        <v>3733</v>
      </c>
      <c r="AW12" s="542">
        <v>373274</v>
      </c>
      <c r="AX12" s="542">
        <v>-394052</v>
      </c>
      <c r="AY12" s="542">
        <v>-315241</v>
      </c>
      <c r="AZ12" s="542">
        <v>-70929</v>
      </c>
      <c r="BA12" s="542">
        <v>-7881</v>
      </c>
      <c r="BB12" s="542">
        <v>-788103</v>
      </c>
      <c r="BC12" s="542">
        <v>-480106</v>
      </c>
      <c r="BD12" s="542">
        <v>-384083</v>
      </c>
      <c r="BE12" s="542">
        <v>-86418</v>
      </c>
      <c r="BF12" s="542">
        <v>-9602</v>
      </c>
      <c r="BG12" s="542">
        <v>-960209</v>
      </c>
      <c r="BH12" s="542">
        <v>-457056</v>
      </c>
      <c r="BI12" s="542">
        <v>-365645</v>
      </c>
      <c r="BJ12" s="542">
        <v>-82270</v>
      </c>
      <c r="BK12" s="542">
        <v>-9141</v>
      </c>
      <c r="BL12" s="542">
        <v>-914112</v>
      </c>
      <c r="BM12" s="542">
        <v>411554</v>
      </c>
      <c r="BN12" s="542">
        <v>329244</v>
      </c>
      <c r="BO12" s="542">
        <v>74080</v>
      </c>
      <c r="BP12" s="542">
        <v>8231</v>
      </c>
      <c r="BQ12" s="542">
        <v>823109</v>
      </c>
      <c r="BR12" s="542">
        <v>-918765</v>
      </c>
      <c r="BS12" s="542">
        <v>-735012</v>
      </c>
      <c r="BT12" s="542">
        <v>-165378</v>
      </c>
      <c r="BU12" s="542">
        <v>-18375</v>
      </c>
      <c r="BV12" s="542">
        <v>-1837530</v>
      </c>
      <c r="BW12" s="542">
        <v>-964267</v>
      </c>
      <c r="BX12" s="542">
        <v>-771413</v>
      </c>
      <c r="BY12" s="542">
        <v>-173568</v>
      </c>
      <c r="BZ12" s="542">
        <v>-19285</v>
      </c>
      <c r="CA12" s="542">
        <v>-1928533</v>
      </c>
    </row>
    <row r="13" spans="1:79" ht="12.75" x14ac:dyDescent="0.2">
      <c r="A13" s="93">
        <v>7</v>
      </c>
      <c r="B13" s="145" t="s">
        <v>573</v>
      </c>
      <c r="C13" s="141" t="s">
        <v>866</v>
      </c>
      <c r="D13" s="142" t="s">
        <v>867</v>
      </c>
      <c r="E13" s="149" t="s">
        <v>572</v>
      </c>
      <c r="F13" s="543">
        <v>0.5</v>
      </c>
      <c r="G13" s="543">
        <v>0.4</v>
      </c>
      <c r="H13" s="543">
        <v>0.09</v>
      </c>
      <c r="I13" s="543">
        <v>0.01</v>
      </c>
      <c r="J13" s="543">
        <v>1</v>
      </c>
      <c r="K13" s="542">
        <v>22503333</v>
      </c>
      <c r="L13" s="542">
        <v>18002666</v>
      </c>
      <c r="M13" s="542">
        <v>4050600</v>
      </c>
      <c r="N13" s="542">
        <v>450067</v>
      </c>
      <c r="O13" s="542">
        <v>45006666</v>
      </c>
      <c r="P13" s="542">
        <v>0</v>
      </c>
      <c r="Q13" s="542">
        <v>0</v>
      </c>
      <c r="R13" s="542">
        <v>22503333</v>
      </c>
      <c r="S13" s="542">
        <v>180466</v>
      </c>
      <c r="T13" s="542">
        <v>180466</v>
      </c>
      <c r="U13" s="542">
        <v>0</v>
      </c>
      <c r="V13" s="542">
        <v>0</v>
      </c>
      <c r="W13" s="542">
        <v>0</v>
      </c>
      <c r="X13" s="542">
        <v>0</v>
      </c>
      <c r="Y13" s="542">
        <v>0</v>
      </c>
      <c r="Z13" s="542">
        <v>0</v>
      </c>
      <c r="AA13" s="542">
        <v>0</v>
      </c>
      <c r="AB13" s="542">
        <v>0</v>
      </c>
      <c r="AC13" s="542">
        <v>0</v>
      </c>
      <c r="AD13" s="542">
        <v>127799</v>
      </c>
      <c r="AE13" s="542">
        <v>102239</v>
      </c>
      <c r="AF13" s="542">
        <v>23004</v>
      </c>
      <c r="AG13" s="542">
        <v>2556</v>
      </c>
      <c r="AH13" s="542">
        <v>255598</v>
      </c>
      <c r="AI13" s="542">
        <v>-631291</v>
      </c>
      <c r="AJ13" s="542">
        <v>-505034</v>
      </c>
      <c r="AK13" s="542">
        <v>-113633</v>
      </c>
      <c r="AL13" s="542">
        <v>-12626</v>
      </c>
      <c r="AM13" s="542">
        <v>-1262584</v>
      </c>
      <c r="AN13" s="542">
        <v>-380967</v>
      </c>
      <c r="AO13" s="542">
        <v>-304774</v>
      </c>
      <c r="AP13" s="542">
        <v>-68574</v>
      </c>
      <c r="AQ13" s="542">
        <v>-7619</v>
      </c>
      <c r="AR13" s="542">
        <v>-761934</v>
      </c>
      <c r="AS13" s="542">
        <v>98695</v>
      </c>
      <c r="AT13" s="542">
        <v>78956</v>
      </c>
      <c r="AU13" s="542">
        <v>17765</v>
      </c>
      <c r="AV13" s="542">
        <v>1974</v>
      </c>
      <c r="AW13" s="542">
        <v>197390</v>
      </c>
      <c r="AX13" s="542">
        <v>-23408</v>
      </c>
      <c r="AY13" s="542">
        <v>-18726</v>
      </c>
      <c r="AZ13" s="542">
        <v>-4213</v>
      </c>
      <c r="BA13" s="542">
        <v>-468</v>
      </c>
      <c r="BB13" s="542">
        <v>-46815</v>
      </c>
      <c r="BC13" s="542">
        <v>-305680</v>
      </c>
      <c r="BD13" s="542">
        <v>-244544</v>
      </c>
      <c r="BE13" s="542">
        <v>-55022</v>
      </c>
      <c r="BF13" s="542">
        <v>-6113</v>
      </c>
      <c r="BG13" s="542">
        <v>-611359</v>
      </c>
      <c r="BH13" s="542">
        <v>-1500000</v>
      </c>
      <c r="BI13" s="542">
        <v>-1200000</v>
      </c>
      <c r="BJ13" s="542">
        <v>-270000</v>
      </c>
      <c r="BK13" s="542">
        <v>-30000</v>
      </c>
      <c r="BL13" s="542">
        <v>-3000000</v>
      </c>
      <c r="BM13" s="542">
        <v>172751</v>
      </c>
      <c r="BN13" s="542">
        <v>138200</v>
      </c>
      <c r="BO13" s="542">
        <v>31095</v>
      </c>
      <c r="BP13" s="542">
        <v>3455</v>
      </c>
      <c r="BQ13" s="542">
        <v>345501</v>
      </c>
      <c r="BR13" s="542">
        <v>-593399</v>
      </c>
      <c r="BS13" s="542">
        <v>-474720</v>
      </c>
      <c r="BT13" s="542">
        <v>-106812</v>
      </c>
      <c r="BU13" s="542">
        <v>-11868</v>
      </c>
      <c r="BV13" s="542">
        <v>-1186799</v>
      </c>
      <c r="BW13" s="542">
        <v>-1920648</v>
      </c>
      <c r="BX13" s="542">
        <v>-1536520</v>
      </c>
      <c r="BY13" s="542">
        <v>-345717</v>
      </c>
      <c r="BZ13" s="542">
        <v>-38413</v>
      </c>
      <c r="CA13" s="542">
        <v>-3841298</v>
      </c>
    </row>
    <row r="14" spans="1:79" ht="12.75" x14ac:dyDescent="0.2">
      <c r="A14" s="93">
        <v>8</v>
      </c>
      <c r="B14" s="145" t="s">
        <v>575</v>
      </c>
      <c r="C14" s="141" t="s">
        <v>866</v>
      </c>
      <c r="D14" s="142" t="s">
        <v>867</v>
      </c>
      <c r="E14" s="149" t="s">
        <v>574</v>
      </c>
      <c r="F14" s="543">
        <v>0.5</v>
      </c>
      <c r="G14" s="543">
        <v>0.4</v>
      </c>
      <c r="H14" s="543">
        <v>0.09</v>
      </c>
      <c r="I14" s="543">
        <v>0.01</v>
      </c>
      <c r="J14" s="543">
        <v>1</v>
      </c>
      <c r="K14" s="542">
        <v>24531837</v>
      </c>
      <c r="L14" s="542">
        <v>19625470</v>
      </c>
      <c r="M14" s="542">
        <v>4415731</v>
      </c>
      <c r="N14" s="542">
        <v>490637</v>
      </c>
      <c r="O14" s="542">
        <v>49063675</v>
      </c>
      <c r="P14" s="542">
        <v>0</v>
      </c>
      <c r="Q14" s="542">
        <v>0</v>
      </c>
      <c r="R14" s="542">
        <v>24531837</v>
      </c>
      <c r="S14" s="542">
        <v>224284</v>
      </c>
      <c r="T14" s="542">
        <v>224284</v>
      </c>
      <c r="U14" s="542">
        <v>0</v>
      </c>
      <c r="V14" s="542">
        <v>0</v>
      </c>
      <c r="W14" s="542">
        <v>0</v>
      </c>
      <c r="X14" s="542">
        <v>0</v>
      </c>
      <c r="Y14" s="542">
        <v>0</v>
      </c>
      <c r="Z14" s="542">
        <v>0</v>
      </c>
      <c r="AA14" s="542">
        <v>0</v>
      </c>
      <c r="AB14" s="542">
        <v>0</v>
      </c>
      <c r="AC14" s="542">
        <v>0</v>
      </c>
      <c r="AD14" s="542">
        <v>93412</v>
      </c>
      <c r="AE14" s="542">
        <v>74729</v>
      </c>
      <c r="AF14" s="542">
        <v>16814</v>
      </c>
      <c r="AG14" s="542">
        <v>1868</v>
      </c>
      <c r="AH14" s="542">
        <v>186823</v>
      </c>
      <c r="AI14" s="542">
        <v>-751951</v>
      </c>
      <c r="AJ14" s="542">
        <v>-601560</v>
      </c>
      <c r="AK14" s="542">
        <v>-135351</v>
      </c>
      <c r="AL14" s="542">
        <v>-15039</v>
      </c>
      <c r="AM14" s="542">
        <v>-1503901</v>
      </c>
      <c r="AN14" s="542">
        <v>0</v>
      </c>
      <c r="AO14" s="542">
        <v>0</v>
      </c>
      <c r="AP14" s="542">
        <v>0</v>
      </c>
      <c r="AQ14" s="542">
        <v>0</v>
      </c>
      <c r="AR14" s="542">
        <v>0</v>
      </c>
      <c r="AS14" s="542">
        <v>0</v>
      </c>
      <c r="AT14" s="542">
        <v>0</v>
      </c>
      <c r="AU14" s="542">
        <v>0</v>
      </c>
      <c r="AV14" s="542">
        <v>0</v>
      </c>
      <c r="AW14" s="542">
        <v>0</v>
      </c>
      <c r="AX14" s="542">
        <v>0</v>
      </c>
      <c r="AY14" s="542">
        <v>0</v>
      </c>
      <c r="AZ14" s="542">
        <v>0</v>
      </c>
      <c r="BA14" s="542">
        <v>0</v>
      </c>
      <c r="BB14" s="542">
        <v>0</v>
      </c>
      <c r="BC14" s="542">
        <v>0</v>
      </c>
      <c r="BD14" s="542">
        <v>0</v>
      </c>
      <c r="BE14" s="542">
        <v>0</v>
      </c>
      <c r="BF14" s="542">
        <v>0</v>
      </c>
      <c r="BG14" s="542">
        <v>0</v>
      </c>
      <c r="BH14" s="542">
        <v>-2036126</v>
      </c>
      <c r="BI14" s="542">
        <v>-1628901</v>
      </c>
      <c r="BJ14" s="542">
        <v>-366503</v>
      </c>
      <c r="BK14" s="542">
        <v>-40723</v>
      </c>
      <c r="BL14" s="542">
        <v>-4072253</v>
      </c>
      <c r="BM14" s="542">
        <v>0</v>
      </c>
      <c r="BN14" s="542">
        <v>0</v>
      </c>
      <c r="BO14" s="542">
        <v>0</v>
      </c>
      <c r="BP14" s="542">
        <v>0</v>
      </c>
      <c r="BQ14" s="542">
        <v>0</v>
      </c>
      <c r="BR14" s="542">
        <v>0</v>
      </c>
      <c r="BS14" s="542">
        <v>0</v>
      </c>
      <c r="BT14" s="542">
        <v>0</v>
      </c>
      <c r="BU14" s="542">
        <v>0</v>
      </c>
      <c r="BV14" s="542">
        <v>0</v>
      </c>
      <c r="BW14" s="542">
        <v>-2036126</v>
      </c>
      <c r="BX14" s="542">
        <v>-1628901</v>
      </c>
      <c r="BY14" s="542">
        <v>-366503</v>
      </c>
      <c r="BZ14" s="542">
        <v>-40723</v>
      </c>
      <c r="CA14" s="542">
        <v>-4072253</v>
      </c>
    </row>
    <row r="15" spans="1:79" ht="12.75" x14ac:dyDescent="0.2">
      <c r="A15" s="93">
        <v>9</v>
      </c>
      <c r="B15" s="145" t="s">
        <v>577</v>
      </c>
      <c r="C15" s="141" t="s">
        <v>866</v>
      </c>
      <c r="D15" s="142" t="s">
        <v>870</v>
      </c>
      <c r="E15" s="149" t="s">
        <v>576</v>
      </c>
      <c r="F15" s="543">
        <v>0.5</v>
      </c>
      <c r="G15" s="543">
        <v>0.4</v>
      </c>
      <c r="H15" s="543">
        <v>0.1</v>
      </c>
      <c r="I15" s="543">
        <v>0</v>
      </c>
      <c r="J15" s="543">
        <v>1</v>
      </c>
      <c r="K15" s="542">
        <v>11330351</v>
      </c>
      <c r="L15" s="542">
        <v>9064281</v>
      </c>
      <c r="M15" s="542">
        <v>2266070</v>
      </c>
      <c r="N15" s="542">
        <v>0</v>
      </c>
      <c r="O15" s="542">
        <v>22660702</v>
      </c>
      <c r="P15" s="542">
        <v>0</v>
      </c>
      <c r="Q15" s="542">
        <v>0</v>
      </c>
      <c r="R15" s="542">
        <v>11330351</v>
      </c>
      <c r="S15" s="542">
        <v>127190</v>
      </c>
      <c r="T15" s="542">
        <v>127190</v>
      </c>
      <c r="U15" s="542">
        <v>0</v>
      </c>
      <c r="V15" s="542">
        <v>0</v>
      </c>
      <c r="W15" s="542">
        <v>0</v>
      </c>
      <c r="X15" s="542">
        <v>0</v>
      </c>
      <c r="Y15" s="542">
        <v>0</v>
      </c>
      <c r="Z15" s="542">
        <v>0</v>
      </c>
      <c r="AA15" s="542">
        <v>0</v>
      </c>
      <c r="AB15" s="542">
        <v>0</v>
      </c>
      <c r="AC15" s="542">
        <v>0</v>
      </c>
      <c r="AD15" s="542">
        <v>243839</v>
      </c>
      <c r="AE15" s="542">
        <v>195072</v>
      </c>
      <c r="AF15" s="542">
        <v>48768</v>
      </c>
      <c r="AG15" s="542">
        <v>0</v>
      </c>
      <c r="AH15" s="542">
        <v>487679</v>
      </c>
      <c r="AI15" s="542">
        <v>-66467</v>
      </c>
      <c r="AJ15" s="542">
        <v>-53173</v>
      </c>
      <c r="AK15" s="542">
        <v>-13293</v>
      </c>
      <c r="AL15" s="542">
        <v>0</v>
      </c>
      <c r="AM15" s="542">
        <v>-132933</v>
      </c>
      <c r="AN15" s="542">
        <v>-176812</v>
      </c>
      <c r="AO15" s="542">
        <v>-141450</v>
      </c>
      <c r="AP15" s="542">
        <v>-35363</v>
      </c>
      <c r="AQ15" s="542">
        <v>0</v>
      </c>
      <c r="AR15" s="542">
        <v>-353625</v>
      </c>
      <c r="AS15" s="542">
        <v>68232</v>
      </c>
      <c r="AT15" s="542">
        <v>54586</v>
      </c>
      <c r="AU15" s="542">
        <v>13647</v>
      </c>
      <c r="AV15" s="542">
        <v>0</v>
      </c>
      <c r="AW15" s="542">
        <v>136465</v>
      </c>
      <c r="AX15" s="542">
        <v>-69278</v>
      </c>
      <c r="AY15" s="542">
        <v>-55422</v>
      </c>
      <c r="AZ15" s="542">
        <v>-13856</v>
      </c>
      <c r="BA15" s="542">
        <v>0</v>
      </c>
      <c r="BB15" s="542">
        <v>-138556</v>
      </c>
      <c r="BC15" s="542">
        <v>-177858</v>
      </c>
      <c r="BD15" s="542">
        <v>-142286</v>
      </c>
      <c r="BE15" s="542">
        <v>-35572</v>
      </c>
      <c r="BF15" s="542">
        <v>0</v>
      </c>
      <c r="BG15" s="542">
        <v>-355716</v>
      </c>
      <c r="BH15" s="542">
        <v>-537998</v>
      </c>
      <c r="BI15" s="542">
        <v>-430400</v>
      </c>
      <c r="BJ15" s="542">
        <v>-107600</v>
      </c>
      <c r="BK15" s="542">
        <v>0</v>
      </c>
      <c r="BL15" s="542">
        <v>-1075998</v>
      </c>
      <c r="BM15" s="542">
        <v>454289</v>
      </c>
      <c r="BN15" s="542">
        <v>363431</v>
      </c>
      <c r="BO15" s="542">
        <v>90858</v>
      </c>
      <c r="BP15" s="542">
        <v>0</v>
      </c>
      <c r="BQ15" s="542">
        <v>908578</v>
      </c>
      <c r="BR15" s="542">
        <v>-442718</v>
      </c>
      <c r="BS15" s="542">
        <v>-354174</v>
      </c>
      <c r="BT15" s="542">
        <v>-88544</v>
      </c>
      <c r="BU15" s="542">
        <v>0</v>
      </c>
      <c r="BV15" s="542">
        <v>-885436</v>
      </c>
      <c r="BW15" s="542">
        <v>-526427</v>
      </c>
      <c r="BX15" s="542">
        <v>-421143</v>
      </c>
      <c r="BY15" s="542">
        <v>-105286</v>
      </c>
      <c r="BZ15" s="542">
        <v>0</v>
      </c>
      <c r="CA15" s="542">
        <v>-1052856</v>
      </c>
    </row>
    <row r="16" spans="1:79" ht="12.75" x14ac:dyDescent="0.2">
      <c r="A16" s="93">
        <v>10</v>
      </c>
      <c r="B16" s="145" t="s">
        <v>579</v>
      </c>
      <c r="C16" s="141" t="s">
        <v>871</v>
      </c>
      <c r="D16" s="142" t="s">
        <v>872</v>
      </c>
      <c r="E16" s="149" t="s">
        <v>688</v>
      </c>
      <c r="F16" s="543">
        <v>0.5</v>
      </c>
      <c r="G16" s="543">
        <v>0.3</v>
      </c>
      <c r="H16" s="543">
        <v>0.2</v>
      </c>
      <c r="I16" s="543">
        <v>0</v>
      </c>
      <c r="J16" s="543">
        <v>1</v>
      </c>
      <c r="K16" s="542">
        <v>29338032</v>
      </c>
      <c r="L16" s="542">
        <v>17602819</v>
      </c>
      <c r="M16" s="542">
        <v>11735213</v>
      </c>
      <c r="N16" s="542">
        <v>0</v>
      </c>
      <c r="O16" s="542">
        <v>58676064</v>
      </c>
      <c r="P16" s="542">
        <v>0</v>
      </c>
      <c r="Q16" s="542">
        <v>0</v>
      </c>
      <c r="R16" s="542">
        <v>29338032</v>
      </c>
      <c r="S16" s="542">
        <v>205029</v>
      </c>
      <c r="T16" s="542">
        <v>205029</v>
      </c>
      <c r="U16" s="542">
        <v>0</v>
      </c>
      <c r="V16" s="542">
        <v>0</v>
      </c>
      <c r="W16" s="542">
        <v>0</v>
      </c>
      <c r="X16" s="542">
        <v>0</v>
      </c>
      <c r="Y16" s="542">
        <v>0</v>
      </c>
      <c r="Z16" s="542">
        <v>0</v>
      </c>
      <c r="AA16" s="542">
        <v>0</v>
      </c>
      <c r="AB16" s="542">
        <v>0</v>
      </c>
      <c r="AC16" s="542">
        <v>0</v>
      </c>
      <c r="AD16" s="542">
        <v>2766959</v>
      </c>
      <c r="AE16" s="542">
        <v>1660176</v>
      </c>
      <c r="AF16" s="542">
        <v>1106784</v>
      </c>
      <c r="AG16" s="542">
        <v>0</v>
      </c>
      <c r="AH16" s="542">
        <v>5533919</v>
      </c>
      <c r="AI16" s="542">
        <v>-335192</v>
      </c>
      <c r="AJ16" s="542">
        <v>-201116</v>
      </c>
      <c r="AK16" s="542">
        <v>-134077</v>
      </c>
      <c r="AL16" s="542">
        <v>0</v>
      </c>
      <c r="AM16" s="542">
        <v>-670385</v>
      </c>
      <c r="AN16" s="542">
        <v>-2346000</v>
      </c>
      <c r="AO16" s="542">
        <v>-1407600</v>
      </c>
      <c r="AP16" s="542">
        <v>-938400</v>
      </c>
      <c r="AQ16" s="542">
        <v>0</v>
      </c>
      <c r="AR16" s="542">
        <v>-4692000</v>
      </c>
      <c r="AS16" s="542">
        <v>0</v>
      </c>
      <c r="AT16" s="542">
        <v>0</v>
      </c>
      <c r="AU16" s="542">
        <v>0</v>
      </c>
      <c r="AV16" s="542">
        <v>0</v>
      </c>
      <c r="AW16" s="542">
        <v>0</v>
      </c>
      <c r="AX16" s="542">
        <v>-176500</v>
      </c>
      <c r="AY16" s="542">
        <v>-105900</v>
      </c>
      <c r="AZ16" s="542">
        <v>-70600</v>
      </c>
      <c r="BA16" s="542">
        <v>0</v>
      </c>
      <c r="BB16" s="542">
        <v>-353000</v>
      </c>
      <c r="BC16" s="542">
        <v>-2522500</v>
      </c>
      <c r="BD16" s="542">
        <v>-1513500</v>
      </c>
      <c r="BE16" s="542">
        <v>-1009000</v>
      </c>
      <c r="BF16" s="542">
        <v>0</v>
      </c>
      <c r="BG16" s="542">
        <v>-5045000</v>
      </c>
      <c r="BH16" s="542">
        <v>-4815956</v>
      </c>
      <c r="BI16" s="542">
        <v>-2889574</v>
      </c>
      <c r="BJ16" s="542">
        <v>-1926383</v>
      </c>
      <c r="BK16" s="542">
        <v>0</v>
      </c>
      <c r="BL16" s="542">
        <v>-9631913</v>
      </c>
      <c r="BM16" s="542">
        <v>0</v>
      </c>
      <c r="BN16" s="542">
        <v>0</v>
      </c>
      <c r="BO16" s="542">
        <v>0</v>
      </c>
      <c r="BP16" s="542">
        <v>0</v>
      </c>
      <c r="BQ16" s="542">
        <v>0</v>
      </c>
      <c r="BR16" s="542">
        <v>-921935</v>
      </c>
      <c r="BS16" s="542">
        <v>-553161</v>
      </c>
      <c r="BT16" s="542">
        <v>-368774</v>
      </c>
      <c r="BU16" s="542">
        <v>0</v>
      </c>
      <c r="BV16" s="542">
        <v>-1843870</v>
      </c>
      <c r="BW16" s="542">
        <v>-5737891</v>
      </c>
      <c r="BX16" s="542">
        <v>-3442735</v>
      </c>
      <c r="BY16" s="542">
        <v>-2295157</v>
      </c>
      <c r="BZ16" s="542">
        <v>0</v>
      </c>
      <c r="CA16" s="542">
        <v>-11475783</v>
      </c>
    </row>
    <row r="17" spans="1:79" ht="12.75" x14ac:dyDescent="0.2">
      <c r="A17" s="93">
        <v>11</v>
      </c>
      <c r="B17" s="145" t="s">
        <v>581</v>
      </c>
      <c r="C17" s="141" t="s">
        <v>871</v>
      </c>
      <c r="D17" s="142" t="s">
        <v>872</v>
      </c>
      <c r="E17" s="149" t="s">
        <v>580</v>
      </c>
      <c r="F17" s="543">
        <v>0.5</v>
      </c>
      <c r="G17" s="543">
        <v>0.3</v>
      </c>
      <c r="H17" s="543">
        <v>0.2</v>
      </c>
      <c r="I17" s="543">
        <v>0</v>
      </c>
      <c r="J17" s="543">
        <v>1</v>
      </c>
      <c r="K17" s="542">
        <v>51702992</v>
      </c>
      <c r="L17" s="542">
        <v>31021796</v>
      </c>
      <c r="M17" s="542">
        <v>20681197</v>
      </c>
      <c r="N17" s="542">
        <v>0</v>
      </c>
      <c r="O17" s="542">
        <v>103405985</v>
      </c>
      <c r="P17" s="542">
        <v>0</v>
      </c>
      <c r="Q17" s="542">
        <v>0</v>
      </c>
      <c r="R17" s="542">
        <v>51702992</v>
      </c>
      <c r="S17" s="542">
        <v>418239</v>
      </c>
      <c r="T17" s="542">
        <v>418239</v>
      </c>
      <c r="U17" s="542">
        <v>0</v>
      </c>
      <c r="V17" s="542">
        <v>0</v>
      </c>
      <c r="W17" s="542">
        <v>0</v>
      </c>
      <c r="X17" s="542">
        <v>0</v>
      </c>
      <c r="Y17" s="542">
        <v>0</v>
      </c>
      <c r="Z17" s="542">
        <v>0</v>
      </c>
      <c r="AA17" s="542">
        <v>0</v>
      </c>
      <c r="AB17" s="542">
        <v>0</v>
      </c>
      <c r="AC17" s="542">
        <v>0</v>
      </c>
      <c r="AD17" s="542">
        <v>6617501</v>
      </c>
      <c r="AE17" s="542">
        <v>3970500</v>
      </c>
      <c r="AF17" s="542">
        <v>2647000</v>
      </c>
      <c r="AG17" s="542">
        <v>0</v>
      </c>
      <c r="AH17" s="542">
        <v>13235001</v>
      </c>
      <c r="AI17" s="542">
        <v>-3128316</v>
      </c>
      <c r="AJ17" s="542">
        <v>-1876990</v>
      </c>
      <c r="AK17" s="542">
        <v>-1251327</v>
      </c>
      <c r="AL17" s="542">
        <v>0</v>
      </c>
      <c r="AM17" s="542">
        <v>-6256633</v>
      </c>
      <c r="AN17" s="542">
        <v>-1362497</v>
      </c>
      <c r="AO17" s="542">
        <v>-817499</v>
      </c>
      <c r="AP17" s="542">
        <v>-544999</v>
      </c>
      <c r="AQ17" s="542">
        <v>0</v>
      </c>
      <c r="AR17" s="542">
        <v>-2724995</v>
      </c>
      <c r="AS17" s="542">
        <v>631621</v>
      </c>
      <c r="AT17" s="542">
        <v>378973</v>
      </c>
      <c r="AU17" s="542">
        <v>252649</v>
      </c>
      <c r="AV17" s="542">
        <v>0</v>
      </c>
      <c r="AW17" s="542">
        <v>1263243</v>
      </c>
      <c r="AX17" s="542">
        <v>-336092</v>
      </c>
      <c r="AY17" s="542">
        <v>-201655</v>
      </c>
      <c r="AZ17" s="542">
        <v>-134437</v>
      </c>
      <c r="BA17" s="542">
        <v>0</v>
      </c>
      <c r="BB17" s="542">
        <v>-672184</v>
      </c>
      <c r="BC17" s="542">
        <v>-1066968</v>
      </c>
      <c r="BD17" s="542">
        <v>-640181</v>
      </c>
      <c r="BE17" s="542">
        <v>-426787</v>
      </c>
      <c r="BF17" s="542">
        <v>0</v>
      </c>
      <c r="BG17" s="542">
        <v>-2133936</v>
      </c>
      <c r="BH17" s="542">
        <v>-2350052</v>
      </c>
      <c r="BI17" s="542">
        <v>-1410032</v>
      </c>
      <c r="BJ17" s="542">
        <v>-940021</v>
      </c>
      <c r="BK17" s="542">
        <v>0</v>
      </c>
      <c r="BL17" s="542">
        <v>-4700105</v>
      </c>
      <c r="BM17" s="542">
        <v>0</v>
      </c>
      <c r="BN17" s="542">
        <v>0</v>
      </c>
      <c r="BO17" s="542">
        <v>0</v>
      </c>
      <c r="BP17" s="542">
        <v>0</v>
      </c>
      <c r="BQ17" s="542">
        <v>0</v>
      </c>
      <c r="BR17" s="542">
        <v>-2050000</v>
      </c>
      <c r="BS17" s="542">
        <v>-1230000</v>
      </c>
      <c r="BT17" s="542">
        <v>-820000</v>
      </c>
      <c r="BU17" s="542">
        <v>0</v>
      </c>
      <c r="BV17" s="542">
        <v>-4100000</v>
      </c>
      <c r="BW17" s="542">
        <v>-4400052</v>
      </c>
      <c r="BX17" s="542">
        <v>-2640032</v>
      </c>
      <c r="BY17" s="542">
        <v>-1760021</v>
      </c>
      <c r="BZ17" s="542">
        <v>0</v>
      </c>
      <c r="CA17" s="542">
        <v>-8800105</v>
      </c>
    </row>
    <row r="18" spans="1:79" ht="12.75" x14ac:dyDescent="0.2">
      <c r="A18" s="93">
        <v>12</v>
      </c>
      <c r="B18" s="145" t="s">
        <v>583</v>
      </c>
      <c r="C18" s="141" t="s">
        <v>873</v>
      </c>
      <c r="D18" s="142" t="s">
        <v>874</v>
      </c>
      <c r="E18" s="149" t="s">
        <v>582</v>
      </c>
      <c r="F18" s="543">
        <v>0.5</v>
      </c>
      <c r="G18" s="543">
        <v>0.49</v>
      </c>
      <c r="H18" s="543">
        <v>0</v>
      </c>
      <c r="I18" s="543">
        <v>0.01</v>
      </c>
      <c r="J18" s="543">
        <v>1</v>
      </c>
      <c r="K18" s="542">
        <v>24959894</v>
      </c>
      <c r="L18" s="542">
        <v>24460696</v>
      </c>
      <c r="M18" s="542">
        <v>0</v>
      </c>
      <c r="N18" s="542">
        <v>499198</v>
      </c>
      <c r="O18" s="542">
        <v>49919788</v>
      </c>
      <c r="P18" s="542">
        <v>111729.63</v>
      </c>
      <c r="Q18" s="542">
        <v>111729.63</v>
      </c>
      <c r="R18" s="542">
        <v>24848164.300000001</v>
      </c>
      <c r="S18" s="542">
        <v>271980</v>
      </c>
      <c r="T18" s="542">
        <v>271980</v>
      </c>
      <c r="U18" s="542">
        <v>306548</v>
      </c>
      <c r="V18" s="542">
        <v>306548</v>
      </c>
      <c r="W18" s="542">
        <v>0</v>
      </c>
      <c r="X18" s="542">
        <v>0</v>
      </c>
      <c r="Y18" s="542">
        <v>0</v>
      </c>
      <c r="Z18" s="542">
        <v>111729.63</v>
      </c>
      <c r="AA18" s="542">
        <v>0</v>
      </c>
      <c r="AB18" s="542">
        <v>0</v>
      </c>
      <c r="AC18" s="542">
        <v>111729.63</v>
      </c>
      <c r="AD18" s="542">
        <v>1166593</v>
      </c>
      <c r="AE18" s="542">
        <v>1143262</v>
      </c>
      <c r="AF18" s="542">
        <v>0</v>
      </c>
      <c r="AG18" s="542">
        <v>23332</v>
      </c>
      <c r="AH18" s="542">
        <v>2333187</v>
      </c>
      <c r="AI18" s="542">
        <v>-116616</v>
      </c>
      <c r="AJ18" s="542">
        <v>-114284</v>
      </c>
      <c r="AK18" s="542">
        <v>0</v>
      </c>
      <c r="AL18" s="542">
        <v>-2332</v>
      </c>
      <c r="AM18" s="542">
        <v>-233232</v>
      </c>
      <c r="AN18" s="542">
        <v>-604159</v>
      </c>
      <c r="AO18" s="542">
        <v>-592076</v>
      </c>
      <c r="AP18" s="542">
        <v>0</v>
      </c>
      <c r="AQ18" s="542">
        <v>-12083</v>
      </c>
      <c r="AR18" s="542">
        <v>-1208318</v>
      </c>
      <c r="AS18" s="542">
        <v>261349</v>
      </c>
      <c r="AT18" s="542">
        <v>256122</v>
      </c>
      <c r="AU18" s="542">
        <v>0</v>
      </c>
      <c r="AV18" s="542">
        <v>5227</v>
      </c>
      <c r="AW18" s="542">
        <v>522698</v>
      </c>
      <c r="AX18" s="542">
        <v>-570258</v>
      </c>
      <c r="AY18" s="542">
        <v>-558852</v>
      </c>
      <c r="AZ18" s="542">
        <v>0</v>
      </c>
      <c r="BA18" s="542">
        <v>-11405</v>
      </c>
      <c r="BB18" s="542">
        <v>-1140515</v>
      </c>
      <c r="BC18" s="542">
        <v>-913068</v>
      </c>
      <c r="BD18" s="542">
        <v>-894806</v>
      </c>
      <c r="BE18" s="542">
        <v>0</v>
      </c>
      <c r="BF18" s="542">
        <v>-18261</v>
      </c>
      <c r="BG18" s="542">
        <v>-1826135</v>
      </c>
      <c r="BH18" s="542">
        <v>-882349</v>
      </c>
      <c r="BI18" s="542">
        <v>-864702</v>
      </c>
      <c r="BJ18" s="542">
        <v>0</v>
      </c>
      <c r="BK18" s="542">
        <v>-17647</v>
      </c>
      <c r="BL18" s="542">
        <v>-1764698</v>
      </c>
      <c r="BM18" s="542">
        <v>887088</v>
      </c>
      <c r="BN18" s="542">
        <v>869346</v>
      </c>
      <c r="BO18" s="542">
        <v>0</v>
      </c>
      <c r="BP18" s="542">
        <v>17742</v>
      </c>
      <c r="BQ18" s="542">
        <v>1774176</v>
      </c>
      <c r="BR18" s="542">
        <v>-1097239</v>
      </c>
      <c r="BS18" s="542">
        <v>-1075294</v>
      </c>
      <c r="BT18" s="542">
        <v>0</v>
      </c>
      <c r="BU18" s="542">
        <v>-21945</v>
      </c>
      <c r="BV18" s="542">
        <v>-2194478</v>
      </c>
      <c r="BW18" s="542">
        <v>-1092500</v>
      </c>
      <c r="BX18" s="542">
        <v>-1070650</v>
      </c>
      <c r="BY18" s="542">
        <v>0</v>
      </c>
      <c r="BZ18" s="542">
        <v>-21850</v>
      </c>
      <c r="CA18" s="542">
        <v>-2185000</v>
      </c>
    </row>
    <row r="19" spans="1:79" ht="12.75" x14ac:dyDescent="0.2">
      <c r="A19" s="93">
        <v>13</v>
      </c>
      <c r="B19" s="145" t="s">
        <v>585</v>
      </c>
      <c r="C19" s="141" t="s">
        <v>866</v>
      </c>
      <c r="D19" s="142" t="s">
        <v>868</v>
      </c>
      <c r="E19" s="149" t="s">
        <v>584</v>
      </c>
      <c r="F19" s="543">
        <v>0.5</v>
      </c>
      <c r="G19" s="543">
        <v>0.4</v>
      </c>
      <c r="H19" s="543">
        <v>0.1</v>
      </c>
      <c r="I19" s="543">
        <v>0</v>
      </c>
      <c r="J19" s="543">
        <v>1</v>
      </c>
      <c r="K19" s="542">
        <v>11574532</v>
      </c>
      <c r="L19" s="542">
        <v>9259626</v>
      </c>
      <c r="M19" s="542">
        <v>2314906</v>
      </c>
      <c r="N19" s="542">
        <v>0</v>
      </c>
      <c r="O19" s="542">
        <v>23149064</v>
      </c>
      <c r="P19" s="542">
        <v>0</v>
      </c>
      <c r="Q19" s="542">
        <v>0</v>
      </c>
      <c r="R19" s="542">
        <v>11574532</v>
      </c>
      <c r="S19" s="542">
        <v>97916</v>
      </c>
      <c r="T19" s="542">
        <v>97916</v>
      </c>
      <c r="U19" s="542">
        <v>0</v>
      </c>
      <c r="V19" s="542">
        <v>0</v>
      </c>
      <c r="W19" s="542">
        <v>0</v>
      </c>
      <c r="X19" s="542">
        <v>0</v>
      </c>
      <c r="Y19" s="542">
        <v>0</v>
      </c>
      <c r="Z19" s="542">
        <v>0</v>
      </c>
      <c r="AA19" s="542">
        <v>0</v>
      </c>
      <c r="AB19" s="542">
        <v>0</v>
      </c>
      <c r="AC19" s="542">
        <v>0</v>
      </c>
      <c r="AD19" s="542">
        <v>609998</v>
      </c>
      <c r="AE19" s="542">
        <v>487999</v>
      </c>
      <c r="AF19" s="542">
        <v>122000</v>
      </c>
      <c r="AG19" s="542">
        <v>0</v>
      </c>
      <c r="AH19" s="542">
        <v>1219997</v>
      </c>
      <c r="AI19" s="542">
        <v>-619761</v>
      </c>
      <c r="AJ19" s="542">
        <v>-495809</v>
      </c>
      <c r="AK19" s="542">
        <v>-123952</v>
      </c>
      <c r="AL19" s="542">
        <v>0</v>
      </c>
      <c r="AM19" s="542">
        <v>-1239522</v>
      </c>
      <c r="AN19" s="542">
        <v>-665173</v>
      </c>
      <c r="AO19" s="542">
        <v>-532137</v>
      </c>
      <c r="AP19" s="542">
        <v>-133034</v>
      </c>
      <c r="AQ19" s="542">
        <v>0</v>
      </c>
      <c r="AR19" s="542">
        <v>-1330344</v>
      </c>
      <c r="AS19" s="542">
        <v>70395</v>
      </c>
      <c r="AT19" s="542">
        <v>56316</v>
      </c>
      <c r="AU19" s="542">
        <v>14079</v>
      </c>
      <c r="AV19" s="542">
        <v>0</v>
      </c>
      <c r="AW19" s="542">
        <v>140790</v>
      </c>
      <c r="AX19" s="542">
        <v>76457</v>
      </c>
      <c r="AY19" s="542">
        <v>61166</v>
      </c>
      <c r="AZ19" s="542">
        <v>15291</v>
      </c>
      <c r="BA19" s="542">
        <v>0</v>
      </c>
      <c r="BB19" s="542">
        <v>152914</v>
      </c>
      <c r="BC19" s="542">
        <v>-518321</v>
      </c>
      <c r="BD19" s="542">
        <v>-414655</v>
      </c>
      <c r="BE19" s="542">
        <v>-103664</v>
      </c>
      <c r="BF19" s="542">
        <v>0</v>
      </c>
      <c r="BG19" s="542">
        <v>-1036640</v>
      </c>
      <c r="BH19" s="542">
        <v>-511011</v>
      </c>
      <c r="BI19" s="542">
        <v>-408808</v>
      </c>
      <c r="BJ19" s="542">
        <v>-102203</v>
      </c>
      <c r="BK19" s="542">
        <v>0</v>
      </c>
      <c r="BL19" s="542">
        <v>-1022022</v>
      </c>
      <c r="BM19" s="542">
        <v>424120</v>
      </c>
      <c r="BN19" s="542">
        <v>339296</v>
      </c>
      <c r="BO19" s="542">
        <v>84824</v>
      </c>
      <c r="BP19" s="542">
        <v>0</v>
      </c>
      <c r="BQ19" s="542">
        <v>848240</v>
      </c>
      <c r="BR19" s="542">
        <v>-416193</v>
      </c>
      <c r="BS19" s="542">
        <v>-332955</v>
      </c>
      <c r="BT19" s="542">
        <v>-83239</v>
      </c>
      <c r="BU19" s="542">
        <v>0</v>
      </c>
      <c r="BV19" s="542">
        <v>-832387</v>
      </c>
      <c r="BW19" s="542">
        <v>-503084</v>
      </c>
      <c r="BX19" s="542">
        <v>-402467</v>
      </c>
      <c r="BY19" s="542">
        <v>-100618</v>
      </c>
      <c r="BZ19" s="542">
        <v>0</v>
      </c>
      <c r="CA19" s="542">
        <v>-1006169</v>
      </c>
    </row>
    <row r="20" spans="1:79" ht="12.75" x14ac:dyDescent="0.2">
      <c r="A20" s="93">
        <v>14</v>
      </c>
      <c r="B20" s="145" t="s">
        <v>587</v>
      </c>
      <c r="C20" s="141" t="s">
        <v>866</v>
      </c>
      <c r="D20" s="142" t="s">
        <v>870</v>
      </c>
      <c r="E20" s="149" t="s">
        <v>586</v>
      </c>
      <c r="F20" s="543">
        <v>0.5</v>
      </c>
      <c r="G20" s="543">
        <v>0.4</v>
      </c>
      <c r="H20" s="543">
        <v>0.09</v>
      </c>
      <c r="I20" s="543">
        <v>0.01</v>
      </c>
      <c r="J20" s="543">
        <v>1</v>
      </c>
      <c r="K20" s="542">
        <v>36815367</v>
      </c>
      <c r="L20" s="542">
        <v>29452293</v>
      </c>
      <c r="M20" s="542">
        <v>6626766</v>
      </c>
      <c r="N20" s="542">
        <v>736307</v>
      </c>
      <c r="O20" s="542">
        <v>73630733</v>
      </c>
      <c r="P20" s="542">
        <v>0</v>
      </c>
      <c r="Q20" s="542">
        <v>0</v>
      </c>
      <c r="R20" s="542">
        <v>36815367</v>
      </c>
      <c r="S20" s="542">
        <v>238608</v>
      </c>
      <c r="T20" s="542">
        <v>238608</v>
      </c>
      <c r="U20" s="542">
        <v>0</v>
      </c>
      <c r="V20" s="542">
        <v>0</v>
      </c>
      <c r="W20" s="542">
        <v>50</v>
      </c>
      <c r="X20" s="542">
        <v>0</v>
      </c>
      <c r="Y20" s="542">
        <v>50</v>
      </c>
      <c r="Z20" s="542">
        <v>0</v>
      </c>
      <c r="AA20" s="542">
        <v>0</v>
      </c>
      <c r="AB20" s="542">
        <v>0</v>
      </c>
      <c r="AC20" s="542">
        <v>0</v>
      </c>
      <c r="AD20" s="542">
        <v>1015169</v>
      </c>
      <c r="AE20" s="542">
        <v>812136</v>
      </c>
      <c r="AF20" s="542">
        <v>182731</v>
      </c>
      <c r="AG20" s="542">
        <v>20303</v>
      </c>
      <c r="AH20" s="542">
        <v>2030339</v>
      </c>
      <c r="AI20" s="542">
        <v>-475239</v>
      </c>
      <c r="AJ20" s="542">
        <v>-380191</v>
      </c>
      <c r="AK20" s="542">
        <v>-85543</v>
      </c>
      <c r="AL20" s="542">
        <v>-9505</v>
      </c>
      <c r="AM20" s="542">
        <v>-950478</v>
      </c>
      <c r="AN20" s="542">
        <v>-450000</v>
      </c>
      <c r="AO20" s="542">
        <v>-360000</v>
      </c>
      <c r="AP20" s="542">
        <v>-81000</v>
      </c>
      <c r="AQ20" s="542">
        <v>-9000</v>
      </c>
      <c r="AR20" s="542">
        <v>-900000</v>
      </c>
      <c r="AS20" s="542">
        <v>242854</v>
      </c>
      <c r="AT20" s="542">
        <v>194283</v>
      </c>
      <c r="AU20" s="542">
        <v>43714</v>
      </c>
      <c r="AV20" s="542">
        <v>4857</v>
      </c>
      <c r="AW20" s="542">
        <v>485708</v>
      </c>
      <c r="AX20" s="542">
        <v>-237354</v>
      </c>
      <c r="AY20" s="542">
        <v>-189883</v>
      </c>
      <c r="AZ20" s="542">
        <v>-42724</v>
      </c>
      <c r="BA20" s="542">
        <v>-4747</v>
      </c>
      <c r="BB20" s="542">
        <v>-474708</v>
      </c>
      <c r="BC20" s="542">
        <v>-444500</v>
      </c>
      <c r="BD20" s="542">
        <v>-355600</v>
      </c>
      <c r="BE20" s="542">
        <v>-80010</v>
      </c>
      <c r="BF20" s="542">
        <v>-8890</v>
      </c>
      <c r="BG20" s="542">
        <v>-889000</v>
      </c>
      <c r="BH20" s="542">
        <v>-4450000</v>
      </c>
      <c r="BI20" s="542">
        <v>-3560000</v>
      </c>
      <c r="BJ20" s="542">
        <v>-801000</v>
      </c>
      <c r="BK20" s="542">
        <v>-89000</v>
      </c>
      <c r="BL20" s="542">
        <v>-8900000</v>
      </c>
      <c r="BM20" s="542">
        <v>1641673</v>
      </c>
      <c r="BN20" s="542">
        <v>1313338</v>
      </c>
      <c r="BO20" s="542">
        <v>295501</v>
      </c>
      <c r="BP20" s="542">
        <v>32833</v>
      </c>
      <c r="BQ20" s="542">
        <v>3283345</v>
      </c>
      <c r="BR20" s="542">
        <v>-3841673</v>
      </c>
      <c r="BS20" s="542">
        <v>-3073338</v>
      </c>
      <c r="BT20" s="542">
        <v>-691501</v>
      </c>
      <c r="BU20" s="542">
        <v>-76833</v>
      </c>
      <c r="BV20" s="542">
        <v>-7683345</v>
      </c>
      <c r="BW20" s="542">
        <v>-6650000</v>
      </c>
      <c r="BX20" s="542">
        <v>-5320000</v>
      </c>
      <c r="BY20" s="542">
        <v>-1197000</v>
      </c>
      <c r="BZ20" s="542">
        <v>-133000</v>
      </c>
      <c r="CA20" s="542">
        <v>-13300000</v>
      </c>
    </row>
    <row r="21" spans="1:79" ht="12.75" x14ac:dyDescent="0.2">
      <c r="A21" s="93">
        <v>15</v>
      </c>
      <c r="B21" s="145" t="s">
        <v>589</v>
      </c>
      <c r="C21" s="141" t="s">
        <v>866</v>
      </c>
      <c r="D21" s="142" t="s">
        <v>867</v>
      </c>
      <c r="E21" s="149" t="s">
        <v>588</v>
      </c>
      <c r="F21" s="543">
        <v>0.5</v>
      </c>
      <c r="G21" s="543">
        <v>0.4</v>
      </c>
      <c r="H21" s="543">
        <v>0.09</v>
      </c>
      <c r="I21" s="543">
        <v>0.01</v>
      </c>
      <c r="J21" s="543">
        <v>1</v>
      </c>
      <c r="K21" s="542">
        <v>35212470</v>
      </c>
      <c r="L21" s="542">
        <v>28169975</v>
      </c>
      <c r="M21" s="542">
        <v>6338244</v>
      </c>
      <c r="N21" s="542">
        <v>704249</v>
      </c>
      <c r="O21" s="542">
        <v>70424938</v>
      </c>
      <c r="P21" s="542">
        <v>0</v>
      </c>
      <c r="Q21" s="542">
        <v>0</v>
      </c>
      <c r="R21" s="542">
        <v>35212470</v>
      </c>
      <c r="S21" s="542">
        <v>206524</v>
      </c>
      <c r="T21" s="542">
        <v>206524</v>
      </c>
      <c r="U21" s="542">
        <v>0</v>
      </c>
      <c r="V21" s="542">
        <v>0</v>
      </c>
      <c r="W21" s="542">
        <v>28735</v>
      </c>
      <c r="X21" s="542">
        <v>204806</v>
      </c>
      <c r="Y21" s="542">
        <v>233541</v>
      </c>
      <c r="Z21" s="542">
        <v>0</v>
      </c>
      <c r="AA21" s="542">
        <v>0</v>
      </c>
      <c r="AB21" s="542">
        <v>0</v>
      </c>
      <c r="AC21" s="542">
        <v>0</v>
      </c>
      <c r="AD21" s="542">
        <v>1022103</v>
      </c>
      <c r="AE21" s="542">
        <v>817682</v>
      </c>
      <c r="AF21" s="542">
        <v>183979</v>
      </c>
      <c r="AG21" s="542">
        <v>20442</v>
      </c>
      <c r="AH21" s="542">
        <v>2044206</v>
      </c>
      <c r="AI21" s="542">
        <v>-578414</v>
      </c>
      <c r="AJ21" s="542">
        <v>-462730</v>
      </c>
      <c r="AK21" s="542">
        <v>-104114</v>
      </c>
      <c r="AL21" s="542">
        <v>-11568</v>
      </c>
      <c r="AM21" s="542">
        <v>-1156826</v>
      </c>
      <c r="AN21" s="542">
        <v>-300000</v>
      </c>
      <c r="AO21" s="542">
        <v>-240000</v>
      </c>
      <c r="AP21" s="542">
        <v>-54000</v>
      </c>
      <c r="AQ21" s="542">
        <v>-6000</v>
      </c>
      <c r="AR21" s="542">
        <v>-600000</v>
      </c>
      <c r="AS21" s="542">
        <v>30046</v>
      </c>
      <c r="AT21" s="542">
        <v>24036</v>
      </c>
      <c r="AU21" s="542">
        <v>5408</v>
      </c>
      <c r="AV21" s="542">
        <v>601</v>
      </c>
      <c r="AW21" s="542">
        <v>60091</v>
      </c>
      <c r="AX21" s="542">
        <v>19954</v>
      </c>
      <c r="AY21" s="542">
        <v>15964</v>
      </c>
      <c r="AZ21" s="542">
        <v>3592</v>
      </c>
      <c r="BA21" s="542">
        <v>399</v>
      </c>
      <c r="BB21" s="542">
        <v>39909</v>
      </c>
      <c r="BC21" s="542">
        <v>-250000</v>
      </c>
      <c r="BD21" s="542">
        <v>-200000</v>
      </c>
      <c r="BE21" s="542">
        <v>-45000</v>
      </c>
      <c r="BF21" s="542">
        <v>-5000</v>
      </c>
      <c r="BG21" s="542">
        <v>-500000</v>
      </c>
      <c r="BH21" s="542">
        <v>-1550000</v>
      </c>
      <c r="BI21" s="542">
        <v>-1240000</v>
      </c>
      <c r="BJ21" s="542">
        <v>-279000</v>
      </c>
      <c r="BK21" s="542">
        <v>-31000</v>
      </c>
      <c r="BL21" s="542">
        <v>-3100000</v>
      </c>
      <c r="BM21" s="542">
        <v>981700</v>
      </c>
      <c r="BN21" s="542">
        <v>785360</v>
      </c>
      <c r="BO21" s="542">
        <v>176706</v>
      </c>
      <c r="BP21" s="542">
        <v>19634</v>
      </c>
      <c r="BQ21" s="542">
        <v>1963400</v>
      </c>
      <c r="BR21" s="542">
        <v>-2781700</v>
      </c>
      <c r="BS21" s="542">
        <v>-2225360</v>
      </c>
      <c r="BT21" s="542">
        <v>-500706</v>
      </c>
      <c r="BU21" s="542">
        <v>-55634</v>
      </c>
      <c r="BV21" s="542">
        <v>-5563400</v>
      </c>
      <c r="BW21" s="542">
        <v>-3350000</v>
      </c>
      <c r="BX21" s="542">
        <v>-2680000</v>
      </c>
      <c r="BY21" s="542">
        <v>-603000</v>
      </c>
      <c r="BZ21" s="542">
        <v>-67000</v>
      </c>
      <c r="CA21" s="542">
        <v>-6700000</v>
      </c>
    </row>
    <row r="22" spans="1:79" ht="12.75" x14ac:dyDescent="0.2">
      <c r="A22" s="93">
        <v>16</v>
      </c>
      <c r="B22" s="145" t="s">
        <v>591</v>
      </c>
      <c r="C22" s="141" t="s">
        <v>866</v>
      </c>
      <c r="D22" s="142" t="s">
        <v>869</v>
      </c>
      <c r="E22" s="149" t="s">
        <v>590</v>
      </c>
      <c r="F22" s="543">
        <v>0.5</v>
      </c>
      <c r="G22" s="543">
        <v>0.4</v>
      </c>
      <c r="H22" s="543">
        <v>0.09</v>
      </c>
      <c r="I22" s="543">
        <v>0.01</v>
      </c>
      <c r="J22" s="543">
        <v>1</v>
      </c>
      <c r="K22" s="542">
        <v>26869120</v>
      </c>
      <c r="L22" s="542">
        <v>21495295</v>
      </c>
      <c r="M22" s="542">
        <v>4836441</v>
      </c>
      <c r="N22" s="542">
        <v>537382</v>
      </c>
      <c r="O22" s="542">
        <v>53738238</v>
      </c>
      <c r="P22" s="542">
        <v>0</v>
      </c>
      <c r="Q22" s="542">
        <v>0</v>
      </c>
      <c r="R22" s="542">
        <v>26869120</v>
      </c>
      <c r="S22" s="542">
        <v>165835</v>
      </c>
      <c r="T22" s="542">
        <v>165835</v>
      </c>
      <c r="U22" s="542">
        <v>0</v>
      </c>
      <c r="V22" s="542">
        <v>0</v>
      </c>
      <c r="W22" s="542">
        <v>103751</v>
      </c>
      <c r="X22" s="542">
        <v>11528</v>
      </c>
      <c r="Y22" s="542">
        <v>115279</v>
      </c>
      <c r="Z22" s="542">
        <v>0</v>
      </c>
      <c r="AA22" s="542">
        <v>0</v>
      </c>
      <c r="AB22" s="542">
        <v>0</v>
      </c>
      <c r="AC22" s="542">
        <v>0</v>
      </c>
      <c r="AD22" s="542">
        <v>1041437</v>
      </c>
      <c r="AE22" s="542">
        <v>833150</v>
      </c>
      <c r="AF22" s="542">
        <v>187459</v>
      </c>
      <c r="AG22" s="542">
        <v>20829</v>
      </c>
      <c r="AH22" s="542">
        <v>2082875</v>
      </c>
      <c r="AI22" s="542">
        <v>-394651</v>
      </c>
      <c r="AJ22" s="542">
        <v>-315721</v>
      </c>
      <c r="AK22" s="542">
        <v>-71037</v>
      </c>
      <c r="AL22" s="542">
        <v>-7893</v>
      </c>
      <c r="AM22" s="542">
        <v>-789302</v>
      </c>
      <c r="AN22" s="542">
        <v>-402600</v>
      </c>
      <c r="AO22" s="542">
        <v>-322080</v>
      </c>
      <c r="AP22" s="542">
        <v>-72468</v>
      </c>
      <c r="AQ22" s="542">
        <v>-8052</v>
      </c>
      <c r="AR22" s="542">
        <v>-805200</v>
      </c>
      <c r="AS22" s="542">
        <v>111299</v>
      </c>
      <c r="AT22" s="542">
        <v>89039</v>
      </c>
      <c r="AU22" s="542">
        <v>20034</v>
      </c>
      <c r="AV22" s="542">
        <v>2226</v>
      </c>
      <c r="AW22" s="542">
        <v>222598</v>
      </c>
      <c r="AX22" s="542">
        <v>-139249</v>
      </c>
      <c r="AY22" s="542">
        <v>-111399</v>
      </c>
      <c r="AZ22" s="542">
        <v>-25065</v>
      </c>
      <c r="BA22" s="542">
        <v>-2785</v>
      </c>
      <c r="BB22" s="542">
        <v>-278498</v>
      </c>
      <c r="BC22" s="542">
        <v>-430550</v>
      </c>
      <c r="BD22" s="542">
        <v>-344440</v>
      </c>
      <c r="BE22" s="542">
        <v>-77499</v>
      </c>
      <c r="BF22" s="542">
        <v>-8611</v>
      </c>
      <c r="BG22" s="542">
        <v>-861100</v>
      </c>
      <c r="BH22" s="542">
        <v>-1121834</v>
      </c>
      <c r="BI22" s="542">
        <v>-897466</v>
      </c>
      <c r="BJ22" s="542">
        <v>-201930</v>
      </c>
      <c r="BK22" s="542">
        <v>-22436</v>
      </c>
      <c r="BL22" s="542">
        <v>-2243666</v>
      </c>
      <c r="BM22" s="542">
        <v>598624</v>
      </c>
      <c r="BN22" s="542">
        <v>478898</v>
      </c>
      <c r="BO22" s="542">
        <v>107752</v>
      </c>
      <c r="BP22" s="542">
        <v>11972</v>
      </c>
      <c r="BQ22" s="542">
        <v>1197246</v>
      </c>
      <c r="BR22" s="542">
        <v>-1607238</v>
      </c>
      <c r="BS22" s="542">
        <v>-1285790</v>
      </c>
      <c r="BT22" s="542">
        <v>-289303</v>
      </c>
      <c r="BU22" s="542">
        <v>-32145</v>
      </c>
      <c r="BV22" s="542">
        <v>-3214476</v>
      </c>
      <c r="BW22" s="542">
        <v>-2130448</v>
      </c>
      <c r="BX22" s="542">
        <v>-1704358</v>
      </c>
      <c r="BY22" s="542">
        <v>-383481</v>
      </c>
      <c r="BZ22" s="542">
        <v>-42609</v>
      </c>
      <c r="CA22" s="542">
        <v>-4260896</v>
      </c>
    </row>
    <row r="23" spans="1:79" ht="12.75" x14ac:dyDescent="0.2">
      <c r="A23" s="93">
        <v>17</v>
      </c>
      <c r="B23" s="145" t="s">
        <v>593</v>
      </c>
      <c r="C23" s="141" t="s">
        <v>770</v>
      </c>
      <c r="D23" s="142" t="s">
        <v>875</v>
      </c>
      <c r="E23" s="149" t="s">
        <v>592</v>
      </c>
      <c r="F23" s="543">
        <v>0.5</v>
      </c>
      <c r="G23" s="543">
        <v>0.49</v>
      </c>
      <c r="H23" s="543">
        <v>0</v>
      </c>
      <c r="I23" s="543">
        <v>0.01</v>
      </c>
      <c r="J23" s="543">
        <v>1</v>
      </c>
      <c r="K23" s="542">
        <v>30076139</v>
      </c>
      <c r="L23" s="542">
        <v>29474617</v>
      </c>
      <c r="M23" s="542">
        <v>0</v>
      </c>
      <c r="N23" s="542">
        <v>601523</v>
      </c>
      <c r="O23" s="542">
        <v>60152279</v>
      </c>
      <c r="P23" s="542">
        <v>0</v>
      </c>
      <c r="Q23" s="542">
        <v>0</v>
      </c>
      <c r="R23" s="542">
        <v>30076139</v>
      </c>
      <c r="S23" s="542">
        <v>261473</v>
      </c>
      <c r="T23" s="542">
        <v>261473</v>
      </c>
      <c r="U23" s="542">
        <v>741828</v>
      </c>
      <c r="V23" s="542">
        <v>741828</v>
      </c>
      <c r="W23" s="542">
        <v>0</v>
      </c>
      <c r="X23" s="542">
        <v>0</v>
      </c>
      <c r="Y23" s="542">
        <v>0</v>
      </c>
      <c r="Z23" s="542">
        <v>0</v>
      </c>
      <c r="AA23" s="542">
        <v>0</v>
      </c>
      <c r="AB23" s="542">
        <v>0</v>
      </c>
      <c r="AC23" s="542">
        <v>0</v>
      </c>
      <c r="AD23" s="542">
        <v>1221045</v>
      </c>
      <c r="AE23" s="542">
        <v>1196624</v>
      </c>
      <c r="AF23" s="542">
        <v>0</v>
      </c>
      <c r="AG23" s="542">
        <v>24421</v>
      </c>
      <c r="AH23" s="542">
        <v>2442090</v>
      </c>
      <c r="AI23" s="542">
        <v>-675977</v>
      </c>
      <c r="AJ23" s="542">
        <v>-662457</v>
      </c>
      <c r="AK23" s="542">
        <v>0</v>
      </c>
      <c r="AL23" s="542">
        <v>-13520</v>
      </c>
      <c r="AM23" s="542">
        <v>-1351954</v>
      </c>
      <c r="AN23" s="542">
        <v>-238054</v>
      </c>
      <c r="AO23" s="542">
        <v>-233293</v>
      </c>
      <c r="AP23" s="542">
        <v>0</v>
      </c>
      <c r="AQ23" s="542">
        <v>-4761</v>
      </c>
      <c r="AR23" s="542">
        <v>-476108</v>
      </c>
      <c r="AS23" s="542">
        <v>161583</v>
      </c>
      <c r="AT23" s="542">
        <v>158352</v>
      </c>
      <c r="AU23" s="542">
        <v>0</v>
      </c>
      <c r="AV23" s="542">
        <v>3232</v>
      </c>
      <c r="AW23" s="542">
        <v>323167</v>
      </c>
      <c r="AX23" s="542">
        <v>-176878</v>
      </c>
      <c r="AY23" s="542">
        <v>-173340</v>
      </c>
      <c r="AZ23" s="542">
        <v>0</v>
      </c>
      <c r="BA23" s="542">
        <v>-3538</v>
      </c>
      <c r="BB23" s="542">
        <v>-353756</v>
      </c>
      <c r="BC23" s="542">
        <v>-253349</v>
      </c>
      <c r="BD23" s="542">
        <v>-248281</v>
      </c>
      <c r="BE23" s="542">
        <v>0</v>
      </c>
      <c r="BF23" s="542">
        <v>-5067</v>
      </c>
      <c r="BG23" s="542">
        <v>-506697</v>
      </c>
      <c r="BH23" s="542">
        <v>-1590762</v>
      </c>
      <c r="BI23" s="542">
        <v>-1558948</v>
      </c>
      <c r="BJ23" s="542">
        <v>0</v>
      </c>
      <c r="BK23" s="542">
        <v>-31815</v>
      </c>
      <c r="BL23" s="542">
        <v>-3181525</v>
      </c>
      <c r="BM23" s="542">
        <v>986065</v>
      </c>
      <c r="BN23" s="542">
        <v>966344</v>
      </c>
      <c r="BO23" s="542">
        <v>0</v>
      </c>
      <c r="BP23" s="542">
        <v>19721</v>
      </c>
      <c r="BQ23" s="542">
        <v>1972130</v>
      </c>
      <c r="BR23" s="542">
        <v>-1646641</v>
      </c>
      <c r="BS23" s="542">
        <v>-1613708</v>
      </c>
      <c r="BT23" s="542">
        <v>0</v>
      </c>
      <c r="BU23" s="542">
        <v>-32933</v>
      </c>
      <c r="BV23" s="542">
        <v>-3293282</v>
      </c>
      <c r="BW23" s="542">
        <v>-2251338</v>
      </c>
      <c r="BX23" s="542">
        <v>-2206312</v>
      </c>
      <c r="BY23" s="542">
        <v>0</v>
      </c>
      <c r="BZ23" s="542">
        <v>-45027</v>
      </c>
      <c r="CA23" s="542">
        <v>-4502677</v>
      </c>
    </row>
    <row r="24" spans="1:79" ht="12.75" x14ac:dyDescent="0.2">
      <c r="A24" s="93">
        <v>18</v>
      </c>
      <c r="B24" s="145" t="s">
        <v>595</v>
      </c>
      <c r="C24" s="141" t="s">
        <v>770</v>
      </c>
      <c r="D24" s="142" t="s">
        <v>870</v>
      </c>
      <c r="E24" s="149" t="s">
        <v>594</v>
      </c>
      <c r="F24" s="543">
        <v>0.5</v>
      </c>
      <c r="G24" s="543">
        <v>0.49</v>
      </c>
      <c r="H24" s="543">
        <v>0</v>
      </c>
      <c r="I24" s="543">
        <v>0.01</v>
      </c>
      <c r="J24" s="543">
        <v>1</v>
      </c>
      <c r="K24" s="542">
        <v>30649324</v>
      </c>
      <c r="L24" s="542">
        <v>30036338</v>
      </c>
      <c r="M24" s="542">
        <v>0</v>
      </c>
      <c r="N24" s="542">
        <v>612986</v>
      </c>
      <c r="O24" s="542">
        <v>61298648</v>
      </c>
      <c r="P24" s="542">
        <v>0</v>
      </c>
      <c r="Q24" s="542">
        <v>0</v>
      </c>
      <c r="R24" s="542">
        <v>30649324</v>
      </c>
      <c r="S24" s="542">
        <v>234144</v>
      </c>
      <c r="T24" s="542">
        <v>234144</v>
      </c>
      <c r="U24" s="542">
        <v>0</v>
      </c>
      <c r="V24" s="542">
        <v>0</v>
      </c>
      <c r="W24" s="542">
        <v>0</v>
      </c>
      <c r="X24" s="542">
        <v>0</v>
      </c>
      <c r="Y24" s="542">
        <v>0</v>
      </c>
      <c r="Z24" s="542">
        <v>0</v>
      </c>
      <c r="AA24" s="542">
        <v>0</v>
      </c>
      <c r="AB24" s="542">
        <v>0</v>
      </c>
      <c r="AC24" s="542">
        <v>0</v>
      </c>
      <c r="AD24" s="542">
        <v>1058457</v>
      </c>
      <c r="AE24" s="542">
        <v>1037288</v>
      </c>
      <c r="AF24" s="542">
        <v>0</v>
      </c>
      <c r="AG24" s="542">
        <v>21169</v>
      </c>
      <c r="AH24" s="542">
        <v>2116914</v>
      </c>
      <c r="AI24" s="542">
        <v>-143036</v>
      </c>
      <c r="AJ24" s="542">
        <v>-140175</v>
      </c>
      <c r="AK24" s="542">
        <v>0</v>
      </c>
      <c r="AL24" s="542">
        <v>-2861</v>
      </c>
      <c r="AM24" s="542">
        <v>-286072</v>
      </c>
      <c r="AN24" s="542">
        <v>-640354</v>
      </c>
      <c r="AO24" s="542">
        <v>-627547</v>
      </c>
      <c r="AP24" s="542">
        <v>0</v>
      </c>
      <c r="AQ24" s="542">
        <v>-12807</v>
      </c>
      <c r="AR24" s="542">
        <v>-1280708</v>
      </c>
      <c r="AS24" s="542">
        <v>132107</v>
      </c>
      <c r="AT24" s="542">
        <v>129465</v>
      </c>
      <c r="AU24" s="542">
        <v>0</v>
      </c>
      <c r="AV24" s="542">
        <v>2642</v>
      </c>
      <c r="AW24" s="542">
        <v>264214</v>
      </c>
      <c r="AX24" s="542">
        <v>-246307</v>
      </c>
      <c r="AY24" s="542">
        <v>-241380</v>
      </c>
      <c r="AZ24" s="542">
        <v>0</v>
      </c>
      <c r="BA24" s="542">
        <v>-4926</v>
      </c>
      <c r="BB24" s="542">
        <v>-492613</v>
      </c>
      <c r="BC24" s="542">
        <v>-754554</v>
      </c>
      <c r="BD24" s="542">
        <v>-739462</v>
      </c>
      <c r="BE24" s="542">
        <v>0</v>
      </c>
      <c r="BF24" s="542">
        <v>-15091</v>
      </c>
      <c r="BG24" s="542">
        <v>-1509107</v>
      </c>
      <c r="BH24" s="542">
        <v>-1100000</v>
      </c>
      <c r="BI24" s="542">
        <v>-1078000</v>
      </c>
      <c r="BJ24" s="542">
        <v>0</v>
      </c>
      <c r="BK24" s="542">
        <v>-22000</v>
      </c>
      <c r="BL24" s="542">
        <v>-2200000</v>
      </c>
      <c r="BM24" s="542">
        <v>843446</v>
      </c>
      <c r="BN24" s="542">
        <v>826577</v>
      </c>
      <c r="BO24" s="542">
        <v>0</v>
      </c>
      <c r="BP24" s="542">
        <v>16869</v>
      </c>
      <c r="BQ24" s="542">
        <v>1686892</v>
      </c>
      <c r="BR24" s="542">
        <v>-2075986</v>
      </c>
      <c r="BS24" s="542">
        <v>-2034467</v>
      </c>
      <c r="BT24" s="542">
        <v>0</v>
      </c>
      <c r="BU24" s="542">
        <v>-41520</v>
      </c>
      <c r="BV24" s="542">
        <v>-4151973</v>
      </c>
      <c r="BW24" s="542">
        <v>-2332540</v>
      </c>
      <c r="BX24" s="542">
        <v>-2285890</v>
      </c>
      <c r="BY24" s="542">
        <v>0</v>
      </c>
      <c r="BZ24" s="542">
        <v>-46651</v>
      </c>
      <c r="CA24" s="542">
        <v>-4665081</v>
      </c>
    </row>
    <row r="25" spans="1:79" ht="12.75" x14ac:dyDescent="0.2">
      <c r="A25" s="93">
        <v>19</v>
      </c>
      <c r="B25" s="145" t="s">
        <v>597</v>
      </c>
      <c r="C25" s="141" t="s">
        <v>871</v>
      </c>
      <c r="D25" s="142" t="s">
        <v>872</v>
      </c>
      <c r="E25" s="149" t="s">
        <v>596</v>
      </c>
      <c r="F25" s="543">
        <v>0.5</v>
      </c>
      <c r="G25" s="543">
        <v>0.3</v>
      </c>
      <c r="H25" s="543">
        <v>0.2</v>
      </c>
      <c r="I25" s="543">
        <v>0</v>
      </c>
      <c r="J25" s="543">
        <v>1</v>
      </c>
      <c r="K25" s="542">
        <v>32232923</v>
      </c>
      <c r="L25" s="542">
        <v>19339754</v>
      </c>
      <c r="M25" s="542">
        <v>12893169</v>
      </c>
      <c r="N25" s="542">
        <v>0</v>
      </c>
      <c r="O25" s="542">
        <v>64465846</v>
      </c>
      <c r="P25" s="542">
        <v>0</v>
      </c>
      <c r="Q25" s="542">
        <v>0</v>
      </c>
      <c r="R25" s="542">
        <v>32232923</v>
      </c>
      <c r="S25" s="542">
        <v>262101</v>
      </c>
      <c r="T25" s="542">
        <v>262101</v>
      </c>
      <c r="U25" s="542">
        <v>0</v>
      </c>
      <c r="V25" s="542">
        <v>0</v>
      </c>
      <c r="W25" s="542">
        <v>0</v>
      </c>
      <c r="X25" s="542">
        <v>0</v>
      </c>
      <c r="Y25" s="542">
        <v>0</v>
      </c>
      <c r="Z25" s="542">
        <v>0</v>
      </c>
      <c r="AA25" s="542">
        <v>0</v>
      </c>
      <c r="AB25" s="542">
        <v>0</v>
      </c>
      <c r="AC25" s="542">
        <v>0</v>
      </c>
      <c r="AD25" s="542">
        <v>1215921</v>
      </c>
      <c r="AE25" s="542">
        <v>729553</v>
      </c>
      <c r="AF25" s="542">
        <v>486369</v>
      </c>
      <c r="AG25" s="542">
        <v>0</v>
      </c>
      <c r="AH25" s="542">
        <v>2431843</v>
      </c>
      <c r="AI25" s="542">
        <v>-2354994</v>
      </c>
      <c r="AJ25" s="542">
        <v>-1412996</v>
      </c>
      <c r="AK25" s="542">
        <v>-941998</v>
      </c>
      <c r="AL25" s="542">
        <v>0</v>
      </c>
      <c r="AM25" s="542">
        <v>-4709988</v>
      </c>
      <c r="AN25" s="542">
        <v>-1028500</v>
      </c>
      <c r="AO25" s="542">
        <v>-617100</v>
      </c>
      <c r="AP25" s="542">
        <v>-411400</v>
      </c>
      <c r="AQ25" s="542">
        <v>0</v>
      </c>
      <c r="AR25" s="542">
        <v>-2057000</v>
      </c>
      <c r="AS25" s="542">
        <v>0</v>
      </c>
      <c r="AT25" s="542">
        <v>0</v>
      </c>
      <c r="AU25" s="542">
        <v>0</v>
      </c>
      <c r="AV25" s="542">
        <v>0</v>
      </c>
      <c r="AW25" s="542">
        <v>0</v>
      </c>
      <c r="AX25" s="542">
        <v>49500</v>
      </c>
      <c r="AY25" s="542">
        <v>29700</v>
      </c>
      <c r="AZ25" s="542">
        <v>19800</v>
      </c>
      <c r="BA25" s="542">
        <v>0</v>
      </c>
      <c r="BB25" s="542">
        <v>99000</v>
      </c>
      <c r="BC25" s="542">
        <v>-979000</v>
      </c>
      <c r="BD25" s="542">
        <v>-587400</v>
      </c>
      <c r="BE25" s="542">
        <v>-391600</v>
      </c>
      <c r="BF25" s="542">
        <v>0</v>
      </c>
      <c r="BG25" s="542">
        <v>-1958000</v>
      </c>
      <c r="BH25" s="542">
        <v>-2718345</v>
      </c>
      <c r="BI25" s="542">
        <v>-1631008</v>
      </c>
      <c r="BJ25" s="542">
        <v>-1087338</v>
      </c>
      <c r="BK25" s="542">
        <v>0</v>
      </c>
      <c r="BL25" s="542">
        <v>-5436691</v>
      </c>
      <c r="BM25" s="542">
        <v>0</v>
      </c>
      <c r="BN25" s="542">
        <v>0</v>
      </c>
      <c r="BO25" s="542">
        <v>0</v>
      </c>
      <c r="BP25" s="542">
        <v>0</v>
      </c>
      <c r="BQ25" s="542">
        <v>0</v>
      </c>
      <c r="BR25" s="542">
        <v>-601941</v>
      </c>
      <c r="BS25" s="542">
        <v>-361165</v>
      </c>
      <c r="BT25" s="542">
        <v>-240777</v>
      </c>
      <c r="BU25" s="542">
        <v>0</v>
      </c>
      <c r="BV25" s="542">
        <v>-1203883</v>
      </c>
      <c r="BW25" s="542">
        <v>-3320286</v>
      </c>
      <c r="BX25" s="542">
        <v>-1992173</v>
      </c>
      <c r="BY25" s="542">
        <v>-1328115</v>
      </c>
      <c r="BZ25" s="542">
        <v>0</v>
      </c>
      <c r="CA25" s="542">
        <v>-6640574</v>
      </c>
    </row>
    <row r="26" spans="1:79" ht="12.75" x14ac:dyDescent="0.2">
      <c r="A26" s="93">
        <v>20</v>
      </c>
      <c r="B26" s="145" t="s">
        <v>599</v>
      </c>
      <c r="C26" s="141" t="s">
        <v>873</v>
      </c>
      <c r="D26" s="142" t="s">
        <v>876</v>
      </c>
      <c r="E26" s="149" t="s">
        <v>598</v>
      </c>
      <c r="F26" s="543">
        <v>0.5</v>
      </c>
      <c r="G26" s="543">
        <v>0.49</v>
      </c>
      <c r="H26" s="543">
        <v>0</v>
      </c>
      <c r="I26" s="543">
        <v>0.01</v>
      </c>
      <c r="J26" s="543">
        <v>1</v>
      </c>
      <c r="K26" s="542">
        <v>196389816</v>
      </c>
      <c r="L26" s="542">
        <v>192462020</v>
      </c>
      <c r="M26" s="542">
        <v>0</v>
      </c>
      <c r="N26" s="542">
        <v>3927796</v>
      </c>
      <c r="O26" s="542">
        <v>392779632</v>
      </c>
      <c r="P26" s="542">
        <v>488725.67</v>
      </c>
      <c r="Q26" s="542">
        <v>488725.67</v>
      </c>
      <c r="R26" s="542">
        <v>195901090</v>
      </c>
      <c r="S26" s="542">
        <v>1925309</v>
      </c>
      <c r="T26" s="542">
        <v>1925309</v>
      </c>
      <c r="U26" s="542">
        <v>1214671</v>
      </c>
      <c r="V26" s="542">
        <v>1214671</v>
      </c>
      <c r="W26" s="542">
        <v>0</v>
      </c>
      <c r="X26" s="542">
        <v>0</v>
      </c>
      <c r="Y26" s="542">
        <v>0</v>
      </c>
      <c r="Z26" s="542">
        <v>488725.67</v>
      </c>
      <c r="AA26" s="542">
        <v>0</v>
      </c>
      <c r="AB26" s="542">
        <v>0</v>
      </c>
      <c r="AC26" s="542">
        <v>488725.67</v>
      </c>
      <c r="AD26" s="542">
        <v>46951853</v>
      </c>
      <c r="AE26" s="542">
        <v>46012816</v>
      </c>
      <c r="AF26" s="542">
        <v>0</v>
      </c>
      <c r="AG26" s="542">
        <v>939037</v>
      </c>
      <c r="AH26" s="542">
        <v>93903706</v>
      </c>
      <c r="AI26" s="542">
        <v>-7513620</v>
      </c>
      <c r="AJ26" s="542">
        <v>-7363348</v>
      </c>
      <c r="AK26" s="542">
        <v>0</v>
      </c>
      <c r="AL26" s="542">
        <v>-150272</v>
      </c>
      <c r="AM26" s="542">
        <v>-15027240</v>
      </c>
      <c r="AN26" s="542">
        <v>-27720819</v>
      </c>
      <c r="AO26" s="542">
        <v>-27166404</v>
      </c>
      <c r="AP26" s="542">
        <v>0</v>
      </c>
      <c r="AQ26" s="542">
        <v>-554417</v>
      </c>
      <c r="AR26" s="542">
        <v>-55441640</v>
      </c>
      <c r="AS26" s="542">
        <v>5579127</v>
      </c>
      <c r="AT26" s="542">
        <v>5467544</v>
      </c>
      <c r="AU26" s="542">
        <v>0</v>
      </c>
      <c r="AV26" s="542">
        <v>111583</v>
      </c>
      <c r="AW26" s="542">
        <v>11158254</v>
      </c>
      <c r="AX26" s="542">
        <v>-4625695</v>
      </c>
      <c r="AY26" s="542">
        <v>-4533182</v>
      </c>
      <c r="AZ26" s="542">
        <v>0</v>
      </c>
      <c r="BA26" s="542">
        <v>-92514</v>
      </c>
      <c r="BB26" s="542">
        <v>-9251391</v>
      </c>
      <c r="BC26" s="542">
        <v>-26767387</v>
      </c>
      <c r="BD26" s="542">
        <v>-26232042</v>
      </c>
      <c r="BE26" s="542">
        <v>0</v>
      </c>
      <c r="BF26" s="542">
        <v>-535348</v>
      </c>
      <c r="BG26" s="542">
        <v>-53534777</v>
      </c>
      <c r="BH26" s="542">
        <v>-21709945</v>
      </c>
      <c r="BI26" s="542">
        <v>-21275746</v>
      </c>
      <c r="BJ26" s="542">
        <v>0</v>
      </c>
      <c r="BK26" s="542">
        <v>-434199</v>
      </c>
      <c r="BL26" s="542">
        <v>-43419890</v>
      </c>
      <c r="BM26" s="542">
        <v>14371638</v>
      </c>
      <c r="BN26" s="542">
        <v>14084205</v>
      </c>
      <c r="BO26" s="542">
        <v>0</v>
      </c>
      <c r="BP26" s="542">
        <v>287433</v>
      </c>
      <c r="BQ26" s="542">
        <v>28743276</v>
      </c>
      <c r="BR26" s="542">
        <v>-14791381</v>
      </c>
      <c r="BS26" s="542">
        <v>-14495554</v>
      </c>
      <c r="BT26" s="542">
        <v>0</v>
      </c>
      <c r="BU26" s="542">
        <v>-295828</v>
      </c>
      <c r="BV26" s="542">
        <v>-29582763</v>
      </c>
      <c r="BW26" s="542">
        <v>-22129688</v>
      </c>
      <c r="BX26" s="542">
        <v>-21687095</v>
      </c>
      <c r="BY26" s="542">
        <v>0</v>
      </c>
      <c r="BZ26" s="542">
        <v>-442594</v>
      </c>
      <c r="CA26" s="542">
        <v>-44259377</v>
      </c>
    </row>
    <row r="27" spans="1:79" ht="12.75" x14ac:dyDescent="0.2">
      <c r="A27" s="93">
        <v>21</v>
      </c>
      <c r="B27" s="145" t="s">
        <v>601</v>
      </c>
      <c r="C27" s="141" t="s">
        <v>866</v>
      </c>
      <c r="D27" s="142" t="s">
        <v>869</v>
      </c>
      <c r="E27" s="149" t="s">
        <v>600</v>
      </c>
      <c r="F27" s="543">
        <v>0.5</v>
      </c>
      <c r="G27" s="543">
        <v>0.4</v>
      </c>
      <c r="H27" s="543">
        <v>0.09</v>
      </c>
      <c r="I27" s="543">
        <v>0.01</v>
      </c>
      <c r="J27" s="543">
        <v>1</v>
      </c>
      <c r="K27" s="542">
        <v>19593805</v>
      </c>
      <c r="L27" s="542">
        <v>15675044</v>
      </c>
      <c r="M27" s="542">
        <v>3526885</v>
      </c>
      <c r="N27" s="542">
        <v>391876</v>
      </c>
      <c r="O27" s="542">
        <v>39187610</v>
      </c>
      <c r="P27" s="542">
        <v>0</v>
      </c>
      <c r="Q27" s="542">
        <v>0</v>
      </c>
      <c r="R27" s="542">
        <v>19593805</v>
      </c>
      <c r="S27" s="542">
        <v>101208</v>
      </c>
      <c r="T27" s="542">
        <v>101208</v>
      </c>
      <c r="U27" s="542">
        <v>0</v>
      </c>
      <c r="V27" s="542">
        <v>0</v>
      </c>
      <c r="W27" s="542">
        <v>0</v>
      </c>
      <c r="X27" s="542">
        <v>0</v>
      </c>
      <c r="Y27" s="542">
        <v>0</v>
      </c>
      <c r="Z27" s="542">
        <v>0</v>
      </c>
      <c r="AA27" s="542">
        <v>0</v>
      </c>
      <c r="AB27" s="542">
        <v>0</v>
      </c>
      <c r="AC27" s="542">
        <v>0</v>
      </c>
      <c r="AD27" s="542">
        <v>337842</v>
      </c>
      <c r="AE27" s="542">
        <v>270274</v>
      </c>
      <c r="AF27" s="542">
        <v>60812</v>
      </c>
      <c r="AG27" s="542">
        <v>6757</v>
      </c>
      <c r="AH27" s="542">
        <v>675685</v>
      </c>
      <c r="AI27" s="542">
        <v>-541146</v>
      </c>
      <c r="AJ27" s="542">
        <v>-432916</v>
      </c>
      <c r="AK27" s="542">
        <v>-97406</v>
      </c>
      <c r="AL27" s="542">
        <v>-10823</v>
      </c>
      <c r="AM27" s="542">
        <v>-1082291</v>
      </c>
      <c r="AN27" s="542">
        <v>-120912</v>
      </c>
      <c r="AO27" s="542">
        <v>-96729</v>
      </c>
      <c r="AP27" s="542">
        <v>-21764</v>
      </c>
      <c r="AQ27" s="542">
        <v>-2418</v>
      </c>
      <c r="AR27" s="542">
        <v>-241823</v>
      </c>
      <c r="AS27" s="542">
        <v>0</v>
      </c>
      <c r="AT27" s="542">
        <v>0</v>
      </c>
      <c r="AU27" s="542">
        <v>0</v>
      </c>
      <c r="AV27" s="542">
        <v>0</v>
      </c>
      <c r="AW27" s="542">
        <v>0</v>
      </c>
      <c r="AX27" s="542">
        <v>5014</v>
      </c>
      <c r="AY27" s="542">
        <v>4011</v>
      </c>
      <c r="AZ27" s="542">
        <v>902</v>
      </c>
      <c r="BA27" s="542">
        <v>100</v>
      </c>
      <c r="BB27" s="542">
        <v>10027</v>
      </c>
      <c r="BC27" s="542">
        <v>-115898</v>
      </c>
      <c r="BD27" s="542">
        <v>-92718</v>
      </c>
      <c r="BE27" s="542">
        <v>-20862</v>
      </c>
      <c r="BF27" s="542">
        <v>-2318</v>
      </c>
      <c r="BG27" s="542">
        <v>-231796</v>
      </c>
      <c r="BH27" s="542">
        <v>-1386215</v>
      </c>
      <c r="BI27" s="542">
        <v>-1108970</v>
      </c>
      <c r="BJ27" s="542">
        <v>-249518</v>
      </c>
      <c r="BK27" s="542">
        <v>-27724</v>
      </c>
      <c r="BL27" s="542">
        <v>-2772427</v>
      </c>
      <c r="BM27" s="542">
        <v>347823</v>
      </c>
      <c r="BN27" s="542">
        <v>278258</v>
      </c>
      <c r="BO27" s="542">
        <v>62608</v>
      </c>
      <c r="BP27" s="542">
        <v>6956</v>
      </c>
      <c r="BQ27" s="542">
        <v>695645</v>
      </c>
      <c r="BR27" s="542">
        <v>-1490738</v>
      </c>
      <c r="BS27" s="542">
        <v>-1192591</v>
      </c>
      <c r="BT27" s="542">
        <v>-268333</v>
      </c>
      <c r="BU27" s="542">
        <v>-29815</v>
      </c>
      <c r="BV27" s="542">
        <v>-2981477</v>
      </c>
      <c r="BW27" s="542">
        <v>-2529130</v>
      </c>
      <c r="BX27" s="542">
        <v>-2023303</v>
      </c>
      <c r="BY27" s="542">
        <v>-455243</v>
      </c>
      <c r="BZ27" s="542">
        <v>-50583</v>
      </c>
      <c r="CA27" s="542">
        <v>-5058259</v>
      </c>
    </row>
    <row r="28" spans="1:79" ht="12.75" x14ac:dyDescent="0.2">
      <c r="A28" s="93">
        <v>22</v>
      </c>
      <c r="B28" s="145" t="s">
        <v>603</v>
      </c>
      <c r="C28" s="141" t="s">
        <v>770</v>
      </c>
      <c r="D28" s="142" t="s">
        <v>868</v>
      </c>
      <c r="E28" s="149" t="s">
        <v>689</v>
      </c>
      <c r="F28" s="543">
        <v>0.5</v>
      </c>
      <c r="G28" s="543">
        <v>0.49</v>
      </c>
      <c r="H28" s="543">
        <v>0</v>
      </c>
      <c r="I28" s="543">
        <v>0.01</v>
      </c>
      <c r="J28" s="543">
        <v>1</v>
      </c>
      <c r="K28" s="542">
        <v>22846124</v>
      </c>
      <c r="L28" s="542">
        <v>22389202</v>
      </c>
      <c r="M28" s="542">
        <v>0</v>
      </c>
      <c r="N28" s="542">
        <v>456922</v>
      </c>
      <c r="O28" s="542">
        <v>45692248</v>
      </c>
      <c r="P28" s="542">
        <v>0</v>
      </c>
      <c r="Q28" s="542">
        <v>0</v>
      </c>
      <c r="R28" s="542">
        <v>22846124</v>
      </c>
      <c r="S28" s="542">
        <v>250620</v>
      </c>
      <c r="T28" s="542">
        <v>250620</v>
      </c>
      <c r="U28" s="542">
        <v>0</v>
      </c>
      <c r="V28" s="542">
        <v>0</v>
      </c>
      <c r="W28" s="542">
        <v>0</v>
      </c>
      <c r="X28" s="542">
        <v>0</v>
      </c>
      <c r="Y28" s="542">
        <v>0</v>
      </c>
      <c r="Z28" s="542">
        <v>0</v>
      </c>
      <c r="AA28" s="542">
        <v>0</v>
      </c>
      <c r="AB28" s="542">
        <v>0</v>
      </c>
      <c r="AC28" s="542">
        <v>0</v>
      </c>
      <c r="AD28" s="542">
        <v>1278189</v>
      </c>
      <c r="AE28" s="542">
        <v>1252625</v>
      </c>
      <c r="AF28" s="542">
        <v>0</v>
      </c>
      <c r="AG28" s="542">
        <v>25564</v>
      </c>
      <c r="AH28" s="542">
        <v>2556378</v>
      </c>
      <c r="AI28" s="542">
        <v>-314385</v>
      </c>
      <c r="AJ28" s="542">
        <v>-308097</v>
      </c>
      <c r="AK28" s="542">
        <v>0</v>
      </c>
      <c r="AL28" s="542">
        <v>-6288</v>
      </c>
      <c r="AM28" s="542">
        <v>-628770</v>
      </c>
      <c r="AN28" s="542">
        <v>-721500</v>
      </c>
      <c r="AO28" s="542">
        <v>-707070</v>
      </c>
      <c r="AP28" s="542">
        <v>0</v>
      </c>
      <c r="AQ28" s="542">
        <v>-14430</v>
      </c>
      <c r="AR28" s="542">
        <v>-1443000</v>
      </c>
      <c r="AS28" s="542">
        <v>219838</v>
      </c>
      <c r="AT28" s="542">
        <v>215442</v>
      </c>
      <c r="AU28" s="542">
        <v>0</v>
      </c>
      <c r="AV28" s="542">
        <v>4397</v>
      </c>
      <c r="AW28" s="542">
        <v>439677</v>
      </c>
      <c r="AX28" s="542">
        <v>-266338</v>
      </c>
      <c r="AY28" s="542">
        <v>-261012</v>
      </c>
      <c r="AZ28" s="542">
        <v>0</v>
      </c>
      <c r="BA28" s="542">
        <v>-5327</v>
      </c>
      <c r="BB28" s="542">
        <v>-532677</v>
      </c>
      <c r="BC28" s="542">
        <v>-768000</v>
      </c>
      <c r="BD28" s="542">
        <v>-752640</v>
      </c>
      <c r="BE28" s="542">
        <v>0</v>
      </c>
      <c r="BF28" s="542">
        <v>-15360</v>
      </c>
      <c r="BG28" s="542">
        <v>-1536000</v>
      </c>
      <c r="BH28" s="542">
        <v>-1790000</v>
      </c>
      <c r="BI28" s="542">
        <v>-1754200</v>
      </c>
      <c r="BJ28" s="542">
        <v>0</v>
      </c>
      <c r="BK28" s="542">
        <v>-35800</v>
      </c>
      <c r="BL28" s="542">
        <v>-3580000</v>
      </c>
      <c r="BM28" s="542">
        <v>1046922</v>
      </c>
      <c r="BN28" s="542">
        <v>1025983</v>
      </c>
      <c r="BO28" s="542">
        <v>0</v>
      </c>
      <c r="BP28" s="542">
        <v>20938</v>
      </c>
      <c r="BQ28" s="542">
        <v>2093843</v>
      </c>
      <c r="BR28" s="542">
        <v>-1291396</v>
      </c>
      <c r="BS28" s="542">
        <v>-1265569</v>
      </c>
      <c r="BT28" s="542">
        <v>0</v>
      </c>
      <c r="BU28" s="542">
        <v>-25828</v>
      </c>
      <c r="BV28" s="542">
        <v>-2582793</v>
      </c>
      <c r="BW28" s="542">
        <v>-2034474</v>
      </c>
      <c r="BX28" s="542">
        <v>-1993786</v>
      </c>
      <c r="BY28" s="542">
        <v>0</v>
      </c>
      <c r="BZ28" s="542">
        <v>-40690</v>
      </c>
      <c r="CA28" s="542">
        <v>-4068950</v>
      </c>
    </row>
    <row r="29" spans="1:79" ht="12.75" x14ac:dyDescent="0.2">
      <c r="A29" s="93">
        <v>23</v>
      </c>
      <c r="B29" s="145" t="s">
        <v>605</v>
      </c>
      <c r="C29" s="141" t="s">
        <v>770</v>
      </c>
      <c r="D29" s="142" t="s">
        <v>868</v>
      </c>
      <c r="E29" s="149" t="s">
        <v>690</v>
      </c>
      <c r="F29" s="543">
        <v>0.5</v>
      </c>
      <c r="G29" s="543">
        <v>0.49</v>
      </c>
      <c r="H29" s="543">
        <v>0</v>
      </c>
      <c r="I29" s="543">
        <v>0.01</v>
      </c>
      <c r="J29" s="543">
        <v>1</v>
      </c>
      <c r="K29" s="542">
        <v>20122006</v>
      </c>
      <c r="L29" s="542">
        <v>19719566</v>
      </c>
      <c r="M29" s="542">
        <v>0</v>
      </c>
      <c r="N29" s="542">
        <v>402440</v>
      </c>
      <c r="O29" s="542">
        <v>40244012</v>
      </c>
      <c r="P29" s="542">
        <v>0</v>
      </c>
      <c r="Q29" s="542">
        <v>0</v>
      </c>
      <c r="R29" s="542">
        <v>20122006</v>
      </c>
      <c r="S29" s="542">
        <v>276503</v>
      </c>
      <c r="T29" s="542">
        <v>276503</v>
      </c>
      <c r="U29" s="542">
        <v>0</v>
      </c>
      <c r="V29" s="542">
        <v>0</v>
      </c>
      <c r="W29" s="542">
        <v>0</v>
      </c>
      <c r="X29" s="542">
        <v>0</v>
      </c>
      <c r="Y29" s="542">
        <v>0</v>
      </c>
      <c r="Z29" s="542">
        <v>0</v>
      </c>
      <c r="AA29" s="542">
        <v>0</v>
      </c>
      <c r="AB29" s="542">
        <v>0</v>
      </c>
      <c r="AC29" s="542">
        <v>0</v>
      </c>
      <c r="AD29" s="542">
        <v>2253074</v>
      </c>
      <c r="AE29" s="542">
        <v>2208012</v>
      </c>
      <c r="AF29" s="542">
        <v>0</v>
      </c>
      <c r="AG29" s="542">
        <v>45061</v>
      </c>
      <c r="AH29" s="542">
        <v>4506147</v>
      </c>
      <c r="AI29" s="542">
        <v>-171234</v>
      </c>
      <c r="AJ29" s="542">
        <v>-167810</v>
      </c>
      <c r="AK29" s="542">
        <v>0</v>
      </c>
      <c r="AL29" s="542">
        <v>-3425</v>
      </c>
      <c r="AM29" s="542">
        <v>-342469</v>
      </c>
      <c r="AN29" s="542">
        <v>-797616</v>
      </c>
      <c r="AO29" s="542">
        <v>-781663</v>
      </c>
      <c r="AP29" s="542">
        <v>0</v>
      </c>
      <c r="AQ29" s="542">
        <v>-15952</v>
      </c>
      <c r="AR29" s="542">
        <v>-1595231</v>
      </c>
      <c r="AS29" s="542">
        <v>884724</v>
      </c>
      <c r="AT29" s="542">
        <v>867029</v>
      </c>
      <c r="AU29" s="542">
        <v>0</v>
      </c>
      <c r="AV29" s="542">
        <v>17694</v>
      </c>
      <c r="AW29" s="542">
        <v>1769447</v>
      </c>
      <c r="AX29" s="542">
        <v>-1012108</v>
      </c>
      <c r="AY29" s="542">
        <v>-991866</v>
      </c>
      <c r="AZ29" s="542">
        <v>0</v>
      </c>
      <c r="BA29" s="542">
        <v>-20242</v>
      </c>
      <c r="BB29" s="542">
        <v>-2024216</v>
      </c>
      <c r="BC29" s="542">
        <v>-925000</v>
      </c>
      <c r="BD29" s="542">
        <v>-906500</v>
      </c>
      <c r="BE29" s="542">
        <v>0</v>
      </c>
      <c r="BF29" s="542">
        <v>-18500</v>
      </c>
      <c r="BG29" s="542">
        <v>-1850000</v>
      </c>
      <c r="BH29" s="542">
        <v>-2052458</v>
      </c>
      <c r="BI29" s="542">
        <v>-2011409</v>
      </c>
      <c r="BJ29" s="542">
        <v>0</v>
      </c>
      <c r="BK29" s="542">
        <v>-41049</v>
      </c>
      <c r="BL29" s="542">
        <v>-4104916</v>
      </c>
      <c r="BM29" s="542">
        <v>1544687</v>
      </c>
      <c r="BN29" s="542">
        <v>1513793</v>
      </c>
      <c r="BO29" s="542">
        <v>0</v>
      </c>
      <c r="BP29" s="542">
        <v>30894</v>
      </c>
      <c r="BQ29" s="542">
        <v>3089374</v>
      </c>
      <c r="BR29" s="542">
        <v>-4511229</v>
      </c>
      <c r="BS29" s="542">
        <v>-4421004</v>
      </c>
      <c r="BT29" s="542">
        <v>0</v>
      </c>
      <c r="BU29" s="542">
        <v>-90225</v>
      </c>
      <c r="BV29" s="542">
        <v>-9022458</v>
      </c>
      <c r="BW29" s="542">
        <v>-5019000</v>
      </c>
      <c r="BX29" s="542">
        <v>-4918620</v>
      </c>
      <c r="BY29" s="542">
        <v>0</v>
      </c>
      <c r="BZ29" s="542">
        <v>-100380</v>
      </c>
      <c r="CA29" s="542">
        <v>-10038000</v>
      </c>
    </row>
    <row r="30" spans="1:79" ht="12.75" x14ac:dyDescent="0.2">
      <c r="A30" s="93">
        <v>24</v>
      </c>
      <c r="B30" s="145" t="s">
        <v>607</v>
      </c>
      <c r="C30" s="141" t="s">
        <v>866</v>
      </c>
      <c r="D30" s="142" t="s">
        <v>869</v>
      </c>
      <c r="E30" s="149" t="s">
        <v>606</v>
      </c>
      <c r="F30" s="543">
        <v>0.5</v>
      </c>
      <c r="G30" s="543">
        <v>0.4</v>
      </c>
      <c r="H30" s="543">
        <v>0.09</v>
      </c>
      <c r="I30" s="543">
        <v>0.01</v>
      </c>
      <c r="J30" s="543">
        <v>1</v>
      </c>
      <c r="K30" s="542">
        <v>10237337</v>
      </c>
      <c r="L30" s="542">
        <v>8189870</v>
      </c>
      <c r="M30" s="542">
        <v>1842721</v>
      </c>
      <c r="N30" s="542">
        <v>204747</v>
      </c>
      <c r="O30" s="542">
        <v>20474675</v>
      </c>
      <c r="P30" s="542">
        <v>0</v>
      </c>
      <c r="Q30" s="542">
        <v>0</v>
      </c>
      <c r="R30" s="542">
        <v>10237337</v>
      </c>
      <c r="S30" s="542">
        <v>94759</v>
      </c>
      <c r="T30" s="542">
        <v>94759</v>
      </c>
      <c r="U30" s="542">
        <v>0</v>
      </c>
      <c r="V30" s="542">
        <v>0</v>
      </c>
      <c r="W30" s="542">
        <v>0</v>
      </c>
      <c r="X30" s="542">
        <v>0</v>
      </c>
      <c r="Y30" s="542">
        <v>0</v>
      </c>
      <c r="Z30" s="542">
        <v>0</v>
      </c>
      <c r="AA30" s="542">
        <v>0</v>
      </c>
      <c r="AB30" s="542">
        <v>0</v>
      </c>
      <c r="AC30" s="542">
        <v>0</v>
      </c>
      <c r="AD30" s="542">
        <v>231028</v>
      </c>
      <c r="AE30" s="542">
        <v>184822</v>
      </c>
      <c r="AF30" s="542">
        <v>41585</v>
      </c>
      <c r="AG30" s="542">
        <v>4621</v>
      </c>
      <c r="AH30" s="542">
        <v>462056</v>
      </c>
      <c r="AI30" s="542">
        <v>-381365</v>
      </c>
      <c r="AJ30" s="542">
        <v>-305092</v>
      </c>
      <c r="AK30" s="542">
        <v>-68646</v>
      </c>
      <c r="AL30" s="542">
        <v>-7627</v>
      </c>
      <c r="AM30" s="542">
        <v>-762730</v>
      </c>
      <c r="AN30" s="542">
        <v>-145788</v>
      </c>
      <c r="AO30" s="542">
        <v>-116631</v>
      </c>
      <c r="AP30" s="542">
        <v>-26242</v>
      </c>
      <c r="AQ30" s="542">
        <v>-2916</v>
      </c>
      <c r="AR30" s="542">
        <v>-291577</v>
      </c>
      <c r="AS30" s="542">
        <v>0</v>
      </c>
      <c r="AT30" s="542">
        <v>0</v>
      </c>
      <c r="AU30" s="542">
        <v>0</v>
      </c>
      <c r="AV30" s="542">
        <v>0</v>
      </c>
      <c r="AW30" s="542">
        <v>0</v>
      </c>
      <c r="AX30" s="542">
        <v>-29430</v>
      </c>
      <c r="AY30" s="542">
        <v>-23544</v>
      </c>
      <c r="AZ30" s="542">
        <v>-5297</v>
      </c>
      <c r="BA30" s="542">
        <v>-589</v>
      </c>
      <c r="BB30" s="542">
        <v>-58860</v>
      </c>
      <c r="BC30" s="542">
        <v>-175218</v>
      </c>
      <c r="BD30" s="542">
        <v>-140175</v>
      </c>
      <c r="BE30" s="542">
        <v>-31539</v>
      </c>
      <c r="BF30" s="542">
        <v>-3505</v>
      </c>
      <c r="BG30" s="542">
        <v>-350437</v>
      </c>
      <c r="BH30" s="542">
        <v>-380529</v>
      </c>
      <c r="BI30" s="542">
        <v>-304423</v>
      </c>
      <c r="BJ30" s="542">
        <v>-68495</v>
      </c>
      <c r="BK30" s="542">
        <v>-7611</v>
      </c>
      <c r="BL30" s="542">
        <v>-761058</v>
      </c>
      <c r="BM30" s="542">
        <v>185081</v>
      </c>
      <c r="BN30" s="542">
        <v>148065</v>
      </c>
      <c r="BO30" s="542">
        <v>33315</v>
      </c>
      <c r="BP30" s="542">
        <v>3702</v>
      </c>
      <c r="BQ30" s="542">
        <v>370163</v>
      </c>
      <c r="BR30" s="542">
        <v>-1564984</v>
      </c>
      <c r="BS30" s="542">
        <v>-1251988</v>
      </c>
      <c r="BT30" s="542">
        <v>-281697</v>
      </c>
      <c r="BU30" s="542">
        <v>-31300</v>
      </c>
      <c r="BV30" s="542">
        <v>-3129969</v>
      </c>
      <c r="BW30" s="542">
        <v>-1760432</v>
      </c>
      <c r="BX30" s="542">
        <v>-1408346</v>
      </c>
      <c r="BY30" s="542">
        <v>-316877</v>
      </c>
      <c r="BZ30" s="542">
        <v>-35209</v>
      </c>
      <c r="CA30" s="542">
        <v>-3520864</v>
      </c>
    </row>
    <row r="31" spans="1:79" ht="12.75" x14ac:dyDescent="0.2">
      <c r="A31" s="93">
        <v>25</v>
      </c>
      <c r="B31" s="145" t="s">
        <v>609</v>
      </c>
      <c r="C31" s="141" t="s">
        <v>873</v>
      </c>
      <c r="D31" s="142" t="s">
        <v>868</v>
      </c>
      <c r="E31" s="149" t="s">
        <v>608</v>
      </c>
      <c r="F31" s="543">
        <v>0.5</v>
      </c>
      <c r="G31" s="543">
        <v>0.49</v>
      </c>
      <c r="H31" s="543">
        <v>0</v>
      </c>
      <c r="I31" s="543">
        <v>0.01</v>
      </c>
      <c r="J31" s="543">
        <v>1</v>
      </c>
      <c r="K31" s="542">
        <v>37164773</v>
      </c>
      <c r="L31" s="542">
        <v>36421478</v>
      </c>
      <c r="M31" s="542">
        <v>0</v>
      </c>
      <c r="N31" s="542">
        <v>743295</v>
      </c>
      <c r="O31" s="542">
        <v>74329546</v>
      </c>
      <c r="P31" s="542">
        <v>0</v>
      </c>
      <c r="Q31" s="542">
        <v>0</v>
      </c>
      <c r="R31" s="542">
        <v>37164773</v>
      </c>
      <c r="S31" s="542">
        <v>401493</v>
      </c>
      <c r="T31" s="542">
        <v>401493</v>
      </c>
      <c r="U31" s="542">
        <v>0</v>
      </c>
      <c r="V31" s="542">
        <v>0</v>
      </c>
      <c r="W31" s="542">
        <v>0</v>
      </c>
      <c r="X31" s="542">
        <v>0</v>
      </c>
      <c r="Y31" s="542">
        <v>0</v>
      </c>
      <c r="Z31" s="542">
        <v>0</v>
      </c>
      <c r="AA31" s="542">
        <v>0</v>
      </c>
      <c r="AB31" s="542">
        <v>0</v>
      </c>
      <c r="AC31" s="542">
        <v>0</v>
      </c>
      <c r="AD31" s="542">
        <v>3612545</v>
      </c>
      <c r="AE31" s="542">
        <v>3540295</v>
      </c>
      <c r="AF31" s="542">
        <v>0</v>
      </c>
      <c r="AG31" s="542">
        <v>72251</v>
      </c>
      <c r="AH31" s="542">
        <v>7225091</v>
      </c>
      <c r="AI31" s="542">
        <v>-703216</v>
      </c>
      <c r="AJ31" s="542">
        <v>-689152</v>
      </c>
      <c r="AK31" s="542">
        <v>0</v>
      </c>
      <c r="AL31" s="542">
        <v>-14064</v>
      </c>
      <c r="AM31" s="542">
        <v>-1406432</v>
      </c>
      <c r="AN31" s="542">
        <v>-2080573</v>
      </c>
      <c r="AO31" s="542">
        <v>-2038961</v>
      </c>
      <c r="AP31" s="542">
        <v>0</v>
      </c>
      <c r="AQ31" s="542">
        <v>-41611</v>
      </c>
      <c r="AR31" s="542">
        <v>-4161145</v>
      </c>
      <c r="AS31" s="542">
        <v>829990</v>
      </c>
      <c r="AT31" s="542">
        <v>813390</v>
      </c>
      <c r="AU31" s="542">
        <v>0</v>
      </c>
      <c r="AV31" s="542">
        <v>16600</v>
      </c>
      <c r="AW31" s="542">
        <v>1659980</v>
      </c>
      <c r="AX31" s="542">
        <v>-892083</v>
      </c>
      <c r="AY31" s="542">
        <v>-874242</v>
      </c>
      <c r="AZ31" s="542">
        <v>0</v>
      </c>
      <c r="BA31" s="542">
        <v>-17842</v>
      </c>
      <c r="BB31" s="542">
        <v>-1784167</v>
      </c>
      <c r="BC31" s="542">
        <v>-2142666</v>
      </c>
      <c r="BD31" s="542">
        <v>-2099813</v>
      </c>
      <c r="BE31" s="542">
        <v>0</v>
      </c>
      <c r="BF31" s="542">
        <v>-42853</v>
      </c>
      <c r="BG31" s="542">
        <v>-4285332</v>
      </c>
      <c r="BH31" s="542">
        <v>-4081048</v>
      </c>
      <c r="BI31" s="542">
        <v>-3999427</v>
      </c>
      <c r="BJ31" s="542">
        <v>0</v>
      </c>
      <c r="BK31" s="542">
        <v>-81621</v>
      </c>
      <c r="BL31" s="542">
        <v>-8162096</v>
      </c>
      <c r="BM31" s="542">
        <v>3847069</v>
      </c>
      <c r="BN31" s="542">
        <v>3770127</v>
      </c>
      <c r="BO31" s="542">
        <v>0</v>
      </c>
      <c r="BP31" s="542">
        <v>76941</v>
      </c>
      <c r="BQ31" s="542">
        <v>7694137</v>
      </c>
      <c r="BR31" s="542">
        <v>-5152968</v>
      </c>
      <c r="BS31" s="542">
        <v>-5049909</v>
      </c>
      <c r="BT31" s="542">
        <v>0</v>
      </c>
      <c r="BU31" s="542">
        <v>-103059</v>
      </c>
      <c r="BV31" s="542">
        <v>-10305936</v>
      </c>
      <c r="BW31" s="542">
        <v>-5386947</v>
      </c>
      <c r="BX31" s="542">
        <v>-5279209</v>
      </c>
      <c r="BY31" s="542">
        <v>0</v>
      </c>
      <c r="BZ31" s="542">
        <v>-107739</v>
      </c>
      <c r="CA31" s="542">
        <v>-10773895</v>
      </c>
    </row>
    <row r="32" spans="1:79" ht="12.75" x14ac:dyDescent="0.2">
      <c r="A32" s="93">
        <v>26</v>
      </c>
      <c r="B32" s="145" t="s">
        <v>611</v>
      </c>
      <c r="C32" s="141" t="s">
        <v>866</v>
      </c>
      <c r="D32" s="142" t="s">
        <v>869</v>
      </c>
      <c r="E32" s="149" t="s">
        <v>610</v>
      </c>
      <c r="F32" s="543">
        <v>0.5</v>
      </c>
      <c r="G32" s="543">
        <v>0.4</v>
      </c>
      <c r="H32" s="543">
        <v>0.1</v>
      </c>
      <c r="I32" s="543">
        <v>0</v>
      </c>
      <c r="J32" s="543">
        <v>1</v>
      </c>
      <c r="K32" s="542">
        <v>8659662</v>
      </c>
      <c r="L32" s="542">
        <v>6927729</v>
      </c>
      <c r="M32" s="542">
        <v>1731932</v>
      </c>
      <c r="N32" s="542">
        <v>0</v>
      </c>
      <c r="O32" s="542">
        <v>17319323</v>
      </c>
      <c r="P32" s="542">
        <v>0</v>
      </c>
      <c r="Q32" s="542">
        <v>0</v>
      </c>
      <c r="R32" s="542">
        <v>8659662</v>
      </c>
      <c r="S32" s="542">
        <v>87465</v>
      </c>
      <c r="T32" s="542">
        <v>87465</v>
      </c>
      <c r="U32" s="542">
        <v>0</v>
      </c>
      <c r="V32" s="542">
        <v>0</v>
      </c>
      <c r="W32" s="542">
        <v>68138</v>
      </c>
      <c r="X32" s="542">
        <v>0</v>
      </c>
      <c r="Y32" s="542">
        <v>68138</v>
      </c>
      <c r="Z32" s="542">
        <v>0</v>
      </c>
      <c r="AA32" s="542">
        <v>0</v>
      </c>
      <c r="AB32" s="542">
        <v>0</v>
      </c>
      <c r="AC32" s="542">
        <v>0</v>
      </c>
      <c r="AD32" s="542">
        <v>520230</v>
      </c>
      <c r="AE32" s="542">
        <v>416184</v>
      </c>
      <c r="AF32" s="542">
        <v>104046</v>
      </c>
      <c r="AG32" s="542">
        <v>0</v>
      </c>
      <c r="AH32" s="542">
        <v>1040460</v>
      </c>
      <c r="AI32" s="542">
        <v>-293508</v>
      </c>
      <c r="AJ32" s="542">
        <v>-234806</v>
      </c>
      <c r="AK32" s="542">
        <v>-58702</v>
      </c>
      <c r="AL32" s="542">
        <v>0</v>
      </c>
      <c r="AM32" s="542">
        <v>-587016</v>
      </c>
      <c r="AN32" s="542">
        <v>-165574</v>
      </c>
      <c r="AO32" s="542">
        <v>-132459</v>
      </c>
      <c r="AP32" s="542">
        <v>-33115</v>
      </c>
      <c r="AQ32" s="542">
        <v>0</v>
      </c>
      <c r="AR32" s="542">
        <v>-331148</v>
      </c>
      <c r="AS32" s="542">
        <v>61232</v>
      </c>
      <c r="AT32" s="542">
        <v>48986</v>
      </c>
      <c r="AU32" s="542">
        <v>12247</v>
      </c>
      <c r="AV32" s="542">
        <v>0</v>
      </c>
      <c r="AW32" s="542">
        <v>122465</v>
      </c>
      <c r="AX32" s="542">
        <v>-105963</v>
      </c>
      <c r="AY32" s="542">
        <v>-84770</v>
      </c>
      <c r="AZ32" s="542">
        <v>-21193</v>
      </c>
      <c r="BA32" s="542">
        <v>0</v>
      </c>
      <c r="BB32" s="542">
        <v>-211926</v>
      </c>
      <c r="BC32" s="542">
        <v>-210305</v>
      </c>
      <c r="BD32" s="542">
        <v>-168243</v>
      </c>
      <c r="BE32" s="542">
        <v>-42061</v>
      </c>
      <c r="BF32" s="542">
        <v>0</v>
      </c>
      <c r="BG32" s="542">
        <v>-420609</v>
      </c>
      <c r="BH32" s="542">
        <v>-705857</v>
      </c>
      <c r="BI32" s="542">
        <v>-564685</v>
      </c>
      <c r="BJ32" s="542">
        <v>-141171</v>
      </c>
      <c r="BK32" s="542">
        <v>0</v>
      </c>
      <c r="BL32" s="542">
        <v>-1411713</v>
      </c>
      <c r="BM32" s="542">
        <v>250111</v>
      </c>
      <c r="BN32" s="542">
        <v>200089</v>
      </c>
      <c r="BO32" s="542">
        <v>50022</v>
      </c>
      <c r="BP32" s="542">
        <v>0</v>
      </c>
      <c r="BQ32" s="542">
        <v>500222</v>
      </c>
      <c r="BR32" s="542">
        <v>-647983</v>
      </c>
      <c r="BS32" s="542">
        <v>-518387</v>
      </c>
      <c r="BT32" s="542">
        <v>-129597</v>
      </c>
      <c r="BU32" s="542">
        <v>0</v>
      </c>
      <c r="BV32" s="542">
        <v>-1295967</v>
      </c>
      <c r="BW32" s="542">
        <v>-1103729</v>
      </c>
      <c r="BX32" s="542">
        <v>-882983</v>
      </c>
      <c r="BY32" s="542">
        <v>-220746</v>
      </c>
      <c r="BZ32" s="542">
        <v>0</v>
      </c>
      <c r="CA32" s="542">
        <v>-2207458</v>
      </c>
    </row>
    <row r="33" spans="1:79" ht="12.75" x14ac:dyDescent="0.2">
      <c r="A33" s="93">
        <v>27</v>
      </c>
      <c r="B33" s="145" t="s">
        <v>613</v>
      </c>
      <c r="C33" s="141" t="s">
        <v>770</v>
      </c>
      <c r="D33" s="142" t="s">
        <v>875</v>
      </c>
      <c r="E33" s="149" t="s">
        <v>691</v>
      </c>
      <c r="F33" s="543">
        <v>0.5</v>
      </c>
      <c r="G33" s="543">
        <v>0.49</v>
      </c>
      <c r="H33" s="543">
        <v>0</v>
      </c>
      <c r="I33" s="543">
        <v>0.01</v>
      </c>
      <c r="J33" s="543">
        <v>1</v>
      </c>
      <c r="K33" s="542">
        <v>33017096</v>
      </c>
      <c r="L33" s="542">
        <v>32356754</v>
      </c>
      <c r="M33" s="542">
        <v>0</v>
      </c>
      <c r="N33" s="542">
        <v>660342</v>
      </c>
      <c r="O33" s="542">
        <v>66034192</v>
      </c>
      <c r="P33" s="542">
        <v>0</v>
      </c>
      <c r="Q33" s="542">
        <v>0</v>
      </c>
      <c r="R33" s="542">
        <v>33017096</v>
      </c>
      <c r="S33" s="542">
        <v>305240</v>
      </c>
      <c r="T33" s="542">
        <v>305240</v>
      </c>
      <c r="U33" s="542">
        <v>0</v>
      </c>
      <c r="V33" s="542">
        <v>0</v>
      </c>
      <c r="W33" s="542">
        <v>185</v>
      </c>
      <c r="X33" s="542">
        <v>0</v>
      </c>
      <c r="Y33" s="542">
        <v>185</v>
      </c>
      <c r="Z33" s="542">
        <v>0</v>
      </c>
      <c r="AA33" s="542">
        <v>0</v>
      </c>
      <c r="AB33" s="542">
        <v>0</v>
      </c>
      <c r="AC33" s="542">
        <v>0</v>
      </c>
      <c r="AD33" s="542">
        <v>1838653</v>
      </c>
      <c r="AE33" s="542">
        <v>1801880</v>
      </c>
      <c r="AF33" s="542">
        <v>0</v>
      </c>
      <c r="AG33" s="542">
        <v>36773</v>
      </c>
      <c r="AH33" s="542">
        <v>3677306</v>
      </c>
      <c r="AI33" s="542">
        <v>-95380</v>
      </c>
      <c r="AJ33" s="542">
        <v>-93472</v>
      </c>
      <c r="AK33" s="542">
        <v>0</v>
      </c>
      <c r="AL33" s="542">
        <v>-1908</v>
      </c>
      <c r="AM33" s="542">
        <v>-190760</v>
      </c>
      <c r="AN33" s="542">
        <v>-707007</v>
      </c>
      <c r="AO33" s="542">
        <v>-692868</v>
      </c>
      <c r="AP33" s="542">
        <v>0</v>
      </c>
      <c r="AQ33" s="542">
        <v>-14140</v>
      </c>
      <c r="AR33" s="542">
        <v>-1414015</v>
      </c>
      <c r="AS33" s="542">
        <v>75601</v>
      </c>
      <c r="AT33" s="542">
        <v>74089</v>
      </c>
      <c r="AU33" s="542">
        <v>0</v>
      </c>
      <c r="AV33" s="542">
        <v>1512</v>
      </c>
      <c r="AW33" s="542">
        <v>151202</v>
      </c>
      <c r="AX33" s="542">
        <v>-203892</v>
      </c>
      <c r="AY33" s="542">
        <v>-199814</v>
      </c>
      <c r="AZ33" s="542">
        <v>0</v>
      </c>
      <c r="BA33" s="542">
        <v>-4078</v>
      </c>
      <c r="BB33" s="542">
        <v>-407784</v>
      </c>
      <c r="BC33" s="542">
        <v>-835298</v>
      </c>
      <c r="BD33" s="542">
        <v>-818593</v>
      </c>
      <c r="BE33" s="542">
        <v>0</v>
      </c>
      <c r="BF33" s="542">
        <v>-16706</v>
      </c>
      <c r="BG33" s="542">
        <v>-1670597</v>
      </c>
      <c r="BH33" s="542">
        <v>-1375000</v>
      </c>
      <c r="BI33" s="542">
        <v>-1347500</v>
      </c>
      <c r="BJ33" s="542">
        <v>0</v>
      </c>
      <c r="BK33" s="542">
        <v>-27500</v>
      </c>
      <c r="BL33" s="542">
        <v>-2750000</v>
      </c>
      <c r="BM33" s="542">
        <v>556490</v>
      </c>
      <c r="BN33" s="542">
        <v>545360</v>
      </c>
      <c r="BO33" s="542">
        <v>0</v>
      </c>
      <c r="BP33" s="542">
        <v>11130</v>
      </c>
      <c r="BQ33" s="542">
        <v>1112980</v>
      </c>
      <c r="BR33" s="542">
        <v>0</v>
      </c>
      <c r="BS33" s="542">
        <v>0</v>
      </c>
      <c r="BT33" s="542">
        <v>0</v>
      </c>
      <c r="BU33" s="542">
        <v>0</v>
      </c>
      <c r="BV33" s="542">
        <v>0</v>
      </c>
      <c r="BW33" s="542">
        <v>-818510</v>
      </c>
      <c r="BX33" s="542">
        <v>-802140</v>
      </c>
      <c r="BY33" s="542">
        <v>0</v>
      </c>
      <c r="BZ33" s="542">
        <v>-16370</v>
      </c>
      <c r="CA33" s="542">
        <v>-1637020</v>
      </c>
    </row>
    <row r="34" spans="1:79" ht="12.75" x14ac:dyDescent="0.2">
      <c r="A34" s="93">
        <v>28</v>
      </c>
      <c r="B34" s="145" t="s">
        <v>615</v>
      </c>
      <c r="C34" s="141" t="s">
        <v>770</v>
      </c>
      <c r="D34" s="142" t="s">
        <v>867</v>
      </c>
      <c r="E34" s="149" t="s">
        <v>692</v>
      </c>
      <c r="F34" s="543">
        <v>0.5</v>
      </c>
      <c r="G34" s="543">
        <v>0.49</v>
      </c>
      <c r="H34" s="543">
        <v>0</v>
      </c>
      <c r="I34" s="543">
        <v>0.01</v>
      </c>
      <c r="J34" s="543">
        <v>1</v>
      </c>
      <c r="K34" s="542">
        <v>29386675</v>
      </c>
      <c r="L34" s="542">
        <v>28798941</v>
      </c>
      <c r="M34" s="542">
        <v>0</v>
      </c>
      <c r="N34" s="542">
        <v>587733</v>
      </c>
      <c r="O34" s="542">
        <v>58773349</v>
      </c>
      <c r="P34" s="542">
        <v>0</v>
      </c>
      <c r="Q34" s="542">
        <v>0</v>
      </c>
      <c r="R34" s="542">
        <v>29386675</v>
      </c>
      <c r="S34" s="542">
        <v>157208</v>
      </c>
      <c r="T34" s="542">
        <v>157208</v>
      </c>
      <c r="U34" s="542">
        <v>0</v>
      </c>
      <c r="V34" s="542">
        <v>0</v>
      </c>
      <c r="W34" s="542">
        <v>744</v>
      </c>
      <c r="X34" s="542">
        <v>0</v>
      </c>
      <c r="Y34" s="542">
        <v>744</v>
      </c>
      <c r="Z34" s="542">
        <v>0</v>
      </c>
      <c r="AA34" s="542">
        <v>0</v>
      </c>
      <c r="AB34" s="542">
        <v>0</v>
      </c>
      <c r="AC34" s="542">
        <v>0</v>
      </c>
      <c r="AD34" s="542">
        <v>1788002</v>
      </c>
      <c r="AE34" s="542">
        <v>1752242</v>
      </c>
      <c r="AF34" s="542">
        <v>0</v>
      </c>
      <c r="AG34" s="542">
        <v>35760</v>
      </c>
      <c r="AH34" s="542">
        <v>3576004</v>
      </c>
      <c r="AI34" s="542">
        <v>-877134</v>
      </c>
      <c r="AJ34" s="542">
        <v>-859591</v>
      </c>
      <c r="AK34" s="542">
        <v>0</v>
      </c>
      <c r="AL34" s="542">
        <v>-17543</v>
      </c>
      <c r="AM34" s="542">
        <v>-1754268</v>
      </c>
      <c r="AN34" s="542">
        <v>-649650</v>
      </c>
      <c r="AO34" s="542">
        <v>-636657</v>
      </c>
      <c r="AP34" s="542">
        <v>0</v>
      </c>
      <c r="AQ34" s="542">
        <v>-12993</v>
      </c>
      <c r="AR34" s="542">
        <v>-1299300</v>
      </c>
      <c r="AS34" s="542">
        <v>0</v>
      </c>
      <c r="AT34" s="542">
        <v>0</v>
      </c>
      <c r="AU34" s="542">
        <v>0</v>
      </c>
      <c r="AV34" s="542">
        <v>0</v>
      </c>
      <c r="AW34" s="542">
        <v>0</v>
      </c>
      <c r="AX34" s="542">
        <v>-479650</v>
      </c>
      <c r="AY34" s="542">
        <v>-470057</v>
      </c>
      <c r="AZ34" s="542">
        <v>0</v>
      </c>
      <c r="BA34" s="542">
        <v>-9593</v>
      </c>
      <c r="BB34" s="542">
        <v>-959300</v>
      </c>
      <c r="BC34" s="542">
        <v>-1129300</v>
      </c>
      <c r="BD34" s="542">
        <v>-1106714</v>
      </c>
      <c r="BE34" s="542">
        <v>0</v>
      </c>
      <c r="BF34" s="542">
        <v>-22586</v>
      </c>
      <c r="BG34" s="542">
        <v>-2258600</v>
      </c>
      <c r="BH34" s="542">
        <v>-2358623</v>
      </c>
      <c r="BI34" s="542">
        <v>-2311451</v>
      </c>
      <c r="BJ34" s="542">
        <v>0</v>
      </c>
      <c r="BK34" s="542">
        <v>-47173</v>
      </c>
      <c r="BL34" s="542">
        <v>-4717247</v>
      </c>
      <c r="BM34" s="542">
        <v>306711</v>
      </c>
      <c r="BN34" s="542">
        <v>300577</v>
      </c>
      <c r="BO34" s="542">
        <v>0</v>
      </c>
      <c r="BP34" s="542">
        <v>6134</v>
      </c>
      <c r="BQ34" s="542">
        <v>613422</v>
      </c>
      <c r="BR34" s="542">
        <v>-8977605</v>
      </c>
      <c r="BS34" s="542">
        <v>-8798052</v>
      </c>
      <c r="BT34" s="542">
        <v>0</v>
      </c>
      <c r="BU34" s="542">
        <v>-179552</v>
      </c>
      <c r="BV34" s="542">
        <v>-17955209</v>
      </c>
      <c r="BW34" s="542">
        <v>-11029517</v>
      </c>
      <c r="BX34" s="542">
        <v>-10808926</v>
      </c>
      <c r="BY34" s="542">
        <v>0</v>
      </c>
      <c r="BZ34" s="542">
        <v>-220591</v>
      </c>
      <c r="CA34" s="542">
        <v>-22059034</v>
      </c>
    </row>
    <row r="35" spans="1:79" ht="12.75" x14ac:dyDescent="0.2">
      <c r="A35" s="93">
        <v>29</v>
      </c>
      <c r="B35" s="145" t="s">
        <v>617</v>
      </c>
      <c r="C35" s="141" t="s">
        <v>873</v>
      </c>
      <c r="D35" s="142" t="s">
        <v>874</v>
      </c>
      <c r="E35" s="149" t="s">
        <v>616</v>
      </c>
      <c r="F35" s="543">
        <v>0.5</v>
      </c>
      <c r="G35" s="543">
        <v>0.49</v>
      </c>
      <c r="H35" s="543">
        <v>0</v>
      </c>
      <c r="I35" s="543">
        <v>0.01</v>
      </c>
      <c r="J35" s="543">
        <v>1</v>
      </c>
      <c r="K35" s="542">
        <v>64997072</v>
      </c>
      <c r="L35" s="542">
        <v>63697130</v>
      </c>
      <c r="M35" s="542">
        <v>0</v>
      </c>
      <c r="N35" s="542">
        <v>1299941</v>
      </c>
      <c r="O35" s="542">
        <v>129994143</v>
      </c>
      <c r="P35" s="542">
        <v>0</v>
      </c>
      <c r="Q35" s="542">
        <v>0</v>
      </c>
      <c r="R35" s="542">
        <v>64997072</v>
      </c>
      <c r="S35" s="542">
        <v>733780</v>
      </c>
      <c r="T35" s="542">
        <v>733780</v>
      </c>
      <c r="U35" s="542">
        <v>0</v>
      </c>
      <c r="V35" s="542">
        <v>0</v>
      </c>
      <c r="W35" s="542">
        <v>0</v>
      </c>
      <c r="X35" s="542">
        <v>0</v>
      </c>
      <c r="Y35" s="542">
        <v>0</v>
      </c>
      <c r="Z35" s="542">
        <v>0</v>
      </c>
      <c r="AA35" s="542">
        <v>0</v>
      </c>
      <c r="AB35" s="542">
        <v>0</v>
      </c>
      <c r="AC35" s="542">
        <v>0</v>
      </c>
      <c r="AD35" s="542">
        <v>5690762</v>
      </c>
      <c r="AE35" s="542">
        <v>5576947</v>
      </c>
      <c r="AF35" s="542">
        <v>0</v>
      </c>
      <c r="AG35" s="542">
        <v>113815</v>
      </c>
      <c r="AH35" s="542">
        <v>11381524</v>
      </c>
      <c r="AI35" s="542">
        <v>-369698</v>
      </c>
      <c r="AJ35" s="542">
        <v>-362305</v>
      </c>
      <c r="AK35" s="542">
        <v>0</v>
      </c>
      <c r="AL35" s="542">
        <v>-7394</v>
      </c>
      <c r="AM35" s="542">
        <v>-739397</v>
      </c>
      <c r="AN35" s="542">
        <v>-2510803</v>
      </c>
      <c r="AO35" s="542">
        <v>-2460586</v>
      </c>
      <c r="AP35" s="542">
        <v>0</v>
      </c>
      <c r="AQ35" s="542">
        <v>-50216</v>
      </c>
      <c r="AR35" s="542">
        <v>-5021605</v>
      </c>
      <c r="AS35" s="542">
        <v>1418566</v>
      </c>
      <c r="AT35" s="542">
        <v>1390194</v>
      </c>
      <c r="AU35" s="542">
        <v>0</v>
      </c>
      <c r="AV35" s="542">
        <v>28371</v>
      </c>
      <c r="AW35" s="542">
        <v>2837131</v>
      </c>
      <c r="AX35" s="542">
        <v>-1873171</v>
      </c>
      <c r="AY35" s="542">
        <v>-1835708</v>
      </c>
      <c r="AZ35" s="542">
        <v>0</v>
      </c>
      <c r="BA35" s="542">
        <v>-37463</v>
      </c>
      <c r="BB35" s="542">
        <v>-3746342</v>
      </c>
      <c r="BC35" s="542">
        <v>-2965408</v>
      </c>
      <c r="BD35" s="542">
        <v>-2906100</v>
      </c>
      <c r="BE35" s="542">
        <v>0</v>
      </c>
      <c r="BF35" s="542">
        <v>-59308</v>
      </c>
      <c r="BG35" s="542">
        <v>-5930816</v>
      </c>
      <c r="BH35" s="542">
        <v>-6166345</v>
      </c>
      <c r="BI35" s="542">
        <v>-6043018</v>
      </c>
      <c r="BJ35" s="542">
        <v>0</v>
      </c>
      <c r="BK35" s="542">
        <v>-123327</v>
      </c>
      <c r="BL35" s="542">
        <v>-12332690</v>
      </c>
      <c r="BM35" s="542">
        <v>2954043</v>
      </c>
      <c r="BN35" s="542">
        <v>2894962</v>
      </c>
      <c r="BO35" s="542">
        <v>0</v>
      </c>
      <c r="BP35" s="542">
        <v>59081</v>
      </c>
      <c r="BQ35" s="542">
        <v>5908086</v>
      </c>
      <c r="BR35" s="542">
        <v>-4467269</v>
      </c>
      <c r="BS35" s="542">
        <v>-4377924</v>
      </c>
      <c r="BT35" s="542">
        <v>0</v>
      </c>
      <c r="BU35" s="542">
        <v>-89345</v>
      </c>
      <c r="BV35" s="542">
        <v>-8934538</v>
      </c>
      <c r="BW35" s="542">
        <v>-7679571</v>
      </c>
      <c r="BX35" s="542">
        <v>-7525980</v>
      </c>
      <c r="BY35" s="542">
        <v>0</v>
      </c>
      <c r="BZ35" s="542">
        <v>-153591</v>
      </c>
      <c r="CA35" s="542">
        <v>-15359142</v>
      </c>
    </row>
    <row r="36" spans="1:79" ht="12.75" x14ac:dyDescent="0.2">
      <c r="A36" s="93">
        <v>30</v>
      </c>
      <c r="B36" s="145" t="s">
        <v>619</v>
      </c>
      <c r="C36" s="141" t="s">
        <v>866</v>
      </c>
      <c r="D36" s="142" t="s">
        <v>870</v>
      </c>
      <c r="E36" s="149" t="s">
        <v>618</v>
      </c>
      <c r="F36" s="543">
        <v>0.5</v>
      </c>
      <c r="G36" s="543">
        <v>0.4</v>
      </c>
      <c r="H36" s="543">
        <v>0.09</v>
      </c>
      <c r="I36" s="543">
        <v>0.01</v>
      </c>
      <c r="J36" s="543">
        <v>1</v>
      </c>
      <c r="K36" s="542">
        <v>19099809</v>
      </c>
      <c r="L36" s="542">
        <v>15279848</v>
      </c>
      <c r="M36" s="542">
        <v>3437966</v>
      </c>
      <c r="N36" s="542">
        <v>381996</v>
      </c>
      <c r="O36" s="542">
        <v>38199619</v>
      </c>
      <c r="P36" s="542">
        <v>0</v>
      </c>
      <c r="Q36" s="542">
        <v>0</v>
      </c>
      <c r="R36" s="542">
        <v>19099809</v>
      </c>
      <c r="S36" s="542">
        <v>188604</v>
      </c>
      <c r="T36" s="542">
        <v>188604</v>
      </c>
      <c r="U36" s="542">
        <v>0</v>
      </c>
      <c r="V36" s="542">
        <v>0</v>
      </c>
      <c r="W36" s="542">
        <v>0</v>
      </c>
      <c r="X36" s="542">
        <v>0</v>
      </c>
      <c r="Y36" s="542">
        <v>0</v>
      </c>
      <c r="Z36" s="542">
        <v>0</v>
      </c>
      <c r="AA36" s="542">
        <v>0</v>
      </c>
      <c r="AB36" s="542">
        <v>0</v>
      </c>
      <c r="AC36" s="542">
        <v>0</v>
      </c>
      <c r="AD36" s="542">
        <v>609680</v>
      </c>
      <c r="AE36" s="542">
        <v>487745</v>
      </c>
      <c r="AF36" s="542">
        <v>109743</v>
      </c>
      <c r="AG36" s="542">
        <v>12194</v>
      </c>
      <c r="AH36" s="542">
        <v>1219362</v>
      </c>
      <c r="AI36" s="542">
        <v>-210203</v>
      </c>
      <c r="AJ36" s="542">
        <v>-168162</v>
      </c>
      <c r="AK36" s="542">
        <v>-37837</v>
      </c>
      <c r="AL36" s="542">
        <v>-4204</v>
      </c>
      <c r="AM36" s="542">
        <v>-420406</v>
      </c>
      <c r="AN36" s="542">
        <v>-201940</v>
      </c>
      <c r="AO36" s="542">
        <v>-161552</v>
      </c>
      <c r="AP36" s="542">
        <v>-36349</v>
      </c>
      <c r="AQ36" s="542">
        <v>-4039</v>
      </c>
      <c r="AR36" s="542">
        <v>-403880</v>
      </c>
      <c r="AS36" s="542">
        <v>201940</v>
      </c>
      <c r="AT36" s="542">
        <v>161552</v>
      </c>
      <c r="AU36" s="542">
        <v>36349</v>
      </c>
      <c r="AV36" s="542">
        <v>4039</v>
      </c>
      <c r="AW36" s="542">
        <v>403880</v>
      </c>
      <c r="AX36" s="542">
        <v>-142460</v>
      </c>
      <c r="AY36" s="542">
        <v>-113968</v>
      </c>
      <c r="AZ36" s="542">
        <v>-25643</v>
      </c>
      <c r="BA36" s="542">
        <v>-2849</v>
      </c>
      <c r="BB36" s="542">
        <v>-284920</v>
      </c>
      <c r="BC36" s="542">
        <v>-142460</v>
      </c>
      <c r="BD36" s="542">
        <v>-113968</v>
      </c>
      <c r="BE36" s="542">
        <v>-25643</v>
      </c>
      <c r="BF36" s="542">
        <v>-2849</v>
      </c>
      <c r="BG36" s="542">
        <v>-284920</v>
      </c>
      <c r="BH36" s="542">
        <v>-675000</v>
      </c>
      <c r="BI36" s="542">
        <v>-540000</v>
      </c>
      <c r="BJ36" s="542">
        <v>-121500</v>
      </c>
      <c r="BK36" s="542">
        <v>-13500</v>
      </c>
      <c r="BL36" s="542">
        <v>-1350000</v>
      </c>
      <c r="BM36" s="542">
        <v>289307</v>
      </c>
      <c r="BN36" s="542">
        <v>231445</v>
      </c>
      <c r="BO36" s="542">
        <v>52075</v>
      </c>
      <c r="BP36" s="542">
        <v>5786</v>
      </c>
      <c r="BQ36" s="542">
        <v>578613</v>
      </c>
      <c r="BR36" s="542">
        <v>-1414307</v>
      </c>
      <c r="BS36" s="542">
        <v>-1131445</v>
      </c>
      <c r="BT36" s="542">
        <v>-254575</v>
      </c>
      <c r="BU36" s="542">
        <v>-28286</v>
      </c>
      <c r="BV36" s="542">
        <v>-2828613</v>
      </c>
      <c r="BW36" s="542">
        <v>-1800000</v>
      </c>
      <c r="BX36" s="542">
        <v>-1440000</v>
      </c>
      <c r="BY36" s="542">
        <v>-324000</v>
      </c>
      <c r="BZ36" s="542">
        <v>-36000</v>
      </c>
      <c r="CA36" s="542">
        <v>-3600000</v>
      </c>
    </row>
    <row r="37" spans="1:79" ht="12.75" x14ac:dyDescent="0.2">
      <c r="A37" s="93">
        <v>31</v>
      </c>
      <c r="B37" s="145" t="s">
        <v>621</v>
      </c>
      <c r="C37" s="141" t="s">
        <v>866</v>
      </c>
      <c r="D37" s="142" t="s">
        <v>870</v>
      </c>
      <c r="E37" s="149" t="s">
        <v>620</v>
      </c>
      <c r="F37" s="543">
        <v>0.5</v>
      </c>
      <c r="G37" s="543">
        <v>0.4</v>
      </c>
      <c r="H37" s="543">
        <v>0.1</v>
      </c>
      <c r="I37" s="543">
        <v>0</v>
      </c>
      <c r="J37" s="543">
        <v>1</v>
      </c>
      <c r="K37" s="542">
        <v>14649976</v>
      </c>
      <c r="L37" s="542">
        <v>11719981</v>
      </c>
      <c r="M37" s="542">
        <v>2929995</v>
      </c>
      <c r="N37" s="542">
        <v>0</v>
      </c>
      <c r="O37" s="542">
        <v>29299952</v>
      </c>
      <c r="P37" s="542">
        <v>0</v>
      </c>
      <c r="Q37" s="542">
        <v>0</v>
      </c>
      <c r="R37" s="542">
        <v>14649976</v>
      </c>
      <c r="S37" s="542">
        <v>167365</v>
      </c>
      <c r="T37" s="542">
        <v>167365</v>
      </c>
      <c r="U37" s="542">
        <v>0</v>
      </c>
      <c r="V37" s="542">
        <v>0</v>
      </c>
      <c r="W37" s="542">
        <v>151964</v>
      </c>
      <c r="X37" s="542">
        <v>0</v>
      </c>
      <c r="Y37" s="542">
        <v>151964</v>
      </c>
      <c r="Z37" s="542">
        <v>0</v>
      </c>
      <c r="AA37" s="542">
        <v>0</v>
      </c>
      <c r="AB37" s="542">
        <v>0</v>
      </c>
      <c r="AC37" s="542">
        <v>0</v>
      </c>
      <c r="AD37" s="542">
        <v>513237</v>
      </c>
      <c r="AE37" s="542">
        <v>410590</v>
      </c>
      <c r="AF37" s="542">
        <v>102648</v>
      </c>
      <c r="AG37" s="542">
        <v>0</v>
      </c>
      <c r="AH37" s="542">
        <v>1026475</v>
      </c>
      <c r="AI37" s="542">
        <v>-49680</v>
      </c>
      <c r="AJ37" s="542">
        <v>-39744</v>
      </c>
      <c r="AK37" s="542">
        <v>-9936</v>
      </c>
      <c r="AL37" s="542">
        <v>0</v>
      </c>
      <c r="AM37" s="542">
        <v>-99360</v>
      </c>
      <c r="AN37" s="542">
        <v>-123876.54</v>
      </c>
      <c r="AO37" s="542">
        <v>-99101</v>
      </c>
      <c r="AP37" s="542">
        <v>-24775</v>
      </c>
      <c r="AQ37" s="542">
        <v>0</v>
      </c>
      <c r="AR37" s="542">
        <v>-247752.54</v>
      </c>
      <c r="AS37" s="542">
        <v>911</v>
      </c>
      <c r="AT37" s="542">
        <v>728</v>
      </c>
      <c r="AU37" s="542">
        <v>182</v>
      </c>
      <c r="AV37" s="542">
        <v>0</v>
      </c>
      <c r="AW37" s="542">
        <v>1821</v>
      </c>
      <c r="AX37" s="542">
        <v>-43123</v>
      </c>
      <c r="AY37" s="542">
        <v>-34498</v>
      </c>
      <c r="AZ37" s="542">
        <v>-8625</v>
      </c>
      <c r="BA37" s="542">
        <v>0</v>
      </c>
      <c r="BB37" s="542">
        <v>-86246</v>
      </c>
      <c r="BC37" s="542">
        <v>-166088.54</v>
      </c>
      <c r="BD37" s="542">
        <v>-132871</v>
      </c>
      <c r="BE37" s="542">
        <v>-33218</v>
      </c>
      <c r="BF37" s="542">
        <v>0</v>
      </c>
      <c r="BG37" s="542">
        <v>-332177.53999999998</v>
      </c>
      <c r="BH37" s="542">
        <v>-892160</v>
      </c>
      <c r="BI37" s="542">
        <v>-713729</v>
      </c>
      <c r="BJ37" s="542">
        <v>-178432</v>
      </c>
      <c r="BK37" s="542">
        <v>0</v>
      </c>
      <c r="BL37" s="542">
        <v>-1784321</v>
      </c>
      <c r="BM37" s="542">
        <v>709161</v>
      </c>
      <c r="BN37" s="542">
        <v>567329</v>
      </c>
      <c r="BO37" s="542">
        <v>141832</v>
      </c>
      <c r="BP37" s="542">
        <v>0</v>
      </c>
      <c r="BQ37" s="542">
        <v>1418322</v>
      </c>
      <c r="BR37" s="542">
        <v>-588904</v>
      </c>
      <c r="BS37" s="542">
        <v>-471124</v>
      </c>
      <c r="BT37" s="542">
        <v>-117781</v>
      </c>
      <c r="BU37" s="542">
        <v>0</v>
      </c>
      <c r="BV37" s="542">
        <v>-1177809</v>
      </c>
      <c r="BW37" s="542">
        <v>-771903</v>
      </c>
      <c r="BX37" s="542">
        <v>-617524</v>
      </c>
      <c r="BY37" s="542">
        <v>-154381</v>
      </c>
      <c r="BZ37" s="542">
        <v>0</v>
      </c>
      <c r="CA37" s="542">
        <v>-1543808</v>
      </c>
    </row>
    <row r="38" spans="1:79" ht="12.75" x14ac:dyDescent="0.2">
      <c r="A38" s="93">
        <v>32</v>
      </c>
      <c r="B38" s="145" t="s">
        <v>623</v>
      </c>
      <c r="C38" s="141" t="s">
        <v>871</v>
      </c>
      <c r="D38" s="142" t="s">
        <v>872</v>
      </c>
      <c r="E38" s="149" t="s">
        <v>622</v>
      </c>
      <c r="F38" s="543">
        <v>0.5</v>
      </c>
      <c r="G38" s="543">
        <v>0.3</v>
      </c>
      <c r="H38" s="543">
        <v>0.2</v>
      </c>
      <c r="I38" s="543">
        <v>0</v>
      </c>
      <c r="J38" s="543">
        <v>1</v>
      </c>
      <c r="K38" s="542">
        <v>54884501</v>
      </c>
      <c r="L38" s="542">
        <v>32930701</v>
      </c>
      <c r="M38" s="542">
        <v>21953801</v>
      </c>
      <c r="N38" s="542">
        <v>0</v>
      </c>
      <c r="O38" s="542">
        <v>109769003</v>
      </c>
      <c r="P38" s="542">
        <v>0</v>
      </c>
      <c r="Q38" s="542">
        <v>0</v>
      </c>
      <c r="R38" s="542">
        <v>54884501</v>
      </c>
      <c r="S38" s="542">
        <v>417441</v>
      </c>
      <c r="T38" s="542">
        <v>417441</v>
      </c>
      <c r="U38" s="542">
        <v>0</v>
      </c>
      <c r="V38" s="542">
        <v>0</v>
      </c>
      <c r="W38" s="542">
        <v>0</v>
      </c>
      <c r="X38" s="542">
        <v>0</v>
      </c>
      <c r="Y38" s="542">
        <v>0</v>
      </c>
      <c r="Z38" s="542">
        <v>0</v>
      </c>
      <c r="AA38" s="542">
        <v>0</v>
      </c>
      <c r="AB38" s="542">
        <v>0</v>
      </c>
      <c r="AC38" s="542">
        <v>0</v>
      </c>
      <c r="AD38" s="542">
        <v>2702821</v>
      </c>
      <c r="AE38" s="542">
        <v>1621692</v>
      </c>
      <c r="AF38" s="542">
        <v>1081128</v>
      </c>
      <c r="AG38" s="542">
        <v>0</v>
      </c>
      <c r="AH38" s="542">
        <v>5405641</v>
      </c>
      <c r="AI38" s="542">
        <v>-1628214</v>
      </c>
      <c r="AJ38" s="542">
        <v>-976928</v>
      </c>
      <c r="AK38" s="542">
        <v>-651285</v>
      </c>
      <c r="AL38" s="542">
        <v>0</v>
      </c>
      <c r="AM38" s="542">
        <v>-3256427</v>
      </c>
      <c r="AN38" s="542">
        <v>95689</v>
      </c>
      <c r="AO38" s="542">
        <v>57413</v>
      </c>
      <c r="AP38" s="542">
        <v>38276</v>
      </c>
      <c r="AQ38" s="542">
        <v>0</v>
      </c>
      <c r="AR38" s="542">
        <v>191378</v>
      </c>
      <c r="AS38" s="542">
        <v>0</v>
      </c>
      <c r="AT38" s="542">
        <v>0</v>
      </c>
      <c r="AU38" s="542">
        <v>0</v>
      </c>
      <c r="AV38" s="542">
        <v>0</v>
      </c>
      <c r="AW38" s="542">
        <v>0</v>
      </c>
      <c r="AX38" s="542">
        <v>-1242319</v>
      </c>
      <c r="AY38" s="542">
        <v>-745392</v>
      </c>
      <c r="AZ38" s="542">
        <v>-496928</v>
      </c>
      <c r="BA38" s="542">
        <v>0</v>
      </c>
      <c r="BB38" s="542">
        <v>-2484639</v>
      </c>
      <c r="BC38" s="542">
        <v>-1146630</v>
      </c>
      <c r="BD38" s="542">
        <v>-687979</v>
      </c>
      <c r="BE38" s="542">
        <v>-458652</v>
      </c>
      <c r="BF38" s="542">
        <v>0</v>
      </c>
      <c r="BG38" s="542">
        <v>-2293261</v>
      </c>
      <c r="BH38" s="542">
        <v>-3048504</v>
      </c>
      <c r="BI38" s="542">
        <v>-1829102</v>
      </c>
      <c r="BJ38" s="542">
        <v>-1219402</v>
      </c>
      <c r="BK38" s="542">
        <v>0</v>
      </c>
      <c r="BL38" s="542">
        <v>-6097008</v>
      </c>
      <c r="BM38" s="542">
        <v>1948004</v>
      </c>
      <c r="BN38" s="542">
        <v>1168803</v>
      </c>
      <c r="BO38" s="542">
        <v>779202</v>
      </c>
      <c r="BP38" s="542">
        <v>0</v>
      </c>
      <c r="BQ38" s="542">
        <v>3896009</v>
      </c>
      <c r="BR38" s="542">
        <v>-2114881</v>
      </c>
      <c r="BS38" s="542">
        <v>-1268928</v>
      </c>
      <c r="BT38" s="542">
        <v>-845952</v>
      </c>
      <c r="BU38" s="542">
        <v>0</v>
      </c>
      <c r="BV38" s="542">
        <v>-4229761</v>
      </c>
      <c r="BW38" s="542">
        <v>-3215381</v>
      </c>
      <c r="BX38" s="542">
        <v>-1929227</v>
      </c>
      <c r="BY38" s="542">
        <v>-1286152</v>
      </c>
      <c r="BZ38" s="542">
        <v>0</v>
      </c>
      <c r="CA38" s="542">
        <v>-6430760</v>
      </c>
    </row>
    <row r="39" spans="1:79" ht="12.75" x14ac:dyDescent="0.2">
      <c r="A39" s="93">
        <v>33</v>
      </c>
      <c r="B39" s="145" t="s">
        <v>625</v>
      </c>
      <c r="C39" s="141" t="s">
        <v>866</v>
      </c>
      <c r="D39" s="142" t="s">
        <v>870</v>
      </c>
      <c r="E39" s="149" t="s">
        <v>624</v>
      </c>
      <c r="F39" s="543">
        <v>0.5</v>
      </c>
      <c r="G39" s="543">
        <v>0.4</v>
      </c>
      <c r="H39" s="543">
        <v>0.09</v>
      </c>
      <c r="I39" s="543">
        <v>0.01</v>
      </c>
      <c r="J39" s="543">
        <v>1</v>
      </c>
      <c r="K39" s="542">
        <v>14840886</v>
      </c>
      <c r="L39" s="542">
        <v>11872710</v>
      </c>
      <c r="M39" s="542">
        <v>2671360</v>
      </c>
      <c r="N39" s="542">
        <v>296818</v>
      </c>
      <c r="O39" s="542">
        <v>29681774</v>
      </c>
      <c r="P39" s="542">
        <v>0</v>
      </c>
      <c r="Q39" s="542">
        <v>0</v>
      </c>
      <c r="R39" s="542">
        <v>14840886</v>
      </c>
      <c r="S39" s="542">
        <v>104749</v>
      </c>
      <c r="T39" s="542">
        <v>104749</v>
      </c>
      <c r="U39" s="542">
        <v>0</v>
      </c>
      <c r="V39" s="542">
        <v>0</v>
      </c>
      <c r="W39" s="542">
        <v>0</v>
      </c>
      <c r="X39" s="542">
        <v>0</v>
      </c>
      <c r="Y39" s="542">
        <v>0</v>
      </c>
      <c r="Z39" s="542">
        <v>0</v>
      </c>
      <c r="AA39" s="542">
        <v>0</v>
      </c>
      <c r="AB39" s="542">
        <v>0</v>
      </c>
      <c r="AC39" s="542">
        <v>0</v>
      </c>
      <c r="AD39" s="542">
        <v>1139742</v>
      </c>
      <c r="AE39" s="542">
        <v>911794</v>
      </c>
      <c r="AF39" s="542">
        <v>205154</v>
      </c>
      <c r="AG39" s="542">
        <v>22795</v>
      </c>
      <c r="AH39" s="542">
        <v>2279485</v>
      </c>
      <c r="AI39" s="542">
        <v>-291472</v>
      </c>
      <c r="AJ39" s="542">
        <v>-233177</v>
      </c>
      <c r="AK39" s="542">
        <v>-52465</v>
      </c>
      <c r="AL39" s="542">
        <v>-5829</v>
      </c>
      <c r="AM39" s="542">
        <v>-582943</v>
      </c>
      <c r="AN39" s="542">
        <v>-470842</v>
      </c>
      <c r="AO39" s="542">
        <v>-376674</v>
      </c>
      <c r="AP39" s="542">
        <v>-84751</v>
      </c>
      <c r="AQ39" s="542">
        <v>-9417</v>
      </c>
      <c r="AR39" s="542">
        <v>-941684</v>
      </c>
      <c r="AS39" s="542">
        <v>273959</v>
      </c>
      <c r="AT39" s="542">
        <v>219167</v>
      </c>
      <c r="AU39" s="542">
        <v>49313</v>
      </c>
      <c r="AV39" s="542">
        <v>5479</v>
      </c>
      <c r="AW39" s="542">
        <v>547918</v>
      </c>
      <c r="AX39" s="542">
        <v>-293396</v>
      </c>
      <c r="AY39" s="542">
        <v>-234717</v>
      </c>
      <c r="AZ39" s="542">
        <v>-52811</v>
      </c>
      <c r="BA39" s="542">
        <v>-5868</v>
      </c>
      <c r="BB39" s="542">
        <v>-586792</v>
      </c>
      <c r="BC39" s="542">
        <v>-490279</v>
      </c>
      <c r="BD39" s="542">
        <v>-392224</v>
      </c>
      <c r="BE39" s="542">
        <v>-88249</v>
      </c>
      <c r="BF39" s="542">
        <v>-9806</v>
      </c>
      <c r="BG39" s="542">
        <v>-980558</v>
      </c>
      <c r="BH39" s="542">
        <v>-1027168</v>
      </c>
      <c r="BI39" s="542">
        <v>-821733</v>
      </c>
      <c r="BJ39" s="542">
        <v>-184890</v>
      </c>
      <c r="BK39" s="542">
        <v>-20543</v>
      </c>
      <c r="BL39" s="542">
        <v>-2054334</v>
      </c>
      <c r="BM39" s="542">
        <v>0</v>
      </c>
      <c r="BN39" s="542">
        <v>0</v>
      </c>
      <c r="BO39" s="542">
        <v>0</v>
      </c>
      <c r="BP39" s="542">
        <v>0</v>
      </c>
      <c r="BQ39" s="542">
        <v>0</v>
      </c>
      <c r="BR39" s="542">
        <v>-104610</v>
      </c>
      <c r="BS39" s="542">
        <v>-83688</v>
      </c>
      <c r="BT39" s="542">
        <v>-18830</v>
      </c>
      <c r="BU39" s="542">
        <v>-2092</v>
      </c>
      <c r="BV39" s="542">
        <v>-209220</v>
      </c>
      <c r="BW39" s="542">
        <v>-1131778</v>
      </c>
      <c r="BX39" s="542">
        <v>-905421</v>
      </c>
      <c r="BY39" s="542">
        <v>-203720</v>
      </c>
      <c r="BZ39" s="542">
        <v>-22635</v>
      </c>
      <c r="CA39" s="542">
        <v>-2263554</v>
      </c>
    </row>
    <row r="40" spans="1:79" ht="12.75" x14ac:dyDescent="0.2">
      <c r="A40" s="93">
        <v>34</v>
      </c>
      <c r="B40" s="145" t="s">
        <v>627</v>
      </c>
      <c r="C40" s="141" t="s">
        <v>770</v>
      </c>
      <c r="D40" s="142" t="s">
        <v>867</v>
      </c>
      <c r="E40" s="149" t="s">
        <v>879</v>
      </c>
      <c r="F40" s="543">
        <v>0.5</v>
      </c>
      <c r="G40" s="543">
        <v>0.49</v>
      </c>
      <c r="H40" s="543">
        <v>0</v>
      </c>
      <c r="I40" s="543">
        <v>0.01</v>
      </c>
      <c r="J40" s="543">
        <v>1</v>
      </c>
      <c r="K40" s="542">
        <v>52525146</v>
      </c>
      <c r="L40" s="542">
        <v>51474643</v>
      </c>
      <c r="M40" s="542">
        <v>0</v>
      </c>
      <c r="N40" s="542">
        <v>1050503</v>
      </c>
      <c r="O40" s="542">
        <v>105050292</v>
      </c>
      <c r="P40" s="542">
        <v>0</v>
      </c>
      <c r="Q40" s="542">
        <v>0</v>
      </c>
      <c r="R40" s="542">
        <v>52525146</v>
      </c>
      <c r="S40" s="542">
        <v>418801</v>
      </c>
      <c r="T40" s="542">
        <v>418801</v>
      </c>
      <c r="U40" s="542">
        <v>0</v>
      </c>
      <c r="V40" s="542">
        <v>0</v>
      </c>
      <c r="W40" s="542">
        <v>0</v>
      </c>
      <c r="X40" s="542">
        <v>0</v>
      </c>
      <c r="Y40" s="542">
        <v>0</v>
      </c>
      <c r="Z40" s="542">
        <v>0</v>
      </c>
      <c r="AA40" s="542">
        <v>0</v>
      </c>
      <c r="AB40" s="542">
        <v>0</v>
      </c>
      <c r="AC40" s="542">
        <v>0</v>
      </c>
      <c r="AD40" s="542">
        <v>2658215</v>
      </c>
      <c r="AE40" s="542">
        <v>2605050</v>
      </c>
      <c r="AF40" s="542">
        <v>0</v>
      </c>
      <c r="AG40" s="542">
        <v>53164</v>
      </c>
      <c r="AH40" s="542">
        <v>5316429</v>
      </c>
      <c r="AI40" s="542">
        <v>-1347437</v>
      </c>
      <c r="AJ40" s="542">
        <v>-1320489</v>
      </c>
      <c r="AK40" s="542">
        <v>0</v>
      </c>
      <c r="AL40" s="542">
        <v>-26949</v>
      </c>
      <c r="AM40" s="542">
        <v>-2694875</v>
      </c>
      <c r="AN40" s="542">
        <v>-1145887</v>
      </c>
      <c r="AO40" s="542">
        <v>-1122969</v>
      </c>
      <c r="AP40" s="542">
        <v>0</v>
      </c>
      <c r="AQ40" s="542">
        <v>-22917</v>
      </c>
      <c r="AR40" s="542">
        <v>-2291773</v>
      </c>
      <c r="AS40" s="542">
        <v>140864</v>
      </c>
      <c r="AT40" s="542">
        <v>138047</v>
      </c>
      <c r="AU40" s="542">
        <v>0</v>
      </c>
      <c r="AV40" s="542">
        <v>2817</v>
      </c>
      <c r="AW40" s="542">
        <v>281728</v>
      </c>
      <c r="AX40" s="542">
        <v>-333681</v>
      </c>
      <c r="AY40" s="542">
        <v>-327008</v>
      </c>
      <c r="AZ40" s="542">
        <v>0</v>
      </c>
      <c r="BA40" s="542">
        <v>-6674</v>
      </c>
      <c r="BB40" s="542">
        <v>-667363</v>
      </c>
      <c r="BC40" s="542">
        <v>-1338704</v>
      </c>
      <c r="BD40" s="542">
        <v>-1311930</v>
      </c>
      <c r="BE40" s="542">
        <v>0</v>
      </c>
      <c r="BF40" s="542">
        <v>-26774</v>
      </c>
      <c r="BG40" s="542">
        <v>-2677408</v>
      </c>
      <c r="BH40" s="542">
        <v>-3038950</v>
      </c>
      <c r="BI40" s="542">
        <v>-2978172</v>
      </c>
      <c r="BJ40" s="542">
        <v>0</v>
      </c>
      <c r="BK40" s="542">
        <v>-60779</v>
      </c>
      <c r="BL40" s="542">
        <v>-6077901</v>
      </c>
      <c r="BM40" s="542">
        <v>2009442</v>
      </c>
      <c r="BN40" s="542">
        <v>1969254</v>
      </c>
      <c r="BO40" s="542">
        <v>0</v>
      </c>
      <c r="BP40" s="542">
        <v>40189</v>
      </c>
      <c r="BQ40" s="542">
        <v>4018885</v>
      </c>
      <c r="BR40" s="542">
        <v>-477169</v>
      </c>
      <c r="BS40" s="542">
        <v>-467625</v>
      </c>
      <c r="BT40" s="542">
        <v>0</v>
      </c>
      <c r="BU40" s="542">
        <v>-9543</v>
      </c>
      <c r="BV40" s="542">
        <v>-954337</v>
      </c>
      <c r="BW40" s="542">
        <v>-1506677</v>
      </c>
      <c r="BX40" s="542">
        <v>-1476543</v>
      </c>
      <c r="BY40" s="542">
        <v>0</v>
      </c>
      <c r="BZ40" s="542">
        <v>-30133</v>
      </c>
      <c r="CA40" s="542">
        <v>-3013353</v>
      </c>
    </row>
    <row r="41" spans="1:79" ht="12.75" x14ac:dyDescent="0.2">
      <c r="A41" s="93">
        <v>35</v>
      </c>
      <c r="B41" s="145" t="s">
        <v>629</v>
      </c>
      <c r="C41" s="141" t="s">
        <v>770</v>
      </c>
      <c r="D41" s="142" t="s">
        <v>875</v>
      </c>
      <c r="E41" s="149" t="s">
        <v>628</v>
      </c>
      <c r="F41" s="543">
        <v>0.5</v>
      </c>
      <c r="G41" s="543">
        <v>0.49</v>
      </c>
      <c r="H41" s="543">
        <v>0</v>
      </c>
      <c r="I41" s="543">
        <v>0.01</v>
      </c>
      <c r="J41" s="543">
        <v>1</v>
      </c>
      <c r="K41" s="542">
        <v>99275833</v>
      </c>
      <c r="L41" s="542">
        <v>97290317</v>
      </c>
      <c r="M41" s="542">
        <v>0</v>
      </c>
      <c r="N41" s="542">
        <v>1985517</v>
      </c>
      <c r="O41" s="542">
        <v>198551667</v>
      </c>
      <c r="P41" s="542">
        <v>619486.21</v>
      </c>
      <c r="Q41" s="542">
        <v>619486.21</v>
      </c>
      <c r="R41" s="542">
        <v>98656346.700000003</v>
      </c>
      <c r="S41" s="542">
        <v>722649</v>
      </c>
      <c r="T41" s="542">
        <v>722649</v>
      </c>
      <c r="U41" s="542">
        <v>5331087</v>
      </c>
      <c r="V41" s="542">
        <v>5331087</v>
      </c>
      <c r="W41" s="542">
        <v>258</v>
      </c>
      <c r="X41" s="542">
        <v>0</v>
      </c>
      <c r="Y41" s="542">
        <v>258</v>
      </c>
      <c r="Z41" s="542">
        <v>619486.21</v>
      </c>
      <c r="AA41" s="542">
        <v>0</v>
      </c>
      <c r="AB41" s="542">
        <v>0</v>
      </c>
      <c r="AC41" s="542">
        <v>619486.21</v>
      </c>
      <c r="AD41" s="542">
        <v>2217265</v>
      </c>
      <c r="AE41" s="542">
        <v>2172920</v>
      </c>
      <c r="AF41" s="542">
        <v>0</v>
      </c>
      <c r="AG41" s="542">
        <v>44345</v>
      </c>
      <c r="AH41" s="542">
        <v>4434530</v>
      </c>
      <c r="AI41" s="542">
        <v>-1280330</v>
      </c>
      <c r="AJ41" s="542">
        <v>-1254723</v>
      </c>
      <c r="AK41" s="542">
        <v>0</v>
      </c>
      <c r="AL41" s="542">
        <v>-25607</v>
      </c>
      <c r="AM41" s="542">
        <v>-2560660</v>
      </c>
      <c r="AN41" s="542">
        <v>-1102000</v>
      </c>
      <c r="AO41" s="542">
        <v>-1079960</v>
      </c>
      <c r="AP41" s="542">
        <v>0</v>
      </c>
      <c r="AQ41" s="542">
        <v>-22040</v>
      </c>
      <c r="AR41" s="542">
        <v>-2204000</v>
      </c>
      <c r="AS41" s="542">
        <v>1102000</v>
      </c>
      <c r="AT41" s="542">
        <v>1079960</v>
      </c>
      <c r="AU41" s="542">
        <v>0</v>
      </c>
      <c r="AV41" s="542">
        <v>22040</v>
      </c>
      <c r="AW41" s="542">
        <v>2204000</v>
      </c>
      <c r="AX41" s="542">
        <v>-772500</v>
      </c>
      <c r="AY41" s="542">
        <v>-757050</v>
      </c>
      <c r="AZ41" s="542">
        <v>0</v>
      </c>
      <c r="BA41" s="542">
        <v>-15450</v>
      </c>
      <c r="BB41" s="542">
        <v>-1545000</v>
      </c>
      <c r="BC41" s="542">
        <v>-772500</v>
      </c>
      <c r="BD41" s="542">
        <v>-757050</v>
      </c>
      <c r="BE41" s="542">
        <v>0</v>
      </c>
      <c r="BF41" s="542">
        <v>-15450</v>
      </c>
      <c r="BG41" s="542">
        <v>-1545000</v>
      </c>
      <c r="BH41" s="542">
        <v>-7041000</v>
      </c>
      <c r="BI41" s="542">
        <v>-6900180</v>
      </c>
      <c r="BJ41" s="542">
        <v>0</v>
      </c>
      <c r="BK41" s="542">
        <v>-140820</v>
      </c>
      <c r="BL41" s="542">
        <v>-14082000</v>
      </c>
      <c r="BM41" s="542">
        <v>1790717</v>
      </c>
      <c r="BN41" s="542">
        <v>1754902</v>
      </c>
      <c r="BO41" s="542">
        <v>0</v>
      </c>
      <c r="BP41" s="542">
        <v>35814</v>
      </c>
      <c r="BQ41" s="542">
        <v>3581433</v>
      </c>
      <c r="BR41" s="542">
        <v>-3547521</v>
      </c>
      <c r="BS41" s="542">
        <v>-3476570</v>
      </c>
      <c r="BT41" s="542">
        <v>0</v>
      </c>
      <c r="BU41" s="542">
        <v>-70950</v>
      </c>
      <c r="BV41" s="542">
        <v>-7095041</v>
      </c>
      <c r="BW41" s="542">
        <v>-8797804</v>
      </c>
      <c r="BX41" s="542">
        <v>-8621848</v>
      </c>
      <c r="BY41" s="542">
        <v>0</v>
      </c>
      <c r="BZ41" s="542">
        <v>-175956</v>
      </c>
      <c r="CA41" s="542">
        <v>-17595608</v>
      </c>
    </row>
    <row r="42" spans="1:79" ht="12.75" x14ac:dyDescent="0.2">
      <c r="A42" s="93">
        <v>36</v>
      </c>
      <c r="B42" s="145" t="s">
        <v>631</v>
      </c>
      <c r="C42" s="141" t="s">
        <v>866</v>
      </c>
      <c r="D42" s="142" t="s">
        <v>870</v>
      </c>
      <c r="E42" s="149" t="s">
        <v>630</v>
      </c>
      <c r="F42" s="543">
        <v>0.5</v>
      </c>
      <c r="G42" s="543">
        <v>0.4</v>
      </c>
      <c r="H42" s="543">
        <v>0.1</v>
      </c>
      <c r="I42" s="543">
        <v>0</v>
      </c>
      <c r="J42" s="543">
        <v>1</v>
      </c>
      <c r="K42" s="542">
        <v>13922187</v>
      </c>
      <c r="L42" s="542">
        <v>11137750</v>
      </c>
      <c r="M42" s="542">
        <v>2784438</v>
      </c>
      <c r="N42" s="542">
        <v>0</v>
      </c>
      <c r="O42" s="542">
        <v>27844375</v>
      </c>
      <c r="P42" s="542">
        <v>0</v>
      </c>
      <c r="Q42" s="542">
        <v>0</v>
      </c>
      <c r="R42" s="542">
        <v>13922187</v>
      </c>
      <c r="S42" s="542">
        <v>137480</v>
      </c>
      <c r="T42" s="542">
        <v>137480</v>
      </c>
      <c r="U42" s="542">
        <v>0</v>
      </c>
      <c r="V42" s="542">
        <v>0</v>
      </c>
      <c r="W42" s="542">
        <v>93990</v>
      </c>
      <c r="X42" s="542">
        <v>0</v>
      </c>
      <c r="Y42" s="542">
        <v>93990</v>
      </c>
      <c r="Z42" s="542">
        <v>0</v>
      </c>
      <c r="AA42" s="542">
        <v>0</v>
      </c>
      <c r="AB42" s="542">
        <v>0</v>
      </c>
      <c r="AC42" s="542">
        <v>0</v>
      </c>
      <c r="AD42" s="542">
        <v>162628</v>
      </c>
      <c r="AE42" s="542">
        <v>130102</v>
      </c>
      <c r="AF42" s="542">
        <v>32526</v>
      </c>
      <c r="AG42" s="542">
        <v>0</v>
      </c>
      <c r="AH42" s="542">
        <v>325256</v>
      </c>
      <c r="AI42" s="542">
        <v>-405246</v>
      </c>
      <c r="AJ42" s="542">
        <v>-324197</v>
      </c>
      <c r="AK42" s="542">
        <v>-81049</v>
      </c>
      <c r="AL42" s="542">
        <v>0</v>
      </c>
      <c r="AM42" s="542">
        <v>-810492</v>
      </c>
      <c r="AN42" s="542">
        <v>-57238</v>
      </c>
      <c r="AO42" s="542">
        <v>-45789</v>
      </c>
      <c r="AP42" s="542">
        <v>-11447</v>
      </c>
      <c r="AQ42" s="542">
        <v>0</v>
      </c>
      <c r="AR42" s="542">
        <v>-114474</v>
      </c>
      <c r="AS42" s="542">
        <v>40879</v>
      </c>
      <c r="AT42" s="542">
        <v>32703</v>
      </c>
      <c r="AU42" s="542">
        <v>8176</v>
      </c>
      <c r="AV42" s="542">
        <v>0</v>
      </c>
      <c r="AW42" s="542">
        <v>81758</v>
      </c>
      <c r="AX42" s="542">
        <v>-61203</v>
      </c>
      <c r="AY42" s="542">
        <v>-48962</v>
      </c>
      <c r="AZ42" s="542">
        <v>-12241</v>
      </c>
      <c r="BA42" s="542">
        <v>0</v>
      </c>
      <c r="BB42" s="542">
        <v>-122406</v>
      </c>
      <c r="BC42" s="542">
        <v>-77562</v>
      </c>
      <c r="BD42" s="542">
        <v>-62048</v>
      </c>
      <c r="BE42" s="542">
        <v>-15512</v>
      </c>
      <c r="BF42" s="542">
        <v>0</v>
      </c>
      <c r="BG42" s="542">
        <v>-155122</v>
      </c>
      <c r="BH42" s="542">
        <v>-412417</v>
      </c>
      <c r="BI42" s="542">
        <v>-329934</v>
      </c>
      <c r="BJ42" s="542">
        <v>-82483</v>
      </c>
      <c r="BK42" s="542">
        <v>0</v>
      </c>
      <c r="BL42" s="542">
        <v>-824834</v>
      </c>
      <c r="BM42" s="542">
        <v>354742</v>
      </c>
      <c r="BN42" s="542">
        <v>283793</v>
      </c>
      <c r="BO42" s="542">
        <v>70948</v>
      </c>
      <c r="BP42" s="542">
        <v>0</v>
      </c>
      <c r="BQ42" s="542">
        <v>709483</v>
      </c>
      <c r="BR42" s="542">
        <v>-982871</v>
      </c>
      <c r="BS42" s="542">
        <v>-786296</v>
      </c>
      <c r="BT42" s="542">
        <v>-196574</v>
      </c>
      <c r="BU42" s="542">
        <v>0</v>
      </c>
      <c r="BV42" s="542">
        <v>-1965741</v>
      </c>
      <c r="BW42" s="542">
        <v>-1040546</v>
      </c>
      <c r="BX42" s="542">
        <v>-832437</v>
      </c>
      <c r="BY42" s="542">
        <v>-208109</v>
      </c>
      <c r="BZ42" s="542">
        <v>0</v>
      </c>
      <c r="CA42" s="542">
        <v>-2081092</v>
      </c>
    </row>
    <row r="43" spans="1:79" ht="12.75" x14ac:dyDescent="0.2">
      <c r="A43" s="93">
        <v>37</v>
      </c>
      <c r="B43" s="145" t="s">
        <v>633</v>
      </c>
      <c r="C43" s="141" t="s">
        <v>871</v>
      </c>
      <c r="D43" s="142" t="s">
        <v>872</v>
      </c>
      <c r="E43" s="149" t="s">
        <v>632</v>
      </c>
      <c r="F43" s="543">
        <v>0.5</v>
      </c>
      <c r="G43" s="543">
        <v>0.3</v>
      </c>
      <c r="H43" s="543">
        <v>0.2</v>
      </c>
      <c r="I43" s="543">
        <v>0</v>
      </c>
      <c r="J43" s="543">
        <v>1</v>
      </c>
      <c r="K43" s="542">
        <v>39031139</v>
      </c>
      <c r="L43" s="542">
        <v>23418683</v>
      </c>
      <c r="M43" s="542">
        <v>15612456</v>
      </c>
      <c r="N43" s="542">
        <v>0</v>
      </c>
      <c r="O43" s="542">
        <v>78062278</v>
      </c>
      <c r="P43" s="542">
        <v>0</v>
      </c>
      <c r="Q43" s="542">
        <v>0</v>
      </c>
      <c r="R43" s="542">
        <v>39031139</v>
      </c>
      <c r="S43" s="542">
        <v>347201</v>
      </c>
      <c r="T43" s="542">
        <v>347201</v>
      </c>
      <c r="U43" s="542">
        <v>0</v>
      </c>
      <c r="V43" s="542">
        <v>0</v>
      </c>
      <c r="W43" s="542">
        <v>0</v>
      </c>
      <c r="X43" s="542">
        <v>0</v>
      </c>
      <c r="Y43" s="542">
        <v>0</v>
      </c>
      <c r="Z43" s="542">
        <v>0</v>
      </c>
      <c r="AA43" s="542">
        <v>0</v>
      </c>
      <c r="AB43" s="542">
        <v>0</v>
      </c>
      <c r="AC43" s="542">
        <v>0</v>
      </c>
      <c r="AD43" s="542">
        <v>780066</v>
      </c>
      <c r="AE43" s="542">
        <v>468040</v>
      </c>
      <c r="AF43" s="542">
        <v>312026</v>
      </c>
      <c r="AG43" s="542">
        <v>0</v>
      </c>
      <c r="AH43" s="542">
        <v>1560132</v>
      </c>
      <c r="AI43" s="542">
        <v>-1799496</v>
      </c>
      <c r="AJ43" s="542">
        <v>-1079697</v>
      </c>
      <c r="AK43" s="542">
        <v>-719798</v>
      </c>
      <c r="AL43" s="542">
        <v>0</v>
      </c>
      <c r="AM43" s="542">
        <v>-3598991</v>
      </c>
      <c r="AN43" s="542">
        <v>-342828</v>
      </c>
      <c r="AO43" s="542">
        <v>-205698</v>
      </c>
      <c r="AP43" s="542">
        <v>-137132</v>
      </c>
      <c r="AQ43" s="542">
        <v>0</v>
      </c>
      <c r="AR43" s="542">
        <v>-685658</v>
      </c>
      <c r="AS43" s="542">
        <v>239335</v>
      </c>
      <c r="AT43" s="542">
        <v>143601</v>
      </c>
      <c r="AU43" s="542">
        <v>95734</v>
      </c>
      <c r="AV43" s="542">
        <v>0</v>
      </c>
      <c r="AW43" s="542">
        <v>478670</v>
      </c>
      <c r="AX43" s="542">
        <v>-239335</v>
      </c>
      <c r="AY43" s="542">
        <v>-143601</v>
      </c>
      <c r="AZ43" s="542">
        <v>-95734</v>
      </c>
      <c r="BA43" s="542">
        <v>0</v>
      </c>
      <c r="BB43" s="542">
        <v>-478670</v>
      </c>
      <c r="BC43" s="542">
        <v>-342828</v>
      </c>
      <c r="BD43" s="542">
        <v>-205698</v>
      </c>
      <c r="BE43" s="542">
        <v>-137132</v>
      </c>
      <c r="BF43" s="542">
        <v>0</v>
      </c>
      <c r="BG43" s="542">
        <v>-685658</v>
      </c>
      <c r="BH43" s="542">
        <v>-224927</v>
      </c>
      <c r="BI43" s="542">
        <v>-134957</v>
      </c>
      <c r="BJ43" s="542">
        <v>-89971</v>
      </c>
      <c r="BK43" s="542">
        <v>0</v>
      </c>
      <c r="BL43" s="542">
        <v>-449855</v>
      </c>
      <c r="BM43" s="542">
        <v>224927</v>
      </c>
      <c r="BN43" s="542">
        <v>134957</v>
      </c>
      <c r="BO43" s="542">
        <v>89971</v>
      </c>
      <c r="BP43" s="542">
        <v>0</v>
      </c>
      <c r="BQ43" s="542">
        <v>449855</v>
      </c>
      <c r="BR43" s="542">
        <v>-2922483</v>
      </c>
      <c r="BS43" s="542">
        <v>-1753490</v>
      </c>
      <c r="BT43" s="542">
        <v>-1168993</v>
      </c>
      <c r="BU43" s="542">
        <v>0</v>
      </c>
      <c r="BV43" s="542">
        <v>-5844966</v>
      </c>
      <c r="BW43" s="542">
        <v>-2922483</v>
      </c>
      <c r="BX43" s="542">
        <v>-1753490</v>
      </c>
      <c r="BY43" s="542">
        <v>-1168993</v>
      </c>
      <c r="BZ43" s="542">
        <v>0</v>
      </c>
      <c r="CA43" s="542">
        <v>-5844966</v>
      </c>
    </row>
    <row r="44" spans="1:79" ht="12.75" x14ac:dyDescent="0.2">
      <c r="A44" s="93">
        <v>38</v>
      </c>
      <c r="B44" s="145" t="s">
        <v>635</v>
      </c>
      <c r="C44" s="141" t="s">
        <v>866</v>
      </c>
      <c r="D44" s="142" t="s">
        <v>876</v>
      </c>
      <c r="E44" s="149" t="s">
        <v>634</v>
      </c>
      <c r="F44" s="543">
        <v>0.5</v>
      </c>
      <c r="G44" s="543">
        <v>0.4</v>
      </c>
      <c r="H44" s="543">
        <v>0.09</v>
      </c>
      <c r="I44" s="543">
        <v>0.01</v>
      </c>
      <c r="J44" s="543">
        <v>1</v>
      </c>
      <c r="K44" s="542">
        <v>12262104</v>
      </c>
      <c r="L44" s="542">
        <v>9809684</v>
      </c>
      <c r="M44" s="542">
        <v>2207179</v>
      </c>
      <c r="N44" s="542">
        <v>245242</v>
      </c>
      <c r="O44" s="542">
        <v>24524209</v>
      </c>
      <c r="P44" s="542">
        <v>0</v>
      </c>
      <c r="Q44" s="542">
        <v>0</v>
      </c>
      <c r="R44" s="542">
        <v>12262104</v>
      </c>
      <c r="S44" s="542">
        <v>124226</v>
      </c>
      <c r="T44" s="542">
        <v>124226</v>
      </c>
      <c r="U44" s="542">
        <v>0</v>
      </c>
      <c r="V44" s="542">
        <v>0</v>
      </c>
      <c r="W44" s="542">
        <v>0</v>
      </c>
      <c r="X44" s="542">
        <v>0</v>
      </c>
      <c r="Y44" s="542">
        <v>0</v>
      </c>
      <c r="Z44" s="542">
        <v>0</v>
      </c>
      <c r="AA44" s="542">
        <v>0</v>
      </c>
      <c r="AB44" s="542">
        <v>0</v>
      </c>
      <c r="AC44" s="542">
        <v>0</v>
      </c>
      <c r="AD44" s="542">
        <v>897763</v>
      </c>
      <c r="AE44" s="542">
        <v>718210</v>
      </c>
      <c r="AF44" s="542">
        <v>161597</v>
      </c>
      <c r="AG44" s="542">
        <v>17955</v>
      </c>
      <c r="AH44" s="542">
        <v>1795525</v>
      </c>
      <c r="AI44" s="542">
        <v>-331071</v>
      </c>
      <c r="AJ44" s="542">
        <v>-264857</v>
      </c>
      <c r="AK44" s="542">
        <v>-59593</v>
      </c>
      <c r="AL44" s="542">
        <v>-6621</v>
      </c>
      <c r="AM44" s="542">
        <v>-662142</v>
      </c>
      <c r="AN44" s="542">
        <v>-273212</v>
      </c>
      <c r="AO44" s="542">
        <v>-218568</v>
      </c>
      <c r="AP44" s="542">
        <v>-49178</v>
      </c>
      <c r="AQ44" s="542">
        <v>-5464</v>
      </c>
      <c r="AR44" s="542">
        <v>-546422</v>
      </c>
      <c r="AS44" s="542">
        <v>71774</v>
      </c>
      <c r="AT44" s="542">
        <v>57419</v>
      </c>
      <c r="AU44" s="542">
        <v>12919</v>
      </c>
      <c r="AV44" s="542">
        <v>1435</v>
      </c>
      <c r="AW44" s="542">
        <v>143547</v>
      </c>
      <c r="AX44" s="542">
        <v>-166420</v>
      </c>
      <c r="AY44" s="542">
        <v>-133136</v>
      </c>
      <c r="AZ44" s="542">
        <v>-29956</v>
      </c>
      <c r="BA44" s="542">
        <v>-3328</v>
      </c>
      <c r="BB44" s="542">
        <v>-332840</v>
      </c>
      <c r="BC44" s="542">
        <v>-367858</v>
      </c>
      <c r="BD44" s="542">
        <v>-294285</v>
      </c>
      <c r="BE44" s="542">
        <v>-66215</v>
      </c>
      <c r="BF44" s="542">
        <v>-7357</v>
      </c>
      <c r="BG44" s="542">
        <v>-735715</v>
      </c>
      <c r="BH44" s="542">
        <v>-461498</v>
      </c>
      <c r="BI44" s="542">
        <v>-369197</v>
      </c>
      <c r="BJ44" s="542">
        <v>-83069</v>
      </c>
      <c r="BK44" s="542">
        <v>-9230</v>
      </c>
      <c r="BL44" s="542">
        <v>-922994</v>
      </c>
      <c r="BM44" s="542">
        <v>0</v>
      </c>
      <c r="BN44" s="542">
        <v>0</v>
      </c>
      <c r="BO44" s="542">
        <v>0</v>
      </c>
      <c r="BP44" s="542">
        <v>0</v>
      </c>
      <c r="BQ44" s="542">
        <v>0</v>
      </c>
      <c r="BR44" s="542">
        <v>-949153</v>
      </c>
      <c r="BS44" s="542">
        <v>-759323</v>
      </c>
      <c r="BT44" s="542">
        <v>-170848</v>
      </c>
      <c r="BU44" s="542">
        <v>-18983</v>
      </c>
      <c r="BV44" s="542">
        <v>-1898307</v>
      </c>
      <c r="BW44" s="542">
        <v>-1410651</v>
      </c>
      <c r="BX44" s="542">
        <v>-1128520</v>
      </c>
      <c r="BY44" s="542">
        <v>-253917</v>
      </c>
      <c r="BZ44" s="542">
        <v>-28213</v>
      </c>
      <c r="CA44" s="542">
        <v>-2821301</v>
      </c>
    </row>
    <row r="45" spans="1:79" ht="12.75" x14ac:dyDescent="0.2">
      <c r="A45" s="93">
        <v>39</v>
      </c>
      <c r="B45" s="145" t="s">
        <v>637</v>
      </c>
      <c r="C45" s="141" t="s">
        <v>866</v>
      </c>
      <c r="D45" s="142" t="s">
        <v>870</v>
      </c>
      <c r="E45" s="149" t="s">
        <v>636</v>
      </c>
      <c r="F45" s="543">
        <v>0.5</v>
      </c>
      <c r="G45" s="543">
        <v>0.4</v>
      </c>
      <c r="H45" s="543">
        <v>0.1</v>
      </c>
      <c r="I45" s="543">
        <v>0</v>
      </c>
      <c r="J45" s="543">
        <v>1</v>
      </c>
      <c r="K45" s="542">
        <v>19108179</v>
      </c>
      <c r="L45" s="542">
        <v>15286544</v>
      </c>
      <c r="M45" s="542">
        <v>3821636</v>
      </c>
      <c r="N45" s="542">
        <v>0</v>
      </c>
      <c r="O45" s="542">
        <v>38216359</v>
      </c>
      <c r="P45" s="542">
        <v>0</v>
      </c>
      <c r="Q45" s="542">
        <v>0</v>
      </c>
      <c r="R45" s="542">
        <v>19108179</v>
      </c>
      <c r="S45" s="542">
        <v>115645</v>
      </c>
      <c r="T45" s="542">
        <v>115645</v>
      </c>
      <c r="U45" s="542">
        <v>0</v>
      </c>
      <c r="V45" s="542">
        <v>0</v>
      </c>
      <c r="W45" s="542">
        <v>0</v>
      </c>
      <c r="X45" s="542">
        <v>0</v>
      </c>
      <c r="Y45" s="542">
        <v>0</v>
      </c>
      <c r="Z45" s="542">
        <v>0</v>
      </c>
      <c r="AA45" s="542">
        <v>0</v>
      </c>
      <c r="AB45" s="542">
        <v>0</v>
      </c>
      <c r="AC45" s="542">
        <v>0</v>
      </c>
      <c r="AD45" s="542">
        <v>1140352</v>
      </c>
      <c r="AE45" s="542">
        <v>912282</v>
      </c>
      <c r="AF45" s="542">
        <v>228070</v>
      </c>
      <c r="AG45" s="542">
        <v>0</v>
      </c>
      <c r="AH45" s="542">
        <v>2280704</v>
      </c>
      <c r="AI45" s="542">
        <v>-264878</v>
      </c>
      <c r="AJ45" s="542">
        <v>-211903</v>
      </c>
      <c r="AK45" s="542">
        <v>-52976</v>
      </c>
      <c r="AL45" s="542">
        <v>0</v>
      </c>
      <c r="AM45" s="542">
        <v>-529757</v>
      </c>
      <c r="AN45" s="542">
        <v>-96762</v>
      </c>
      <c r="AO45" s="542">
        <v>-77410</v>
      </c>
      <c r="AP45" s="542">
        <v>-19353</v>
      </c>
      <c r="AQ45" s="542">
        <v>0</v>
      </c>
      <c r="AR45" s="542">
        <v>-193525</v>
      </c>
      <c r="AS45" s="542">
        <v>149801</v>
      </c>
      <c r="AT45" s="542">
        <v>119841</v>
      </c>
      <c r="AU45" s="542">
        <v>29960</v>
      </c>
      <c r="AV45" s="542">
        <v>0</v>
      </c>
      <c r="AW45" s="542">
        <v>299602</v>
      </c>
      <c r="AX45" s="542">
        <v>-147833</v>
      </c>
      <c r="AY45" s="542">
        <v>-118266</v>
      </c>
      <c r="AZ45" s="542">
        <v>-29567</v>
      </c>
      <c r="BA45" s="542">
        <v>0</v>
      </c>
      <c r="BB45" s="542">
        <v>-295666</v>
      </c>
      <c r="BC45" s="542">
        <v>-94794</v>
      </c>
      <c r="BD45" s="542">
        <v>-75835</v>
      </c>
      <c r="BE45" s="542">
        <v>-18960</v>
      </c>
      <c r="BF45" s="542">
        <v>0</v>
      </c>
      <c r="BG45" s="542">
        <v>-189589</v>
      </c>
      <c r="BH45" s="542">
        <v>-931222</v>
      </c>
      <c r="BI45" s="542">
        <v>-744977</v>
      </c>
      <c r="BJ45" s="542">
        <v>-186244</v>
      </c>
      <c r="BK45" s="542">
        <v>0</v>
      </c>
      <c r="BL45" s="542">
        <v>-1862443</v>
      </c>
      <c r="BM45" s="542">
        <v>333142</v>
      </c>
      <c r="BN45" s="542">
        <v>266513</v>
      </c>
      <c r="BO45" s="542">
        <v>66628</v>
      </c>
      <c r="BP45" s="542">
        <v>0</v>
      </c>
      <c r="BQ45" s="542">
        <v>666283</v>
      </c>
      <c r="BR45" s="542">
        <v>-1922972</v>
      </c>
      <c r="BS45" s="542">
        <v>-1538378</v>
      </c>
      <c r="BT45" s="542">
        <v>-384594</v>
      </c>
      <c r="BU45" s="542">
        <v>0</v>
      </c>
      <c r="BV45" s="542">
        <v>-3845944</v>
      </c>
      <c r="BW45" s="542">
        <v>-2521052</v>
      </c>
      <c r="BX45" s="542">
        <v>-2016842</v>
      </c>
      <c r="BY45" s="542">
        <v>-504210</v>
      </c>
      <c r="BZ45" s="542">
        <v>0</v>
      </c>
      <c r="CA45" s="542">
        <v>-5042104</v>
      </c>
    </row>
    <row r="46" spans="1:79" ht="12.75" x14ac:dyDescent="0.2">
      <c r="A46" s="93">
        <v>40</v>
      </c>
      <c r="B46" s="145" t="s">
        <v>639</v>
      </c>
      <c r="C46" s="141" t="s">
        <v>866</v>
      </c>
      <c r="D46" s="142" t="s">
        <v>869</v>
      </c>
      <c r="E46" s="149" t="s">
        <v>638</v>
      </c>
      <c r="F46" s="543">
        <v>0.5</v>
      </c>
      <c r="G46" s="543">
        <v>0.4</v>
      </c>
      <c r="H46" s="543">
        <v>0.09</v>
      </c>
      <c r="I46" s="543">
        <v>0.01</v>
      </c>
      <c r="J46" s="543">
        <v>1</v>
      </c>
      <c r="K46" s="542">
        <v>11360313</v>
      </c>
      <c r="L46" s="542">
        <v>9088250</v>
      </c>
      <c r="M46" s="542">
        <v>2044856</v>
      </c>
      <c r="N46" s="542">
        <v>227206</v>
      </c>
      <c r="O46" s="542">
        <v>22720625</v>
      </c>
      <c r="P46" s="542">
        <v>0</v>
      </c>
      <c r="Q46" s="542">
        <v>0</v>
      </c>
      <c r="R46" s="542">
        <v>11360313</v>
      </c>
      <c r="S46" s="542">
        <v>107581</v>
      </c>
      <c r="T46" s="542">
        <v>107581</v>
      </c>
      <c r="U46" s="542">
        <v>0</v>
      </c>
      <c r="V46" s="542">
        <v>0</v>
      </c>
      <c r="W46" s="542">
        <v>0</v>
      </c>
      <c r="X46" s="542">
        <v>0</v>
      </c>
      <c r="Y46" s="542">
        <v>0</v>
      </c>
      <c r="Z46" s="542">
        <v>0</v>
      </c>
      <c r="AA46" s="542">
        <v>0</v>
      </c>
      <c r="AB46" s="542">
        <v>0</v>
      </c>
      <c r="AC46" s="542">
        <v>0</v>
      </c>
      <c r="AD46" s="542">
        <v>712993</v>
      </c>
      <c r="AE46" s="542">
        <v>570395</v>
      </c>
      <c r="AF46" s="542">
        <v>128339</v>
      </c>
      <c r="AG46" s="542">
        <v>14260</v>
      </c>
      <c r="AH46" s="542">
        <v>1425987</v>
      </c>
      <c r="AI46" s="542">
        <v>-85183</v>
      </c>
      <c r="AJ46" s="542">
        <v>-68147</v>
      </c>
      <c r="AK46" s="542">
        <v>-15333</v>
      </c>
      <c r="AL46" s="542">
        <v>-1704</v>
      </c>
      <c r="AM46" s="542">
        <v>-170367</v>
      </c>
      <c r="AN46" s="542">
        <v>-262799</v>
      </c>
      <c r="AO46" s="542">
        <v>-210239</v>
      </c>
      <c r="AP46" s="542">
        <v>-47304</v>
      </c>
      <c r="AQ46" s="542">
        <v>-5256</v>
      </c>
      <c r="AR46" s="542">
        <v>-525598</v>
      </c>
      <c r="AS46" s="542">
        <v>138146</v>
      </c>
      <c r="AT46" s="542">
        <v>110516</v>
      </c>
      <c r="AU46" s="542">
        <v>24866</v>
      </c>
      <c r="AV46" s="542">
        <v>2763</v>
      </c>
      <c r="AW46" s="542">
        <v>276291</v>
      </c>
      <c r="AX46" s="542">
        <v>-236142</v>
      </c>
      <c r="AY46" s="542">
        <v>-188913</v>
      </c>
      <c r="AZ46" s="542">
        <v>-42505</v>
      </c>
      <c r="BA46" s="542">
        <v>-4723</v>
      </c>
      <c r="BB46" s="542">
        <v>-472283</v>
      </c>
      <c r="BC46" s="542">
        <v>-360795</v>
      </c>
      <c r="BD46" s="542">
        <v>-288636</v>
      </c>
      <c r="BE46" s="542">
        <v>-64943</v>
      </c>
      <c r="BF46" s="542">
        <v>-7216</v>
      </c>
      <c r="BG46" s="542">
        <v>-721590</v>
      </c>
      <c r="BH46" s="542">
        <v>-584234</v>
      </c>
      <c r="BI46" s="542">
        <v>-467387</v>
      </c>
      <c r="BJ46" s="542">
        <v>-105162</v>
      </c>
      <c r="BK46" s="542">
        <v>-11685</v>
      </c>
      <c r="BL46" s="542">
        <v>-1168468</v>
      </c>
      <c r="BM46" s="542">
        <v>551678</v>
      </c>
      <c r="BN46" s="542">
        <v>441343</v>
      </c>
      <c r="BO46" s="542">
        <v>99302</v>
      </c>
      <c r="BP46" s="542">
        <v>11034</v>
      </c>
      <c r="BQ46" s="542">
        <v>1103357</v>
      </c>
      <c r="BR46" s="542">
        <v>-687272</v>
      </c>
      <c r="BS46" s="542">
        <v>-549818</v>
      </c>
      <c r="BT46" s="542">
        <v>-123709</v>
      </c>
      <c r="BU46" s="542">
        <v>-13745</v>
      </c>
      <c r="BV46" s="542">
        <v>-1374544</v>
      </c>
      <c r="BW46" s="542">
        <v>-719828</v>
      </c>
      <c r="BX46" s="542">
        <v>-575862</v>
      </c>
      <c r="BY46" s="542">
        <v>-129569</v>
      </c>
      <c r="BZ46" s="542">
        <v>-14396</v>
      </c>
      <c r="CA46" s="542">
        <v>-1439655</v>
      </c>
    </row>
    <row r="47" spans="1:79" ht="12.75" x14ac:dyDescent="0.2">
      <c r="A47" s="93">
        <v>41</v>
      </c>
      <c r="B47" s="145" t="s">
        <v>641</v>
      </c>
      <c r="C47" s="141" t="s">
        <v>866</v>
      </c>
      <c r="D47" s="142" t="s">
        <v>868</v>
      </c>
      <c r="E47" s="149" t="s">
        <v>640</v>
      </c>
      <c r="F47" s="543">
        <v>0.5</v>
      </c>
      <c r="G47" s="543">
        <v>0.4</v>
      </c>
      <c r="H47" s="543">
        <v>0.09</v>
      </c>
      <c r="I47" s="543">
        <v>0.01</v>
      </c>
      <c r="J47" s="543">
        <v>1</v>
      </c>
      <c r="K47" s="542">
        <v>11022856</v>
      </c>
      <c r="L47" s="542">
        <v>8818285</v>
      </c>
      <c r="M47" s="542">
        <v>1984114</v>
      </c>
      <c r="N47" s="542">
        <v>220457</v>
      </c>
      <c r="O47" s="542">
        <v>22045712</v>
      </c>
      <c r="P47" s="542">
        <v>0</v>
      </c>
      <c r="Q47" s="542">
        <v>0</v>
      </c>
      <c r="R47" s="542">
        <v>11022856</v>
      </c>
      <c r="S47" s="542">
        <v>148397</v>
      </c>
      <c r="T47" s="542">
        <v>148397</v>
      </c>
      <c r="U47" s="542">
        <v>0</v>
      </c>
      <c r="V47" s="542">
        <v>0</v>
      </c>
      <c r="W47" s="542">
        <v>134573</v>
      </c>
      <c r="X47" s="542">
        <v>0</v>
      </c>
      <c r="Y47" s="542">
        <v>134573</v>
      </c>
      <c r="Z47" s="542">
        <v>0</v>
      </c>
      <c r="AA47" s="542">
        <v>0</v>
      </c>
      <c r="AB47" s="542">
        <v>0</v>
      </c>
      <c r="AC47" s="542">
        <v>0</v>
      </c>
      <c r="AD47" s="542">
        <v>679880</v>
      </c>
      <c r="AE47" s="542">
        <v>543905</v>
      </c>
      <c r="AF47" s="542">
        <v>122379</v>
      </c>
      <c r="AG47" s="542">
        <v>13598</v>
      </c>
      <c r="AH47" s="542">
        <v>1359762</v>
      </c>
      <c r="AI47" s="542">
        <v>-236925</v>
      </c>
      <c r="AJ47" s="542">
        <v>-189540</v>
      </c>
      <c r="AK47" s="542">
        <v>-42647</v>
      </c>
      <c r="AL47" s="542">
        <v>-4739</v>
      </c>
      <c r="AM47" s="542">
        <v>-473851</v>
      </c>
      <c r="AN47" s="542">
        <v>-462932.34</v>
      </c>
      <c r="AO47" s="542">
        <v>-370347</v>
      </c>
      <c r="AP47" s="542">
        <v>-83328</v>
      </c>
      <c r="AQ47" s="542">
        <v>-9259</v>
      </c>
      <c r="AR47" s="542">
        <v>-925866.34</v>
      </c>
      <c r="AS47" s="542">
        <v>229309</v>
      </c>
      <c r="AT47" s="542">
        <v>183448</v>
      </c>
      <c r="AU47" s="542">
        <v>41276</v>
      </c>
      <c r="AV47" s="542">
        <v>4586</v>
      </c>
      <c r="AW47" s="542">
        <v>458619</v>
      </c>
      <c r="AX47" s="542">
        <v>-214441</v>
      </c>
      <c r="AY47" s="542">
        <v>-171553</v>
      </c>
      <c r="AZ47" s="542">
        <v>-38599</v>
      </c>
      <c r="BA47" s="542">
        <v>-4289</v>
      </c>
      <c r="BB47" s="542">
        <v>-428882</v>
      </c>
      <c r="BC47" s="542">
        <v>-448064.34</v>
      </c>
      <c r="BD47" s="542">
        <v>-358452</v>
      </c>
      <c r="BE47" s="542">
        <v>-80651</v>
      </c>
      <c r="BF47" s="542">
        <v>-8962</v>
      </c>
      <c r="BG47" s="542">
        <v>-896129.34</v>
      </c>
      <c r="BH47" s="542">
        <v>-817277</v>
      </c>
      <c r="BI47" s="542">
        <v>-653821</v>
      </c>
      <c r="BJ47" s="542">
        <v>-147110</v>
      </c>
      <c r="BK47" s="542">
        <v>-16346</v>
      </c>
      <c r="BL47" s="542">
        <v>-1634554</v>
      </c>
      <c r="BM47" s="542">
        <v>0</v>
      </c>
      <c r="BN47" s="542">
        <v>0</v>
      </c>
      <c r="BO47" s="542">
        <v>0</v>
      </c>
      <c r="BP47" s="542">
        <v>0</v>
      </c>
      <c r="BQ47" s="542">
        <v>0</v>
      </c>
      <c r="BR47" s="542">
        <v>-1879483</v>
      </c>
      <c r="BS47" s="542">
        <v>-1503586</v>
      </c>
      <c r="BT47" s="542">
        <v>-338307</v>
      </c>
      <c r="BU47" s="542">
        <v>-37590</v>
      </c>
      <c r="BV47" s="542">
        <v>-3758966</v>
      </c>
      <c r="BW47" s="542">
        <v>-2696760</v>
      </c>
      <c r="BX47" s="542">
        <v>-2157407</v>
      </c>
      <c r="BY47" s="542">
        <v>-485417</v>
      </c>
      <c r="BZ47" s="542">
        <v>-53936</v>
      </c>
      <c r="CA47" s="542">
        <v>-5393520</v>
      </c>
    </row>
    <row r="48" spans="1:79" ht="12.75" x14ac:dyDescent="0.2">
      <c r="A48" s="93">
        <v>42</v>
      </c>
      <c r="B48" s="145" t="s">
        <v>643</v>
      </c>
      <c r="C48" s="141" t="s">
        <v>873</v>
      </c>
      <c r="D48" s="142" t="s">
        <v>868</v>
      </c>
      <c r="E48" s="149" t="s">
        <v>642</v>
      </c>
      <c r="F48" s="543">
        <v>0.5</v>
      </c>
      <c r="G48" s="543">
        <v>0.49</v>
      </c>
      <c r="H48" s="543">
        <v>0</v>
      </c>
      <c r="I48" s="543">
        <v>0.01</v>
      </c>
      <c r="J48" s="543">
        <v>1</v>
      </c>
      <c r="K48" s="542">
        <v>22567129</v>
      </c>
      <c r="L48" s="542">
        <v>22115787</v>
      </c>
      <c r="M48" s="542">
        <v>0</v>
      </c>
      <c r="N48" s="542">
        <v>451343</v>
      </c>
      <c r="O48" s="542">
        <v>45134259</v>
      </c>
      <c r="P48" s="542">
        <v>0</v>
      </c>
      <c r="Q48" s="542">
        <v>0</v>
      </c>
      <c r="R48" s="542">
        <v>22567129</v>
      </c>
      <c r="S48" s="542">
        <v>239233</v>
      </c>
      <c r="T48" s="542">
        <v>239233</v>
      </c>
      <c r="U48" s="542">
        <v>0</v>
      </c>
      <c r="V48" s="542">
        <v>0</v>
      </c>
      <c r="W48" s="542">
        <v>0</v>
      </c>
      <c r="X48" s="542">
        <v>0</v>
      </c>
      <c r="Y48" s="542">
        <v>0</v>
      </c>
      <c r="Z48" s="542">
        <v>0</v>
      </c>
      <c r="AA48" s="542">
        <v>0</v>
      </c>
      <c r="AB48" s="542">
        <v>0</v>
      </c>
      <c r="AC48" s="542">
        <v>0</v>
      </c>
      <c r="AD48" s="542">
        <v>0</v>
      </c>
      <c r="AE48" s="542">
        <v>0</v>
      </c>
      <c r="AF48" s="542">
        <v>0</v>
      </c>
      <c r="AG48" s="542">
        <v>0</v>
      </c>
      <c r="AH48" s="542">
        <v>0</v>
      </c>
      <c r="AI48" s="542">
        <v>0</v>
      </c>
      <c r="AJ48" s="542">
        <v>0</v>
      </c>
      <c r="AK48" s="542">
        <v>0</v>
      </c>
      <c r="AL48" s="542">
        <v>0</v>
      </c>
      <c r="AM48" s="542">
        <v>0</v>
      </c>
      <c r="AN48" s="542">
        <v>-362801</v>
      </c>
      <c r="AO48" s="542">
        <v>-355544</v>
      </c>
      <c r="AP48" s="542">
        <v>0</v>
      </c>
      <c r="AQ48" s="542">
        <v>-7256</v>
      </c>
      <c r="AR48" s="542">
        <v>-725601</v>
      </c>
      <c r="AS48" s="542">
        <v>0</v>
      </c>
      <c r="AT48" s="542">
        <v>0</v>
      </c>
      <c r="AU48" s="542">
        <v>0</v>
      </c>
      <c r="AV48" s="542">
        <v>0</v>
      </c>
      <c r="AW48" s="542">
        <v>0</v>
      </c>
      <c r="AX48" s="542">
        <v>-415574</v>
      </c>
      <c r="AY48" s="542">
        <v>-407262</v>
      </c>
      <c r="AZ48" s="542">
        <v>0</v>
      </c>
      <c r="BA48" s="542">
        <v>-8311</v>
      </c>
      <c r="BB48" s="542">
        <v>-831147</v>
      </c>
      <c r="BC48" s="542">
        <v>-778375</v>
      </c>
      <c r="BD48" s="542">
        <v>-762806</v>
      </c>
      <c r="BE48" s="542">
        <v>0</v>
      </c>
      <c r="BF48" s="542">
        <v>-15567</v>
      </c>
      <c r="BG48" s="542">
        <v>-1556748</v>
      </c>
      <c r="BH48" s="542">
        <v>-500000</v>
      </c>
      <c r="BI48" s="542">
        <v>-490000</v>
      </c>
      <c r="BJ48" s="542">
        <v>0</v>
      </c>
      <c r="BK48" s="542">
        <v>-10000</v>
      </c>
      <c r="BL48" s="542">
        <v>-1000000</v>
      </c>
      <c r="BM48" s="542">
        <v>409163</v>
      </c>
      <c r="BN48" s="542">
        <v>400979</v>
      </c>
      <c r="BO48" s="542">
        <v>0</v>
      </c>
      <c r="BP48" s="542">
        <v>8183</v>
      </c>
      <c r="BQ48" s="542">
        <v>818325</v>
      </c>
      <c r="BR48" s="542">
        <v>-1823500</v>
      </c>
      <c r="BS48" s="542">
        <v>-1787030</v>
      </c>
      <c r="BT48" s="542">
        <v>0</v>
      </c>
      <c r="BU48" s="542">
        <v>-36470</v>
      </c>
      <c r="BV48" s="542">
        <v>-3647000</v>
      </c>
      <c r="BW48" s="542">
        <v>-1914337</v>
      </c>
      <c r="BX48" s="542">
        <v>-1876051</v>
      </c>
      <c r="BY48" s="542">
        <v>0</v>
      </c>
      <c r="BZ48" s="542">
        <v>-38287</v>
      </c>
      <c r="CA48" s="542">
        <v>-3828675</v>
      </c>
    </row>
    <row r="49" spans="1:79" ht="12.75" x14ac:dyDescent="0.2">
      <c r="A49" s="93">
        <v>43</v>
      </c>
      <c r="B49" s="145" t="s">
        <v>645</v>
      </c>
      <c r="C49" s="141" t="s">
        <v>873</v>
      </c>
      <c r="D49" s="142" t="s">
        <v>874</v>
      </c>
      <c r="E49" s="149" t="s">
        <v>644</v>
      </c>
      <c r="F49" s="543">
        <v>0.5</v>
      </c>
      <c r="G49" s="543">
        <v>0.49</v>
      </c>
      <c r="H49" s="543">
        <v>0</v>
      </c>
      <c r="I49" s="543">
        <v>0.01</v>
      </c>
      <c r="J49" s="543">
        <v>1</v>
      </c>
      <c r="K49" s="542">
        <v>28567765</v>
      </c>
      <c r="L49" s="542">
        <v>27996410</v>
      </c>
      <c r="M49" s="542">
        <v>0</v>
      </c>
      <c r="N49" s="542">
        <v>571355</v>
      </c>
      <c r="O49" s="542">
        <v>57135530</v>
      </c>
      <c r="P49" s="542">
        <v>0</v>
      </c>
      <c r="Q49" s="542">
        <v>0</v>
      </c>
      <c r="R49" s="542">
        <v>28567765</v>
      </c>
      <c r="S49" s="542">
        <v>353872</v>
      </c>
      <c r="T49" s="542">
        <v>353872</v>
      </c>
      <c r="U49" s="542">
        <v>0</v>
      </c>
      <c r="V49" s="542">
        <v>0</v>
      </c>
      <c r="W49" s="542">
        <v>0</v>
      </c>
      <c r="X49" s="542">
        <v>0</v>
      </c>
      <c r="Y49" s="542">
        <v>0</v>
      </c>
      <c r="Z49" s="542">
        <v>0</v>
      </c>
      <c r="AA49" s="542">
        <v>0</v>
      </c>
      <c r="AB49" s="542">
        <v>0</v>
      </c>
      <c r="AC49" s="542">
        <v>0</v>
      </c>
      <c r="AD49" s="542">
        <v>2738582</v>
      </c>
      <c r="AE49" s="542">
        <v>2683810</v>
      </c>
      <c r="AF49" s="542">
        <v>0</v>
      </c>
      <c r="AG49" s="542">
        <v>54772</v>
      </c>
      <c r="AH49" s="542">
        <v>5477164</v>
      </c>
      <c r="AI49" s="542">
        <v>-749462</v>
      </c>
      <c r="AJ49" s="542">
        <v>-734473</v>
      </c>
      <c r="AK49" s="542">
        <v>0</v>
      </c>
      <c r="AL49" s="542">
        <v>-14989</v>
      </c>
      <c r="AM49" s="542">
        <v>-1498924</v>
      </c>
      <c r="AN49" s="542">
        <v>-1633106</v>
      </c>
      <c r="AO49" s="542">
        <v>-1600445</v>
      </c>
      <c r="AP49" s="542">
        <v>0</v>
      </c>
      <c r="AQ49" s="542">
        <v>-32662</v>
      </c>
      <c r="AR49" s="542">
        <v>-3266213</v>
      </c>
      <c r="AS49" s="542">
        <v>1070838</v>
      </c>
      <c r="AT49" s="542">
        <v>1049421</v>
      </c>
      <c r="AU49" s="542">
        <v>0</v>
      </c>
      <c r="AV49" s="542">
        <v>21417</v>
      </c>
      <c r="AW49" s="542">
        <v>2141676</v>
      </c>
      <c r="AX49" s="542">
        <v>-835155</v>
      </c>
      <c r="AY49" s="542">
        <v>-818451</v>
      </c>
      <c r="AZ49" s="542">
        <v>0</v>
      </c>
      <c r="BA49" s="542">
        <v>-16703</v>
      </c>
      <c r="BB49" s="542">
        <v>-1670309</v>
      </c>
      <c r="BC49" s="542">
        <v>-1397423</v>
      </c>
      <c r="BD49" s="542">
        <v>-1369475</v>
      </c>
      <c r="BE49" s="542">
        <v>0</v>
      </c>
      <c r="BF49" s="542">
        <v>-27948</v>
      </c>
      <c r="BG49" s="542">
        <v>-2794846</v>
      </c>
      <c r="BH49" s="542">
        <v>-1125566</v>
      </c>
      <c r="BI49" s="542">
        <v>-1103055</v>
      </c>
      <c r="BJ49" s="542">
        <v>0</v>
      </c>
      <c r="BK49" s="542">
        <v>-22511</v>
      </c>
      <c r="BL49" s="542">
        <v>-2251132</v>
      </c>
      <c r="BM49" s="542">
        <v>193756</v>
      </c>
      <c r="BN49" s="542">
        <v>189881</v>
      </c>
      <c r="BO49" s="542">
        <v>0</v>
      </c>
      <c r="BP49" s="542">
        <v>3875</v>
      </c>
      <c r="BQ49" s="542">
        <v>387512</v>
      </c>
      <c r="BR49" s="542">
        <v>-898875</v>
      </c>
      <c r="BS49" s="542">
        <v>-880897</v>
      </c>
      <c r="BT49" s="542">
        <v>0</v>
      </c>
      <c r="BU49" s="542">
        <v>-17977</v>
      </c>
      <c r="BV49" s="542">
        <v>-1797749</v>
      </c>
      <c r="BW49" s="542">
        <v>-1830685</v>
      </c>
      <c r="BX49" s="542">
        <v>-1794071</v>
      </c>
      <c r="BY49" s="542">
        <v>0</v>
      </c>
      <c r="BZ49" s="542">
        <v>-36613</v>
      </c>
      <c r="CA49" s="542">
        <v>-3661369</v>
      </c>
    </row>
    <row r="50" spans="1:79" ht="12.75" x14ac:dyDescent="0.2">
      <c r="A50" s="93">
        <v>44</v>
      </c>
      <c r="B50" s="145" t="s">
        <v>647</v>
      </c>
      <c r="C50" s="141" t="s">
        <v>866</v>
      </c>
      <c r="D50" s="142" t="s">
        <v>870</v>
      </c>
      <c r="E50" s="149" t="s">
        <v>646</v>
      </c>
      <c r="F50" s="543">
        <v>0.5</v>
      </c>
      <c r="G50" s="543">
        <v>0.4</v>
      </c>
      <c r="H50" s="543">
        <v>0.09</v>
      </c>
      <c r="I50" s="543">
        <v>0.01</v>
      </c>
      <c r="J50" s="543">
        <v>1</v>
      </c>
      <c r="K50" s="542">
        <v>45498754</v>
      </c>
      <c r="L50" s="542">
        <v>36399004</v>
      </c>
      <c r="M50" s="542">
        <v>8189776</v>
      </c>
      <c r="N50" s="542">
        <v>909975</v>
      </c>
      <c r="O50" s="542">
        <v>90997509</v>
      </c>
      <c r="P50" s="542">
        <v>0</v>
      </c>
      <c r="Q50" s="542">
        <v>0</v>
      </c>
      <c r="R50" s="542">
        <v>45498754</v>
      </c>
      <c r="S50" s="542">
        <v>228269</v>
      </c>
      <c r="T50" s="542">
        <v>228269</v>
      </c>
      <c r="U50" s="542">
        <v>0</v>
      </c>
      <c r="V50" s="542">
        <v>0</v>
      </c>
      <c r="W50" s="542">
        <v>0</v>
      </c>
      <c r="X50" s="542">
        <v>0</v>
      </c>
      <c r="Y50" s="542">
        <v>0</v>
      </c>
      <c r="Z50" s="542">
        <v>0</v>
      </c>
      <c r="AA50" s="542">
        <v>0</v>
      </c>
      <c r="AB50" s="542">
        <v>0</v>
      </c>
      <c r="AC50" s="542">
        <v>0</v>
      </c>
      <c r="AD50" s="542">
        <v>583946</v>
      </c>
      <c r="AE50" s="542">
        <v>467157</v>
      </c>
      <c r="AF50" s="542">
        <v>105110</v>
      </c>
      <c r="AG50" s="542">
        <v>11679</v>
      </c>
      <c r="AH50" s="542">
        <v>1167892</v>
      </c>
      <c r="AI50" s="542">
        <v>-805328</v>
      </c>
      <c r="AJ50" s="542">
        <v>-644262</v>
      </c>
      <c r="AK50" s="542">
        <v>-144959</v>
      </c>
      <c r="AL50" s="542">
        <v>-16107</v>
      </c>
      <c r="AM50" s="542">
        <v>-1610656</v>
      </c>
      <c r="AN50" s="542">
        <v>-136629</v>
      </c>
      <c r="AO50" s="542">
        <v>-109305</v>
      </c>
      <c r="AP50" s="542">
        <v>-24594</v>
      </c>
      <c r="AQ50" s="542">
        <v>-2733</v>
      </c>
      <c r="AR50" s="542">
        <v>-273261</v>
      </c>
      <c r="AS50" s="542">
        <v>30810</v>
      </c>
      <c r="AT50" s="542">
        <v>24648</v>
      </c>
      <c r="AU50" s="542">
        <v>5546</v>
      </c>
      <c r="AV50" s="542">
        <v>616</v>
      </c>
      <c r="AW50" s="542">
        <v>61620</v>
      </c>
      <c r="AX50" s="542">
        <v>-140574</v>
      </c>
      <c r="AY50" s="542">
        <v>-112458</v>
      </c>
      <c r="AZ50" s="542">
        <v>-25303</v>
      </c>
      <c r="BA50" s="542">
        <v>-2811</v>
      </c>
      <c r="BB50" s="542">
        <v>-281146</v>
      </c>
      <c r="BC50" s="542">
        <v>-246393</v>
      </c>
      <c r="BD50" s="542">
        <v>-197115</v>
      </c>
      <c r="BE50" s="542">
        <v>-44351</v>
      </c>
      <c r="BF50" s="542">
        <v>-4928</v>
      </c>
      <c r="BG50" s="542">
        <v>-492787</v>
      </c>
      <c r="BH50" s="542">
        <v>-4047462</v>
      </c>
      <c r="BI50" s="542">
        <v>-3237970</v>
      </c>
      <c r="BJ50" s="542">
        <v>-728544</v>
      </c>
      <c r="BK50" s="542">
        <v>-80949</v>
      </c>
      <c r="BL50" s="542">
        <v>-8094925</v>
      </c>
      <c r="BM50" s="542">
        <v>1516180</v>
      </c>
      <c r="BN50" s="542">
        <v>1212944</v>
      </c>
      <c r="BO50" s="542">
        <v>272912</v>
      </c>
      <c r="BP50" s="542">
        <v>30324</v>
      </c>
      <c r="BQ50" s="542">
        <v>3032360</v>
      </c>
      <c r="BR50" s="542">
        <v>-1898475</v>
      </c>
      <c r="BS50" s="542">
        <v>-1518780</v>
      </c>
      <c r="BT50" s="542">
        <v>-341726</v>
      </c>
      <c r="BU50" s="542">
        <v>-37970</v>
      </c>
      <c r="BV50" s="542">
        <v>-3796951</v>
      </c>
      <c r="BW50" s="542">
        <v>-4429757</v>
      </c>
      <c r="BX50" s="542">
        <v>-3543806</v>
      </c>
      <c r="BY50" s="542">
        <v>-797358</v>
      </c>
      <c r="BZ50" s="542">
        <v>-88595</v>
      </c>
      <c r="CA50" s="542">
        <v>-8859516</v>
      </c>
    </row>
    <row r="51" spans="1:79" ht="12.75" x14ac:dyDescent="0.2">
      <c r="A51" s="93">
        <v>45</v>
      </c>
      <c r="B51" s="145" t="s">
        <v>649</v>
      </c>
      <c r="C51" s="141" t="s">
        <v>877</v>
      </c>
      <c r="D51" s="142" t="s">
        <v>872</v>
      </c>
      <c r="E51" s="149" t="s">
        <v>648</v>
      </c>
      <c r="F51" s="543">
        <v>0.5</v>
      </c>
      <c r="G51" s="543">
        <v>0.3</v>
      </c>
      <c r="H51" s="543">
        <v>0.2</v>
      </c>
      <c r="I51" s="543">
        <v>0</v>
      </c>
      <c r="J51" s="543">
        <v>1</v>
      </c>
      <c r="K51" s="542">
        <v>218211262</v>
      </c>
      <c r="L51" s="542">
        <v>130926758</v>
      </c>
      <c r="M51" s="542">
        <v>87284505</v>
      </c>
      <c r="N51" s="542">
        <v>0</v>
      </c>
      <c r="O51" s="542">
        <v>436422525</v>
      </c>
      <c r="P51" s="542">
        <v>0</v>
      </c>
      <c r="Q51" s="542">
        <v>0</v>
      </c>
      <c r="R51" s="542">
        <v>218211262</v>
      </c>
      <c r="S51" s="542">
        <v>1190058</v>
      </c>
      <c r="T51" s="542">
        <v>1190058</v>
      </c>
      <c r="U51" s="542">
        <v>0</v>
      </c>
      <c r="V51" s="542">
        <v>0</v>
      </c>
      <c r="W51" s="542">
        <v>0</v>
      </c>
      <c r="X51" s="542">
        <v>0</v>
      </c>
      <c r="Y51" s="542">
        <v>0</v>
      </c>
      <c r="Z51" s="542">
        <v>0</v>
      </c>
      <c r="AA51" s="542">
        <v>0</v>
      </c>
      <c r="AB51" s="542">
        <v>0</v>
      </c>
      <c r="AC51" s="542">
        <v>0</v>
      </c>
      <c r="AD51" s="542">
        <v>2541682</v>
      </c>
      <c r="AE51" s="542">
        <v>1525010</v>
      </c>
      <c r="AF51" s="542">
        <v>1016673</v>
      </c>
      <c r="AG51" s="542">
        <v>0</v>
      </c>
      <c r="AH51" s="542">
        <v>5083365</v>
      </c>
      <c r="AI51" s="542">
        <v>-3879073</v>
      </c>
      <c r="AJ51" s="542">
        <v>-2327444</v>
      </c>
      <c r="AK51" s="542">
        <v>-1551629</v>
      </c>
      <c r="AL51" s="542">
        <v>0</v>
      </c>
      <c r="AM51" s="542">
        <v>-7758146</v>
      </c>
      <c r="AN51" s="542">
        <v>-2870884</v>
      </c>
      <c r="AO51" s="542">
        <v>-1722531</v>
      </c>
      <c r="AP51" s="542">
        <v>-1148354</v>
      </c>
      <c r="AQ51" s="542">
        <v>0</v>
      </c>
      <c r="AR51" s="542">
        <v>-5741769</v>
      </c>
      <c r="AS51" s="542">
        <v>1322239</v>
      </c>
      <c r="AT51" s="542">
        <v>793344</v>
      </c>
      <c r="AU51" s="542">
        <v>528896</v>
      </c>
      <c r="AV51" s="542">
        <v>0</v>
      </c>
      <c r="AW51" s="542">
        <v>2644479</v>
      </c>
      <c r="AX51" s="542">
        <v>-317734</v>
      </c>
      <c r="AY51" s="542">
        <v>-190640</v>
      </c>
      <c r="AZ51" s="542">
        <v>-127094</v>
      </c>
      <c r="BA51" s="542">
        <v>0</v>
      </c>
      <c r="BB51" s="542">
        <v>-635468</v>
      </c>
      <c r="BC51" s="542">
        <v>-1866379</v>
      </c>
      <c r="BD51" s="542">
        <v>-1119827</v>
      </c>
      <c r="BE51" s="542">
        <v>-746552</v>
      </c>
      <c r="BF51" s="542">
        <v>0</v>
      </c>
      <c r="BG51" s="542">
        <v>-3732758</v>
      </c>
      <c r="BH51" s="542">
        <v>-13560373</v>
      </c>
      <c r="BI51" s="542">
        <v>-8136224</v>
      </c>
      <c r="BJ51" s="542">
        <v>-5424149</v>
      </c>
      <c r="BK51" s="542">
        <v>0</v>
      </c>
      <c r="BL51" s="542">
        <v>-27120746</v>
      </c>
      <c r="BM51" s="542">
        <v>17772049</v>
      </c>
      <c r="BN51" s="542">
        <v>10663229</v>
      </c>
      <c r="BO51" s="542">
        <v>7108819</v>
      </c>
      <c r="BP51" s="542">
        <v>0</v>
      </c>
      <c r="BQ51" s="542">
        <v>35544097</v>
      </c>
      <c r="BR51" s="542">
        <v>-36131249</v>
      </c>
      <c r="BS51" s="542">
        <v>-21678749</v>
      </c>
      <c r="BT51" s="542">
        <v>-14452500</v>
      </c>
      <c r="BU51" s="542">
        <v>0</v>
      </c>
      <c r="BV51" s="542">
        <v>-72262498</v>
      </c>
      <c r="BW51" s="542">
        <v>-31919573</v>
      </c>
      <c r="BX51" s="542">
        <v>-19151744</v>
      </c>
      <c r="BY51" s="542">
        <v>-12767830</v>
      </c>
      <c r="BZ51" s="542">
        <v>0</v>
      </c>
      <c r="CA51" s="542">
        <v>-63839147</v>
      </c>
    </row>
    <row r="52" spans="1:79" ht="12.75" x14ac:dyDescent="0.2">
      <c r="A52" s="93">
        <v>46</v>
      </c>
      <c r="B52" s="145" t="s">
        <v>651</v>
      </c>
      <c r="C52" s="141" t="s">
        <v>866</v>
      </c>
      <c r="D52" s="142" t="s">
        <v>876</v>
      </c>
      <c r="E52" s="149" t="s">
        <v>650</v>
      </c>
      <c r="F52" s="543">
        <v>0.5</v>
      </c>
      <c r="G52" s="543">
        <v>0.4</v>
      </c>
      <c r="H52" s="543">
        <v>0.09</v>
      </c>
      <c r="I52" s="543">
        <v>0.01</v>
      </c>
      <c r="J52" s="543">
        <v>1</v>
      </c>
      <c r="K52" s="542">
        <v>15781003</v>
      </c>
      <c r="L52" s="542">
        <v>12624803</v>
      </c>
      <c r="M52" s="542">
        <v>2840581</v>
      </c>
      <c r="N52" s="542">
        <v>315620</v>
      </c>
      <c r="O52" s="542">
        <v>31562007</v>
      </c>
      <c r="P52" s="542">
        <v>0</v>
      </c>
      <c r="Q52" s="542">
        <v>0</v>
      </c>
      <c r="R52" s="542">
        <v>15781003</v>
      </c>
      <c r="S52" s="542">
        <v>139484</v>
      </c>
      <c r="T52" s="542">
        <v>139484</v>
      </c>
      <c r="U52" s="542">
        <v>0</v>
      </c>
      <c r="V52" s="542">
        <v>0</v>
      </c>
      <c r="W52" s="542">
        <v>0</v>
      </c>
      <c r="X52" s="542">
        <v>0</v>
      </c>
      <c r="Y52" s="542">
        <v>0</v>
      </c>
      <c r="Z52" s="542">
        <v>0</v>
      </c>
      <c r="AA52" s="542">
        <v>0</v>
      </c>
      <c r="AB52" s="542">
        <v>0</v>
      </c>
      <c r="AC52" s="542">
        <v>0</v>
      </c>
      <c r="AD52" s="542">
        <v>1361477</v>
      </c>
      <c r="AE52" s="542">
        <v>1089182</v>
      </c>
      <c r="AF52" s="542">
        <v>245066</v>
      </c>
      <c r="AG52" s="542">
        <v>27230</v>
      </c>
      <c r="AH52" s="542">
        <v>2722955</v>
      </c>
      <c r="AI52" s="542">
        <v>-143361</v>
      </c>
      <c r="AJ52" s="542">
        <v>-114689</v>
      </c>
      <c r="AK52" s="542">
        <v>-25805</v>
      </c>
      <c r="AL52" s="542">
        <v>-2867</v>
      </c>
      <c r="AM52" s="542">
        <v>-286722</v>
      </c>
      <c r="AN52" s="542">
        <v>-847265</v>
      </c>
      <c r="AO52" s="542">
        <v>-677811</v>
      </c>
      <c r="AP52" s="542">
        <v>-152507</v>
      </c>
      <c r="AQ52" s="542">
        <v>-16945</v>
      </c>
      <c r="AR52" s="542">
        <v>-1694528</v>
      </c>
      <c r="AS52" s="542">
        <v>165738</v>
      </c>
      <c r="AT52" s="542">
        <v>132590</v>
      </c>
      <c r="AU52" s="542">
        <v>29833</v>
      </c>
      <c r="AV52" s="542">
        <v>3315</v>
      </c>
      <c r="AW52" s="542">
        <v>331476</v>
      </c>
      <c r="AX52" s="542">
        <v>-295081</v>
      </c>
      <c r="AY52" s="542">
        <v>-236065</v>
      </c>
      <c r="AZ52" s="542">
        <v>-53115</v>
      </c>
      <c r="BA52" s="542">
        <v>-5902</v>
      </c>
      <c r="BB52" s="542">
        <v>-590163</v>
      </c>
      <c r="BC52" s="542">
        <v>-976608</v>
      </c>
      <c r="BD52" s="542">
        <v>-781286</v>
      </c>
      <c r="BE52" s="542">
        <v>-175789</v>
      </c>
      <c r="BF52" s="542">
        <v>-19532</v>
      </c>
      <c r="BG52" s="542">
        <v>-1953215</v>
      </c>
      <c r="BH52" s="542">
        <v>-823667</v>
      </c>
      <c r="BI52" s="542">
        <v>-658933</v>
      </c>
      <c r="BJ52" s="542">
        <v>-148260</v>
      </c>
      <c r="BK52" s="542">
        <v>-16473</v>
      </c>
      <c r="BL52" s="542">
        <v>-1647333</v>
      </c>
      <c r="BM52" s="542">
        <v>245837</v>
      </c>
      <c r="BN52" s="542">
        <v>196670</v>
      </c>
      <c r="BO52" s="542">
        <v>44251</v>
      </c>
      <c r="BP52" s="542">
        <v>4917</v>
      </c>
      <c r="BQ52" s="542">
        <v>491675</v>
      </c>
      <c r="BR52" s="542">
        <v>-2061053</v>
      </c>
      <c r="BS52" s="542">
        <v>-1648843</v>
      </c>
      <c r="BT52" s="542">
        <v>-370990</v>
      </c>
      <c r="BU52" s="542">
        <v>-41221</v>
      </c>
      <c r="BV52" s="542">
        <v>-4122107</v>
      </c>
      <c r="BW52" s="542">
        <v>-2638883</v>
      </c>
      <c r="BX52" s="542">
        <v>-2111106</v>
      </c>
      <c r="BY52" s="542">
        <v>-474999</v>
      </c>
      <c r="BZ52" s="542">
        <v>-52777</v>
      </c>
      <c r="CA52" s="542">
        <v>-5277765</v>
      </c>
    </row>
    <row r="53" spans="1:79" ht="12.75" x14ac:dyDescent="0.2">
      <c r="A53" s="93">
        <v>47</v>
      </c>
      <c r="B53" s="145" t="s">
        <v>653</v>
      </c>
      <c r="C53" s="141" t="s">
        <v>866</v>
      </c>
      <c r="D53" s="142" t="s">
        <v>867</v>
      </c>
      <c r="E53" s="149" t="s">
        <v>652</v>
      </c>
      <c r="F53" s="543">
        <v>0.5</v>
      </c>
      <c r="G53" s="543">
        <v>0.4</v>
      </c>
      <c r="H53" s="543">
        <v>0.09</v>
      </c>
      <c r="I53" s="543">
        <v>0.01</v>
      </c>
      <c r="J53" s="543">
        <v>1</v>
      </c>
      <c r="K53" s="542">
        <v>23108945</v>
      </c>
      <c r="L53" s="542">
        <v>18487156</v>
      </c>
      <c r="M53" s="542">
        <v>4159610</v>
      </c>
      <c r="N53" s="542">
        <v>462179</v>
      </c>
      <c r="O53" s="542">
        <v>46217890</v>
      </c>
      <c r="P53" s="542">
        <v>0</v>
      </c>
      <c r="Q53" s="542">
        <v>0</v>
      </c>
      <c r="R53" s="542">
        <v>23108945</v>
      </c>
      <c r="S53" s="542">
        <v>229868</v>
      </c>
      <c r="T53" s="542">
        <v>229868</v>
      </c>
      <c r="U53" s="542">
        <v>0</v>
      </c>
      <c r="V53" s="542">
        <v>0</v>
      </c>
      <c r="W53" s="542">
        <v>0</v>
      </c>
      <c r="X53" s="542">
        <v>0</v>
      </c>
      <c r="Y53" s="542">
        <v>0</v>
      </c>
      <c r="Z53" s="542">
        <v>0</v>
      </c>
      <c r="AA53" s="542">
        <v>0</v>
      </c>
      <c r="AB53" s="542">
        <v>0</v>
      </c>
      <c r="AC53" s="542">
        <v>0</v>
      </c>
      <c r="AD53" s="542">
        <v>700124</v>
      </c>
      <c r="AE53" s="542">
        <v>560099</v>
      </c>
      <c r="AF53" s="542">
        <v>126022</v>
      </c>
      <c r="AG53" s="542">
        <v>14002</v>
      </c>
      <c r="AH53" s="542">
        <v>1400247</v>
      </c>
      <c r="AI53" s="542">
        <v>-636765</v>
      </c>
      <c r="AJ53" s="542">
        <v>-509412</v>
      </c>
      <c r="AK53" s="542">
        <v>-114618</v>
      </c>
      <c r="AL53" s="542">
        <v>-12735</v>
      </c>
      <c r="AM53" s="542">
        <v>-1273530</v>
      </c>
      <c r="AN53" s="542">
        <v>-328099</v>
      </c>
      <c r="AO53" s="542">
        <v>-262479</v>
      </c>
      <c r="AP53" s="542">
        <v>-59058</v>
      </c>
      <c r="AQ53" s="542">
        <v>-6562</v>
      </c>
      <c r="AR53" s="542">
        <v>-656198</v>
      </c>
      <c r="AS53" s="542">
        <v>157137</v>
      </c>
      <c r="AT53" s="542">
        <v>125710</v>
      </c>
      <c r="AU53" s="542">
        <v>28285</v>
      </c>
      <c r="AV53" s="542">
        <v>3143</v>
      </c>
      <c r="AW53" s="542">
        <v>314275</v>
      </c>
      <c r="AX53" s="542">
        <v>-167209</v>
      </c>
      <c r="AY53" s="542">
        <v>-133768</v>
      </c>
      <c r="AZ53" s="542">
        <v>-30098</v>
      </c>
      <c r="BA53" s="542">
        <v>-3344</v>
      </c>
      <c r="BB53" s="542">
        <v>-334419</v>
      </c>
      <c r="BC53" s="542">
        <v>-338171</v>
      </c>
      <c r="BD53" s="542">
        <v>-270537</v>
      </c>
      <c r="BE53" s="542">
        <v>-60871</v>
      </c>
      <c r="BF53" s="542">
        <v>-6763</v>
      </c>
      <c r="BG53" s="542">
        <v>-676342</v>
      </c>
      <c r="BH53" s="542">
        <v>-574330</v>
      </c>
      <c r="BI53" s="542">
        <v>-459465</v>
      </c>
      <c r="BJ53" s="542">
        <v>-103380</v>
      </c>
      <c r="BK53" s="542">
        <v>-11487</v>
      </c>
      <c r="BL53" s="542">
        <v>-1148662</v>
      </c>
      <c r="BM53" s="542">
        <v>201948</v>
      </c>
      <c r="BN53" s="542">
        <v>161559</v>
      </c>
      <c r="BO53" s="542">
        <v>36351</v>
      </c>
      <c r="BP53" s="542">
        <v>4039</v>
      </c>
      <c r="BQ53" s="542">
        <v>403897</v>
      </c>
      <c r="BR53" s="542">
        <v>-2502394</v>
      </c>
      <c r="BS53" s="542">
        <v>-2001915</v>
      </c>
      <c r="BT53" s="542">
        <v>-450431</v>
      </c>
      <c r="BU53" s="542">
        <v>-50048</v>
      </c>
      <c r="BV53" s="542">
        <v>-5004788</v>
      </c>
      <c r="BW53" s="542">
        <v>-2874776</v>
      </c>
      <c r="BX53" s="542">
        <v>-2299821</v>
      </c>
      <c r="BY53" s="542">
        <v>-517460</v>
      </c>
      <c r="BZ53" s="542">
        <v>-57496</v>
      </c>
      <c r="CA53" s="542">
        <v>-5749553</v>
      </c>
    </row>
    <row r="54" spans="1:79" ht="12.75" x14ac:dyDescent="0.2">
      <c r="A54" s="93">
        <v>48</v>
      </c>
      <c r="B54" s="145" t="s">
        <v>655</v>
      </c>
      <c r="C54" s="141" t="s">
        <v>866</v>
      </c>
      <c r="D54" s="142" t="s">
        <v>868</v>
      </c>
      <c r="E54" s="149" t="s">
        <v>654</v>
      </c>
      <c r="F54" s="543">
        <v>0.5</v>
      </c>
      <c r="G54" s="543">
        <v>0.4</v>
      </c>
      <c r="H54" s="543">
        <v>0.1</v>
      </c>
      <c r="I54" s="543">
        <v>0</v>
      </c>
      <c r="J54" s="543">
        <v>1</v>
      </c>
      <c r="K54" s="542">
        <v>20161405</v>
      </c>
      <c r="L54" s="542">
        <v>16129124</v>
      </c>
      <c r="M54" s="542">
        <v>4032281</v>
      </c>
      <c r="N54" s="542">
        <v>0</v>
      </c>
      <c r="O54" s="542">
        <v>40322810</v>
      </c>
      <c r="P54" s="542">
        <v>0</v>
      </c>
      <c r="Q54" s="542">
        <v>0</v>
      </c>
      <c r="R54" s="542">
        <v>20161405</v>
      </c>
      <c r="S54" s="542">
        <v>180284</v>
      </c>
      <c r="T54" s="542">
        <v>180284</v>
      </c>
      <c r="U54" s="542">
        <v>0</v>
      </c>
      <c r="V54" s="542">
        <v>0</v>
      </c>
      <c r="W54" s="542">
        <v>16524</v>
      </c>
      <c r="X54" s="542">
        <v>0</v>
      </c>
      <c r="Y54" s="542">
        <v>16524</v>
      </c>
      <c r="Z54" s="542">
        <v>0</v>
      </c>
      <c r="AA54" s="542">
        <v>0</v>
      </c>
      <c r="AB54" s="542">
        <v>0</v>
      </c>
      <c r="AC54" s="542">
        <v>0</v>
      </c>
      <c r="AD54" s="542">
        <v>410482</v>
      </c>
      <c r="AE54" s="542">
        <v>328386</v>
      </c>
      <c r="AF54" s="542">
        <v>82096</v>
      </c>
      <c r="AG54" s="542">
        <v>0</v>
      </c>
      <c r="AH54" s="542">
        <v>820964</v>
      </c>
      <c r="AI54" s="542">
        <v>-277742</v>
      </c>
      <c r="AJ54" s="542">
        <v>-222194</v>
      </c>
      <c r="AK54" s="542">
        <v>-55549</v>
      </c>
      <c r="AL54" s="542">
        <v>0</v>
      </c>
      <c r="AM54" s="542">
        <v>-555485</v>
      </c>
      <c r="AN54" s="542">
        <v>-136937</v>
      </c>
      <c r="AO54" s="542">
        <v>-109550</v>
      </c>
      <c r="AP54" s="542">
        <v>-27388</v>
      </c>
      <c r="AQ54" s="542">
        <v>0</v>
      </c>
      <c r="AR54" s="542">
        <v>-273875</v>
      </c>
      <c r="AS54" s="542">
        <v>136937</v>
      </c>
      <c r="AT54" s="542">
        <v>109550</v>
      </c>
      <c r="AU54" s="542">
        <v>27388</v>
      </c>
      <c r="AV54" s="542">
        <v>0</v>
      </c>
      <c r="AW54" s="542">
        <v>273875</v>
      </c>
      <c r="AX54" s="542">
        <v>-149549</v>
      </c>
      <c r="AY54" s="542">
        <v>-119639</v>
      </c>
      <c r="AZ54" s="542">
        <v>-29910</v>
      </c>
      <c r="BA54" s="542">
        <v>0</v>
      </c>
      <c r="BB54" s="542">
        <v>-299098</v>
      </c>
      <c r="BC54" s="542">
        <v>-149549</v>
      </c>
      <c r="BD54" s="542">
        <v>-119639</v>
      </c>
      <c r="BE54" s="542">
        <v>-29910</v>
      </c>
      <c r="BF54" s="542">
        <v>0</v>
      </c>
      <c r="BG54" s="542">
        <v>-299098</v>
      </c>
      <c r="BH54" s="542">
        <v>-1010340</v>
      </c>
      <c r="BI54" s="542">
        <v>-808273</v>
      </c>
      <c r="BJ54" s="542">
        <v>-202068</v>
      </c>
      <c r="BK54" s="542">
        <v>0</v>
      </c>
      <c r="BL54" s="542">
        <v>-2020681</v>
      </c>
      <c r="BM54" s="542">
        <v>701193</v>
      </c>
      <c r="BN54" s="542">
        <v>560955</v>
      </c>
      <c r="BO54" s="542">
        <v>140239</v>
      </c>
      <c r="BP54" s="542">
        <v>0</v>
      </c>
      <c r="BQ54" s="542">
        <v>1402387</v>
      </c>
      <c r="BR54" s="542">
        <v>-702827</v>
      </c>
      <c r="BS54" s="542">
        <v>-562261</v>
      </c>
      <c r="BT54" s="542">
        <v>-140565</v>
      </c>
      <c r="BU54" s="542">
        <v>0</v>
      </c>
      <c r="BV54" s="542">
        <v>-1405653</v>
      </c>
      <c r="BW54" s="542">
        <v>-1011974</v>
      </c>
      <c r="BX54" s="542">
        <v>-809579</v>
      </c>
      <c r="BY54" s="542">
        <v>-202394</v>
      </c>
      <c r="BZ54" s="542">
        <v>0</v>
      </c>
      <c r="CA54" s="542">
        <v>-2023947</v>
      </c>
    </row>
    <row r="55" spans="1:79" ht="12.75" x14ac:dyDescent="0.2">
      <c r="A55" s="93">
        <v>49</v>
      </c>
      <c r="B55" s="145" t="s">
        <v>657</v>
      </c>
      <c r="C55" s="141" t="s">
        <v>866</v>
      </c>
      <c r="D55" s="142" t="s">
        <v>870</v>
      </c>
      <c r="E55" s="149" t="s">
        <v>656</v>
      </c>
      <c r="F55" s="543">
        <v>0.5</v>
      </c>
      <c r="G55" s="543">
        <v>0.4</v>
      </c>
      <c r="H55" s="543">
        <v>0.09</v>
      </c>
      <c r="I55" s="543">
        <v>0.01</v>
      </c>
      <c r="J55" s="543">
        <v>1</v>
      </c>
      <c r="K55" s="542">
        <v>6390558</v>
      </c>
      <c r="L55" s="542">
        <v>5112446</v>
      </c>
      <c r="M55" s="542">
        <v>1150300</v>
      </c>
      <c r="N55" s="542">
        <v>127811</v>
      </c>
      <c r="O55" s="542">
        <v>12781115</v>
      </c>
      <c r="P55" s="542">
        <v>0</v>
      </c>
      <c r="Q55" s="542">
        <v>0</v>
      </c>
      <c r="R55" s="542">
        <v>6390558</v>
      </c>
      <c r="S55" s="542">
        <v>82932</v>
      </c>
      <c r="T55" s="542">
        <v>82932</v>
      </c>
      <c r="U55" s="542">
        <v>0</v>
      </c>
      <c r="V55" s="542">
        <v>0</v>
      </c>
      <c r="W55" s="542">
        <v>0</v>
      </c>
      <c r="X55" s="542">
        <v>0</v>
      </c>
      <c r="Y55" s="542">
        <v>0</v>
      </c>
      <c r="Z55" s="542">
        <v>0</v>
      </c>
      <c r="AA55" s="542">
        <v>0</v>
      </c>
      <c r="AB55" s="542">
        <v>0</v>
      </c>
      <c r="AC55" s="542">
        <v>0</v>
      </c>
      <c r="AD55" s="542">
        <v>123797</v>
      </c>
      <c r="AE55" s="542">
        <v>99038</v>
      </c>
      <c r="AF55" s="542">
        <v>22284</v>
      </c>
      <c r="AG55" s="542">
        <v>2476</v>
      </c>
      <c r="AH55" s="542">
        <v>247595</v>
      </c>
      <c r="AI55" s="542">
        <v>-37586</v>
      </c>
      <c r="AJ55" s="542">
        <v>-30069</v>
      </c>
      <c r="AK55" s="542">
        <v>-6766</v>
      </c>
      <c r="AL55" s="542">
        <v>-752</v>
      </c>
      <c r="AM55" s="542">
        <v>-75173</v>
      </c>
      <c r="AN55" s="542">
        <v>-78007</v>
      </c>
      <c r="AO55" s="542">
        <v>-62406</v>
      </c>
      <c r="AP55" s="542">
        <v>-14041</v>
      </c>
      <c r="AQ55" s="542">
        <v>-1560</v>
      </c>
      <c r="AR55" s="542">
        <v>-156014</v>
      </c>
      <c r="AS55" s="542">
        <v>37884</v>
      </c>
      <c r="AT55" s="542">
        <v>30307</v>
      </c>
      <c r="AU55" s="542">
        <v>6819</v>
      </c>
      <c r="AV55" s="542">
        <v>758</v>
      </c>
      <c r="AW55" s="542">
        <v>75768</v>
      </c>
      <c r="AX55" s="542">
        <v>-39953</v>
      </c>
      <c r="AY55" s="542">
        <v>-31963</v>
      </c>
      <c r="AZ55" s="542">
        <v>-7192</v>
      </c>
      <c r="BA55" s="542">
        <v>-799</v>
      </c>
      <c r="BB55" s="542">
        <v>-79907</v>
      </c>
      <c r="BC55" s="542">
        <v>-80076</v>
      </c>
      <c r="BD55" s="542">
        <v>-64062</v>
      </c>
      <c r="BE55" s="542">
        <v>-14414</v>
      </c>
      <c r="BF55" s="542">
        <v>-1601</v>
      </c>
      <c r="BG55" s="542">
        <v>-160153</v>
      </c>
      <c r="BH55" s="542">
        <v>-236550</v>
      </c>
      <c r="BI55" s="542">
        <v>-189240</v>
      </c>
      <c r="BJ55" s="542">
        <v>-42579</v>
      </c>
      <c r="BK55" s="542">
        <v>-4731</v>
      </c>
      <c r="BL55" s="542">
        <v>-473100</v>
      </c>
      <c r="BM55" s="542">
        <v>51958</v>
      </c>
      <c r="BN55" s="542">
        <v>41567</v>
      </c>
      <c r="BO55" s="542">
        <v>9353</v>
      </c>
      <c r="BP55" s="542">
        <v>1039</v>
      </c>
      <c r="BQ55" s="542">
        <v>103917</v>
      </c>
      <c r="BR55" s="542">
        <v>-1095408</v>
      </c>
      <c r="BS55" s="542">
        <v>-876327</v>
      </c>
      <c r="BT55" s="542">
        <v>-197174</v>
      </c>
      <c r="BU55" s="542">
        <v>-21908</v>
      </c>
      <c r="BV55" s="542">
        <v>-2190817</v>
      </c>
      <c r="BW55" s="542">
        <v>-1280000</v>
      </c>
      <c r="BX55" s="542">
        <v>-1024000</v>
      </c>
      <c r="BY55" s="542">
        <v>-230400</v>
      </c>
      <c r="BZ55" s="542">
        <v>-25600</v>
      </c>
      <c r="CA55" s="542">
        <v>-2560000</v>
      </c>
    </row>
    <row r="56" spans="1:79" ht="12.75" x14ac:dyDescent="0.2">
      <c r="A56" s="93">
        <v>50</v>
      </c>
      <c r="B56" s="145" t="s">
        <v>659</v>
      </c>
      <c r="C56" s="141" t="s">
        <v>770</v>
      </c>
      <c r="D56" s="142" t="s">
        <v>870</v>
      </c>
      <c r="E56" s="149" t="s">
        <v>658</v>
      </c>
      <c r="F56" s="543">
        <v>0.5</v>
      </c>
      <c r="G56" s="543">
        <v>0.49</v>
      </c>
      <c r="H56" s="543">
        <v>0</v>
      </c>
      <c r="I56" s="543">
        <v>0.01</v>
      </c>
      <c r="J56" s="543">
        <v>1</v>
      </c>
      <c r="K56" s="542">
        <v>38283738</v>
      </c>
      <c r="L56" s="542">
        <v>37518063</v>
      </c>
      <c r="M56" s="542">
        <v>0</v>
      </c>
      <c r="N56" s="542">
        <v>765675</v>
      </c>
      <c r="O56" s="542">
        <v>76567476</v>
      </c>
      <c r="P56" s="542">
        <v>0</v>
      </c>
      <c r="Q56" s="542">
        <v>0</v>
      </c>
      <c r="R56" s="542">
        <v>38283738</v>
      </c>
      <c r="S56" s="542">
        <v>314370</v>
      </c>
      <c r="T56" s="542">
        <v>314370</v>
      </c>
      <c r="U56" s="542">
        <v>0</v>
      </c>
      <c r="V56" s="542">
        <v>0</v>
      </c>
      <c r="W56" s="542">
        <v>348150</v>
      </c>
      <c r="X56" s="542">
        <v>0</v>
      </c>
      <c r="Y56" s="542">
        <v>348150</v>
      </c>
      <c r="Z56" s="542">
        <v>0</v>
      </c>
      <c r="AA56" s="542">
        <v>0</v>
      </c>
      <c r="AB56" s="542">
        <v>0</v>
      </c>
      <c r="AC56" s="542">
        <v>0</v>
      </c>
      <c r="AD56" s="542">
        <v>2141364</v>
      </c>
      <c r="AE56" s="542">
        <v>2098536</v>
      </c>
      <c r="AF56" s="542">
        <v>0</v>
      </c>
      <c r="AG56" s="542">
        <v>42827</v>
      </c>
      <c r="AH56" s="542">
        <v>4282727</v>
      </c>
      <c r="AI56" s="542">
        <v>-333338</v>
      </c>
      <c r="AJ56" s="542">
        <v>-326671</v>
      </c>
      <c r="AK56" s="542">
        <v>0</v>
      </c>
      <c r="AL56" s="542">
        <v>-6667</v>
      </c>
      <c r="AM56" s="542">
        <v>-666676</v>
      </c>
      <c r="AN56" s="542">
        <v>-309479</v>
      </c>
      <c r="AO56" s="542">
        <v>-303290</v>
      </c>
      <c r="AP56" s="542">
        <v>0</v>
      </c>
      <c r="AQ56" s="542">
        <v>-6189</v>
      </c>
      <c r="AR56" s="542">
        <v>-618958</v>
      </c>
      <c r="AS56" s="542">
        <v>309479</v>
      </c>
      <c r="AT56" s="542">
        <v>303289</v>
      </c>
      <c r="AU56" s="542">
        <v>0</v>
      </c>
      <c r="AV56" s="542">
        <v>6190</v>
      </c>
      <c r="AW56" s="542">
        <v>618958</v>
      </c>
      <c r="AX56" s="542">
        <v>-303191</v>
      </c>
      <c r="AY56" s="542">
        <v>-297128</v>
      </c>
      <c r="AZ56" s="542">
        <v>0</v>
      </c>
      <c r="BA56" s="542">
        <v>-6064</v>
      </c>
      <c r="BB56" s="542">
        <v>-606383</v>
      </c>
      <c r="BC56" s="542">
        <v>-303191</v>
      </c>
      <c r="BD56" s="542">
        <v>-297129</v>
      </c>
      <c r="BE56" s="542">
        <v>0</v>
      </c>
      <c r="BF56" s="542">
        <v>-6063</v>
      </c>
      <c r="BG56" s="542">
        <v>-606383</v>
      </c>
      <c r="BH56" s="542">
        <v>-2027979</v>
      </c>
      <c r="BI56" s="542">
        <v>-1987419</v>
      </c>
      <c r="BJ56" s="542">
        <v>0</v>
      </c>
      <c r="BK56" s="542">
        <v>-40559</v>
      </c>
      <c r="BL56" s="542">
        <v>-4055957</v>
      </c>
      <c r="BM56" s="542">
        <v>1907777</v>
      </c>
      <c r="BN56" s="542">
        <v>1869621</v>
      </c>
      <c r="BO56" s="542">
        <v>0</v>
      </c>
      <c r="BP56" s="542">
        <v>38156</v>
      </c>
      <c r="BQ56" s="542">
        <v>3815554</v>
      </c>
      <c r="BR56" s="542">
        <v>-2221722</v>
      </c>
      <c r="BS56" s="542">
        <v>-2177287</v>
      </c>
      <c r="BT56" s="542">
        <v>0</v>
      </c>
      <c r="BU56" s="542">
        <v>-44434</v>
      </c>
      <c r="BV56" s="542">
        <v>-4443443</v>
      </c>
      <c r="BW56" s="542">
        <v>-2341924</v>
      </c>
      <c r="BX56" s="542">
        <v>-2295085</v>
      </c>
      <c r="BY56" s="542">
        <v>0</v>
      </c>
      <c r="BZ56" s="542">
        <v>-46837</v>
      </c>
      <c r="CA56" s="542">
        <v>-4683846</v>
      </c>
    </row>
    <row r="57" spans="1:79" ht="12.75" x14ac:dyDescent="0.2">
      <c r="A57" s="93">
        <v>51</v>
      </c>
      <c r="B57" s="145" t="s">
        <v>661</v>
      </c>
      <c r="C57" s="141" t="s">
        <v>866</v>
      </c>
      <c r="D57" s="142" t="s">
        <v>869</v>
      </c>
      <c r="E57" s="149" t="s">
        <v>660</v>
      </c>
      <c r="F57" s="543">
        <v>0.5</v>
      </c>
      <c r="G57" s="543">
        <v>0.4</v>
      </c>
      <c r="H57" s="543">
        <v>0.09</v>
      </c>
      <c r="I57" s="543">
        <v>0.01</v>
      </c>
      <c r="J57" s="543">
        <v>1</v>
      </c>
      <c r="K57" s="542">
        <v>21585457</v>
      </c>
      <c r="L57" s="542">
        <v>17268365</v>
      </c>
      <c r="M57" s="542">
        <v>3885382</v>
      </c>
      <c r="N57" s="542">
        <v>431709</v>
      </c>
      <c r="O57" s="542">
        <v>43170913</v>
      </c>
      <c r="P57" s="542">
        <v>0</v>
      </c>
      <c r="Q57" s="542">
        <v>0</v>
      </c>
      <c r="R57" s="542">
        <v>21585457</v>
      </c>
      <c r="S57" s="542">
        <v>193882</v>
      </c>
      <c r="T57" s="542">
        <v>193882</v>
      </c>
      <c r="U57" s="542">
        <v>0</v>
      </c>
      <c r="V57" s="542">
        <v>0</v>
      </c>
      <c r="W57" s="542">
        <v>150473</v>
      </c>
      <c r="X57" s="542">
        <v>0</v>
      </c>
      <c r="Y57" s="542">
        <v>150473</v>
      </c>
      <c r="Z57" s="542">
        <v>0</v>
      </c>
      <c r="AA57" s="542">
        <v>0</v>
      </c>
      <c r="AB57" s="542">
        <v>0</v>
      </c>
      <c r="AC57" s="542">
        <v>0</v>
      </c>
      <c r="AD57" s="542">
        <v>597745</v>
      </c>
      <c r="AE57" s="542">
        <v>478196</v>
      </c>
      <c r="AF57" s="542">
        <v>107594</v>
      </c>
      <c r="AG57" s="542">
        <v>11955</v>
      </c>
      <c r="AH57" s="542">
        <v>1195490</v>
      </c>
      <c r="AI57" s="542">
        <v>-343541</v>
      </c>
      <c r="AJ57" s="542">
        <v>-274834</v>
      </c>
      <c r="AK57" s="542">
        <v>-61838</v>
      </c>
      <c r="AL57" s="542">
        <v>-6871</v>
      </c>
      <c r="AM57" s="542">
        <v>-687084</v>
      </c>
      <c r="AN57" s="542">
        <v>-95766</v>
      </c>
      <c r="AO57" s="542">
        <v>-76613</v>
      </c>
      <c r="AP57" s="542">
        <v>-17238</v>
      </c>
      <c r="AQ57" s="542">
        <v>-1916</v>
      </c>
      <c r="AR57" s="542">
        <v>-191533</v>
      </c>
      <c r="AS57" s="542">
        <v>0</v>
      </c>
      <c r="AT57" s="542">
        <v>0</v>
      </c>
      <c r="AU57" s="542">
        <v>0</v>
      </c>
      <c r="AV57" s="542">
        <v>0</v>
      </c>
      <c r="AW57" s="542">
        <v>0</v>
      </c>
      <c r="AX57" s="542">
        <v>-109049</v>
      </c>
      <c r="AY57" s="542">
        <v>-87240</v>
      </c>
      <c r="AZ57" s="542">
        <v>-19629</v>
      </c>
      <c r="BA57" s="542">
        <v>-2181</v>
      </c>
      <c r="BB57" s="542">
        <v>-218099</v>
      </c>
      <c r="BC57" s="542">
        <v>-204815</v>
      </c>
      <c r="BD57" s="542">
        <v>-163853</v>
      </c>
      <c r="BE57" s="542">
        <v>-36867</v>
      </c>
      <c r="BF57" s="542">
        <v>-4097</v>
      </c>
      <c r="BG57" s="542">
        <v>-409632</v>
      </c>
      <c r="BH57" s="542">
        <v>-823644</v>
      </c>
      <c r="BI57" s="542">
        <v>-658915</v>
      </c>
      <c r="BJ57" s="542">
        <v>-148256</v>
      </c>
      <c r="BK57" s="542">
        <v>-16473</v>
      </c>
      <c r="BL57" s="542">
        <v>-1647288</v>
      </c>
      <c r="BM57" s="542">
        <v>0</v>
      </c>
      <c r="BN57" s="542">
        <v>0</v>
      </c>
      <c r="BO57" s="542">
        <v>0</v>
      </c>
      <c r="BP57" s="542">
        <v>0</v>
      </c>
      <c r="BQ57" s="542">
        <v>0</v>
      </c>
      <c r="BR57" s="542">
        <v>523644</v>
      </c>
      <c r="BS57" s="542">
        <v>418915</v>
      </c>
      <c r="BT57" s="542">
        <v>94256</v>
      </c>
      <c r="BU57" s="542">
        <v>10473</v>
      </c>
      <c r="BV57" s="542">
        <v>1047288</v>
      </c>
      <c r="BW57" s="542">
        <v>-300000</v>
      </c>
      <c r="BX57" s="542">
        <v>-240000</v>
      </c>
      <c r="BY57" s="542">
        <v>-54000</v>
      </c>
      <c r="BZ57" s="542">
        <v>-6000</v>
      </c>
      <c r="CA57" s="542">
        <v>-600000</v>
      </c>
    </row>
    <row r="58" spans="1:79" ht="12.75" x14ac:dyDescent="0.2">
      <c r="A58" s="93">
        <v>52</v>
      </c>
      <c r="B58" s="145" t="s">
        <v>663</v>
      </c>
      <c r="C58" s="141" t="s">
        <v>866</v>
      </c>
      <c r="D58" s="142" t="s">
        <v>870</v>
      </c>
      <c r="E58" s="149" t="s">
        <v>662</v>
      </c>
      <c r="F58" s="543">
        <v>0.5</v>
      </c>
      <c r="G58" s="543">
        <v>0.4</v>
      </c>
      <c r="H58" s="543">
        <v>0.09</v>
      </c>
      <c r="I58" s="543">
        <v>0.01</v>
      </c>
      <c r="J58" s="543">
        <v>1</v>
      </c>
      <c r="K58" s="542">
        <v>33411689</v>
      </c>
      <c r="L58" s="542">
        <v>26729352</v>
      </c>
      <c r="M58" s="542">
        <v>6014104</v>
      </c>
      <c r="N58" s="542">
        <v>668234</v>
      </c>
      <c r="O58" s="542">
        <v>66823379</v>
      </c>
      <c r="P58" s="542">
        <v>0</v>
      </c>
      <c r="Q58" s="542">
        <v>0</v>
      </c>
      <c r="R58" s="542">
        <v>33411689</v>
      </c>
      <c r="S58" s="542">
        <v>223812</v>
      </c>
      <c r="T58" s="542">
        <v>223812</v>
      </c>
      <c r="U58" s="542">
        <v>0</v>
      </c>
      <c r="V58" s="542">
        <v>0</v>
      </c>
      <c r="W58" s="542">
        <v>0</v>
      </c>
      <c r="X58" s="542">
        <v>0</v>
      </c>
      <c r="Y58" s="542">
        <v>0</v>
      </c>
      <c r="Z58" s="542">
        <v>0</v>
      </c>
      <c r="AA58" s="542">
        <v>0</v>
      </c>
      <c r="AB58" s="542">
        <v>0</v>
      </c>
      <c r="AC58" s="542">
        <v>0</v>
      </c>
      <c r="AD58" s="542">
        <v>1603438</v>
      </c>
      <c r="AE58" s="542">
        <v>1282750</v>
      </c>
      <c r="AF58" s="542">
        <v>288619</v>
      </c>
      <c r="AG58" s="542">
        <v>32069</v>
      </c>
      <c r="AH58" s="542">
        <v>3206876</v>
      </c>
      <c r="AI58" s="542">
        <v>-884334</v>
      </c>
      <c r="AJ58" s="542">
        <v>-707467</v>
      </c>
      <c r="AK58" s="542">
        <v>-159180</v>
      </c>
      <c r="AL58" s="542">
        <v>-17687</v>
      </c>
      <c r="AM58" s="542">
        <v>-1768668</v>
      </c>
      <c r="AN58" s="542">
        <v>-505659.65</v>
      </c>
      <c r="AO58" s="542">
        <v>-404528</v>
      </c>
      <c r="AP58" s="542">
        <v>-91019</v>
      </c>
      <c r="AQ58" s="542">
        <v>-10113</v>
      </c>
      <c r="AR58" s="542">
        <v>-1011319.6</v>
      </c>
      <c r="AS58" s="542">
        <v>0</v>
      </c>
      <c r="AT58" s="542">
        <v>0</v>
      </c>
      <c r="AU58" s="542">
        <v>0</v>
      </c>
      <c r="AV58" s="542">
        <v>0</v>
      </c>
      <c r="AW58" s="542">
        <v>0</v>
      </c>
      <c r="AX58" s="542">
        <v>44759</v>
      </c>
      <c r="AY58" s="542">
        <v>35808</v>
      </c>
      <c r="AZ58" s="542">
        <v>8057</v>
      </c>
      <c r="BA58" s="542">
        <v>895</v>
      </c>
      <c r="BB58" s="542">
        <v>89519</v>
      </c>
      <c r="BC58" s="542">
        <v>-460900.65</v>
      </c>
      <c r="BD58" s="542">
        <v>-368720</v>
      </c>
      <c r="BE58" s="542">
        <v>-82962</v>
      </c>
      <c r="BF58" s="542">
        <v>-9218</v>
      </c>
      <c r="BG58" s="542">
        <v>-921800.65</v>
      </c>
      <c r="BH58" s="542">
        <v>-1341847</v>
      </c>
      <c r="BI58" s="542">
        <v>-1073478</v>
      </c>
      <c r="BJ58" s="542">
        <v>-241533</v>
      </c>
      <c r="BK58" s="542">
        <v>-26837</v>
      </c>
      <c r="BL58" s="542">
        <v>-2683695</v>
      </c>
      <c r="BM58" s="542">
        <v>2148828</v>
      </c>
      <c r="BN58" s="542">
        <v>1719063</v>
      </c>
      <c r="BO58" s="542">
        <v>386789</v>
      </c>
      <c r="BP58" s="542">
        <v>42977</v>
      </c>
      <c r="BQ58" s="542">
        <v>4297657</v>
      </c>
      <c r="BR58" s="542">
        <v>-6338983</v>
      </c>
      <c r="BS58" s="542">
        <v>-5071187</v>
      </c>
      <c r="BT58" s="542">
        <v>-1141017</v>
      </c>
      <c r="BU58" s="542">
        <v>-126780</v>
      </c>
      <c r="BV58" s="542">
        <v>-12677967</v>
      </c>
      <c r="BW58" s="542">
        <v>-5532002</v>
      </c>
      <c r="BX58" s="542">
        <v>-4425602</v>
      </c>
      <c r="BY58" s="542">
        <v>-995761</v>
      </c>
      <c r="BZ58" s="542">
        <v>-110640</v>
      </c>
      <c r="CA58" s="542">
        <v>-11064005</v>
      </c>
    </row>
    <row r="59" spans="1:79" ht="12.75" x14ac:dyDescent="0.2">
      <c r="A59" s="93">
        <v>53</v>
      </c>
      <c r="B59" s="145" t="s">
        <v>665</v>
      </c>
      <c r="C59" s="141" t="s">
        <v>866</v>
      </c>
      <c r="D59" s="142" t="s">
        <v>875</v>
      </c>
      <c r="E59" s="149" t="s">
        <v>664</v>
      </c>
      <c r="F59" s="543">
        <v>0.5</v>
      </c>
      <c r="G59" s="543">
        <v>0.4</v>
      </c>
      <c r="H59" s="543">
        <v>0.1</v>
      </c>
      <c r="I59" s="543">
        <v>0</v>
      </c>
      <c r="J59" s="543">
        <v>1</v>
      </c>
      <c r="K59" s="542">
        <v>27136311</v>
      </c>
      <c r="L59" s="542">
        <v>21709049</v>
      </c>
      <c r="M59" s="542">
        <v>5427262</v>
      </c>
      <c r="N59" s="542">
        <v>0</v>
      </c>
      <c r="O59" s="542">
        <v>54272622</v>
      </c>
      <c r="P59" s="542">
        <v>0</v>
      </c>
      <c r="Q59" s="542">
        <v>0</v>
      </c>
      <c r="R59" s="542">
        <v>27136311</v>
      </c>
      <c r="S59" s="542">
        <v>183923</v>
      </c>
      <c r="T59" s="542">
        <v>183923</v>
      </c>
      <c r="U59" s="542">
        <v>0</v>
      </c>
      <c r="V59" s="542">
        <v>0</v>
      </c>
      <c r="W59" s="542">
        <v>0</v>
      </c>
      <c r="X59" s="542">
        <v>0</v>
      </c>
      <c r="Y59" s="542">
        <v>0</v>
      </c>
      <c r="Z59" s="542">
        <v>0</v>
      </c>
      <c r="AA59" s="542">
        <v>0</v>
      </c>
      <c r="AB59" s="542">
        <v>0</v>
      </c>
      <c r="AC59" s="542">
        <v>0</v>
      </c>
      <c r="AD59" s="542">
        <v>862973</v>
      </c>
      <c r="AE59" s="542">
        <v>690378</v>
      </c>
      <c r="AF59" s="542">
        <v>172595</v>
      </c>
      <c r="AG59" s="542">
        <v>0</v>
      </c>
      <c r="AH59" s="542">
        <v>1725946</v>
      </c>
      <c r="AI59" s="542">
        <v>-2149682</v>
      </c>
      <c r="AJ59" s="542">
        <v>-1719745</v>
      </c>
      <c r="AK59" s="542">
        <v>-429936</v>
      </c>
      <c r="AL59" s="542">
        <v>0</v>
      </c>
      <c r="AM59" s="542">
        <v>-4299363</v>
      </c>
      <c r="AN59" s="542">
        <v>-262651</v>
      </c>
      <c r="AO59" s="542">
        <v>-210121</v>
      </c>
      <c r="AP59" s="542">
        <v>-52530</v>
      </c>
      <c r="AQ59" s="542">
        <v>0</v>
      </c>
      <c r="AR59" s="542">
        <v>-525302</v>
      </c>
      <c r="AS59" s="542">
        <v>141807</v>
      </c>
      <c r="AT59" s="542">
        <v>113446</v>
      </c>
      <c r="AU59" s="542">
        <v>28362</v>
      </c>
      <c r="AV59" s="542">
        <v>0</v>
      </c>
      <c r="AW59" s="542">
        <v>283615</v>
      </c>
      <c r="AX59" s="542">
        <v>-142424</v>
      </c>
      <c r="AY59" s="542">
        <v>-113940</v>
      </c>
      <c r="AZ59" s="542">
        <v>-28485</v>
      </c>
      <c r="BA59" s="542">
        <v>0</v>
      </c>
      <c r="BB59" s="542">
        <v>-284849</v>
      </c>
      <c r="BC59" s="542">
        <v>-263268</v>
      </c>
      <c r="BD59" s="542">
        <v>-210615</v>
      </c>
      <c r="BE59" s="542">
        <v>-52653</v>
      </c>
      <c r="BF59" s="542">
        <v>0</v>
      </c>
      <c r="BG59" s="542">
        <v>-526536</v>
      </c>
      <c r="BH59" s="542">
        <v>-642500</v>
      </c>
      <c r="BI59" s="542">
        <v>-514000</v>
      </c>
      <c r="BJ59" s="542">
        <v>-128500</v>
      </c>
      <c r="BK59" s="542">
        <v>0</v>
      </c>
      <c r="BL59" s="542">
        <v>-1285000</v>
      </c>
      <c r="BM59" s="542">
        <v>336547</v>
      </c>
      <c r="BN59" s="542">
        <v>269238</v>
      </c>
      <c r="BO59" s="542">
        <v>67309</v>
      </c>
      <c r="BP59" s="542">
        <v>0</v>
      </c>
      <c r="BQ59" s="542">
        <v>673094</v>
      </c>
      <c r="BR59" s="542">
        <v>-661128</v>
      </c>
      <c r="BS59" s="542">
        <v>-528902</v>
      </c>
      <c r="BT59" s="542">
        <v>-132226</v>
      </c>
      <c r="BU59" s="542">
        <v>0</v>
      </c>
      <c r="BV59" s="542">
        <v>-1322256</v>
      </c>
      <c r="BW59" s="542">
        <v>-967081</v>
      </c>
      <c r="BX59" s="542">
        <v>-773664</v>
      </c>
      <c r="BY59" s="542">
        <v>-193417</v>
      </c>
      <c r="BZ59" s="542">
        <v>0</v>
      </c>
      <c r="CA59" s="542">
        <v>-1934162</v>
      </c>
    </row>
    <row r="60" spans="1:79" ht="12.75" x14ac:dyDescent="0.2">
      <c r="A60" s="93">
        <v>54</v>
      </c>
      <c r="B60" s="145" t="s">
        <v>667</v>
      </c>
      <c r="C60" s="141" t="s">
        <v>866</v>
      </c>
      <c r="D60" s="142" t="s">
        <v>867</v>
      </c>
      <c r="E60" s="149" t="s">
        <v>666</v>
      </c>
      <c r="F60" s="543">
        <v>0.5</v>
      </c>
      <c r="G60" s="543">
        <v>0.4</v>
      </c>
      <c r="H60" s="543">
        <v>0.1</v>
      </c>
      <c r="I60" s="543">
        <v>0</v>
      </c>
      <c r="J60" s="543">
        <v>1</v>
      </c>
      <c r="K60" s="542">
        <v>33109202</v>
      </c>
      <c r="L60" s="542">
        <v>26487362</v>
      </c>
      <c r="M60" s="542">
        <v>6621841</v>
      </c>
      <c r="N60" s="542">
        <v>0</v>
      </c>
      <c r="O60" s="542">
        <v>66218405</v>
      </c>
      <c r="P60" s="542">
        <v>0</v>
      </c>
      <c r="Q60" s="542">
        <v>0</v>
      </c>
      <c r="R60" s="542">
        <v>33109202</v>
      </c>
      <c r="S60" s="542">
        <v>219880</v>
      </c>
      <c r="T60" s="542">
        <v>219880</v>
      </c>
      <c r="U60" s="542">
        <v>0</v>
      </c>
      <c r="V60" s="542">
        <v>0</v>
      </c>
      <c r="W60" s="542">
        <v>70854</v>
      </c>
      <c r="X60" s="542">
        <v>107493</v>
      </c>
      <c r="Y60" s="542">
        <v>178347</v>
      </c>
      <c r="Z60" s="542">
        <v>0</v>
      </c>
      <c r="AA60" s="542">
        <v>0</v>
      </c>
      <c r="AB60" s="542">
        <v>0</v>
      </c>
      <c r="AC60" s="542">
        <v>0</v>
      </c>
      <c r="AD60" s="542">
        <v>454397</v>
      </c>
      <c r="AE60" s="542">
        <v>363517</v>
      </c>
      <c r="AF60" s="542">
        <v>90879</v>
      </c>
      <c r="AG60" s="542">
        <v>0</v>
      </c>
      <c r="AH60" s="542">
        <v>908793</v>
      </c>
      <c r="AI60" s="542">
        <v>-724732</v>
      </c>
      <c r="AJ60" s="542">
        <v>-579786</v>
      </c>
      <c r="AK60" s="542">
        <v>-144947</v>
      </c>
      <c r="AL60" s="542">
        <v>0</v>
      </c>
      <c r="AM60" s="542">
        <v>-1449465</v>
      </c>
      <c r="AN60" s="542">
        <v>-154918</v>
      </c>
      <c r="AO60" s="542">
        <v>-123935</v>
      </c>
      <c r="AP60" s="542">
        <v>-30984</v>
      </c>
      <c r="AQ60" s="542">
        <v>0</v>
      </c>
      <c r="AR60" s="542">
        <v>-309837</v>
      </c>
      <c r="AS60" s="542">
        <v>0</v>
      </c>
      <c r="AT60" s="542">
        <v>0</v>
      </c>
      <c r="AU60" s="542">
        <v>0</v>
      </c>
      <c r="AV60" s="542">
        <v>0</v>
      </c>
      <c r="AW60" s="542">
        <v>0</v>
      </c>
      <c r="AX60" s="542">
        <v>40836</v>
      </c>
      <c r="AY60" s="542">
        <v>32668</v>
      </c>
      <c r="AZ60" s="542">
        <v>8167</v>
      </c>
      <c r="BA60" s="542">
        <v>0</v>
      </c>
      <c r="BB60" s="542">
        <v>81671</v>
      </c>
      <c r="BC60" s="542">
        <v>-114082</v>
      </c>
      <c r="BD60" s="542">
        <v>-91267</v>
      </c>
      <c r="BE60" s="542">
        <v>-22817</v>
      </c>
      <c r="BF60" s="542">
        <v>0</v>
      </c>
      <c r="BG60" s="542">
        <v>-228166</v>
      </c>
      <c r="BH60" s="542">
        <v>-1675344</v>
      </c>
      <c r="BI60" s="542">
        <v>-1340275</v>
      </c>
      <c r="BJ60" s="542">
        <v>-335069</v>
      </c>
      <c r="BK60" s="542">
        <v>0</v>
      </c>
      <c r="BL60" s="542">
        <v>-3350688</v>
      </c>
      <c r="BM60" s="542">
        <v>0</v>
      </c>
      <c r="BN60" s="542">
        <v>0</v>
      </c>
      <c r="BO60" s="542">
        <v>0</v>
      </c>
      <c r="BP60" s="542">
        <v>0</v>
      </c>
      <c r="BQ60" s="542">
        <v>0</v>
      </c>
      <c r="BR60" s="542">
        <v>-1675793</v>
      </c>
      <c r="BS60" s="542">
        <v>-1340634</v>
      </c>
      <c r="BT60" s="542">
        <v>-335159</v>
      </c>
      <c r="BU60" s="542">
        <v>0</v>
      </c>
      <c r="BV60" s="542">
        <v>-3351586</v>
      </c>
      <c r="BW60" s="542">
        <v>-3351137</v>
      </c>
      <c r="BX60" s="542">
        <v>-2680909</v>
      </c>
      <c r="BY60" s="542">
        <v>-670228</v>
      </c>
      <c r="BZ60" s="542">
        <v>0</v>
      </c>
      <c r="CA60" s="542">
        <v>-6702274</v>
      </c>
    </row>
    <row r="61" spans="1:79" ht="12.75" x14ac:dyDescent="0.2">
      <c r="A61" s="93">
        <v>55</v>
      </c>
      <c r="B61" s="145" t="s">
        <v>669</v>
      </c>
      <c r="C61" s="141" t="s">
        <v>770</v>
      </c>
      <c r="D61" s="142" t="s">
        <v>868</v>
      </c>
      <c r="E61" s="149" t="s">
        <v>668</v>
      </c>
      <c r="F61" s="543">
        <v>0.5</v>
      </c>
      <c r="G61" s="543">
        <v>0.49</v>
      </c>
      <c r="H61" s="543">
        <v>0</v>
      </c>
      <c r="I61" s="543">
        <v>0.01</v>
      </c>
      <c r="J61" s="543">
        <v>1</v>
      </c>
      <c r="K61" s="542">
        <v>64895103</v>
      </c>
      <c r="L61" s="542">
        <v>63597200</v>
      </c>
      <c r="M61" s="542">
        <v>0</v>
      </c>
      <c r="N61" s="542">
        <v>1297902</v>
      </c>
      <c r="O61" s="542">
        <v>129790205</v>
      </c>
      <c r="P61" s="542">
        <v>0</v>
      </c>
      <c r="Q61" s="542">
        <v>0</v>
      </c>
      <c r="R61" s="542">
        <v>64895103</v>
      </c>
      <c r="S61" s="542">
        <v>560489</v>
      </c>
      <c r="T61" s="542">
        <v>560489</v>
      </c>
      <c r="U61" s="542">
        <v>0</v>
      </c>
      <c r="V61" s="542">
        <v>0</v>
      </c>
      <c r="W61" s="542">
        <v>3137</v>
      </c>
      <c r="X61" s="542">
        <v>0</v>
      </c>
      <c r="Y61" s="542">
        <v>3137</v>
      </c>
      <c r="Z61" s="542">
        <v>0</v>
      </c>
      <c r="AA61" s="542">
        <v>0</v>
      </c>
      <c r="AB61" s="542">
        <v>0</v>
      </c>
      <c r="AC61" s="542">
        <v>0</v>
      </c>
      <c r="AD61" s="542">
        <v>2990318</v>
      </c>
      <c r="AE61" s="542">
        <v>2930511</v>
      </c>
      <c r="AF61" s="542">
        <v>0</v>
      </c>
      <c r="AG61" s="542">
        <v>59806</v>
      </c>
      <c r="AH61" s="542">
        <v>5980635</v>
      </c>
      <c r="AI61" s="542">
        <v>-348242</v>
      </c>
      <c r="AJ61" s="542">
        <v>-341277</v>
      </c>
      <c r="AK61" s="542">
        <v>0</v>
      </c>
      <c r="AL61" s="542">
        <v>-6965</v>
      </c>
      <c r="AM61" s="542">
        <v>-696484</v>
      </c>
      <c r="AN61" s="542">
        <v>-683787</v>
      </c>
      <c r="AO61" s="542">
        <v>-670112</v>
      </c>
      <c r="AP61" s="542">
        <v>0</v>
      </c>
      <c r="AQ61" s="542">
        <v>-13676</v>
      </c>
      <c r="AR61" s="542">
        <v>-1367575</v>
      </c>
      <c r="AS61" s="542">
        <v>683787</v>
      </c>
      <c r="AT61" s="542">
        <v>670111</v>
      </c>
      <c r="AU61" s="542">
        <v>0</v>
      </c>
      <c r="AV61" s="542">
        <v>13676</v>
      </c>
      <c r="AW61" s="542">
        <v>1367574</v>
      </c>
      <c r="AX61" s="542">
        <v>-810030</v>
      </c>
      <c r="AY61" s="542">
        <v>-793830</v>
      </c>
      <c r="AZ61" s="542">
        <v>0</v>
      </c>
      <c r="BA61" s="542">
        <v>-16201</v>
      </c>
      <c r="BB61" s="542">
        <v>-1620061</v>
      </c>
      <c r="BC61" s="542">
        <v>-810030</v>
      </c>
      <c r="BD61" s="542">
        <v>-793831</v>
      </c>
      <c r="BE61" s="542">
        <v>0</v>
      </c>
      <c r="BF61" s="542">
        <v>-16201</v>
      </c>
      <c r="BG61" s="542">
        <v>-1620062</v>
      </c>
      <c r="BH61" s="542">
        <v>-3351647</v>
      </c>
      <c r="BI61" s="542">
        <v>-3284615</v>
      </c>
      <c r="BJ61" s="542">
        <v>0</v>
      </c>
      <c r="BK61" s="542">
        <v>-67032</v>
      </c>
      <c r="BL61" s="542">
        <v>-6703294</v>
      </c>
      <c r="BM61" s="542">
        <v>950419</v>
      </c>
      <c r="BN61" s="542">
        <v>931411</v>
      </c>
      <c r="BO61" s="542">
        <v>0</v>
      </c>
      <c r="BP61" s="542">
        <v>19008</v>
      </c>
      <c r="BQ61" s="542">
        <v>1900838</v>
      </c>
      <c r="BR61" s="542">
        <v>-3650843</v>
      </c>
      <c r="BS61" s="542">
        <v>-3577827</v>
      </c>
      <c r="BT61" s="542">
        <v>0</v>
      </c>
      <c r="BU61" s="542">
        <v>-73017</v>
      </c>
      <c r="BV61" s="542">
        <v>-7301687</v>
      </c>
      <c r="BW61" s="542">
        <v>-6052071</v>
      </c>
      <c r="BX61" s="542">
        <v>-5931031</v>
      </c>
      <c r="BY61" s="542">
        <v>0</v>
      </c>
      <c r="BZ61" s="542">
        <v>-121041</v>
      </c>
      <c r="CA61" s="542">
        <v>-12104143</v>
      </c>
    </row>
    <row r="62" spans="1:79" ht="12.75" x14ac:dyDescent="0.2">
      <c r="A62" s="93">
        <v>56</v>
      </c>
      <c r="B62" s="145" t="s">
        <v>671</v>
      </c>
      <c r="C62" s="141" t="s">
        <v>770</v>
      </c>
      <c r="D62" s="142" t="s">
        <v>868</v>
      </c>
      <c r="E62" s="149" t="s">
        <v>693</v>
      </c>
      <c r="F62" s="543">
        <v>0.5</v>
      </c>
      <c r="G62" s="543">
        <v>0.49</v>
      </c>
      <c r="H62" s="543">
        <v>0</v>
      </c>
      <c r="I62" s="543">
        <v>0.01</v>
      </c>
      <c r="J62" s="543">
        <v>1</v>
      </c>
      <c r="K62" s="542">
        <v>77636061</v>
      </c>
      <c r="L62" s="542">
        <v>76083339</v>
      </c>
      <c r="M62" s="542">
        <v>0</v>
      </c>
      <c r="N62" s="542">
        <v>1552721</v>
      </c>
      <c r="O62" s="542">
        <v>155272121</v>
      </c>
      <c r="P62" s="542">
        <v>0</v>
      </c>
      <c r="Q62" s="542">
        <v>0</v>
      </c>
      <c r="R62" s="542">
        <v>77636061</v>
      </c>
      <c r="S62" s="542">
        <v>501621</v>
      </c>
      <c r="T62" s="542">
        <v>501621</v>
      </c>
      <c r="U62" s="542">
        <v>0</v>
      </c>
      <c r="V62" s="542">
        <v>0</v>
      </c>
      <c r="W62" s="542">
        <v>0</v>
      </c>
      <c r="X62" s="542">
        <v>0</v>
      </c>
      <c r="Y62" s="542">
        <v>0</v>
      </c>
      <c r="Z62" s="542">
        <v>0</v>
      </c>
      <c r="AA62" s="542">
        <v>0</v>
      </c>
      <c r="AB62" s="542">
        <v>0</v>
      </c>
      <c r="AC62" s="542">
        <v>0</v>
      </c>
      <c r="AD62" s="542">
        <v>3044718</v>
      </c>
      <c r="AE62" s="542">
        <v>2983823</v>
      </c>
      <c r="AF62" s="542">
        <v>0</v>
      </c>
      <c r="AG62" s="542">
        <v>60894</v>
      </c>
      <c r="AH62" s="542">
        <v>6089435</v>
      </c>
      <c r="AI62" s="542">
        <v>-1832672</v>
      </c>
      <c r="AJ62" s="542">
        <v>-1796019</v>
      </c>
      <c r="AK62" s="542">
        <v>0</v>
      </c>
      <c r="AL62" s="542">
        <v>-36653</v>
      </c>
      <c r="AM62" s="542">
        <v>-3665344</v>
      </c>
      <c r="AN62" s="542">
        <v>-189602</v>
      </c>
      <c r="AO62" s="542">
        <v>-185810</v>
      </c>
      <c r="AP62" s="542">
        <v>0</v>
      </c>
      <c r="AQ62" s="542">
        <v>-3792</v>
      </c>
      <c r="AR62" s="542">
        <v>-379204</v>
      </c>
      <c r="AS62" s="542">
        <v>529786</v>
      </c>
      <c r="AT62" s="542">
        <v>519190</v>
      </c>
      <c r="AU62" s="542">
        <v>0</v>
      </c>
      <c r="AV62" s="542">
        <v>10596</v>
      </c>
      <c r="AW62" s="542">
        <v>1059572</v>
      </c>
      <c r="AX62" s="542">
        <v>-652494</v>
      </c>
      <c r="AY62" s="542">
        <v>-639444</v>
      </c>
      <c r="AZ62" s="542">
        <v>0</v>
      </c>
      <c r="BA62" s="542">
        <v>-13050</v>
      </c>
      <c r="BB62" s="542">
        <v>-1304988</v>
      </c>
      <c r="BC62" s="542">
        <v>-312310</v>
      </c>
      <c r="BD62" s="542">
        <v>-306064</v>
      </c>
      <c r="BE62" s="542">
        <v>0</v>
      </c>
      <c r="BF62" s="542">
        <v>-6246</v>
      </c>
      <c r="BG62" s="542">
        <v>-624620</v>
      </c>
      <c r="BH62" s="542">
        <v>-4250998</v>
      </c>
      <c r="BI62" s="542">
        <v>-4165977</v>
      </c>
      <c r="BJ62" s="542">
        <v>0</v>
      </c>
      <c r="BK62" s="542">
        <v>-85020</v>
      </c>
      <c r="BL62" s="542">
        <v>-8501995</v>
      </c>
      <c r="BM62" s="542">
        <v>2228472</v>
      </c>
      <c r="BN62" s="542">
        <v>2183902</v>
      </c>
      <c r="BO62" s="542">
        <v>0</v>
      </c>
      <c r="BP62" s="542">
        <v>44569</v>
      </c>
      <c r="BQ62" s="542">
        <v>4456943</v>
      </c>
      <c r="BR62" s="542">
        <v>-3348795</v>
      </c>
      <c r="BS62" s="542">
        <v>-3281820</v>
      </c>
      <c r="BT62" s="542">
        <v>0</v>
      </c>
      <c r="BU62" s="542">
        <v>-66976</v>
      </c>
      <c r="BV62" s="542">
        <v>-6697591</v>
      </c>
      <c r="BW62" s="542">
        <v>-5371321</v>
      </c>
      <c r="BX62" s="542">
        <v>-5263895</v>
      </c>
      <c r="BY62" s="542">
        <v>0</v>
      </c>
      <c r="BZ62" s="542">
        <v>-107427</v>
      </c>
      <c r="CA62" s="542">
        <v>-10742643</v>
      </c>
    </row>
    <row r="63" spans="1:79" ht="12.75" x14ac:dyDescent="0.2">
      <c r="A63" s="93">
        <v>57</v>
      </c>
      <c r="B63" s="145" t="s">
        <v>673</v>
      </c>
      <c r="C63" s="141" t="s">
        <v>866</v>
      </c>
      <c r="D63" s="142" t="s">
        <v>869</v>
      </c>
      <c r="E63" s="149" t="s">
        <v>672</v>
      </c>
      <c r="F63" s="543">
        <v>0.5</v>
      </c>
      <c r="G63" s="543">
        <v>0.4</v>
      </c>
      <c r="H63" s="543">
        <v>0.09</v>
      </c>
      <c r="I63" s="543">
        <v>0.01</v>
      </c>
      <c r="J63" s="543">
        <v>1</v>
      </c>
      <c r="K63" s="542">
        <v>16104698</v>
      </c>
      <c r="L63" s="542">
        <v>12883758</v>
      </c>
      <c r="M63" s="542">
        <v>2898846</v>
      </c>
      <c r="N63" s="542">
        <v>322094</v>
      </c>
      <c r="O63" s="542">
        <v>32209396</v>
      </c>
      <c r="P63" s="542">
        <v>0</v>
      </c>
      <c r="Q63" s="542">
        <v>0</v>
      </c>
      <c r="R63" s="542">
        <v>16104698</v>
      </c>
      <c r="S63" s="542">
        <v>166169</v>
      </c>
      <c r="T63" s="542">
        <v>166169</v>
      </c>
      <c r="U63" s="542">
        <v>125218</v>
      </c>
      <c r="V63" s="542">
        <v>125218</v>
      </c>
      <c r="W63" s="542">
        <v>0</v>
      </c>
      <c r="X63" s="542">
        <v>0</v>
      </c>
      <c r="Y63" s="542">
        <v>0</v>
      </c>
      <c r="Z63" s="542">
        <v>0</v>
      </c>
      <c r="AA63" s="542">
        <v>0</v>
      </c>
      <c r="AB63" s="542">
        <v>0</v>
      </c>
      <c r="AC63" s="542">
        <v>0</v>
      </c>
      <c r="AD63" s="542">
        <v>736556</v>
      </c>
      <c r="AE63" s="542">
        <v>589245</v>
      </c>
      <c r="AF63" s="542">
        <v>132580</v>
      </c>
      <c r="AG63" s="542">
        <v>14731</v>
      </c>
      <c r="AH63" s="542">
        <v>1473112</v>
      </c>
      <c r="AI63" s="542">
        <v>-77838</v>
      </c>
      <c r="AJ63" s="542">
        <v>-62271</v>
      </c>
      <c r="AK63" s="542">
        <v>-14011</v>
      </c>
      <c r="AL63" s="542">
        <v>-1557</v>
      </c>
      <c r="AM63" s="542">
        <v>-155677</v>
      </c>
      <c r="AN63" s="542">
        <v>-367983</v>
      </c>
      <c r="AO63" s="542">
        <v>-294388</v>
      </c>
      <c r="AP63" s="542">
        <v>-66238</v>
      </c>
      <c r="AQ63" s="542">
        <v>-7360</v>
      </c>
      <c r="AR63" s="542">
        <v>-735969</v>
      </c>
      <c r="AS63" s="542">
        <v>154586</v>
      </c>
      <c r="AT63" s="542">
        <v>123669</v>
      </c>
      <c r="AU63" s="542">
        <v>27826</v>
      </c>
      <c r="AV63" s="542">
        <v>3092</v>
      </c>
      <c r="AW63" s="542">
        <v>309173</v>
      </c>
      <c r="AX63" s="542">
        <v>-196804</v>
      </c>
      <c r="AY63" s="542">
        <v>-157444</v>
      </c>
      <c r="AZ63" s="542">
        <v>-35425</v>
      </c>
      <c r="BA63" s="542">
        <v>-3936</v>
      </c>
      <c r="BB63" s="542">
        <v>-393609</v>
      </c>
      <c r="BC63" s="542">
        <v>-410201</v>
      </c>
      <c r="BD63" s="542">
        <v>-328163</v>
      </c>
      <c r="BE63" s="542">
        <v>-73837</v>
      </c>
      <c r="BF63" s="542">
        <v>-8204</v>
      </c>
      <c r="BG63" s="542">
        <v>-820405</v>
      </c>
      <c r="BH63" s="542">
        <v>-857411</v>
      </c>
      <c r="BI63" s="542">
        <v>-685929</v>
      </c>
      <c r="BJ63" s="542">
        <v>-154334</v>
      </c>
      <c r="BK63" s="542">
        <v>-17149</v>
      </c>
      <c r="BL63" s="542">
        <v>-1714823</v>
      </c>
      <c r="BM63" s="542">
        <v>260062</v>
      </c>
      <c r="BN63" s="542">
        <v>208049</v>
      </c>
      <c r="BO63" s="542">
        <v>46811</v>
      </c>
      <c r="BP63" s="542">
        <v>5201</v>
      </c>
      <c r="BQ63" s="542">
        <v>520123</v>
      </c>
      <c r="BR63" s="542">
        <v>-1661983</v>
      </c>
      <c r="BS63" s="542">
        <v>-1329586</v>
      </c>
      <c r="BT63" s="542">
        <v>-299157</v>
      </c>
      <c r="BU63" s="542">
        <v>-33240</v>
      </c>
      <c r="BV63" s="542">
        <v>-3323966</v>
      </c>
      <c r="BW63" s="542">
        <v>-2259332</v>
      </c>
      <c r="BX63" s="542">
        <v>-1807466</v>
      </c>
      <c r="BY63" s="542">
        <v>-406680</v>
      </c>
      <c r="BZ63" s="542">
        <v>-45188</v>
      </c>
      <c r="CA63" s="542">
        <v>-4518666</v>
      </c>
    </row>
    <row r="64" spans="1:79" ht="12.75" x14ac:dyDescent="0.2">
      <c r="A64" s="93">
        <v>58</v>
      </c>
      <c r="B64" s="145" t="s">
        <v>675</v>
      </c>
      <c r="C64" s="141" t="s">
        <v>866</v>
      </c>
      <c r="D64" s="142" t="s">
        <v>867</v>
      </c>
      <c r="E64" s="149" t="s">
        <v>674</v>
      </c>
      <c r="F64" s="543">
        <v>0.5</v>
      </c>
      <c r="G64" s="543">
        <v>0.4</v>
      </c>
      <c r="H64" s="543">
        <v>0.1</v>
      </c>
      <c r="I64" s="543">
        <v>0</v>
      </c>
      <c r="J64" s="543">
        <v>1</v>
      </c>
      <c r="K64" s="542">
        <v>20800188</v>
      </c>
      <c r="L64" s="542">
        <v>16640151</v>
      </c>
      <c r="M64" s="542">
        <v>4160038</v>
      </c>
      <c r="N64" s="542">
        <v>0</v>
      </c>
      <c r="O64" s="542">
        <v>41600377</v>
      </c>
      <c r="P64" s="542">
        <v>0</v>
      </c>
      <c r="Q64" s="542">
        <v>0</v>
      </c>
      <c r="R64" s="542">
        <v>20800188</v>
      </c>
      <c r="S64" s="542">
        <v>195843</v>
      </c>
      <c r="T64" s="542">
        <v>195843</v>
      </c>
      <c r="U64" s="542">
        <v>0</v>
      </c>
      <c r="V64" s="542">
        <v>0</v>
      </c>
      <c r="W64" s="542">
        <v>45165</v>
      </c>
      <c r="X64" s="542">
        <v>0</v>
      </c>
      <c r="Y64" s="542">
        <v>45165</v>
      </c>
      <c r="Z64" s="542">
        <v>0</v>
      </c>
      <c r="AA64" s="542">
        <v>0</v>
      </c>
      <c r="AB64" s="542">
        <v>0</v>
      </c>
      <c r="AC64" s="542">
        <v>0</v>
      </c>
      <c r="AD64" s="542">
        <v>674757</v>
      </c>
      <c r="AE64" s="542">
        <v>539805</v>
      </c>
      <c r="AF64" s="542">
        <v>134951</v>
      </c>
      <c r="AG64" s="542">
        <v>0</v>
      </c>
      <c r="AH64" s="542">
        <v>1349513</v>
      </c>
      <c r="AI64" s="542">
        <v>-314676</v>
      </c>
      <c r="AJ64" s="542">
        <v>-251741</v>
      </c>
      <c r="AK64" s="542">
        <v>-62935</v>
      </c>
      <c r="AL64" s="542">
        <v>0</v>
      </c>
      <c r="AM64" s="542">
        <v>-629352</v>
      </c>
      <c r="AN64" s="542">
        <v>-355454</v>
      </c>
      <c r="AO64" s="542">
        <v>-284364</v>
      </c>
      <c r="AP64" s="542">
        <v>-71091</v>
      </c>
      <c r="AQ64" s="542">
        <v>0</v>
      </c>
      <c r="AR64" s="542">
        <v>-710909</v>
      </c>
      <c r="AS64" s="542">
        <v>196873</v>
      </c>
      <c r="AT64" s="542">
        <v>157499</v>
      </c>
      <c r="AU64" s="542">
        <v>39375</v>
      </c>
      <c r="AV64" s="542">
        <v>0</v>
      </c>
      <c r="AW64" s="542">
        <v>393747</v>
      </c>
      <c r="AX64" s="542">
        <v>-140000</v>
      </c>
      <c r="AY64" s="542">
        <v>-112000</v>
      </c>
      <c r="AZ64" s="542">
        <v>-28000</v>
      </c>
      <c r="BA64" s="542">
        <v>0</v>
      </c>
      <c r="BB64" s="542">
        <v>-280000</v>
      </c>
      <c r="BC64" s="542">
        <v>-298581</v>
      </c>
      <c r="BD64" s="542">
        <v>-238865</v>
      </c>
      <c r="BE64" s="542">
        <v>-59716</v>
      </c>
      <c r="BF64" s="542">
        <v>0</v>
      </c>
      <c r="BG64" s="542">
        <v>-597162</v>
      </c>
      <c r="BH64" s="542">
        <v>-1040637</v>
      </c>
      <c r="BI64" s="542">
        <v>-832509</v>
      </c>
      <c r="BJ64" s="542">
        <v>-208128</v>
      </c>
      <c r="BK64" s="542">
        <v>0</v>
      </c>
      <c r="BL64" s="542">
        <v>-2081274</v>
      </c>
      <c r="BM64" s="542">
        <v>302409</v>
      </c>
      <c r="BN64" s="542">
        <v>241927</v>
      </c>
      <c r="BO64" s="542">
        <v>60482</v>
      </c>
      <c r="BP64" s="542">
        <v>0</v>
      </c>
      <c r="BQ64" s="542">
        <v>604818</v>
      </c>
      <c r="BR64" s="542">
        <v>-835000</v>
      </c>
      <c r="BS64" s="542">
        <v>-668000</v>
      </c>
      <c r="BT64" s="542">
        <v>-167000</v>
      </c>
      <c r="BU64" s="542">
        <v>0</v>
      </c>
      <c r="BV64" s="542">
        <v>-1670000</v>
      </c>
      <c r="BW64" s="542">
        <v>-1573228</v>
      </c>
      <c r="BX64" s="542">
        <v>-1258582</v>
      </c>
      <c r="BY64" s="542">
        <v>-314646</v>
      </c>
      <c r="BZ64" s="542">
        <v>0</v>
      </c>
      <c r="CA64" s="542">
        <v>-3146456</v>
      </c>
    </row>
    <row r="65" spans="1:79" ht="12.75" x14ac:dyDescent="0.2">
      <c r="A65" s="93">
        <v>59</v>
      </c>
      <c r="B65" s="145" t="s">
        <v>677</v>
      </c>
      <c r="C65" s="141" t="s">
        <v>866</v>
      </c>
      <c r="D65" s="142" t="s">
        <v>867</v>
      </c>
      <c r="E65" s="149" t="s">
        <v>676</v>
      </c>
      <c r="F65" s="543">
        <v>0.5</v>
      </c>
      <c r="G65" s="543">
        <v>0.4</v>
      </c>
      <c r="H65" s="543">
        <v>0.09</v>
      </c>
      <c r="I65" s="543">
        <v>0.01</v>
      </c>
      <c r="J65" s="543">
        <v>1</v>
      </c>
      <c r="K65" s="542">
        <v>9772769</v>
      </c>
      <c r="L65" s="542">
        <v>7818216</v>
      </c>
      <c r="M65" s="542">
        <v>1759099</v>
      </c>
      <c r="N65" s="542">
        <v>195455</v>
      </c>
      <c r="O65" s="542">
        <v>19545539</v>
      </c>
      <c r="P65" s="542">
        <v>0</v>
      </c>
      <c r="Q65" s="542">
        <v>0</v>
      </c>
      <c r="R65" s="542">
        <v>9772769</v>
      </c>
      <c r="S65" s="542">
        <v>116496</v>
      </c>
      <c r="T65" s="542">
        <v>116496</v>
      </c>
      <c r="U65" s="542">
        <v>0</v>
      </c>
      <c r="V65" s="542">
        <v>0</v>
      </c>
      <c r="W65" s="542">
        <v>0</v>
      </c>
      <c r="X65" s="542">
        <v>0</v>
      </c>
      <c r="Y65" s="542">
        <v>0</v>
      </c>
      <c r="Z65" s="542">
        <v>0</v>
      </c>
      <c r="AA65" s="542">
        <v>0</v>
      </c>
      <c r="AB65" s="542">
        <v>0</v>
      </c>
      <c r="AC65" s="542">
        <v>0</v>
      </c>
      <c r="AD65" s="542">
        <v>321724</v>
      </c>
      <c r="AE65" s="542">
        <v>257379</v>
      </c>
      <c r="AF65" s="542">
        <v>57910</v>
      </c>
      <c r="AG65" s="542">
        <v>6434</v>
      </c>
      <c r="AH65" s="542">
        <v>643447</v>
      </c>
      <c r="AI65" s="542">
        <v>-141870</v>
      </c>
      <c r="AJ65" s="542">
        <v>-113496</v>
      </c>
      <c r="AK65" s="542">
        <v>-25537</v>
      </c>
      <c r="AL65" s="542">
        <v>-2837</v>
      </c>
      <c r="AM65" s="542">
        <v>-283740</v>
      </c>
      <c r="AN65" s="542">
        <v>-69782</v>
      </c>
      <c r="AO65" s="542">
        <v>-55824</v>
      </c>
      <c r="AP65" s="542">
        <v>-12560</v>
      </c>
      <c r="AQ65" s="542">
        <v>-1395</v>
      </c>
      <c r="AR65" s="542">
        <v>-139561</v>
      </c>
      <c r="AS65" s="542">
        <v>37726</v>
      </c>
      <c r="AT65" s="542">
        <v>30182</v>
      </c>
      <c r="AU65" s="542">
        <v>6791</v>
      </c>
      <c r="AV65" s="542">
        <v>755</v>
      </c>
      <c r="AW65" s="542">
        <v>75454</v>
      </c>
      <c r="AX65" s="542">
        <v>-165809</v>
      </c>
      <c r="AY65" s="542">
        <v>-132647</v>
      </c>
      <c r="AZ65" s="542">
        <v>-29846</v>
      </c>
      <c r="BA65" s="542">
        <v>-3316</v>
      </c>
      <c r="BB65" s="542">
        <v>-331618</v>
      </c>
      <c r="BC65" s="542">
        <v>-197865</v>
      </c>
      <c r="BD65" s="542">
        <v>-158289</v>
      </c>
      <c r="BE65" s="542">
        <v>-35615</v>
      </c>
      <c r="BF65" s="542">
        <v>-3956</v>
      </c>
      <c r="BG65" s="542">
        <v>-395725</v>
      </c>
      <c r="BH65" s="542">
        <v>-728447</v>
      </c>
      <c r="BI65" s="542">
        <v>-582757</v>
      </c>
      <c r="BJ65" s="542">
        <v>-131120</v>
      </c>
      <c r="BK65" s="542">
        <v>-14569</v>
      </c>
      <c r="BL65" s="542">
        <v>-1456893</v>
      </c>
      <c r="BM65" s="542">
        <v>685262</v>
      </c>
      <c r="BN65" s="542">
        <v>548209</v>
      </c>
      <c r="BO65" s="542">
        <v>123347</v>
      </c>
      <c r="BP65" s="542">
        <v>13705</v>
      </c>
      <c r="BQ65" s="542">
        <v>1370523</v>
      </c>
      <c r="BR65" s="542">
        <v>-879831</v>
      </c>
      <c r="BS65" s="542">
        <v>-703864</v>
      </c>
      <c r="BT65" s="542">
        <v>-158369</v>
      </c>
      <c r="BU65" s="542">
        <v>-17597</v>
      </c>
      <c r="BV65" s="542">
        <v>-1759661</v>
      </c>
      <c r="BW65" s="542">
        <v>-923016</v>
      </c>
      <c r="BX65" s="542">
        <v>-738412</v>
      </c>
      <c r="BY65" s="542">
        <v>-166142</v>
      </c>
      <c r="BZ65" s="542">
        <v>-18461</v>
      </c>
      <c r="CA65" s="542">
        <v>-1846031</v>
      </c>
    </row>
    <row r="66" spans="1:79" ht="12.75" x14ac:dyDescent="0.2">
      <c r="A66" s="93">
        <v>60</v>
      </c>
      <c r="B66" s="145" t="s">
        <v>679</v>
      </c>
      <c r="C66" s="141" t="s">
        <v>866</v>
      </c>
      <c r="D66" s="142" t="s">
        <v>868</v>
      </c>
      <c r="E66" s="149" t="s">
        <v>678</v>
      </c>
      <c r="F66" s="543">
        <v>0.5</v>
      </c>
      <c r="G66" s="543">
        <v>0.4</v>
      </c>
      <c r="H66" s="543">
        <v>0.09</v>
      </c>
      <c r="I66" s="543">
        <v>0.01</v>
      </c>
      <c r="J66" s="543">
        <v>1</v>
      </c>
      <c r="K66" s="542">
        <v>13745675</v>
      </c>
      <c r="L66" s="542">
        <v>10996539</v>
      </c>
      <c r="M66" s="542">
        <v>2474221</v>
      </c>
      <c r="N66" s="542">
        <v>274913</v>
      </c>
      <c r="O66" s="542">
        <v>27491348</v>
      </c>
      <c r="P66" s="542">
        <v>0</v>
      </c>
      <c r="Q66" s="542">
        <v>0</v>
      </c>
      <c r="R66" s="542">
        <v>13745675</v>
      </c>
      <c r="S66" s="542">
        <v>132564</v>
      </c>
      <c r="T66" s="542">
        <v>132564</v>
      </c>
      <c r="U66" s="542">
        <v>0</v>
      </c>
      <c r="V66" s="542">
        <v>0</v>
      </c>
      <c r="W66" s="542">
        <v>0</v>
      </c>
      <c r="X66" s="542">
        <v>0</v>
      </c>
      <c r="Y66" s="542">
        <v>0</v>
      </c>
      <c r="Z66" s="542">
        <v>0</v>
      </c>
      <c r="AA66" s="542">
        <v>0</v>
      </c>
      <c r="AB66" s="542">
        <v>0</v>
      </c>
      <c r="AC66" s="542">
        <v>0</v>
      </c>
      <c r="AD66" s="542">
        <v>499944</v>
      </c>
      <c r="AE66" s="542">
        <v>399955</v>
      </c>
      <c r="AF66" s="542">
        <v>89990</v>
      </c>
      <c r="AG66" s="542">
        <v>9999</v>
      </c>
      <c r="AH66" s="542">
        <v>999888</v>
      </c>
      <c r="AI66" s="542">
        <v>-165307</v>
      </c>
      <c r="AJ66" s="542">
        <v>-132245</v>
      </c>
      <c r="AK66" s="542">
        <v>-29755</v>
      </c>
      <c r="AL66" s="542">
        <v>-3306</v>
      </c>
      <c r="AM66" s="542">
        <v>-330613</v>
      </c>
      <c r="AN66" s="542">
        <v>-351264</v>
      </c>
      <c r="AO66" s="542">
        <v>-281012</v>
      </c>
      <c r="AP66" s="542">
        <v>-63228</v>
      </c>
      <c r="AQ66" s="542">
        <v>-7026</v>
      </c>
      <c r="AR66" s="542">
        <v>-702530</v>
      </c>
      <c r="AS66" s="542">
        <v>102424</v>
      </c>
      <c r="AT66" s="542">
        <v>81938</v>
      </c>
      <c r="AU66" s="542">
        <v>18436</v>
      </c>
      <c r="AV66" s="542">
        <v>2048</v>
      </c>
      <c r="AW66" s="542">
        <v>204846</v>
      </c>
      <c r="AX66" s="542">
        <v>-84424</v>
      </c>
      <c r="AY66" s="542">
        <v>-67538</v>
      </c>
      <c r="AZ66" s="542">
        <v>-15196</v>
      </c>
      <c r="BA66" s="542">
        <v>-1688</v>
      </c>
      <c r="BB66" s="542">
        <v>-168846</v>
      </c>
      <c r="BC66" s="542">
        <v>-333264</v>
      </c>
      <c r="BD66" s="542">
        <v>-266612</v>
      </c>
      <c r="BE66" s="542">
        <v>-59988</v>
      </c>
      <c r="BF66" s="542">
        <v>-6666</v>
      </c>
      <c r="BG66" s="542">
        <v>-666530</v>
      </c>
      <c r="BH66" s="542">
        <v>-625000</v>
      </c>
      <c r="BI66" s="542">
        <v>-500000</v>
      </c>
      <c r="BJ66" s="542">
        <v>-112500</v>
      </c>
      <c r="BK66" s="542">
        <v>-12500</v>
      </c>
      <c r="BL66" s="542">
        <v>-1250000</v>
      </c>
      <c r="BM66" s="542">
        <v>370672</v>
      </c>
      <c r="BN66" s="542">
        <v>296537</v>
      </c>
      <c r="BO66" s="542">
        <v>66721</v>
      </c>
      <c r="BP66" s="542">
        <v>7413</v>
      </c>
      <c r="BQ66" s="542">
        <v>741343</v>
      </c>
      <c r="BR66" s="542">
        <v>-445672</v>
      </c>
      <c r="BS66" s="542">
        <v>-356537</v>
      </c>
      <c r="BT66" s="542">
        <v>-80221</v>
      </c>
      <c r="BU66" s="542">
        <v>-8913</v>
      </c>
      <c r="BV66" s="542">
        <v>-891343</v>
      </c>
      <c r="BW66" s="542">
        <v>-700000</v>
      </c>
      <c r="BX66" s="542">
        <v>-560000</v>
      </c>
      <c r="BY66" s="542">
        <v>-126000</v>
      </c>
      <c r="BZ66" s="542">
        <v>-14000</v>
      </c>
      <c r="CA66" s="542">
        <v>-1400000</v>
      </c>
    </row>
    <row r="67" spans="1:79" ht="12.75" x14ac:dyDescent="0.2">
      <c r="A67" s="93">
        <v>61</v>
      </c>
      <c r="B67" s="145" t="s">
        <v>681</v>
      </c>
      <c r="C67" s="141" t="s">
        <v>866</v>
      </c>
      <c r="D67" s="142" t="s">
        <v>875</v>
      </c>
      <c r="E67" s="149" t="s">
        <v>680</v>
      </c>
      <c r="F67" s="543">
        <v>0.5</v>
      </c>
      <c r="G67" s="543">
        <v>0.4</v>
      </c>
      <c r="H67" s="543">
        <v>0.09</v>
      </c>
      <c r="I67" s="543">
        <v>0.01</v>
      </c>
      <c r="J67" s="543">
        <v>1</v>
      </c>
      <c r="K67" s="542">
        <v>8901286.5099999998</v>
      </c>
      <c r="L67" s="542">
        <v>7121029</v>
      </c>
      <c r="M67" s="542">
        <v>1602232</v>
      </c>
      <c r="N67" s="542">
        <v>178026</v>
      </c>
      <c r="O67" s="542">
        <v>17802573.5</v>
      </c>
      <c r="P67" s="542">
        <v>0</v>
      </c>
      <c r="Q67" s="542">
        <v>0</v>
      </c>
      <c r="R67" s="542">
        <v>8901286.5099999998</v>
      </c>
      <c r="S67" s="542">
        <v>75172</v>
      </c>
      <c r="T67" s="542">
        <v>75172</v>
      </c>
      <c r="U67" s="542">
        <v>0</v>
      </c>
      <c r="V67" s="542">
        <v>0</v>
      </c>
      <c r="W67" s="542">
        <v>146460</v>
      </c>
      <c r="X67" s="542">
        <v>0</v>
      </c>
      <c r="Y67" s="542">
        <v>146460</v>
      </c>
      <c r="Z67" s="542">
        <v>0</v>
      </c>
      <c r="AA67" s="542">
        <v>0</v>
      </c>
      <c r="AB67" s="542">
        <v>0</v>
      </c>
      <c r="AC67" s="542">
        <v>0</v>
      </c>
      <c r="AD67" s="542">
        <v>316975</v>
      </c>
      <c r="AE67" s="542">
        <v>253580</v>
      </c>
      <c r="AF67" s="542">
        <v>57055</v>
      </c>
      <c r="AG67" s="542">
        <v>6339</v>
      </c>
      <c r="AH67" s="542">
        <v>633949</v>
      </c>
      <c r="AI67" s="542">
        <v>-73908</v>
      </c>
      <c r="AJ67" s="542">
        <v>-59127</v>
      </c>
      <c r="AK67" s="542">
        <v>-13304</v>
      </c>
      <c r="AL67" s="542">
        <v>-1478</v>
      </c>
      <c r="AM67" s="542">
        <v>-147817</v>
      </c>
      <c r="AN67" s="542">
        <v>-169407</v>
      </c>
      <c r="AO67" s="542">
        <v>-135526</v>
      </c>
      <c r="AP67" s="542">
        <v>-30494</v>
      </c>
      <c r="AQ67" s="542">
        <v>-3388</v>
      </c>
      <c r="AR67" s="542">
        <v>-338815</v>
      </c>
      <c r="AS67" s="542">
        <v>144734</v>
      </c>
      <c r="AT67" s="542">
        <v>115788</v>
      </c>
      <c r="AU67" s="542">
        <v>26052</v>
      </c>
      <c r="AV67" s="542">
        <v>2895</v>
      </c>
      <c r="AW67" s="542">
        <v>289469</v>
      </c>
      <c r="AX67" s="542">
        <v>-125626.49</v>
      </c>
      <c r="AY67" s="542">
        <v>-100501</v>
      </c>
      <c r="AZ67" s="542">
        <v>-22613</v>
      </c>
      <c r="BA67" s="542">
        <v>-2513</v>
      </c>
      <c r="BB67" s="542">
        <v>-251253.49</v>
      </c>
      <c r="BC67" s="542">
        <v>-150299.49</v>
      </c>
      <c r="BD67" s="542">
        <v>-120239</v>
      </c>
      <c r="BE67" s="542">
        <v>-27055</v>
      </c>
      <c r="BF67" s="542">
        <v>-3006</v>
      </c>
      <c r="BG67" s="542">
        <v>-300599.49</v>
      </c>
      <c r="BH67" s="542">
        <v>-453526</v>
      </c>
      <c r="BI67" s="542">
        <v>-362821</v>
      </c>
      <c r="BJ67" s="542">
        <v>-81635</v>
      </c>
      <c r="BK67" s="542">
        <v>-9070</v>
      </c>
      <c r="BL67" s="542">
        <v>-907052</v>
      </c>
      <c r="BM67" s="542">
        <v>241338</v>
      </c>
      <c r="BN67" s="542">
        <v>193070</v>
      </c>
      <c r="BO67" s="542">
        <v>43441</v>
      </c>
      <c r="BP67" s="542">
        <v>4827</v>
      </c>
      <c r="BQ67" s="542">
        <v>482676</v>
      </c>
      <c r="BR67" s="542">
        <v>-387358</v>
      </c>
      <c r="BS67" s="542">
        <v>-309886</v>
      </c>
      <c r="BT67" s="542">
        <v>-69724</v>
      </c>
      <c r="BU67" s="542">
        <v>-7747</v>
      </c>
      <c r="BV67" s="542">
        <v>-774715</v>
      </c>
      <c r="BW67" s="542">
        <v>-599546</v>
      </c>
      <c r="BX67" s="542">
        <v>-479637</v>
      </c>
      <c r="BY67" s="542">
        <v>-107918</v>
      </c>
      <c r="BZ67" s="542">
        <v>-11990</v>
      </c>
      <c r="CA67" s="542">
        <v>-1199091</v>
      </c>
    </row>
    <row r="68" spans="1:79" ht="12.75" x14ac:dyDescent="0.2">
      <c r="A68" s="93">
        <v>62</v>
      </c>
      <c r="B68" s="145" t="s">
        <v>0</v>
      </c>
      <c r="C68" s="141" t="s">
        <v>877</v>
      </c>
      <c r="D68" s="142" t="s">
        <v>872</v>
      </c>
      <c r="E68" s="149" t="s">
        <v>682</v>
      </c>
      <c r="F68" s="543">
        <v>0.5</v>
      </c>
      <c r="G68" s="543">
        <v>0.3</v>
      </c>
      <c r="H68" s="543">
        <v>0.2</v>
      </c>
      <c r="I68" s="543">
        <v>0</v>
      </c>
      <c r="J68" s="543">
        <v>1</v>
      </c>
      <c r="K68" s="542">
        <v>379775012</v>
      </c>
      <c r="L68" s="542">
        <v>227865008</v>
      </c>
      <c r="M68" s="542">
        <v>151910005</v>
      </c>
      <c r="N68" s="542">
        <v>0</v>
      </c>
      <c r="O68" s="542">
        <v>759550025</v>
      </c>
      <c r="P68" s="542">
        <v>0</v>
      </c>
      <c r="Q68" s="542">
        <v>0</v>
      </c>
      <c r="R68" s="542">
        <v>379775012</v>
      </c>
      <c r="S68" s="542">
        <v>1680657</v>
      </c>
      <c r="T68" s="542">
        <v>1680657</v>
      </c>
      <c r="U68" s="542">
        <v>0</v>
      </c>
      <c r="V68" s="542">
        <v>0</v>
      </c>
      <c r="W68" s="542">
        <v>0</v>
      </c>
      <c r="X68" s="542">
        <v>0</v>
      </c>
      <c r="Y68" s="542">
        <v>0</v>
      </c>
      <c r="Z68" s="542">
        <v>0</v>
      </c>
      <c r="AA68" s="542">
        <v>0</v>
      </c>
      <c r="AB68" s="542">
        <v>0</v>
      </c>
      <c r="AC68" s="542">
        <v>0</v>
      </c>
      <c r="AD68" s="542">
        <v>10218791</v>
      </c>
      <c r="AE68" s="542">
        <v>6131274</v>
      </c>
      <c r="AF68" s="542">
        <v>4087516</v>
      </c>
      <c r="AG68" s="542">
        <v>0</v>
      </c>
      <c r="AH68" s="542">
        <v>20437581</v>
      </c>
      <c r="AI68" s="542">
        <v>-27640974</v>
      </c>
      <c r="AJ68" s="542">
        <v>-16584585</v>
      </c>
      <c r="AK68" s="542">
        <v>-11056390</v>
      </c>
      <c r="AL68" s="542">
        <v>0</v>
      </c>
      <c r="AM68" s="542">
        <v>-55281949</v>
      </c>
      <c r="AN68" s="542">
        <v>-5054742</v>
      </c>
      <c r="AO68" s="542">
        <v>-3032845</v>
      </c>
      <c r="AP68" s="542">
        <v>-2021896</v>
      </c>
      <c r="AQ68" s="542">
        <v>0</v>
      </c>
      <c r="AR68" s="542">
        <v>-10109483</v>
      </c>
      <c r="AS68" s="542">
        <v>451419</v>
      </c>
      <c r="AT68" s="542">
        <v>270851</v>
      </c>
      <c r="AU68" s="542">
        <v>180568</v>
      </c>
      <c r="AV68" s="542">
        <v>0</v>
      </c>
      <c r="AW68" s="542">
        <v>902838</v>
      </c>
      <c r="AX68" s="542">
        <v>-910304</v>
      </c>
      <c r="AY68" s="542">
        <v>-546183</v>
      </c>
      <c r="AZ68" s="542">
        <v>-364122</v>
      </c>
      <c r="BA68" s="542">
        <v>0</v>
      </c>
      <c r="BB68" s="542">
        <v>-1820609</v>
      </c>
      <c r="BC68" s="542">
        <v>-5513627</v>
      </c>
      <c r="BD68" s="542">
        <v>-3308177</v>
      </c>
      <c r="BE68" s="542">
        <v>-2205450</v>
      </c>
      <c r="BF68" s="542">
        <v>0</v>
      </c>
      <c r="BG68" s="542">
        <v>-11027254</v>
      </c>
      <c r="BH68" s="542">
        <v>-56852090</v>
      </c>
      <c r="BI68" s="542">
        <v>-34111253</v>
      </c>
      <c r="BJ68" s="542">
        <v>-22740835</v>
      </c>
      <c r="BK68" s="542">
        <v>0</v>
      </c>
      <c r="BL68" s="542">
        <v>-113704178</v>
      </c>
      <c r="BM68" s="542">
        <v>28871302</v>
      </c>
      <c r="BN68" s="542">
        <v>17322781</v>
      </c>
      <c r="BO68" s="542">
        <v>11548521</v>
      </c>
      <c r="BP68" s="542">
        <v>0</v>
      </c>
      <c r="BQ68" s="542">
        <v>57742604</v>
      </c>
      <c r="BR68" s="542">
        <v>-43375597</v>
      </c>
      <c r="BS68" s="542">
        <v>-26025359</v>
      </c>
      <c r="BT68" s="542">
        <v>-17350239</v>
      </c>
      <c r="BU68" s="542">
        <v>0</v>
      </c>
      <c r="BV68" s="542">
        <v>-86751195</v>
      </c>
      <c r="BW68" s="542">
        <v>-71356385</v>
      </c>
      <c r="BX68" s="542">
        <v>-42813831</v>
      </c>
      <c r="BY68" s="542">
        <v>-28542553</v>
      </c>
      <c r="BZ68" s="542">
        <v>0</v>
      </c>
      <c r="CA68" s="542">
        <v>-142712769</v>
      </c>
    </row>
    <row r="69" spans="1:79" ht="12.75" x14ac:dyDescent="0.2">
      <c r="A69" s="93">
        <v>63</v>
      </c>
      <c r="B69" s="145" t="s">
        <v>2</v>
      </c>
      <c r="C69" s="141" t="s">
        <v>866</v>
      </c>
      <c r="D69" s="142" t="s">
        <v>870</v>
      </c>
      <c r="E69" s="149" t="s">
        <v>1</v>
      </c>
      <c r="F69" s="543">
        <v>0.5</v>
      </c>
      <c r="G69" s="543">
        <v>0.4</v>
      </c>
      <c r="H69" s="543">
        <v>0.09</v>
      </c>
      <c r="I69" s="543">
        <v>0.01</v>
      </c>
      <c r="J69" s="543">
        <v>1</v>
      </c>
      <c r="K69" s="542">
        <v>28090555</v>
      </c>
      <c r="L69" s="542">
        <v>22472444</v>
      </c>
      <c r="M69" s="542">
        <v>5056300</v>
      </c>
      <c r="N69" s="542">
        <v>561811</v>
      </c>
      <c r="O69" s="542">
        <v>56181110</v>
      </c>
      <c r="P69" s="542">
        <v>0</v>
      </c>
      <c r="Q69" s="542">
        <v>0</v>
      </c>
      <c r="R69" s="542">
        <v>28090555</v>
      </c>
      <c r="S69" s="542">
        <v>237985</v>
      </c>
      <c r="T69" s="542">
        <v>237985</v>
      </c>
      <c r="U69" s="542">
        <v>0</v>
      </c>
      <c r="V69" s="542">
        <v>0</v>
      </c>
      <c r="W69" s="542">
        <v>0</v>
      </c>
      <c r="X69" s="542">
        <v>0</v>
      </c>
      <c r="Y69" s="542">
        <v>0</v>
      </c>
      <c r="Z69" s="542">
        <v>0</v>
      </c>
      <c r="AA69" s="542">
        <v>0</v>
      </c>
      <c r="AB69" s="542">
        <v>0</v>
      </c>
      <c r="AC69" s="542">
        <v>0</v>
      </c>
      <c r="AD69" s="542">
        <v>1674724</v>
      </c>
      <c r="AE69" s="542">
        <v>1339779</v>
      </c>
      <c r="AF69" s="542">
        <v>301450</v>
      </c>
      <c r="AG69" s="542">
        <v>33494</v>
      </c>
      <c r="AH69" s="542">
        <v>3349447</v>
      </c>
      <c r="AI69" s="542">
        <v>-378280</v>
      </c>
      <c r="AJ69" s="542">
        <v>-302624</v>
      </c>
      <c r="AK69" s="542">
        <v>-68090</v>
      </c>
      <c r="AL69" s="542">
        <v>-7566</v>
      </c>
      <c r="AM69" s="542">
        <v>-756560</v>
      </c>
      <c r="AN69" s="542">
        <v>-377282</v>
      </c>
      <c r="AO69" s="542">
        <v>-301825</v>
      </c>
      <c r="AP69" s="542">
        <v>-67910</v>
      </c>
      <c r="AQ69" s="542">
        <v>-7546</v>
      </c>
      <c r="AR69" s="542">
        <v>-754563</v>
      </c>
      <c r="AS69" s="542">
        <v>63843</v>
      </c>
      <c r="AT69" s="542">
        <v>51075</v>
      </c>
      <c r="AU69" s="542">
        <v>11492</v>
      </c>
      <c r="AV69" s="542">
        <v>1277</v>
      </c>
      <c r="AW69" s="542">
        <v>127687</v>
      </c>
      <c r="AX69" s="542">
        <v>-87500</v>
      </c>
      <c r="AY69" s="542">
        <v>-70000</v>
      </c>
      <c r="AZ69" s="542">
        <v>-15750</v>
      </c>
      <c r="BA69" s="542">
        <v>-1750</v>
      </c>
      <c r="BB69" s="542">
        <v>-175000</v>
      </c>
      <c r="BC69" s="542">
        <v>-400939</v>
      </c>
      <c r="BD69" s="542">
        <v>-320750</v>
      </c>
      <c r="BE69" s="542">
        <v>-72168</v>
      </c>
      <c r="BF69" s="542">
        <v>-8019</v>
      </c>
      <c r="BG69" s="542">
        <v>-801876</v>
      </c>
      <c r="BH69" s="542">
        <v>-835921</v>
      </c>
      <c r="BI69" s="542">
        <v>-668736</v>
      </c>
      <c r="BJ69" s="542">
        <v>-150466</v>
      </c>
      <c r="BK69" s="542">
        <v>-16718</v>
      </c>
      <c r="BL69" s="542">
        <v>-1671841</v>
      </c>
      <c r="BM69" s="542">
        <v>1344364</v>
      </c>
      <c r="BN69" s="542">
        <v>1075490</v>
      </c>
      <c r="BO69" s="542">
        <v>241985</v>
      </c>
      <c r="BP69" s="542">
        <v>26887</v>
      </c>
      <c r="BQ69" s="542">
        <v>2688726</v>
      </c>
      <c r="BR69" s="542">
        <v>-3340369</v>
      </c>
      <c r="BS69" s="542">
        <v>-2672296</v>
      </c>
      <c r="BT69" s="542">
        <v>-601267</v>
      </c>
      <c r="BU69" s="542">
        <v>-66807</v>
      </c>
      <c r="BV69" s="542">
        <v>-6680739</v>
      </c>
      <c r="BW69" s="542">
        <v>-2831926</v>
      </c>
      <c r="BX69" s="542">
        <v>-2265542</v>
      </c>
      <c r="BY69" s="542">
        <v>-509748</v>
      </c>
      <c r="BZ69" s="542">
        <v>-56638</v>
      </c>
      <c r="CA69" s="542">
        <v>-5663854</v>
      </c>
    </row>
    <row r="70" spans="1:79" ht="12.75" x14ac:dyDescent="0.2">
      <c r="A70" s="93">
        <v>64</v>
      </c>
      <c r="B70" s="145" t="s">
        <v>4</v>
      </c>
      <c r="C70" s="141" t="s">
        <v>866</v>
      </c>
      <c r="D70" s="142" t="s">
        <v>868</v>
      </c>
      <c r="E70" s="149" t="s">
        <v>3</v>
      </c>
      <c r="F70" s="543">
        <v>0.5</v>
      </c>
      <c r="G70" s="543">
        <v>0.4</v>
      </c>
      <c r="H70" s="543">
        <v>0.1</v>
      </c>
      <c r="I70" s="543">
        <v>0</v>
      </c>
      <c r="J70" s="543">
        <v>1</v>
      </c>
      <c r="K70" s="542">
        <v>15984448</v>
      </c>
      <c r="L70" s="542">
        <v>12787558</v>
      </c>
      <c r="M70" s="542">
        <v>3196890</v>
      </c>
      <c r="N70" s="542">
        <v>0</v>
      </c>
      <c r="O70" s="542">
        <v>31968896</v>
      </c>
      <c r="P70" s="542">
        <v>0</v>
      </c>
      <c r="Q70" s="542">
        <v>0</v>
      </c>
      <c r="R70" s="542">
        <v>15984448</v>
      </c>
      <c r="S70" s="542">
        <v>112133</v>
      </c>
      <c r="T70" s="542">
        <v>112133</v>
      </c>
      <c r="U70" s="542">
        <v>0</v>
      </c>
      <c r="V70" s="542">
        <v>0</v>
      </c>
      <c r="W70" s="542">
        <v>12545</v>
      </c>
      <c r="X70" s="542">
        <v>0</v>
      </c>
      <c r="Y70" s="542">
        <v>12545</v>
      </c>
      <c r="Z70" s="542">
        <v>0</v>
      </c>
      <c r="AA70" s="542">
        <v>0</v>
      </c>
      <c r="AB70" s="542">
        <v>0</v>
      </c>
      <c r="AC70" s="542">
        <v>0</v>
      </c>
      <c r="AD70" s="542">
        <v>410551</v>
      </c>
      <c r="AE70" s="542">
        <v>328440</v>
      </c>
      <c r="AF70" s="542">
        <v>82110</v>
      </c>
      <c r="AG70" s="542">
        <v>0</v>
      </c>
      <c r="AH70" s="542">
        <v>821101</v>
      </c>
      <c r="AI70" s="542">
        <v>-94721</v>
      </c>
      <c r="AJ70" s="542">
        <v>-75776</v>
      </c>
      <c r="AK70" s="542">
        <v>-18944</v>
      </c>
      <c r="AL70" s="542">
        <v>0</v>
      </c>
      <c r="AM70" s="542">
        <v>-189441</v>
      </c>
      <c r="AN70" s="542">
        <v>-144561</v>
      </c>
      <c r="AO70" s="542">
        <v>-115649</v>
      </c>
      <c r="AP70" s="542">
        <v>-28913</v>
      </c>
      <c r="AQ70" s="542">
        <v>0</v>
      </c>
      <c r="AR70" s="542">
        <v>-289123</v>
      </c>
      <c r="AS70" s="542">
        <v>96363</v>
      </c>
      <c r="AT70" s="542">
        <v>77090</v>
      </c>
      <c r="AU70" s="542">
        <v>19273</v>
      </c>
      <c r="AV70" s="542">
        <v>0</v>
      </c>
      <c r="AW70" s="542">
        <v>192726</v>
      </c>
      <c r="AX70" s="542">
        <v>-95555</v>
      </c>
      <c r="AY70" s="542">
        <v>-76444</v>
      </c>
      <c r="AZ70" s="542">
        <v>-19111</v>
      </c>
      <c r="BA70" s="542">
        <v>0</v>
      </c>
      <c r="BB70" s="542">
        <v>-191110</v>
      </c>
      <c r="BC70" s="542">
        <v>-143753</v>
      </c>
      <c r="BD70" s="542">
        <v>-115003</v>
      </c>
      <c r="BE70" s="542">
        <v>-28751</v>
      </c>
      <c r="BF70" s="542">
        <v>0</v>
      </c>
      <c r="BG70" s="542">
        <v>-287507</v>
      </c>
      <c r="BH70" s="542">
        <v>-11003840</v>
      </c>
      <c r="BI70" s="542">
        <v>-8803072</v>
      </c>
      <c r="BJ70" s="542">
        <v>-2200768</v>
      </c>
      <c r="BK70" s="542">
        <v>0</v>
      </c>
      <c r="BL70" s="542">
        <v>-22007680</v>
      </c>
      <c r="BM70" s="542">
        <v>139013</v>
      </c>
      <c r="BN70" s="542">
        <v>111211</v>
      </c>
      <c r="BO70" s="542">
        <v>27803</v>
      </c>
      <c r="BP70" s="542">
        <v>0</v>
      </c>
      <c r="BQ70" s="542">
        <v>278027</v>
      </c>
      <c r="BR70" s="542">
        <v>-5782863</v>
      </c>
      <c r="BS70" s="542">
        <v>-4626290</v>
      </c>
      <c r="BT70" s="542">
        <v>-1156573</v>
      </c>
      <c r="BU70" s="542">
        <v>0</v>
      </c>
      <c r="BV70" s="542">
        <v>-11565726</v>
      </c>
      <c r="BW70" s="542">
        <v>-16647690</v>
      </c>
      <c r="BX70" s="542">
        <v>-13318151</v>
      </c>
      <c r="BY70" s="542">
        <v>-3329538</v>
      </c>
      <c r="BZ70" s="542">
        <v>0</v>
      </c>
      <c r="CA70" s="542">
        <v>-33295379</v>
      </c>
    </row>
    <row r="71" spans="1:79" ht="12.75" x14ac:dyDescent="0.2">
      <c r="A71" s="93">
        <v>65</v>
      </c>
      <c r="B71" s="145" t="s">
        <v>6</v>
      </c>
      <c r="C71" s="141" t="s">
        <v>866</v>
      </c>
      <c r="D71" s="142" t="s">
        <v>869</v>
      </c>
      <c r="E71" s="149" t="s">
        <v>5</v>
      </c>
      <c r="F71" s="543">
        <v>0.5</v>
      </c>
      <c r="G71" s="543">
        <v>0.4</v>
      </c>
      <c r="H71" s="543">
        <v>0.1</v>
      </c>
      <c r="I71" s="543">
        <v>0</v>
      </c>
      <c r="J71" s="543">
        <v>1</v>
      </c>
      <c r="K71" s="542">
        <v>16052143</v>
      </c>
      <c r="L71" s="542">
        <v>12841715</v>
      </c>
      <c r="M71" s="542">
        <v>3210429</v>
      </c>
      <c r="N71" s="542">
        <v>0</v>
      </c>
      <c r="O71" s="542">
        <v>32104287</v>
      </c>
      <c r="P71" s="542">
        <v>0</v>
      </c>
      <c r="Q71" s="542">
        <v>0</v>
      </c>
      <c r="R71" s="542">
        <v>16052143</v>
      </c>
      <c r="S71" s="542">
        <v>88685</v>
      </c>
      <c r="T71" s="542">
        <v>88685</v>
      </c>
      <c r="U71" s="542">
        <v>0</v>
      </c>
      <c r="V71" s="542">
        <v>0</v>
      </c>
      <c r="W71" s="542">
        <v>0</v>
      </c>
      <c r="X71" s="542">
        <v>0</v>
      </c>
      <c r="Y71" s="542">
        <v>0</v>
      </c>
      <c r="Z71" s="542">
        <v>0</v>
      </c>
      <c r="AA71" s="542">
        <v>0</v>
      </c>
      <c r="AB71" s="542">
        <v>0</v>
      </c>
      <c r="AC71" s="542">
        <v>0</v>
      </c>
      <c r="AD71" s="542">
        <v>1420271</v>
      </c>
      <c r="AE71" s="542">
        <v>1136216</v>
      </c>
      <c r="AF71" s="542">
        <v>284054</v>
      </c>
      <c r="AG71" s="542">
        <v>0</v>
      </c>
      <c r="AH71" s="542">
        <v>2840541</v>
      </c>
      <c r="AI71" s="542">
        <v>-336158</v>
      </c>
      <c r="AJ71" s="542">
        <v>-268927</v>
      </c>
      <c r="AK71" s="542">
        <v>-67232</v>
      </c>
      <c r="AL71" s="542">
        <v>0</v>
      </c>
      <c r="AM71" s="542">
        <v>-672317</v>
      </c>
      <c r="AN71" s="542">
        <v>-513562.7</v>
      </c>
      <c r="AO71" s="542">
        <v>-410849</v>
      </c>
      <c r="AP71" s="542">
        <v>-102712</v>
      </c>
      <c r="AQ71" s="542">
        <v>0</v>
      </c>
      <c r="AR71" s="542">
        <v>-1027123.7</v>
      </c>
      <c r="AS71" s="542">
        <v>138492</v>
      </c>
      <c r="AT71" s="542">
        <v>110794</v>
      </c>
      <c r="AU71" s="542">
        <v>27699</v>
      </c>
      <c r="AV71" s="542">
        <v>0</v>
      </c>
      <c r="AW71" s="542">
        <v>276985</v>
      </c>
      <c r="AX71" s="542">
        <v>-198090</v>
      </c>
      <c r="AY71" s="542">
        <v>-158472</v>
      </c>
      <c r="AZ71" s="542">
        <v>-39618</v>
      </c>
      <c r="BA71" s="542">
        <v>0</v>
      </c>
      <c r="BB71" s="542">
        <v>-396180</v>
      </c>
      <c r="BC71" s="542">
        <v>-573160.69999999995</v>
      </c>
      <c r="BD71" s="542">
        <v>-458527</v>
      </c>
      <c r="BE71" s="542">
        <v>-114631</v>
      </c>
      <c r="BF71" s="542">
        <v>0</v>
      </c>
      <c r="BG71" s="542">
        <v>-1146318.7</v>
      </c>
      <c r="BH71" s="542">
        <v>-578949</v>
      </c>
      <c r="BI71" s="542">
        <v>-463160</v>
      </c>
      <c r="BJ71" s="542">
        <v>-115790</v>
      </c>
      <c r="BK71" s="542">
        <v>0</v>
      </c>
      <c r="BL71" s="542">
        <v>-1157899</v>
      </c>
      <c r="BM71" s="542">
        <v>197298</v>
      </c>
      <c r="BN71" s="542">
        <v>157838</v>
      </c>
      <c r="BO71" s="542">
        <v>39460</v>
      </c>
      <c r="BP71" s="542">
        <v>0</v>
      </c>
      <c r="BQ71" s="542">
        <v>394596</v>
      </c>
      <c r="BR71" s="542">
        <v>-547153</v>
      </c>
      <c r="BS71" s="542">
        <v>-437723</v>
      </c>
      <c r="BT71" s="542">
        <v>-109431</v>
      </c>
      <c r="BU71" s="542">
        <v>0</v>
      </c>
      <c r="BV71" s="542">
        <v>-1094307</v>
      </c>
      <c r="BW71" s="542">
        <v>-928804</v>
      </c>
      <c r="BX71" s="542">
        <v>-743045</v>
      </c>
      <c r="BY71" s="542">
        <v>-185761</v>
      </c>
      <c r="BZ71" s="542">
        <v>0</v>
      </c>
      <c r="CA71" s="542">
        <v>-1857610</v>
      </c>
    </row>
    <row r="72" spans="1:79" ht="12.75" x14ac:dyDescent="0.2">
      <c r="A72" s="93">
        <v>66</v>
      </c>
      <c r="B72" s="145" t="s">
        <v>8</v>
      </c>
      <c r="C72" s="141" t="s">
        <v>770</v>
      </c>
      <c r="D72" s="142" t="s">
        <v>875</v>
      </c>
      <c r="E72" s="149" t="s">
        <v>7</v>
      </c>
      <c r="F72" s="543">
        <v>0.5</v>
      </c>
      <c r="G72" s="543">
        <v>0.5</v>
      </c>
      <c r="H72" s="543">
        <v>0</v>
      </c>
      <c r="I72" s="543">
        <v>0</v>
      </c>
      <c r="J72" s="543">
        <v>1</v>
      </c>
      <c r="K72" s="542">
        <v>71585340</v>
      </c>
      <c r="L72" s="542">
        <v>71585340</v>
      </c>
      <c r="M72" s="542">
        <v>0</v>
      </c>
      <c r="N72" s="542">
        <v>0</v>
      </c>
      <c r="O72" s="542">
        <v>143170680</v>
      </c>
      <c r="P72" s="542">
        <v>118249.11199999999</v>
      </c>
      <c r="Q72" s="542">
        <v>118249.11199999999</v>
      </c>
      <c r="R72" s="542">
        <v>71467090.799999997</v>
      </c>
      <c r="S72" s="542">
        <v>1110285</v>
      </c>
      <c r="T72" s="542">
        <v>1110285</v>
      </c>
      <c r="U72" s="542">
        <v>0</v>
      </c>
      <c r="V72" s="542">
        <v>0</v>
      </c>
      <c r="W72" s="542">
        <v>519623</v>
      </c>
      <c r="X72" s="542">
        <v>0</v>
      </c>
      <c r="Y72" s="542">
        <v>519623</v>
      </c>
      <c r="Z72" s="542">
        <v>118249.11199999999</v>
      </c>
      <c r="AA72" s="542">
        <v>0</v>
      </c>
      <c r="AB72" s="542">
        <v>0</v>
      </c>
      <c r="AC72" s="542">
        <v>118249.11199999999</v>
      </c>
      <c r="AD72" s="542">
        <v>4171059</v>
      </c>
      <c r="AE72" s="542">
        <v>4171059</v>
      </c>
      <c r="AF72" s="542">
        <v>0</v>
      </c>
      <c r="AG72" s="542">
        <v>0</v>
      </c>
      <c r="AH72" s="542">
        <v>8342118</v>
      </c>
      <c r="AI72" s="542">
        <v>-2544373</v>
      </c>
      <c r="AJ72" s="542">
        <v>-2544374</v>
      </c>
      <c r="AK72" s="542">
        <v>0</v>
      </c>
      <c r="AL72" s="542">
        <v>0</v>
      </c>
      <c r="AM72" s="542">
        <v>-5088747</v>
      </c>
      <c r="AN72" s="542">
        <v>-2133973</v>
      </c>
      <c r="AO72" s="542">
        <v>-2133974</v>
      </c>
      <c r="AP72" s="542">
        <v>0</v>
      </c>
      <c r="AQ72" s="542">
        <v>0</v>
      </c>
      <c r="AR72" s="542">
        <v>-4267947</v>
      </c>
      <c r="AS72" s="542">
        <v>631621</v>
      </c>
      <c r="AT72" s="542">
        <v>631621</v>
      </c>
      <c r="AU72" s="542">
        <v>0</v>
      </c>
      <c r="AV72" s="542">
        <v>0</v>
      </c>
      <c r="AW72" s="542">
        <v>1263242</v>
      </c>
      <c r="AX72" s="542">
        <v>143652</v>
      </c>
      <c r="AY72" s="542">
        <v>143652</v>
      </c>
      <c r="AZ72" s="542">
        <v>0</v>
      </c>
      <c r="BA72" s="542">
        <v>0</v>
      </c>
      <c r="BB72" s="542">
        <v>287304</v>
      </c>
      <c r="BC72" s="542">
        <v>-1358700</v>
      </c>
      <c r="BD72" s="542">
        <v>-1358701</v>
      </c>
      <c r="BE72" s="542">
        <v>0</v>
      </c>
      <c r="BF72" s="542">
        <v>0</v>
      </c>
      <c r="BG72" s="542">
        <v>-2717401</v>
      </c>
      <c r="BH72" s="542">
        <v>-4169000</v>
      </c>
      <c r="BI72" s="542">
        <v>-4169000</v>
      </c>
      <c r="BJ72" s="542">
        <v>0</v>
      </c>
      <c r="BK72" s="542">
        <v>0</v>
      </c>
      <c r="BL72" s="542">
        <v>-8338000</v>
      </c>
      <c r="BM72" s="542">
        <v>0</v>
      </c>
      <c r="BN72" s="542">
        <v>0</v>
      </c>
      <c r="BO72" s="542">
        <v>0</v>
      </c>
      <c r="BP72" s="542">
        <v>0</v>
      </c>
      <c r="BQ72" s="542">
        <v>0</v>
      </c>
      <c r="BR72" s="542">
        <v>-3893000</v>
      </c>
      <c r="BS72" s="542">
        <v>-3893000</v>
      </c>
      <c r="BT72" s="542">
        <v>0</v>
      </c>
      <c r="BU72" s="542">
        <v>0</v>
      </c>
      <c r="BV72" s="542">
        <v>-7786000</v>
      </c>
      <c r="BW72" s="542">
        <v>-8062000</v>
      </c>
      <c r="BX72" s="542">
        <v>-8062000</v>
      </c>
      <c r="BY72" s="542">
        <v>0</v>
      </c>
      <c r="BZ72" s="542">
        <v>0</v>
      </c>
      <c r="CA72" s="542">
        <v>-16124000</v>
      </c>
    </row>
    <row r="73" spans="1:79" ht="12.75" x14ac:dyDescent="0.2">
      <c r="A73" s="93">
        <v>67</v>
      </c>
      <c r="B73" s="145" t="s">
        <v>10</v>
      </c>
      <c r="C73" s="141" t="s">
        <v>866</v>
      </c>
      <c r="D73" s="142" t="s">
        <v>875</v>
      </c>
      <c r="E73" s="149" t="s">
        <v>9</v>
      </c>
      <c r="F73" s="543">
        <v>0.5</v>
      </c>
      <c r="G73" s="543">
        <v>0.4</v>
      </c>
      <c r="H73" s="543">
        <v>0.1</v>
      </c>
      <c r="I73" s="543">
        <v>0</v>
      </c>
      <c r="J73" s="543">
        <v>1</v>
      </c>
      <c r="K73" s="542">
        <v>13698939</v>
      </c>
      <c r="L73" s="542">
        <v>10959151</v>
      </c>
      <c r="M73" s="542">
        <v>2739788</v>
      </c>
      <c r="N73" s="542">
        <v>0</v>
      </c>
      <c r="O73" s="542">
        <v>27397878</v>
      </c>
      <c r="P73" s="542">
        <v>0</v>
      </c>
      <c r="Q73" s="542">
        <v>0</v>
      </c>
      <c r="R73" s="542">
        <v>13698939</v>
      </c>
      <c r="S73" s="542">
        <v>180018</v>
      </c>
      <c r="T73" s="542">
        <v>180018</v>
      </c>
      <c r="U73" s="542">
        <v>0</v>
      </c>
      <c r="V73" s="542">
        <v>0</v>
      </c>
      <c r="W73" s="542">
        <v>67176</v>
      </c>
      <c r="X73" s="542">
        <v>0</v>
      </c>
      <c r="Y73" s="542">
        <v>67176</v>
      </c>
      <c r="Z73" s="542">
        <v>0</v>
      </c>
      <c r="AA73" s="542">
        <v>0</v>
      </c>
      <c r="AB73" s="542">
        <v>0</v>
      </c>
      <c r="AC73" s="542">
        <v>0</v>
      </c>
      <c r="AD73" s="542">
        <v>504612</v>
      </c>
      <c r="AE73" s="542">
        <v>403690</v>
      </c>
      <c r="AF73" s="542">
        <v>100923</v>
      </c>
      <c r="AG73" s="542">
        <v>0</v>
      </c>
      <c r="AH73" s="542">
        <v>1009225</v>
      </c>
      <c r="AI73" s="542">
        <v>-141477</v>
      </c>
      <c r="AJ73" s="542">
        <v>-113182</v>
      </c>
      <c r="AK73" s="542">
        <v>-28295</v>
      </c>
      <c r="AL73" s="542">
        <v>0</v>
      </c>
      <c r="AM73" s="542">
        <v>-282954</v>
      </c>
      <c r="AN73" s="542">
        <v>-23972</v>
      </c>
      <c r="AO73" s="542">
        <v>-19177</v>
      </c>
      <c r="AP73" s="542">
        <v>-4794</v>
      </c>
      <c r="AQ73" s="542">
        <v>0</v>
      </c>
      <c r="AR73" s="542">
        <v>-47943</v>
      </c>
      <c r="AS73" s="542">
        <v>72020</v>
      </c>
      <c r="AT73" s="542">
        <v>57616</v>
      </c>
      <c r="AU73" s="542">
        <v>14404</v>
      </c>
      <c r="AV73" s="542">
        <v>0</v>
      </c>
      <c r="AW73" s="542">
        <v>144040</v>
      </c>
      <c r="AX73" s="542">
        <v>-233239</v>
      </c>
      <c r="AY73" s="542">
        <v>-186591</v>
      </c>
      <c r="AZ73" s="542">
        <v>-46648</v>
      </c>
      <c r="BA73" s="542">
        <v>0</v>
      </c>
      <c r="BB73" s="542">
        <v>-466478</v>
      </c>
      <c r="BC73" s="542">
        <v>-185191</v>
      </c>
      <c r="BD73" s="542">
        <v>-148152</v>
      </c>
      <c r="BE73" s="542">
        <v>-37038</v>
      </c>
      <c r="BF73" s="542">
        <v>0</v>
      </c>
      <c r="BG73" s="542">
        <v>-370381</v>
      </c>
      <c r="BH73" s="542">
        <v>-583845</v>
      </c>
      <c r="BI73" s="542">
        <v>-467077</v>
      </c>
      <c r="BJ73" s="542">
        <v>-116770</v>
      </c>
      <c r="BK73" s="542">
        <v>0</v>
      </c>
      <c r="BL73" s="542">
        <v>-1167692</v>
      </c>
      <c r="BM73" s="542">
        <v>181214</v>
      </c>
      <c r="BN73" s="542">
        <v>144971</v>
      </c>
      <c r="BO73" s="542">
        <v>36243</v>
      </c>
      <c r="BP73" s="542">
        <v>0</v>
      </c>
      <c r="BQ73" s="542">
        <v>362428</v>
      </c>
      <c r="BR73" s="542">
        <v>-636243</v>
      </c>
      <c r="BS73" s="542">
        <v>-508995</v>
      </c>
      <c r="BT73" s="542">
        <v>-127249</v>
      </c>
      <c r="BU73" s="542">
        <v>0</v>
      </c>
      <c r="BV73" s="542">
        <v>-1272487</v>
      </c>
      <c r="BW73" s="542">
        <v>-1038874</v>
      </c>
      <c r="BX73" s="542">
        <v>-831101</v>
      </c>
      <c r="BY73" s="542">
        <v>-207776</v>
      </c>
      <c r="BZ73" s="542">
        <v>0</v>
      </c>
      <c r="CA73" s="542">
        <v>-2077751</v>
      </c>
    </row>
    <row r="74" spans="1:79" ht="12.75" x14ac:dyDescent="0.2">
      <c r="A74" s="93">
        <v>68</v>
      </c>
      <c r="B74" s="145" t="s">
        <v>12</v>
      </c>
      <c r="C74" s="141" t="s">
        <v>873</v>
      </c>
      <c r="D74" s="142" t="s">
        <v>876</v>
      </c>
      <c r="E74" s="149" t="s">
        <v>11</v>
      </c>
      <c r="F74" s="543">
        <v>0.5</v>
      </c>
      <c r="G74" s="543">
        <v>0.49</v>
      </c>
      <c r="H74" s="543">
        <v>0</v>
      </c>
      <c r="I74" s="543">
        <v>0.01</v>
      </c>
      <c r="J74" s="543">
        <v>1</v>
      </c>
      <c r="K74" s="542">
        <v>59729703</v>
      </c>
      <c r="L74" s="542">
        <v>58535109</v>
      </c>
      <c r="M74" s="542">
        <v>0</v>
      </c>
      <c r="N74" s="542">
        <v>1194594</v>
      </c>
      <c r="O74" s="542">
        <v>119459406</v>
      </c>
      <c r="P74" s="542">
        <v>0</v>
      </c>
      <c r="Q74" s="542">
        <v>0</v>
      </c>
      <c r="R74" s="542">
        <v>59729703</v>
      </c>
      <c r="S74" s="542">
        <v>379506</v>
      </c>
      <c r="T74" s="542">
        <v>379506</v>
      </c>
      <c r="U74" s="542">
        <v>0</v>
      </c>
      <c r="V74" s="542">
        <v>0</v>
      </c>
      <c r="W74" s="542">
        <v>0</v>
      </c>
      <c r="X74" s="542">
        <v>0</v>
      </c>
      <c r="Y74" s="542">
        <v>0</v>
      </c>
      <c r="Z74" s="542">
        <v>0</v>
      </c>
      <c r="AA74" s="542">
        <v>0</v>
      </c>
      <c r="AB74" s="542">
        <v>0</v>
      </c>
      <c r="AC74" s="542">
        <v>0</v>
      </c>
      <c r="AD74" s="542">
        <v>4110999</v>
      </c>
      <c r="AE74" s="542">
        <v>4028779</v>
      </c>
      <c r="AF74" s="542">
        <v>0</v>
      </c>
      <c r="AG74" s="542">
        <v>82220</v>
      </c>
      <c r="AH74" s="542">
        <v>8221998</v>
      </c>
      <c r="AI74" s="542">
        <v>-905391</v>
      </c>
      <c r="AJ74" s="542">
        <v>-887283</v>
      </c>
      <c r="AK74" s="542">
        <v>0</v>
      </c>
      <c r="AL74" s="542">
        <v>-18108</v>
      </c>
      <c r="AM74" s="542">
        <v>-1810782</v>
      </c>
      <c r="AN74" s="542">
        <v>-1610934</v>
      </c>
      <c r="AO74" s="542">
        <v>-1578714</v>
      </c>
      <c r="AP74" s="542">
        <v>0</v>
      </c>
      <c r="AQ74" s="542">
        <v>-32218</v>
      </c>
      <c r="AR74" s="542">
        <v>-3221866</v>
      </c>
      <c r="AS74" s="542">
        <v>238563</v>
      </c>
      <c r="AT74" s="542">
        <v>233792</v>
      </c>
      <c r="AU74" s="542">
        <v>0</v>
      </c>
      <c r="AV74" s="542">
        <v>4771</v>
      </c>
      <c r="AW74" s="542">
        <v>477126</v>
      </c>
      <c r="AX74" s="542">
        <v>-240938</v>
      </c>
      <c r="AY74" s="542">
        <v>-236120</v>
      </c>
      <c r="AZ74" s="542">
        <v>0</v>
      </c>
      <c r="BA74" s="542">
        <v>-4819</v>
      </c>
      <c r="BB74" s="542">
        <v>-481877</v>
      </c>
      <c r="BC74" s="542">
        <v>-1613309</v>
      </c>
      <c r="BD74" s="542">
        <v>-1581042</v>
      </c>
      <c r="BE74" s="542">
        <v>0</v>
      </c>
      <c r="BF74" s="542">
        <v>-32266</v>
      </c>
      <c r="BG74" s="542">
        <v>-3226617</v>
      </c>
      <c r="BH74" s="542">
        <v>-5094150</v>
      </c>
      <c r="BI74" s="542">
        <v>-4992268</v>
      </c>
      <c r="BJ74" s="542">
        <v>0</v>
      </c>
      <c r="BK74" s="542">
        <v>-101883</v>
      </c>
      <c r="BL74" s="542">
        <v>-10188301</v>
      </c>
      <c r="BM74" s="542">
        <v>964239</v>
      </c>
      <c r="BN74" s="542">
        <v>944955</v>
      </c>
      <c r="BO74" s="542">
        <v>0</v>
      </c>
      <c r="BP74" s="542">
        <v>19285</v>
      </c>
      <c r="BQ74" s="542">
        <v>1928479</v>
      </c>
      <c r="BR74" s="542">
        <v>154490</v>
      </c>
      <c r="BS74" s="542">
        <v>151400</v>
      </c>
      <c r="BT74" s="542">
        <v>0</v>
      </c>
      <c r="BU74" s="542">
        <v>3090</v>
      </c>
      <c r="BV74" s="542">
        <v>308980</v>
      </c>
      <c r="BW74" s="542">
        <v>-3975421</v>
      </c>
      <c r="BX74" s="542">
        <v>-3895913</v>
      </c>
      <c r="BY74" s="542">
        <v>0</v>
      </c>
      <c r="BZ74" s="542">
        <v>-79508</v>
      </c>
      <c r="CA74" s="542">
        <v>-7950842</v>
      </c>
    </row>
    <row r="75" spans="1:79" ht="12.75" x14ac:dyDescent="0.2">
      <c r="A75" s="93">
        <v>69</v>
      </c>
      <c r="B75" s="145" t="s">
        <v>14</v>
      </c>
      <c r="C75" s="141" t="s">
        <v>866</v>
      </c>
      <c r="D75" s="142" t="s">
        <v>874</v>
      </c>
      <c r="E75" s="149" t="s">
        <v>13</v>
      </c>
      <c r="F75" s="543">
        <v>0.5</v>
      </c>
      <c r="G75" s="543">
        <v>0.4</v>
      </c>
      <c r="H75" s="543">
        <v>0.09</v>
      </c>
      <c r="I75" s="543">
        <v>0.01</v>
      </c>
      <c r="J75" s="543">
        <v>1</v>
      </c>
      <c r="K75" s="542">
        <v>8663884</v>
      </c>
      <c r="L75" s="542">
        <v>6931107</v>
      </c>
      <c r="M75" s="542">
        <v>1559499</v>
      </c>
      <c r="N75" s="542">
        <v>173278</v>
      </c>
      <c r="O75" s="542">
        <v>17327768</v>
      </c>
      <c r="P75" s="542">
        <v>0</v>
      </c>
      <c r="Q75" s="542">
        <v>0</v>
      </c>
      <c r="R75" s="542">
        <v>8663884</v>
      </c>
      <c r="S75" s="542">
        <v>119174</v>
      </c>
      <c r="T75" s="542">
        <v>119174</v>
      </c>
      <c r="U75" s="542">
        <v>0</v>
      </c>
      <c r="V75" s="542">
        <v>0</v>
      </c>
      <c r="W75" s="542">
        <v>0</v>
      </c>
      <c r="X75" s="542">
        <v>0</v>
      </c>
      <c r="Y75" s="542">
        <v>0</v>
      </c>
      <c r="Z75" s="542">
        <v>0</v>
      </c>
      <c r="AA75" s="542">
        <v>0</v>
      </c>
      <c r="AB75" s="542">
        <v>0</v>
      </c>
      <c r="AC75" s="542">
        <v>0</v>
      </c>
      <c r="AD75" s="542">
        <v>236726</v>
      </c>
      <c r="AE75" s="542">
        <v>189382</v>
      </c>
      <c r="AF75" s="542">
        <v>42611</v>
      </c>
      <c r="AG75" s="542">
        <v>4735</v>
      </c>
      <c r="AH75" s="542">
        <v>473454</v>
      </c>
      <c r="AI75" s="542">
        <v>-56609</v>
      </c>
      <c r="AJ75" s="542">
        <v>-45287</v>
      </c>
      <c r="AK75" s="542">
        <v>-10190</v>
      </c>
      <c r="AL75" s="542">
        <v>-1132</v>
      </c>
      <c r="AM75" s="542">
        <v>-113218</v>
      </c>
      <c r="AN75" s="542">
        <v>-104098</v>
      </c>
      <c r="AO75" s="542">
        <v>-83280</v>
      </c>
      <c r="AP75" s="542">
        <v>-18739</v>
      </c>
      <c r="AQ75" s="542">
        <v>-2083</v>
      </c>
      <c r="AR75" s="542">
        <v>-208200</v>
      </c>
      <c r="AS75" s="542">
        <v>49026</v>
      </c>
      <c r="AT75" s="542">
        <v>39221</v>
      </c>
      <c r="AU75" s="542">
        <v>8825</v>
      </c>
      <c r="AV75" s="542">
        <v>981</v>
      </c>
      <c r="AW75" s="542">
        <v>98053</v>
      </c>
      <c r="AX75" s="542">
        <v>-53102</v>
      </c>
      <c r="AY75" s="542">
        <v>-42481</v>
      </c>
      <c r="AZ75" s="542">
        <v>-9558</v>
      </c>
      <c r="BA75" s="542">
        <v>-1062</v>
      </c>
      <c r="BB75" s="542">
        <v>-106203</v>
      </c>
      <c r="BC75" s="542">
        <v>-108174</v>
      </c>
      <c r="BD75" s="542">
        <v>-86540</v>
      </c>
      <c r="BE75" s="542">
        <v>-19472</v>
      </c>
      <c r="BF75" s="542">
        <v>-2164</v>
      </c>
      <c r="BG75" s="542">
        <v>-216350</v>
      </c>
      <c r="BH75" s="542">
        <v>-599500</v>
      </c>
      <c r="BI75" s="542">
        <v>-479600</v>
      </c>
      <c r="BJ75" s="542">
        <v>-107910</v>
      </c>
      <c r="BK75" s="542">
        <v>-11990</v>
      </c>
      <c r="BL75" s="542">
        <v>-1199000</v>
      </c>
      <c r="BM75" s="542">
        <v>888714</v>
      </c>
      <c r="BN75" s="542">
        <v>710971</v>
      </c>
      <c r="BO75" s="542">
        <v>159969</v>
      </c>
      <c r="BP75" s="542">
        <v>17774</v>
      </c>
      <c r="BQ75" s="542">
        <v>1777428</v>
      </c>
      <c r="BR75" s="542">
        <v>-750000</v>
      </c>
      <c r="BS75" s="542">
        <v>-600000</v>
      </c>
      <c r="BT75" s="542">
        <v>-135000</v>
      </c>
      <c r="BU75" s="542">
        <v>-15000</v>
      </c>
      <c r="BV75" s="542">
        <v>-1500000</v>
      </c>
      <c r="BW75" s="542">
        <v>-460786</v>
      </c>
      <c r="BX75" s="542">
        <v>-368629</v>
      </c>
      <c r="BY75" s="542">
        <v>-82941</v>
      </c>
      <c r="BZ75" s="542">
        <v>-9216</v>
      </c>
      <c r="CA75" s="542">
        <v>-921572</v>
      </c>
    </row>
    <row r="76" spans="1:79" ht="12.75" x14ac:dyDescent="0.2">
      <c r="A76" s="93">
        <v>70</v>
      </c>
      <c r="B76" s="145" t="s">
        <v>16</v>
      </c>
      <c r="C76" s="141" t="s">
        <v>866</v>
      </c>
      <c r="D76" s="142" t="s">
        <v>867</v>
      </c>
      <c r="E76" s="149" t="s">
        <v>15</v>
      </c>
      <c r="F76" s="543">
        <v>0.5</v>
      </c>
      <c r="G76" s="543">
        <v>0.4</v>
      </c>
      <c r="H76" s="543">
        <v>0.1</v>
      </c>
      <c r="I76" s="543">
        <v>0</v>
      </c>
      <c r="J76" s="543">
        <v>1</v>
      </c>
      <c r="K76" s="542">
        <v>55622536</v>
      </c>
      <c r="L76" s="542">
        <v>44498028</v>
      </c>
      <c r="M76" s="542">
        <v>11124507</v>
      </c>
      <c r="N76" s="542">
        <v>0</v>
      </c>
      <c r="O76" s="542">
        <v>111245071</v>
      </c>
      <c r="P76" s="542">
        <v>0</v>
      </c>
      <c r="Q76" s="542">
        <v>0</v>
      </c>
      <c r="R76" s="542">
        <v>55622536</v>
      </c>
      <c r="S76" s="542">
        <v>216300</v>
      </c>
      <c r="T76" s="542">
        <v>216300</v>
      </c>
      <c r="U76" s="542">
        <v>0</v>
      </c>
      <c r="V76" s="542">
        <v>0</v>
      </c>
      <c r="W76" s="542">
        <v>0</v>
      </c>
      <c r="X76" s="542">
        <v>0</v>
      </c>
      <c r="Y76" s="542">
        <v>0</v>
      </c>
      <c r="Z76" s="542">
        <v>0</v>
      </c>
      <c r="AA76" s="542">
        <v>0</v>
      </c>
      <c r="AB76" s="542">
        <v>0</v>
      </c>
      <c r="AC76" s="542">
        <v>0</v>
      </c>
      <c r="AD76" s="542">
        <v>692802</v>
      </c>
      <c r="AE76" s="542">
        <v>554242</v>
      </c>
      <c r="AF76" s="542">
        <v>138561</v>
      </c>
      <c r="AG76" s="542">
        <v>0</v>
      </c>
      <c r="AH76" s="542">
        <v>1385605</v>
      </c>
      <c r="AI76" s="542">
        <v>-1302237</v>
      </c>
      <c r="AJ76" s="542">
        <v>-1041789</v>
      </c>
      <c r="AK76" s="542">
        <v>-260447</v>
      </c>
      <c r="AL76" s="542">
        <v>0</v>
      </c>
      <c r="AM76" s="542">
        <v>-2604473</v>
      </c>
      <c r="AN76" s="542">
        <v>-434303</v>
      </c>
      <c r="AO76" s="542">
        <v>-347443</v>
      </c>
      <c r="AP76" s="542">
        <v>-86861</v>
      </c>
      <c r="AQ76" s="542">
        <v>0</v>
      </c>
      <c r="AR76" s="542">
        <v>-868607</v>
      </c>
      <c r="AS76" s="542">
        <v>434303</v>
      </c>
      <c r="AT76" s="542">
        <v>347443</v>
      </c>
      <c r="AU76" s="542">
        <v>86861</v>
      </c>
      <c r="AV76" s="542">
        <v>0</v>
      </c>
      <c r="AW76" s="542">
        <v>868607</v>
      </c>
      <c r="AX76" s="542">
        <v>-358142</v>
      </c>
      <c r="AY76" s="542">
        <v>-286513</v>
      </c>
      <c r="AZ76" s="542">
        <v>-71628</v>
      </c>
      <c r="BA76" s="542">
        <v>0</v>
      </c>
      <c r="BB76" s="542">
        <v>-716283</v>
      </c>
      <c r="BC76" s="542">
        <v>-358142</v>
      </c>
      <c r="BD76" s="542">
        <v>-286513</v>
      </c>
      <c r="BE76" s="542">
        <v>-71628</v>
      </c>
      <c r="BF76" s="542">
        <v>0</v>
      </c>
      <c r="BG76" s="542">
        <v>-716283</v>
      </c>
      <c r="BH76" s="542">
        <v>-2783689</v>
      </c>
      <c r="BI76" s="542">
        <v>-2226950</v>
      </c>
      <c r="BJ76" s="542">
        <v>-556738</v>
      </c>
      <c r="BK76" s="542">
        <v>0</v>
      </c>
      <c r="BL76" s="542">
        <v>-5567377</v>
      </c>
      <c r="BM76" s="542">
        <v>1165773</v>
      </c>
      <c r="BN76" s="542">
        <v>932619</v>
      </c>
      <c r="BO76" s="542">
        <v>233155</v>
      </c>
      <c r="BP76" s="542">
        <v>0</v>
      </c>
      <c r="BQ76" s="542">
        <v>2331547</v>
      </c>
      <c r="BR76" s="542">
        <v>-1747597</v>
      </c>
      <c r="BS76" s="542">
        <v>-1398077</v>
      </c>
      <c r="BT76" s="542">
        <v>-349519</v>
      </c>
      <c r="BU76" s="542">
        <v>0</v>
      </c>
      <c r="BV76" s="542">
        <v>-3495193</v>
      </c>
      <c r="BW76" s="542">
        <v>-3365513</v>
      </c>
      <c r="BX76" s="542">
        <v>-2692408</v>
      </c>
      <c r="BY76" s="542">
        <v>-673102</v>
      </c>
      <c r="BZ76" s="542">
        <v>0</v>
      </c>
      <c r="CA76" s="542">
        <v>-6731023</v>
      </c>
    </row>
    <row r="77" spans="1:79" ht="12.75" x14ac:dyDescent="0.2">
      <c r="A77" s="93">
        <v>71</v>
      </c>
      <c r="B77" s="145" t="s">
        <v>18</v>
      </c>
      <c r="C77" s="141" t="s">
        <v>871</v>
      </c>
      <c r="D77" s="142" t="s">
        <v>872</v>
      </c>
      <c r="E77" s="149" t="s">
        <v>17</v>
      </c>
      <c r="F77" s="543">
        <v>0.5</v>
      </c>
      <c r="G77" s="543">
        <v>0.3</v>
      </c>
      <c r="H77" s="543">
        <v>0.2</v>
      </c>
      <c r="I77" s="543">
        <v>0</v>
      </c>
      <c r="J77" s="543">
        <v>1</v>
      </c>
      <c r="K77" s="542">
        <v>52953752</v>
      </c>
      <c r="L77" s="542">
        <v>31772252</v>
      </c>
      <c r="M77" s="542">
        <v>21181501</v>
      </c>
      <c r="N77" s="542">
        <v>0</v>
      </c>
      <c r="O77" s="542">
        <v>105907505</v>
      </c>
      <c r="P77" s="542">
        <v>8764.06</v>
      </c>
      <c r="Q77" s="542">
        <v>8764.06</v>
      </c>
      <c r="R77" s="542">
        <v>52944987.899999999</v>
      </c>
      <c r="S77" s="542">
        <v>437992</v>
      </c>
      <c r="T77" s="542">
        <v>437992</v>
      </c>
      <c r="U77" s="542">
        <v>0</v>
      </c>
      <c r="V77" s="542">
        <v>0</v>
      </c>
      <c r="W77" s="542">
        <v>0</v>
      </c>
      <c r="X77" s="542">
        <v>0</v>
      </c>
      <c r="Y77" s="542">
        <v>0</v>
      </c>
      <c r="Z77" s="542">
        <v>5258.44</v>
      </c>
      <c r="AA77" s="542">
        <v>3505.62</v>
      </c>
      <c r="AB77" s="542">
        <v>0</v>
      </c>
      <c r="AC77" s="542">
        <v>8764.06</v>
      </c>
      <c r="AD77" s="542">
        <v>5548880</v>
      </c>
      <c r="AE77" s="542">
        <v>3329328</v>
      </c>
      <c r="AF77" s="542">
        <v>2219552</v>
      </c>
      <c r="AG77" s="542">
        <v>0</v>
      </c>
      <c r="AH77" s="542">
        <v>11097760</v>
      </c>
      <c r="AI77" s="542">
        <v>-1759645</v>
      </c>
      <c r="AJ77" s="542">
        <v>-1055787</v>
      </c>
      <c r="AK77" s="542">
        <v>-703858</v>
      </c>
      <c r="AL77" s="542">
        <v>0</v>
      </c>
      <c r="AM77" s="542">
        <v>-3519290</v>
      </c>
      <c r="AN77" s="542">
        <v>-5022767</v>
      </c>
      <c r="AO77" s="542">
        <v>-3013661</v>
      </c>
      <c r="AP77" s="542">
        <v>-2009107</v>
      </c>
      <c r="AQ77" s="542">
        <v>0</v>
      </c>
      <c r="AR77" s="542">
        <v>-10045535</v>
      </c>
      <c r="AS77" s="542">
        <v>2249689</v>
      </c>
      <c r="AT77" s="542">
        <v>1349813</v>
      </c>
      <c r="AU77" s="542">
        <v>899875</v>
      </c>
      <c r="AV77" s="542">
        <v>0</v>
      </c>
      <c r="AW77" s="542">
        <v>4499377</v>
      </c>
      <c r="AX77" s="542">
        <v>-2543129</v>
      </c>
      <c r="AY77" s="542">
        <v>-1525877</v>
      </c>
      <c r="AZ77" s="542">
        <v>-1017251</v>
      </c>
      <c r="BA77" s="542">
        <v>0</v>
      </c>
      <c r="BB77" s="542">
        <v>-5086257</v>
      </c>
      <c r="BC77" s="542">
        <v>-5316207</v>
      </c>
      <c r="BD77" s="542">
        <v>-3189725</v>
      </c>
      <c r="BE77" s="542">
        <v>-2126483</v>
      </c>
      <c r="BF77" s="542">
        <v>0</v>
      </c>
      <c r="BG77" s="542">
        <v>-10632415</v>
      </c>
      <c r="BH77" s="542">
        <v>-2898000</v>
      </c>
      <c r="BI77" s="542">
        <v>-1738800</v>
      </c>
      <c r="BJ77" s="542">
        <v>-1159200</v>
      </c>
      <c r="BK77" s="542">
        <v>0</v>
      </c>
      <c r="BL77" s="542">
        <v>-5796000</v>
      </c>
      <c r="BM77" s="542">
        <v>3449785</v>
      </c>
      <c r="BN77" s="542">
        <v>2069871</v>
      </c>
      <c r="BO77" s="542">
        <v>1379914</v>
      </c>
      <c r="BP77" s="542">
        <v>0</v>
      </c>
      <c r="BQ77" s="542">
        <v>6899570</v>
      </c>
      <c r="BR77" s="542">
        <v>-3951785</v>
      </c>
      <c r="BS77" s="542">
        <v>-2371071</v>
      </c>
      <c r="BT77" s="542">
        <v>-1580714</v>
      </c>
      <c r="BU77" s="542">
        <v>0</v>
      </c>
      <c r="BV77" s="542">
        <v>-7903570</v>
      </c>
      <c r="BW77" s="542">
        <v>-3400000</v>
      </c>
      <c r="BX77" s="542">
        <v>-2040000</v>
      </c>
      <c r="BY77" s="542">
        <v>-1360000</v>
      </c>
      <c r="BZ77" s="542">
        <v>0</v>
      </c>
      <c r="CA77" s="542">
        <v>-6800000</v>
      </c>
    </row>
    <row r="78" spans="1:79" ht="12.75" x14ac:dyDescent="0.2">
      <c r="A78" s="93">
        <v>72</v>
      </c>
      <c r="B78" s="145" t="s">
        <v>20</v>
      </c>
      <c r="C78" s="141" t="s">
        <v>866</v>
      </c>
      <c r="D78" s="142" t="s">
        <v>870</v>
      </c>
      <c r="E78" s="149" t="s">
        <v>19</v>
      </c>
      <c r="F78" s="543">
        <v>0.5</v>
      </c>
      <c r="G78" s="543">
        <v>0.4</v>
      </c>
      <c r="H78" s="543">
        <v>0.1</v>
      </c>
      <c r="I78" s="543">
        <v>0</v>
      </c>
      <c r="J78" s="543">
        <v>1</v>
      </c>
      <c r="K78" s="542">
        <v>27190936</v>
      </c>
      <c r="L78" s="542">
        <v>21752749</v>
      </c>
      <c r="M78" s="542">
        <v>5438187</v>
      </c>
      <c r="N78" s="542">
        <v>0</v>
      </c>
      <c r="O78" s="542">
        <v>54381872</v>
      </c>
      <c r="P78" s="542">
        <v>0</v>
      </c>
      <c r="Q78" s="542">
        <v>0</v>
      </c>
      <c r="R78" s="542">
        <v>27190936</v>
      </c>
      <c r="S78" s="542">
        <v>219911</v>
      </c>
      <c r="T78" s="542">
        <v>219911</v>
      </c>
      <c r="U78" s="542">
        <v>0</v>
      </c>
      <c r="V78" s="542">
        <v>0</v>
      </c>
      <c r="W78" s="542">
        <v>0</v>
      </c>
      <c r="X78" s="542">
        <v>0</v>
      </c>
      <c r="Y78" s="542">
        <v>0</v>
      </c>
      <c r="Z78" s="542">
        <v>0</v>
      </c>
      <c r="AA78" s="542">
        <v>0</v>
      </c>
      <c r="AB78" s="542">
        <v>0</v>
      </c>
      <c r="AC78" s="542">
        <v>0</v>
      </c>
      <c r="AD78" s="542">
        <v>1727677</v>
      </c>
      <c r="AE78" s="542">
        <v>1382142</v>
      </c>
      <c r="AF78" s="542">
        <v>345536</v>
      </c>
      <c r="AG78" s="542">
        <v>0</v>
      </c>
      <c r="AH78" s="542">
        <v>3455355</v>
      </c>
      <c r="AI78" s="542">
        <v>-748130</v>
      </c>
      <c r="AJ78" s="542">
        <v>-598504</v>
      </c>
      <c r="AK78" s="542">
        <v>-149626</v>
      </c>
      <c r="AL78" s="542">
        <v>0</v>
      </c>
      <c r="AM78" s="542">
        <v>-1496260</v>
      </c>
      <c r="AN78" s="542">
        <v>-318281</v>
      </c>
      <c r="AO78" s="542">
        <v>-254625</v>
      </c>
      <c r="AP78" s="542">
        <v>-63656</v>
      </c>
      <c r="AQ78" s="542">
        <v>0</v>
      </c>
      <c r="AR78" s="542">
        <v>-636562</v>
      </c>
      <c r="AS78" s="542">
        <v>85877</v>
      </c>
      <c r="AT78" s="542">
        <v>68701</v>
      </c>
      <c r="AU78" s="542">
        <v>17175</v>
      </c>
      <c r="AV78" s="542">
        <v>0</v>
      </c>
      <c r="AW78" s="542">
        <v>171753</v>
      </c>
      <c r="AX78" s="542">
        <v>-240471</v>
      </c>
      <c r="AY78" s="542">
        <v>-192377</v>
      </c>
      <c r="AZ78" s="542">
        <v>-48094</v>
      </c>
      <c r="BA78" s="542">
        <v>0</v>
      </c>
      <c r="BB78" s="542">
        <v>-480942</v>
      </c>
      <c r="BC78" s="542">
        <v>-472875</v>
      </c>
      <c r="BD78" s="542">
        <v>-378301</v>
      </c>
      <c r="BE78" s="542">
        <v>-94575</v>
      </c>
      <c r="BF78" s="542">
        <v>0</v>
      </c>
      <c r="BG78" s="542">
        <v>-945751</v>
      </c>
      <c r="BH78" s="542">
        <v>-2568398.6</v>
      </c>
      <c r="BI78" s="542">
        <v>-2054718</v>
      </c>
      <c r="BJ78" s="542">
        <v>-513679</v>
      </c>
      <c r="BK78" s="542">
        <v>0</v>
      </c>
      <c r="BL78" s="542">
        <v>-5136795.5999999996</v>
      </c>
      <c r="BM78" s="542">
        <v>329808</v>
      </c>
      <c r="BN78" s="542">
        <v>263847</v>
      </c>
      <c r="BO78" s="542">
        <v>65962</v>
      </c>
      <c r="BP78" s="542">
        <v>0</v>
      </c>
      <c r="BQ78" s="542">
        <v>659617</v>
      </c>
      <c r="BR78" s="542">
        <v>-3330952</v>
      </c>
      <c r="BS78" s="542">
        <v>-2664762</v>
      </c>
      <c r="BT78" s="542">
        <v>-666191</v>
      </c>
      <c r="BU78" s="542">
        <v>0</v>
      </c>
      <c r="BV78" s="542">
        <v>-6661905</v>
      </c>
      <c r="BW78" s="542">
        <v>-5569542.5999999996</v>
      </c>
      <c r="BX78" s="542">
        <v>-4455633</v>
      </c>
      <c r="BY78" s="542">
        <v>-1113908</v>
      </c>
      <c r="BZ78" s="542">
        <v>0</v>
      </c>
      <c r="CA78" s="542">
        <v>-11139083</v>
      </c>
    </row>
    <row r="79" spans="1:79" ht="12.75" x14ac:dyDescent="0.2">
      <c r="A79" s="93">
        <v>73</v>
      </c>
      <c r="B79" s="145" t="s">
        <v>22</v>
      </c>
      <c r="C79" s="141" t="s">
        <v>770</v>
      </c>
      <c r="D79" s="142" t="s">
        <v>878</v>
      </c>
      <c r="E79" s="149" t="s">
        <v>694</v>
      </c>
      <c r="F79" s="543">
        <v>0.5</v>
      </c>
      <c r="G79" s="543">
        <v>0.49</v>
      </c>
      <c r="H79" s="543">
        <v>0</v>
      </c>
      <c r="I79" s="543">
        <v>0.01</v>
      </c>
      <c r="J79" s="543">
        <v>1</v>
      </c>
      <c r="K79" s="542">
        <v>16781787</v>
      </c>
      <c r="L79" s="542">
        <v>16446151</v>
      </c>
      <c r="M79" s="542">
        <v>0</v>
      </c>
      <c r="N79" s="542">
        <v>335636</v>
      </c>
      <c r="O79" s="542">
        <v>33563574</v>
      </c>
      <c r="P79" s="542">
        <v>0</v>
      </c>
      <c r="Q79" s="542">
        <v>0</v>
      </c>
      <c r="R79" s="542">
        <v>16781787</v>
      </c>
      <c r="S79" s="542">
        <v>147527</v>
      </c>
      <c r="T79" s="542">
        <v>147527</v>
      </c>
      <c r="U79" s="542">
        <v>0</v>
      </c>
      <c r="V79" s="542">
        <v>0</v>
      </c>
      <c r="W79" s="542">
        <v>0</v>
      </c>
      <c r="X79" s="542">
        <v>0</v>
      </c>
      <c r="Y79" s="542">
        <v>0</v>
      </c>
      <c r="Z79" s="542">
        <v>0</v>
      </c>
      <c r="AA79" s="542">
        <v>0</v>
      </c>
      <c r="AB79" s="542">
        <v>0</v>
      </c>
      <c r="AC79" s="542">
        <v>0</v>
      </c>
      <c r="AD79" s="542">
        <v>1031542</v>
      </c>
      <c r="AE79" s="542">
        <v>1010911</v>
      </c>
      <c r="AF79" s="542">
        <v>0</v>
      </c>
      <c r="AG79" s="542">
        <v>20631</v>
      </c>
      <c r="AH79" s="542">
        <v>2063084</v>
      </c>
      <c r="AI79" s="542">
        <v>-347340</v>
      </c>
      <c r="AJ79" s="542">
        <v>-340394</v>
      </c>
      <c r="AK79" s="542">
        <v>0</v>
      </c>
      <c r="AL79" s="542">
        <v>-6947</v>
      </c>
      <c r="AM79" s="542">
        <v>-694681</v>
      </c>
      <c r="AN79" s="542">
        <v>-252755</v>
      </c>
      <c r="AO79" s="542">
        <v>-247700</v>
      </c>
      <c r="AP79" s="542">
        <v>0</v>
      </c>
      <c r="AQ79" s="542">
        <v>-5055</v>
      </c>
      <c r="AR79" s="542">
        <v>-505510</v>
      </c>
      <c r="AS79" s="542">
        <v>275631</v>
      </c>
      <c r="AT79" s="542">
        <v>270118</v>
      </c>
      <c r="AU79" s="542">
        <v>0</v>
      </c>
      <c r="AV79" s="542">
        <v>5513</v>
      </c>
      <c r="AW79" s="542">
        <v>551262</v>
      </c>
      <c r="AX79" s="542">
        <v>-280876</v>
      </c>
      <c r="AY79" s="542">
        <v>-275258</v>
      </c>
      <c r="AZ79" s="542">
        <v>0</v>
      </c>
      <c r="BA79" s="542">
        <v>-5618</v>
      </c>
      <c r="BB79" s="542">
        <v>-561752</v>
      </c>
      <c r="BC79" s="542">
        <v>-258000</v>
      </c>
      <c r="BD79" s="542">
        <v>-252840</v>
      </c>
      <c r="BE79" s="542">
        <v>0</v>
      </c>
      <c r="BF79" s="542">
        <v>-5160</v>
      </c>
      <c r="BG79" s="542">
        <v>-516000</v>
      </c>
      <c r="BH79" s="542">
        <v>-655005</v>
      </c>
      <c r="BI79" s="542">
        <v>-641904</v>
      </c>
      <c r="BJ79" s="542">
        <v>0</v>
      </c>
      <c r="BK79" s="542">
        <v>-13100</v>
      </c>
      <c r="BL79" s="542">
        <v>-1310009</v>
      </c>
      <c r="BM79" s="542">
        <v>916712</v>
      </c>
      <c r="BN79" s="542">
        <v>898378</v>
      </c>
      <c r="BO79" s="542">
        <v>0</v>
      </c>
      <c r="BP79" s="542">
        <v>18334</v>
      </c>
      <c r="BQ79" s="542">
        <v>1833424</v>
      </c>
      <c r="BR79" s="542">
        <v>-586625</v>
      </c>
      <c r="BS79" s="542">
        <v>-574893</v>
      </c>
      <c r="BT79" s="542">
        <v>0</v>
      </c>
      <c r="BU79" s="542">
        <v>-11733</v>
      </c>
      <c r="BV79" s="542">
        <v>-1173251</v>
      </c>
      <c r="BW79" s="542">
        <v>-324918</v>
      </c>
      <c r="BX79" s="542">
        <v>-318419</v>
      </c>
      <c r="BY79" s="542">
        <v>0</v>
      </c>
      <c r="BZ79" s="542">
        <v>-6499</v>
      </c>
      <c r="CA79" s="542">
        <v>-649836</v>
      </c>
    </row>
    <row r="80" spans="1:79" ht="12.75" x14ac:dyDescent="0.2">
      <c r="A80" s="93">
        <v>74</v>
      </c>
      <c r="B80" s="145" t="s">
        <v>24</v>
      </c>
      <c r="C80" s="141" t="s">
        <v>866</v>
      </c>
      <c r="D80" s="142" t="s">
        <v>867</v>
      </c>
      <c r="E80" s="149" t="s">
        <v>23</v>
      </c>
      <c r="F80" s="543">
        <v>0.5</v>
      </c>
      <c r="G80" s="543">
        <v>0.4</v>
      </c>
      <c r="H80" s="543">
        <v>0.09</v>
      </c>
      <c r="I80" s="543">
        <v>0.01</v>
      </c>
      <c r="J80" s="543">
        <v>1</v>
      </c>
      <c r="K80" s="542">
        <v>41070347</v>
      </c>
      <c r="L80" s="542">
        <v>32856278</v>
      </c>
      <c r="M80" s="542">
        <v>7392663</v>
      </c>
      <c r="N80" s="542">
        <v>821407</v>
      </c>
      <c r="O80" s="542">
        <v>82140695</v>
      </c>
      <c r="P80" s="542">
        <v>0</v>
      </c>
      <c r="Q80" s="542">
        <v>0</v>
      </c>
      <c r="R80" s="542">
        <v>41070347</v>
      </c>
      <c r="S80" s="542">
        <v>174373</v>
      </c>
      <c r="T80" s="542">
        <v>174373</v>
      </c>
      <c r="U80" s="542">
        <v>0</v>
      </c>
      <c r="V80" s="542">
        <v>0</v>
      </c>
      <c r="W80" s="542">
        <v>0</v>
      </c>
      <c r="X80" s="542">
        <v>0</v>
      </c>
      <c r="Y80" s="542">
        <v>0</v>
      </c>
      <c r="Z80" s="542">
        <v>0</v>
      </c>
      <c r="AA80" s="542">
        <v>0</v>
      </c>
      <c r="AB80" s="542">
        <v>0</v>
      </c>
      <c r="AC80" s="542">
        <v>0</v>
      </c>
      <c r="AD80" s="542">
        <v>1431879</v>
      </c>
      <c r="AE80" s="542">
        <v>1145503</v>
      </c>
      <c r="AF80" s="542">
        <v>257738</v>
      </c>
      <c r="AG80" s="542">
        <v>28638</v>
      </c>
      <c r="AH80" s="542">
        <v>2863758</v>
      </c>
      <c r="AI80" s="542">
        <v>-2660158</v>
      </c>
      <c r="AJ80" s="542">
        <v>-2128127</v>
      </c>
      <c r="AK80" s="542">
        <v>-478829</v>
      </c>
      <c r="AL80" s="542">
        <v>-53203</v>
      </c>
      <c r="AM80" s="542">
        <v>-5320317</v>
      </c>
      <c r="AN80" s="542">
        <v>-882829</v>
      </c>
      <c r="AO80" s="542">
        <v>-706265</v>
      </c>
      <c r="AP80" s="542">
        <v>-158910</v>
      </c>
      <c r="AQ80" s="542">
        <v>-17657</v>
      </c>
      <c r="AR80" s="542">
        <v>-1765661</v>
      </c>
      <c r="AS80" s="542">
        <v>227696</v>
      </c>
      <c r="AT80" s="542">
        <v>182157</v>
      </c>
      <c r="AU80" s="542">
        <v>40985</v>
      </c>
      <c r="AV80" s="542">
        <v>4554</v>
      </c>
      <c r="AW80" s="542">
        <v>455392</v>
      </c>
      <c r="AX80" s="542">
        <v>-276969</v>
      </c>
      <c r="AY80" s="542">
        <v>-221575</v>
      </c>
      <c r="AZ80" s="542">
        <v>-49854</v>
      </c>
      <c r="BA80" s="542">
        <v>-5539</v>
      </c>
      <c r="BB80" s="542">
        <v>-553937</v>
      </c>
      <c r="BC80" s="542">
        <v>-932102</v>
      </c>
      <c r="BD80" s="542">
        <v>-745683</v>
      </c>
      <c r="BE80" s="542">
        <v>-167779</v>
      </c>
      <c r="BF80" s="542">
        <v>-18642</v>
      </c>
      <c r="BG80" s="542">
        <v>-1864206</v>
      </c>
      <c r="BH80" s="542">
        <v>-4010916</v>
      </c>
      <c r="BI80" s="542">
        <v>-3208733</v>
      </c>
      <c r="BJ80" s="542">
        <v>-721965</v>
      </c>
      <c r="BK80" s="542">
        <v>-80218</v>
      </c>
      <c r="BL80" s="542">
        <v>-8021832</v>
      </c>
      <c r="BM80" s="542">
        <v>1915210</v>
      </c>
      <c r="BN80" s="542">
        <v>1532168</v>
      </c>
      <c r="BO80" s="542">
        <v>344738</v>
      </c>
      <c r="BP80" s="542">
        <v>38304</v>
      </c>
      <c r="BQ80" s="542">
        <v>3830420</v>
      </c>
      <c r="BR80" s="542">
        <v>-2840216</v>
      </c>
      <c r="BS80" s="542">
        <v>-2272172</v>
      </c>
      <c r="BT80" s="542">
        <v>-511239</v>
      </c>
      <c r="BU80" s="542">
        <v>-56804</v>
      </c>
      <c r="BV80" s="542">
        <v>-5680431</v>
      </c>
      <c r="BW80" s="542">
        <v>-4935922</v>
      </c>
      <c r="BX80" s="542">
        <v>-3948737</v>
      </c>
      <c r="BY80" s="542">
        <v>-888466</v>
      </c>
      <c r="BZ80" s="542">
        <v>-98718</v>
      </c>
      <c r="CA80" s="542">
        <v>-9871843</v>
      </c>
    </row>
    <row r="81" spans="1:79" ht="12.75" x14ac:dyDescent="0.2">
      <c r="A81" s="93">
        <v>75</v>
      </c>
      <c r="B81" s="145" t="s">
        <v>26</v>
      </c>
      <c r="C81" s="141" t="s">
        <v>866</v>
      </c>
      <c r="D81" s="142" t="s">
        <v>869</v>
      </c>
      <c r="E81" s="149" t="s">
        <v>25</v>
      </c>
      <c r="F81" s="543">
        <v>0.5</v>
      </c>
      <c r="G81" s="543">
        <v>0.4</v>
      </c>
      <c r="H81" s="543">
        <v>0.1</v>
      </c>
      <c r="I81" s="543">
        <v>0</v>
      </c>
      <c r="J81" s="543">
        <v>1</v>
      </c>
      <c r="K81" s="542">
        <v>17763069</v>
      </c>
      <c r="L81" s="542">
        <v>14210455</v>
      </c>
      <c r="M81" s="542">
        <v>3552614</v>
      </c>
      <c r="N81" s="542">
        <v>0</v>
      </c>
      <c r="O81" s="542">
        <v>35526138</v>
      </c>
      <c r="P81" s="542">
        <v>0</v>
      </c>
      <c r="Q81" s="542">
        <v>0</v>
      </c>
      <c r="R81" s="542">
        <v>17763069</v>
      </c>
      <c r="S81" s="542">
        <v>116893</v>
      </c>
      <c r="T81" s="542">
        <v>116893</v>
      </c>
      <c r="U81" s="542">
        <v>0</v>
      </c>
      <c r="V81" s="542">
        <v>0</v>
      </c>
      <c r="W81" s="542">
        <v>197814</v>
      </c>
      <c r="X81" s="542">
        <v>0</v>
      </c>
      <c r="Y81" s="542">
        <v>197814</v>
      </c>
      <c r="Z81" s="542">
        <v>0</v>
      </c>
      <c r="AA81" s="542">
        <v>0</v>
      </c>
      <c r="AB81" s="542">
        <v>0</v>
      </c>
      <c r="AC81" s="542">
        <v>0</v>
      </c>
      <c r="AD81" s="542">
        <v>216802</v>
      </c>
      <c r="AE81" s="542">
        <v>173442</v>
      </c>
      <c r="AF81" s="542">
        <v>43360</v>
      </c>
      <c r="AG81" s="542">
        <v>0</v>
      </c>
      <c r="AH81" s="542">
        <v>433604</v>
      </c>
      <c r="AI81" s="542">
        <v>-34556</v>
      </c>
      <c r="AJ81" s="542">
        <v>-27644</v>
      </c>
      <c r="AK81" s="542">
        <v>-6911</v>
      </c>
      <c r="AL81" s="542">
        <v>0</v>
      </c>
      <c r="AM81" s="542">
        <v>-69111</v>
      </c>
      <c r="AN81" s="542">
        <v>-257626</v>
      </c>
      <c r="AO81" s="542">
        <v>-206102</v>
      </c>
      <c r="AP81" s="542">
        <v>-51526</v>
      </c>
      <c r="AQ81" s="542">
        <v>0</v>
      </c>
      <c r="AR81" s="542">
        <v>-515254</v>
      </c>
      <c r="AS81" s="542">
        <v>34917</v>
      </c>
      <c r="AT81" s="542">
        <v>27934</v>
      </c>
      <c r="AU81" s="542">
        <v>6983</v>
      </c>
      <c r="AV81" s="542">
        <v>0</v>
      </c>
      <c r="AW81" s="542">
        <v>69834</v>
      </c>
      <c r="AX81" s="542">
        <v>97739</v>
      </c>
      <c r="AY81" s="542">
        <v>78191</v>
      </c>
      <c r="AZ81" s="542">
        <v>19548</v>
      </c>
      <c r="BA81" s="542">
        <v>0</v>
      </c>
      <c r="BB81" s="542">
        <v>195478</v>
      </c>
      <c r="BC81" s="542">
        <v>-124970</v>
      </c>
      <c r="BD81" s="542">
        <v>-99977</v>
      </c>
      <c r="BE81" s="542">
        <v>-24995</v>
      </c>
      <c r="BF81" s="542">
        <v>0</v>
      </c>
      <c r="BG81" s="542">
        <v>-249942</v>
      </c>
      <c r="BH81" s="542">
        <v>-622891</v>
      </c>
      <c r="BI81" s="542">
        <v>-498313</v>
      </c>
      <c r="BJ81" s="542">
        <v>-124578</v>
      </c>
      <c r="BK81" s="542">
        <v>0</v>
      </c>
      <c r="BL81" s="542">
        <v>-1245782</v>
      </c>
      <c r="BM81" s="542">
        <v>593992</v>
      </c>
      <c r="BN81" s="542">
        <v>475194</v>
      </c>
      <c r="BO81" s="542">
        <v>118799</v>
      </c>
      <c r="BP81" s="542">
        <v>0</v>
      </c>
      <c r="BQ81" s="542">
        <v>1187985</v>
      </c>
      <c r="BR81" s="542">
        <v>-2492466</v>
      </c>
      <c r="BS81" s="542">
        <v>-1993973</v>
      </c>
      <c r="BT81" s="542">
        <v>-498493</v>
      </c>
      <c r="BU81" s="542">
        <v>0</v>
      </c>
      <c r="BV81" s="542">
        <v>-4984932</v>
      </c>
      <c r="BW81" s="542">
        <v>-2521365</v>
      </c>
      <c r="BX81" s="542">
        <v>-2017092</v>
      </c>
      <c r="BY81" s="542">
        <v>-504272</v>
      </c>
      <c r="BZ81" s="542">
        <v>0</v>
      </c>
      <c r="CA81" s="542">
        <v>-5042729</v>
      </c>
    </row>
    <row r="82" spans="1:79" ht="12.75" x14ac:dyDescent="0.2">
      <c r="A82" s="93">
        <v>76</v>
      </c>
      <c r="B82" s="145" t="s">
        <v>28</v>
      </c>
      <c r="C82" s="141" t="s">
        <v>770</v>
      </c>
      <c r="D82" s="142" t="s">
        <v>869</v>
      </c>
      <c r="E82" s="149" t="s">
        <v>695</v>
      </c>
      <c r="F82" s="543">
        <v>0.5</v>
      </c>
      <c r="G82" s="543">
        <v>0.49</v>
      </c>
      <c r="H82" s="543">
        <v>0</v>
      </c>
      <c r="I82" s="543">
        <v>0.01</v>
      </c>
      <c r="J82" s="543">
        <v>1</v>
      </c>
      <c r="K82" s="542">
        <v>43257173</v>
      </c>
      <c r="L82" s="542">
        <v>42392029</v>
      </c>
      <c r="M82" s="542">
        <v>0</v>
      </c>
      <c r="N82" s="542">
        <v>865143</v>
      </c>
      <c r="O82" s="542">
        <v>86514345</v>
      </c>
      <c r="P82" s="542">
        <v>0</v>
      </c>
      <c r="Q82" s="542">
        <v>0</v>
      </c>
      <c r="R82" s="542">
        <v>43257173</v>
      </c>
      <c r="S82" s="542">
        <v>314441</v>
      </c>
      <c r="T82" s="542">
        <v>314441</v>
      </c>
      <c r="U82" s="542">
        <v>0</v>
      </c>
      <c r="V82" s="542">
        <v>0</v>
      </c>
      <c r="W82" s="542">
        <v>708540</v>
      </c>
      <c r="X82" s="542">
        <v>0</v>
      </c>
      <c r="Y82" s="542">
        <v>708540</v>
      </c>
      <c r="Z82" s="542">
        <v>0</v>
      </c>
      <c r="AA82" s="542">
        <v>0</v>
      </c>
      <c r="AB82" s="542">
        <v>0</v>
      </c>
      <c r="AC82" s="542">
        <v>0</v>
      </c>
      <c r="AD82" s="542">
        <v>2612228</v>
      </c>
      <c r="AE82" s="542">
        <v>2559984</v>
      </c>
      <c r="AF82" s="542">
        <v>0</v>
      </c>
      <c r="AG82" s="542">
        <v>52245</v>
      </c>
      <c r="AH82" s="542">
        <v>5224457</v>
      </c>
      <c r="AI82" s="542">
        <v>-34898</v>
      </c>
      <c r="AJ82" s="542">
        <v>-34201</v>
      </c>
      <c r="AK82" s="542">
        <v>0</v>
      </c>
      <c r="AL82" s="542">
        <v>-698</v>
      </c>
      <c r="AM82" s="542">
        <v>-69797</v>
      </c>
      <c r="AN82" s="542">
        <v>-1732502</v>
      </c>
      <c r="AO82" s="542">
        <v>-1697853</v>
      </c>
      <c r="AP82" s="542">
        <v>0</v>
      </c>
      <c r="AQ82" s="542">
        <v>-34650</v>
      </c>
      <c r="AR82" s="542">
        <v>-3465005</v>
      </c>
      <c r="AS82" s="542">
        <v>823172</v>
      </c>
      <c r="AT82" s="542">
        <v>806709</v>
      </c>
      <c r="AU82" s="542">
        <v>0</v>
      </c>
      <c r="AV82" s="542">
        <v>16463</v>
      </c>
      <c r="AW82" s="542">
        <v>1646344</v>
      </c>
      <c r="AX82" s="542">
        <v>-591135</v>
      </c>
      <c r="AY82" s="542">
        <v>-579312</v>
      </c>
      <c r="AZ82" s="542">
        <v>0</v>
      </c>
      <c r="BA82" s="542">
        <v>-11823</v>
      </c>
      <c r="BB82" s="542">
        <v>-1182270</v>
      </c>
      <c r="BC82" s="542">
        <v>-1500465</v>
      </c>
      <c r="BD82" s="542">
        <v>-1470456</v>
      </c>
      <c r="BE82" s="542">
        <v>0</v>
      </c>
      <c r="BF82" s="542">
        <v>-30010</v>
      </c>
      <c r="BG82" s="542">
        <v>-3000931</v>
      </c>
      <c r="BH82" s="542">
        <v>-4626031</v>
      </c>
      <c r="BI82" s="542">
        <v>-4533509</v>
      </c>
      <c r="BJ82" s="542">
        <v>0</v>
      </c>
      <c r="BK82" s="542">
        <v>-92521</v>
      </c>
      <c r="BL82" s="542">
        <v>-9252061</v>
      </c>
      <c r="BM82" s="542">
        <v>0</v>
      </c>
      <c r="BN82" s="542">
        <v>0</v>
      </c>
      <c r="BO82" s="542">
        <v>0</v>
      </c>
      <c r="BP82" s="542">
        <v>0</v>
      </c>
      <c r="BQ82" s="542">
        <v>0</v>
      </c>
      <c r="BR82" s="542">
        <v>1024564</v>
      </c>
      <c r="BS82" s="542">
        <v>1004072</v>
      </c>
      <c r="BT82" s="542">
        <v>0</v>
      </c>
      <c r="BU82" s="542">
        <v>20491</v>
      </c>
      <c r="BV82" s="542">
        <v>2049127</v>
      </c>
      <c r="BW82" s="542">
        <v>-3601467</v>
      </c>
      <c r="BX82" s="542">
        <v>-3529437</v>
      </c>
      <c r="BY82" s="542">
        <v>0</v>
      </c>
      <c r="BZ82" s="542">
        <v>-72030</v>
      </c>
      <c r="CA82" s="542">
        <v>-7202934</v>
      </c>
    </row>
    <row r="83" spans="1:79" ht="12.75" x14ac:dyDescent="0.2">
      <c r="A83" s="93">
        <v>77</v>
      </c>
      <c r="B83" s="145" t="s">
        <v>30</v>
      </c>
      <c r="C83" s="141" t="s">
        <v>866</v>
      </c>
      <c r="D83" s="142" t="s">
        <v>869</v>
      </c>
      <c r="E83" s="149" t="s">
        <v>29</v>
      </c>
      <c r="F83" s="543">
        <v>0.5</v>
      </c>
      <c r="G83" s="543">
        <v>0.4</v>
      </c>
      <c r="H83" s="543">
        <v>0.09</v>
      </c>
      <c r="I83" s="543">
        <v>0.01</v>
      </c>
      <c r="J83" s="543">
        <v>1</v>
      </c>
      <c r="K83" s="542">
        <v>8372954</v>
      </c>
      <c r="L83" s="542">
        <v>6698364</v>
      </c>
      <c r="M83" s="542">
        <v>1507132</v>
      </c>
      <c r="N83" s="542">
        <v>167459</v>
      </c>
      <c r="O83" s="542">
        <v>16745909</v>
      </c>
      <c r="P83" s="542">
        <v>0</v>
      </c>
      <c r="Q83" s="542">
        <v>0</v>
      </c>
      <c r="R83" s="542">
        <v>8372954</v>
      </c>
      <c r="S83" s="542">
        <v>146520</v>
      </c>
      <c r="T83" s="542">
        <v>146520</v>
      </c>
      <c r="U83" s="542">
        <v>0</v>
      </c>
      <c r="V83" s="542">
        <v>0</v>
      </c>
      <c r="W83" s="542">
        <v>61696</v>
      </c>
      <c r="X83" s="542">
        <v>0</v>
      </c>
      <c r="Y83" s="542">
        <v>61696</v>
      </c>
      <c r="Z83" s="542">
        <v>0</v>
      </c>
      <c r="AA83" s="542">
        <v>0</v>
      </c>
      <c r="AB83" s="542">
        <v>0</v>
      </c>
      <c r="AC83" s="542">
        <v>0</v>
      </c>
      <c r="AD83" s="542">
        <v>581848</v>
      </c>
      <c r="AE83" s="542">
        <v>465478</v>
      </c>
      <c r="AF83" s="542">
        <v>104733</v>
      </c>
      <c r="AG83" s="542">
        <v>11637</v>
      </c>
      <c r="AH83" s="542">
        <v>1163696</v>
      </c>
      <c r="AI83" s="542">
        <v>-69071</v>
      </c>
      <c r="AJ83" s="542">
        <v>-55256</v>
      </c>
      <c r="AK83" s="542">
        <v>-12433</v>
      </c>
      <c r="AL83" s="542">
        <v>-1381</v>
      </c>
      <c r="AM83" s="542">
        <v>-138141</v>
      </c>
      <c r="AN83" s="542">
        <v>-99000</v>
      </c>
      <c r="AO83" s="542">
        <v>-79200</v>
      </c>
      <c r="AP83" s="542">
        <v>-17820</v>
      </c>
      <c r="AQ83" s="542">
        <v>-1980</v>
      </c>
      <c r="AR83" s="542">
        <v>-198000</v>
      </c>
      <c r="AS83" s="542">
        <v>20537</v>
      </c>
      <c r="AT83" s="542">
        <v>16430</v>
      </c>
      <c r="AU83" s="542">
        <v>3697</v>
      </c>
      <c r="AV83" s="542">
        <v>411</v>
      </c>
      <c r="AW83" s="542">
        <v>41075</v>
      </c>
      <c r="AX83" s="542">
        <v>-35537</v>
      </c>
      <c r="AY83" s="542">
        <v>-28430</v>
      </c>
      <c r="AZ83" s="542">
        <v>-6397</v>
      </c>
      <c r="BA83" s="542">
        <v>-711</v>
      </c>
      <c r="BB83" s="542">
        <v>-71075</v>
      </c>
      <c r="BC83" s="542">
        <v>-114000</v>
      </c>
      <c r="BD83" s="542">
        <v>-91200</v>
      </c>
      <c r="BE83" s="542">
        <v>-20520</v>
      </c>
      <c r="BF83" s="542">
        <v>-2280</v>
      </c>
      <c r="BG83" s="542">
        <v>-228000</v>
      </c>
      <c r="BH83" s="542">
        <v>-271166</v>
      </c>
      <c r="BI83" s="542">
        <v>-216933</v>
      </c>
      <c r="BJ83" s="542">
        <v>-48810</v>
      </c>
      <c r="BK83" s="542">
        <v>-5424</v>
      </c>
      <c r="BL83" s="542">
        <v>-542333</v>
      </c>
      <c r="BM83" s="542">
        <v>97098</v>
      </c>
      <c r="BN83" s="542">
        <v>77678</v>
      </c>
      <c r="BO83" s="542">
        <v>17478</v>
      </c>
      <c r="BP83" s="542">
        <v>1942</v>
      </c>
      <c r="BQ83" s="542">
        <v>194196</v>
      </c>
      <c r="BR83" s="542">
        <v>-123617</v>
      </c>
      <c r="BS83" s="542">
        <v>-98894</v>
      </c>
      <c r="BT83" s="542">
        <v>-22251</v>
      </c>
      <c r="BU83" s="542">
        <v>-2472</v>
      </c>
      <c r="BV83" s="542">
        <v>-247234</v>
      </c>
      <c r="BW83" s="542">
        <v>-297685</v>
      </c>
      <c r="BX83" s="542">
        <v>-238149</v>
      </c>
      <c r="BY83" s="542">
        <v>-53583</v>
      </c>
      <c r="BZ83" s="542">
        <v>-5954</v>
      </c>
      <c r="CA83" s="542">
        <v>-595371</v>
      </c>
    </row>
    <row r="84" spans="1:79" ht="12.75" x14ac:dyDescent="0.2">
      <c r="A84" s="93">
        <v>78</v>
      </c>
      <c r="B84" s="145" t="s">
        <v>32</v>
      </c>
      <c r="C84" s="141" t="s">
        <v>873</v>
      </c>
      <c r="D84" s="142" t="s">
        <v>874</v>
      </c>
      <c r="E84" s="149" t="s">
        <v>31</v>
      </c>
      <c r="F84" s="543">
        <v>0.5</v>
      </c>
      <c r="G84" s="543">
        <v>0.49</v>
      </c>
      <c r="H84" s="543">
        <v>0</v>
      </c>
      <c r="I84" s="543">
        <v>0.01</v>
      </c>
      <c r="J84" s="543">
        <v>1</v>
      </c>
      <c r="K84" s="542">
        <v>43221891</v>
      </c>
      <c r="L84" s="542">
        <v>42357454</v>
      </c>
      <c r="M84" s="542">
        <v>0</v>
      </c>
      <c r="N84" s="542">
        <v>864438</v>
      </c>
      <c r="O84" s="542">
        <v>86443783</v>
      </c>
      <c r="P84" s="542">
        <v>0</v>
      </c>
      <c r="Q84" s="542">
        <v>0</v>
      </c>
      <c r="R84" s="542">
        <v>43221891</v>
      </c>
      <c r="S84" s="542">
        <v>369928</v>
      </c>
      <c r="T84" s="542">
        <v>369928</v>
      </c>
      <c r="U84" s="542">
        <v>0</v>
      </c>
      <c r="V84" s="542">
        <v>0</v>
      </c>
      <c r="W84" s="542">
        <v>141206</v>
      </c>
      <c r="X84" s="542">
        <v>0</v>
      </c>
      <c r="Y84" s="542">
        <v>141206</v>
      </c>
      <c r="Z84" s="542">
        <v>0</v>
      </c>
      <c r="AA84" s="542">
        <v>0</v>
      </c>
      <c r="AB84" s="542">
        <v>0</v>
      </c>
      <c r="AC84" s="542">
        <v>0</v>
      </c>
      <c r="AD84" s="542">
        <v>4501988</v>
      </c>
      <c r="AE84" s="542">
        <v>4411948</v>
      </c>
      <c r="AF84" s="542">
        <v>0</v>
      </c>
      <c r="AG84" s="542">
        <v>90040</v>
      </c>
      <c r="AH84" s="542">
        <v>9003976</v>
      </c>
      <c r="AI84" s="542">
        <v>-829287</v>
      </c>
      <c r="AJ84" s="542">
        <v>-812701</v>
      </c>
      <c r="AK84" s="542">
        <v>0</v>
      </c>
      <c r="AL84" s="542">
        <v>-16586</v>
      </c>
      <c r="AM84" s="542">
        <v>-1658574</v>
      </c>
      <c r="AN84" s="542">
        <v>-2422148</v>
      </c>
      <c r="AO84" s="542">
        <v>-2373705</v>
      </c>
      <c r="AP84" s="542">
        <v>0</v>
      </c>
      <c r="AQ84" s="542">
        <v>-48443</v>
      </c>
      <c r="AR84" s="542">
        <v>-4844296</v>
      </c>
      <c r="AS84" s="542">
        <v>575392</v>
      </c>
      <c r="AT84" s="542">
        <v>563884</v>
      </c>
      <c r="AU84" s="542">
        <v>0</v>
      </c>
      <c r="AV84" s="542">
        <v>11508</v>
      </c>
      <c r="AW84" s="542">
        <v>1150784</v>
      </c>
      <c r="AX84" s="542">
        <v>-480416</v>
      </c>
      <c r="AY84" s="542">
        <v>-470807</v>
      </c>
      <c r="AZ84" s="542">
        <v>0</v>
      </c>
      <c r="BA84" s="542">
        <v>-9608</v>
      </c>
      <c r="BB84" s="542">
        <v>-960831</v>
      </c>
      <c r="BC84" s="542">
        <v>-2327172</v>
      </c>
      <c r="BD84" s="542">
        <v>-2280628</v>
      </c>
      <c r="BE84" s="542">
        <v>0</v>
      </c>
      <c r="BF84" s="542">
        <v>-46543</v>
      </c>
      <c r="BG84" s="542">
        <v>-4654343</v>
      </c>
      <c r="BH84" s="542">
        <v>-3120614</v>
      </c>
      <c r="BI84" s="542">
        <v>-3058203</v>
      </c>
      <c r="BJ84" s="542">
        <v>0</v>
      </c>
      <c r="BK84" s="542">
        <v>-62413</v>
      </c>
      <c r="BL84" s="542">
        <v>-6241230</v>
      </c>
      <c r="BM84" s="542">
        <v>2241367</v>
      </c>
      <c r="BN84" s="542">
        <v>2196539</v>
      </c>
      <c r="BO84" s="542">
        <v>0</v>
      </c>
      <c r="BP84" s="542">
        <v>44827</v>
      </c>
      <c r="BQ84" s="542">
        <v>4482733</v>
      </c>
      <c r="BR84" s="542">
        <v>-4156798</v>
      </c>
      <c r="BS84" s="542">
        <v>-4073663</v>
      </c>
      <c r="BT84" s="542">
        <v>0</v>
      </c>
      <c r="BU84" s="542">
        <v>-83136</v>
      </c>
      <c r="BV84" s="542">
        <v>-8313597</v>
      </c>
      <c r="BW84" s="542">
        <v>-5036045</v>
      </c>
      <c r="BX84" s="542">
        <v>-4935327</v>
      </c>
      <c r="BY84" s="542">
        <v>0</v>
      </c>
      <c r="BZ84" s="542">
        <v>-100722</v>
      </c>
      <c r="CA84" s="542">
        <v>-10072094</v>
      </c>
    </row>
    <row r="85" spans="1:79" ht="12.75" x14ac:dyDescent="0.2">
      <c r="A85" s="93">
        <v>79</v>
      </c>
      <c r="B85" s="145" t="s">
        <v>36</v>
      </c>
      <c r="C85" s="141" t="s">
        <v>866</v>
      </c>
      <c r="D85" s="142" t="s">
        <v>867</v>
      </c>
      <c r="E85" s="149" t="s">
        <v>35</v>
      </c>
      <c r="F85" s="543">
        <v>0.5</v>
      </c>
      <c r="G85" s="543">
        <v>0.4</v>
      </c>
      <c r="H85" s="543">
        <v>0.09</v>
      </c>
      <c r="I85" s="543">
        <v>0.01</v>
      </c>
      <c r="J85" s="543">
        <v>1</v>
      </c>
      <c r="K85" s="542">
        <v>14121804</v>
      </c>
      <c r="L85" s="542">
        <v>11297444</v>
      </c>
      <c r="M85" s="542">
        <v>2541925</v>
      </c>
      <c r="N85" s="542">
        <v>282436</v>
      </c>
      <c r="O85" s="542">
        <v>28243609</v>
      </c>
      <c r="P85" s="542">
        <v>1344345.27</v>
      </c>
      <c r="Q85" s="542">
        <v>1344345.27</v>
      </c>
      <c r="R85" s="542">
        <v>12777458.699999999</v>
      </c>
      <c r="S85" s="542">
        <v>153665</v>
      </c>
      <c r="T85" s="542">
        <v>153665</v>
      </c>
      <c r="U85" s="542">
        <v>0</v>
      </c>
      <c r="V85" s="542">
        <v>0</v>
      </c>
      <c r="W85" s="542">
        <v>0</v>
      </c>
      <c r="X85" s="542">
        <v>0</v>
      </c>
      <c r="Y85" s="542">
        <v>0</v>
      </c>
      <c r="Z85" s="542">
        <v>1075476.21</v>
      </c>
      <c r="AA85" s="542">
        <v>241982.149</v>
      </c>
      <c r="AB85" s="542">
        <v>26886.9054</v>
      </c>
      <c r="AC85" s="542">
        <v>1344345.27</v>
      </c>
      <c r="AD85" s="542">
        <v>1075786</v>
      </c>
      <c r="AE85" s="542">
        <v>860628</v>
      </c>
      <c r="AF85" s="542">
        <v>193641</v>
      </c>
      <c r="AG85" s="542">
        <v>21516</v>
      </c>
      <c r="AH85" s="542">
        <v>2151571</v>
      </c>
      <c r="AI85" s="542">
        <v>-359944</v>
      </c>
      <c r="AJ85" s="542">
        <v>-287956</v>
      </c>
      <c r="AK85" s="542">
        <v>-64790</v>
      </c>
      <c r="AL85" s="542">
        <v>-7199</v>
      </c>
      <c r="AM85" s="542">
        <v>-719889</v>
      </c>
      <c r="AN85" s="542">
        <v>-921483</v>
      </c>
      <c r="AO85" s="542">
        <v>-737187</v>
      </c>
      <c r="AP85" s="542">
        <v>-165867</v>
      </c>
      <c r="AQ85" s="542">
        <v>-18430</v>
      </c>
      <c r="AR85" s="542">
        <v>-1842967</v>
      </c>
      <c r="AS85" s="542">
        <v>246463</v>
      </c>
      <c r="AT85" s="542">
        <v>197170</v>
      </c>
      <c r="AU85" s="542">
        <v>44363</v>
      </c>
      <c r="AV85" s="542">
        <v>4929</v>
      </c>
      <c r="AW85" s="542">
        <v>492925</v>
      </c>
      <c r="AX85" s="542">
        <v>-151372</v>
      </c>
      <c r="AY85" s="542">
        <v>-121098</v>
      </c>
      <c r="AZ85" s="542">
        <v>-27247</v>
      </c>
      <c r="BA85" s="542">
        <v>-3027</v>
      </c>
      <c r="BB85" s="542">
        <v>-302744</v>
      </c>
      <c r="BC85" s="542">
        <v>-826392</v>
      </c>
      <c r="BD85" s="542">
        <v>-661115</v>
      </c>
      <c r="BE85" s="542">
        <v>-148751</v>
      </c>
      <c r="BF85" s="542">
        <v>-16528</v>
      </c>
      <c r="BG85" s="542">
        <v>-1652786</v>
      </c>
      <c r="BH85" s="542">
        <v>-1469000</v>
      </c>
      <c r="BI85" s="542">
        <v>-1175200</v>
      </c>
      <c r="BJ85" s="542">
        <v>-264420</v>
      </c>
      <c r="BK85" s="542">
        <v>-29380</v>
      </c>
      <c r="BL85" s="542">
        <v>-2938000</v>
      </c>
      <c r="BM85" s="542">
        <v>67000</v>
      </c>
      <c r="BN85" s="542">
        <v>53600</v>
      </c>
      <c r="BO85" s="542">
        <v>12060</v>
      </c>
      <c r="BP85" s="542">
        <v>1340</v>
      </c>
      <c r="BQ85" s="542">
        <v>134000</v>
      </c>
      <c r="BR85" s="542">
        <v>-2642500</v>
      </c>
      <c r="BS85" s="542">
        <v>-2114000</v>
      </c>
      <c r="BT85" s="542">
        <v>-475650</v>
      </c>
      <c r="BU85" s="542">
        <v>-52850</v>
      </c>
      <c r="BV85" s="542">
        <v>-5285000</v>
      </c>
      <c r="BW85" s="542">
        <v>-4044500</v>
      </c>
      <c r="BX85" s="542">
        <v>-3235600</v>
      </c>
      <c r="BY85" s="542">
        <v>-728010</v>
      </c>
      <c r="BZ85" s="542">
        <v>-80890</v>
      </c>
      <c r="CA85" s="542">
        <v>-8089000</v>
      </c>
    </row>
    <row r="86" spans="1:79" ht="12.75" x14ac:dyDescent="0.2">
      <c r="A86" s="93">
        <v>80</v>
      </c>
      <c r="B86" s="145" t="s">
        <v>38</v>
      </c>
      <c r="C86" s="141" t="s">
        <v>873</v>
      </c>
      <c r="D86" s="142" t="s">
        <v>876</v>
      </c>
      <c r="E86" s="149" t="s">
        <v>37</v>
      </c>
      <c r="F86" s="543">
        <v>0.5</v>
      </c>
      <c r="G86" s="543">
        <v>0.49</v>
      </c>
      <c r="H86" s="543">
        <v>0</v>
      </c>
      <c r="I86" s="543">
        <v>0.01</v>
      </c>
      <c r="J86" s="543">
        <v>1</v>
      </c>
      <c r="K86" s="542">
        <v>44389622</v>
      </c>
      <c r="L86" s="542">
        <v>43501830</v>
      </c>
      <c r="M86" s="542">
        <v>0</v>
      </c>
      <c r="N86" s="542">
        <v>887792</v>
      </c>
      <c r="O86" s="542">
        <v>88779244</v>
      </c>
      <c r="P86" s="542">
        <v>0</v>
      </c>
      <c r="Q86" s="542">
        <v>0</v>
      </c>
      <c r="R86" s="542">
        <v>44389622</v>
      </c>
      <c r="S86" s="542">
        <v>432845</v>
      </c>
      <c r="T86" s="542">
        <v>432845</v>
      </c>
      <c r="U86" s="542">
        <v>0</v>
      </c>
      <c r="V86" s="542">
        <v>0</v>
      </c>
      <c r="W86" s="542">
        <v>0</v>
      </c>
      <c r="X86" s="542">
        <v>0</v>
      </c>
      <c r="Y86" s="542">
        <v>0</v>
      </c>
      <c r="Z86" s="542">
        <v>0</v>
      </c>
      <c r="AA86" s="542">
        <v>0</v>
      </c>
      <c r="AB86" s="542">
        <v>0</v>
      </c>
      <c r="AC86" s="542">
        <v>0</v>
      </c>
      <c r="AD86" s="542">
        <v>2518518</v>
      </c>
      <c r="AE86" s="542">
        <v>2468148</v>
      </c>
      <c r="AF86" s="542">
        <v>0</v>
      </c>
      <c r="AG86" s="542">
        <v>50370</v>
      </c>
      <c r="AH86" s="542">
        <v>5037036</v>
      </c>
      <c r="AI86" s="542">
        <v>-414055</v>
      </c>
      <c r="AJ86" s="542">
        <v>-405774</v>
      </c>
      <c r="AK86" s="542">
        <v>0</v>
      </c>
      <c r="AL86" s="542">
        <v>-8281</v>
      </c>
      <c r="AM86" s="542">
        <v>-828110</v>
      </c>
      <c r="AN86" s="542">
        <v>-1470000</v>
      </c>
      <c r="AO86" s="542">
        <v>-1440600</v>
      </c>
      <c r="AP86" s="542">
        <v>0</v>
      </c>
      <c r="AQ86" s="542">
        <v>-29400</v>
      </c>
      <c r="AR86" s="542">
        <v>-2940000</v>
      </c>
      <c r="AS86" s="542">
        <v>704500</v>
      </c>
      <c r="AT86" s="542">
        <v>690410</v>
      </c>
      <c r="AU86" s="542">
        <v>0</v>
      </c>
      <c r="AV86" s="542">
        <v>14090</v>
      </c>
      <c r="AW86" s="542">
        <v>1409000</v>
      </c>
      <c r="AX86" s="542">
        <v>-531500</v>
      </c>
      <c r="AY86" s="542">
        <v>-520870</v>
      </c>
      <c r="AZ86" s="542">
        <v>0</v>
      </c>
      <c r="BA86" s="542">
        <v>-10630</v>
      </c>
      <c r="BB86" s="542">
        <v>-1063000</v>
      </c>
      <c r="BC86" s="542">
        <v>-1297000</v>
      </c>
      <c r="BD86" s="542">
        <v>-1271060</v>
      </c>
      <c r="BE86" s="542">
        <v>0</v>
      </c>
      <c r="BF86" s="542">
        <v>-25940</v>
      </c>
      <c r="BG86" s="542">
        <v>-2594000</v>
      </c>
      <c r="BH86" s="542">
        <v>-3350000</v>
      </c>
      <c r="BI86" s="542">
        <v>-3283000</v>
      </c>
      <c r="BJ86" s="542">
        <v>0</v>
      </c>
      <c r="BK86" s="542">
        <v>-67000</v>
      </c>
      <c r="BL86" s="542">
        <v>-6700000</v>
      </c>
      <c r="BM86" s="542">
        <v>708705</v>
      </c>
      <c r="BN86" s="542">
        <v>694530</v>
      </c>
      <c r="BO86" s="542">
        <v>0</v>
      </c>
      <c r="BP86" s="542">
        <v>14174</v>
      </c>
      <c r="BQ86" s="542">
        <v>1417409</v>
      </c>
      <c r="BR86" s="542">
        <v>-2658705</v>
      </c>
      <c r="BS86" s="542">
        <v>-2605530</v>
      </c>
      <c r="BT86" s="542">
        <v>0</v>
      </c>
      <c r="BU86" s="542">
        <v>-53174</v>
      </c>
      <c r="BV86" s="542">
        <v>-5317409</v>
      </c>
      <c r="BW86" s="542">
        <v>-5300000</v>
      </c>
      <c r="BX86" s="542">
        <v>-5194000</v>
      </c>
      <c r="BY86" s="542">
        <v>0</v>
      </c>
      <c r="BZ86" s="542">
        <v>-106000</v>
      </c>
      <c r="CA86" s="542">
        <v>-10600000</v>
      </c>
    </row>
    <row r="87" spans="1:79" ht="12.75" x14ac:dyDescent="0.2">
      <c r="A87" s="93">
        <v>81</v>
      </c>
      <c r="B87" s="145" t="s">
        <v>40</v>
      </c>
      <c r="C87" s="141" t="s">
        <v>770</v>
      </c>
      <c r="D87" s="142" t="s">
        <v>878</v>
      </c>
      <c r="E87" s="149" t="s">
        <v>39</v>
      </c>
      <c r="F87" s="543">
        <v>0.5</v>
      </c>
      <c r="G87" s="543">
        <v>0.49</v>
      </c>
      <c r="H87" s="543">
        <v>0</v>
      </c>
      <c r="I87" s="543">
        <v>0.01</v>
      </c>
      <c r="J87" s="543">
        <v>1</v>
      </c>
      <c r="K87" s="542">
        <v>55830525</v>
      </c>
      <c r="L87" s="542">
        <v>54713914</v>
      </c>
      <c r="M87" s="542">
        <v>0</v>
      </c>
      <c r="N87" s="542">
        <v>1116610</v>
      </c>
      <c r="O87" s="542">
        <v>111661049</v>
      </c>
      <c r="P87" s="542">
        <v>0</v>
      </c>
      <c r="Q87" s="542">
        <v>0</v>
      </c>
      <c r="R87" s="542">
        <v>55830525</v>
      </c>
      <c r="S87" s="542">
        <v>600349</v>
      </c>
      <c r="T87" s="542">
        <v>600349</v>
      </c>
      <c r="U87" s="542">
        <v>0</v>
      </c>
      <c r="V87" s="542">
        <v>0</v>
      </c>
      <c r="W87" s="542">
        <v>11341</v>
      </c>
      <c r="X87" s="542">
        <v>0</v>
      </c>
      <c r="Y87" s="542">
        <v>11341</v>
      </c>
      <c r="Z87" s="542">
        <v>0</v>
      </c>
      <c r="AA87" s="542">
        <v>0</v>
      </c>
      <c r="AB87" s="542">
        <v>0</v>
      </c>
      <c r="AC87" s="542">
        <v>0</v>
      </c>
      <c r="AD87" s="542">
        <v>3582587</v>
      </c>
      <c r="AE87" s="542">
        <v>3510935</v>
      </c>
      <c r="AF87" s="542">
        <v>0</v>
      </c>
      <c r="AG87" s="542">
        <v>71652</v>
      </c>
      <c r="AH87" s="542">
        <v>7165174</v>
      </c>
      <c r="AI87" s="542">
        <v>-798995</v>
      </c>
      <c r="AJ87" s="542">
        <v>-783016</v>
      </c>
      <c r="AK87" s="542">
        <v>0</v>
      </c>
      <c r="AL87" s="542">
        <v>-15980</v>
      </c>
      <c r="AM87" s="542">
        <v>-1597991</v>
      </c>
      <c r="AN87" s="542">
        <v>-2275746</v>
      </c>
      <c r="AO87" s="542">
        <v>-2230231</v>
      </c>
      <c r="AP87" s="542">
        <v>0</v>
      </c>
      <c r="AQ87" s="542">
        <v>-45514</v>
      </c>
      <c r="AR87" s="542">
        <v>-4551491</v>
      </c>
      <c r="AS87" s="542">
        <v>886365</v>
      </c>
      <c r="AT87" s="542">
        <v>868638</v>
      </c>
      <c r="AU87" s="542">
        <v>0</v>
      </c>
      <c r="AV87" s="542">
        <v>17727</v>
      </c>
      <c r="AW87" s="542">
        <v>1772730</v>
      </c>
      <c r="AX87" s="542">
        <v>-1122819</v>
      </c>
      <c r="AY87" s="542">
        <v>-1100363</v>
      </c>
      <c r="AZ87" s="542">
        <v>0</v>
      </c>
      <c r="BA87" s="542">
        <v>-22456</v>
      </c>
      <c r="BB87" s="542">
        <v>-2245638</v>
      </c>
      <c r="BC87" s="542">
        <v>-2512200</v>
      </c>
      <c r="BD87" s="542">
        <v>-2461956</v>
      </c>
      <c r="BE87" s="542">
        <v>0</v>
      </c>
      <c r="BF87" s="542">
        <v>-50243</v>
      </c>
      <c r="BG87" s="542">
        <v>-5024399</v>
      </c>
      <c r="BH87" s="542">
        <v>-2595831</v>
      </c>
      <c r="BI87" s="542">
        <v>-2543914</v>
      </c>
      <c r="BJ87" s="542">
        <v>0</v>
      </c>
      <c r="BK87" s="542">
        <v>-51916</v>
      </c>
      <c r="BL87" s="542">
        <v>-5191661</v>
      </c>
      <c r="BM87" s="542">
        <v>0</v>
      </c>
      <c r="BN87" s="542">
        <v>0</v>
      </c>
      <c r="BO87" s="542">
        <v>0</v>
      </c>
      <c r="BP87" s="542">
        <v>0</v>
      </c>
      <c r="BQ87" s="542">
        <v>0</v>
      </c>
      <c r="BR87" s="542">
        <v>-1246576</v>
      </c>
      <c r="BS87" s="542">
        <v>-1221644</v>
      </c>
      <c r="BT87" s="542">
        <v>0</v>
      </c>
      <c r="BU87" s="542">
        <v>-24932</v>
      </c>
      <c r="BV87" s="542">
        <v>-2493152</v>
      </c>
      <c r="BW87" s="542">
        <v>-3842407</v>
      </c>
      <c r="BX87" s="542">
        <v>-3765558</v>
      </c>
      <c r="BY87" s="542">
        <v>0</v>
      </c>
      <c r="BZ87" s="542">
        <v>-76848</v>
      </c>
      <c r="CA87" s="542">
        <v>-7684813</v>
      </c>
    </row>
    <row r="88" spans="1:79" ht="12.75" x14ac:dyDescent="0.2">
      <c r="A88" s="93">
        <v>82</v>
      </c>
      <c r="B88" s="145" t="s">
        <v>42</v>
      </c>
      <c r="C88" s="141" t="s">
        <v>871</v>
      </c>
      <c r="D88" s="142" t="s">
        <v>872</v>
      </c>
      <c r="E88" s="149" t="s">
        <v>41</v>
      </c>
      <c r="F88" s="543">
        <v>0.5</v>
      </c>
      <c r="G88" s="543">
        <v>0.3</v>
      </c>
      <c r="H88" s="543">
        <v>0.2</v>
      </c>
      <c r="I88" s="543">
        <v>0</v>
      </c>
      <c r="J88" s="543">
        <v>1</v>
      </c>
      <c r="K88" s="542">
        <v>75793453</v>
      </c>
      <c r="L88" s="542">
        <v>45476072</v>
      </c>
      <c r="M88" s="542">
        <v>30317381</v>
      </c>
      <c r="N88" s="542">
        <v>0</v>
      </c>
      <c r="O88" s="542">
        <v>151586906</v>
      </c>
      <c r="P88" s="542">
        <v>0</v>
      </c>
      <c r="Q88" s="542">
        <v>0</v>
      </c>
      <c r="R88" s="542">
        <v>75793453</v>
      </c>
      <c r="S88" s="542">
        <v>494217</v>
      </c>
      <c r="T88" s="542">
        <v>494217</v>
      </c>
      <c r="U88" s="542">
        <v>0</v>
      </c>
      <c r="V88" s="542">
        <v>0</v>
      </c>
      <c r="W88" s="542">
        <v>0</v>
      </c>
      <c r="X88" s="542">
        <v>0</v>
      </c>
      <c r="Y88" s="542">
        <v>0</v>
      </c>
      <c r="Z88" s="542">
        <v>0</v>
      </c>
      <c r="AA88" s="542">
        <v>0</v>
      </c>
      <c r="AB88" s="542">
        <v>0</v>
      </c>
      <c r="AC88" s="542">
        <v>0</v>
      </c>
      <c r="AD88" s="542">
        <v>10659668</v>
      </c>
      <c r="AE88" s="542">
        <v>6395801</v>
      </c>
      <c r="AF88" s="542">
        <v>4263867</v>
      </c>
      <c r="AG88" s="542">
        <v>0</v>
      </c>
      <c r="AH88" s="542">
        <v>21319336</v>
      </c>
      <c r="AI88" s="542">
        <v>-2582627</v>
      </c>
      <c r="AJ88" s="542">
        <v>-1549576</v>
      </c>
      <c r="AK88" s="542">
        <v>-1033051</v>
      </c>
      <c r="AL88" s="542">
        <v>0</v>
      </c>
      <c r="AM88" s="542">
        <v>-5165254</v>
      </c>
      <c r="AN88" s="542">
        <v>-2161102</v>
      </c>
      <c r="AO88" s="542">
        <v>-1296661</v>
      </c>
      <c r="AP88" s="542">
        <v>-864441</v>
      </c>
      <c r="AQ88" s="542">
        <v>0</v>
      </c>
      <c r="AR88" s="542">
        <v>-4322204</v>
      </c>
      <c r="AS88" s="542">
        <v>2341414</v>
      </c>
      <c r="AT88" s="542">
        <v>1404848</v>
      </c>
      <c r="AU88" s="542">
        <v>936565</v>
      </c>
      <c r="AV88" s="542">
        <v>0</v>
      </c>
      <c r="AW88" s="542">
        <v>4682827</v>
      </c>
      <c r="AX88" s="542">
        <v>2054241</v>
      </c>
      <c r="AY88" s="542">
        <v>1232545</v>
      </c>
      <c r="AZ88" s="542">
        <v>821697</v>
      </c>
      <c r="BA88" s="542">
        <v>0</v>
      </c>
      <c r="BB88" s="542">
        <v>4108483</v>
      </c>
      <c r="BC88" s="542">
        <v>2234553</v>
      </c>
      <c r="BD88" s="542">
        <v>1340732</v>
      </c>
      <c r="BE88" s="542">
        <v>893821</v>
      </c>
      <c r="BF88" s="542">
        <v>0</v>
      </c>
      <c r="BG88" s="542">
        <v>4469106</v>
      </c>
      <c r="BH88" s="542">
        <v>-10284799</v>
      </c>
      <c r="BI88" s="542">
        <v>-6170879</v>
      </c>
      <c r="BJ88" s="542">
        <v>-4113920</v>
      </c>
      <c r="BK88" s="542">
        <v>0</v>
      </c>
      <c r="BL88" s="542">
        <v>-20569598</v>
      </c>
      <c r="BM88" s="542">
        <v>3186121</v>
      </c>
      <c r="BN88" s="542">
        <v>1911673</v>
      </c>
      <c r="BO88" s="542">
        <v>1274448</v>
      </c>
      <c r="BP88" s="542">
        <v>0</v>
      </c>
      <c r="BQ88" s="542">
        <v>6372242</v>
      </c>
      <c r="BR88" s="542">
        <v>0</v>
      </c>
      <c r="BS88" s="542">
        <v>0</v>
      </c>
      <c r="BT88" s="542">
        <v>0</v>
      </c>
      <c r="BU88" s="542">
        <v>0</v>
      </c>
      <c r="BV88" s="542">
        <v>0</v>
      </c>
      <c r="BW88" s="542">
        <v>-7098678</v>
      </c>
      <c r="BX88" s="542">
        <v>-4259206</v>
      </c>
      <c r="BY88" s="542">
        <v>-2839472</v>
      </c>
      <c r="BZ88" s="542">
        <v>0</v>
      </c>
      <c r="CA88" s="542">
        <v>-14197356</v>
      </c>
    </row>
    <row r="89" spans="1:79" ht="12.75" x14ac:dyDescent="0.2">
      <c r="A89" s="93">
        <v>83</v>
      </c>
      <c r="B89" s="145" t="s">
        <v>44</v>
      </c>
      <c r="C89" s="141" t="s">
        <v>866</v>
      </c>
      <c r="D89" s="142" t="s">
        <v>870</v>
      </c>
      <c r="E89" s="149" t="s">
        <v>43</v>
      </c>
      <c r="F89" s="543">
        <v>0.5</v>
      </c>
      <c r="G89" s="543">
        <v>0.4</v>
      </c>
      <c r="H89" s="543">
        <v>0.09</v>
      </c>
      <c r="I89" s="543">
        <v>0.01</v>
      </c>
      <c r="J89" s="543">
        <v>1</v>
      </c>
      <c r="K89" s="542">
        <v>9124434</v>
      </c>
      <c r="L89" s="542">
        <v>7299547</v>
      </c>
      <c r="M89" s="542">
        <v>1642398</v>
      </c>
      <c r="N89" s="542">
        <v>182489</v>
      </c>
      <c r="O89" s="542">
        <v>18248868</v>
      </c>
      <c r="P89" s="542">
        <v>0</v>
      </c>
      <c r="Q89" s="542">
        <v>0</v>
      </c>
      <c r="R89" s="542">
        <v>9124434</v>
      </c>
      <c r="S89" s="542">
        <v>91787</v>
      </c>
      <c r="T89" s="542">
        <v>91787</v>
      </c>
      <c r="U89" s="542">
        <v>0</v>
      </c>
      <c r="V89" s="542">
        <v>0</v>
      </c>
      <c r="W89" s="542">
        <v>77408</v>
      </c>
      <c r="X89" s="542">
        <v>0</v>
      </c>
      <c r="Y89" s="542">
        <v>77408</v>
      </c>
      <c r="Z89" s="542">
        <v>0</v>
      </c>
      <c r="AA89" s="542">
        <v>0</v>
      </c>
      <c r="AB89" s="542">
        <v>0</v>
      </c>
      <c r="AC89" s="542">
        <v>0</v>
      </c>
      <c r="AD89" s="542">
        <v>255999</v>
      </c>
      <c r="AE89" s="542">
        <v>204799</v>
      </c>
      <c r="AF89" s="542">
        <v>46080</v>
      </c>
      <c r="AG89" s="542">
        <v>5120</v>
      </c>
      <c r="AH89" s="542">
        <v>511998</v>
      </c>
      <c r="AI89" s="542">
        <v>-112544</v>
      </c>
      <c r="AJ89" s="542">
        <v>-90036</v>
      </c>
      <c r="AK89" s="542">
        <v>-20258</v>
      </c>
      <c r="AL89" s="542">
        <v>-2251</v>
      </c>
      <c r="AM89" s="542">
        <v>-225089</v>
      </c>
      <c r="AN89" s="542">
        <v>-75257.47</v>
      </c>
      <c r="AO89" s="542">
        <v>-60207</v>
      </c>
      <c r="AP89" s="542">
        <v>-13547</v>
      </c>
      <c r="AQ89" s="542">
        <v>-1506</v>
      </c>
      <c r="AR89" s="542">
        <v>-150517.47</v>
      </c>
      <c r="AS89" s="542">
        <v>18622</v>
      </c>
      <c r="AT89" s="542">
        <v>14898</v>
      </c>
      <c r="AU89" s="542">
        <v>3352</v>
      </c>
      <c r="AV89" s="542">
        <v>372</v>
      </c>
      <c r="AW89" s="542">
        <v>37244</v>
      </c>
      <c r="AX89" s="542">
        <v>-59503</v>
      </c>
      <c r="AY89" s="542">
        <v>-47602</v>
      </c>
      <c r="AZ89" s="542">
        <v>-10710</v>
      </c>
      <c r="BA89" s="542">
        <v>-1190</v>
      </c>
      <c r="BB89" s="542">
        <v>-119005</v>
      </c>
      <c r="BC89" s="542">
        <v>-116138.47</v>
      </c>
      <c r="BD89" s="542">
        <v>-92911</v>
      </c>
      <c r="BE89" s="542">
        <v>-20905</v>
      </c>
      <c r="BF89" s="542">
        <v>-2324</v>
      </c>
      <c r="BG89" s="542">
        <v>-232278.47</v>
      </c>
      <c r="BH89" s="542">
        <v>-475420</v>
      </c>
      <c r="BI89" s="542">
        <v>-380335</v>
      </c>
      <c r="BJ89" s="542">
        <v>-85575</v>
      </c>
      <c r="BK89" s="542">
        <v>-9509</v>
      </c>
      <c r="BL89" s="542">
        <v>-950839</v>
      </c>
      <c r="BM89" s="542">
        <v>235953</v>
      </c>
      <c r="BN89" s="542">
        <v>188763</v>
      </c>
      <c r="BO89" s="542">
        <v>42472</v>
      </c>
      <c r="BP89" s="542">
        <v>4719</v>
      </c>
      <c r="BQ89" s="542">
        <v>471907</v>
      </c>
      <c r="BR89" s="542">
        <v>-20392</v>
      </c>
      <c r="BS89" s="542">
        <v>-16314</v>
      </c>
      <c r="BT89" s="542">
        <v>-3671</v>
      </c>
      <c r="BU89" s="542">
        <v>-408</v>
      </c>
      <c r="BV89" s="542">
        <v>-40785</v>
      </c>
      <c r="BW89" s="542">
        <v>-259859</v>
      </c>
      <c r="BX89" s="542">
        <v>-207886</v>
      </c>
      <c r="BY89" s="542">
        <v>-46774</v>
      </c>
      <c r="BZ89" s="542">
        <v>-5198</v>
      </c>
      <c r="CA89" s="542">
        <v>-519717</v>
      </c>
    </row>
    <row r="90" spans="1:79" ht="12.75" x14ac:dyDescent="0.2">
      <c r="A90" s="93">
        <v>84</v>
      </c>
      <c r="B90" s="145" t="s">
        <v>46</v>
      </c>
      <c r="C90" s="141" t="s">
        <v>866</v>
      </c>
      <c r="D90" s="142" t="s">
        <v>875</v>
      </c>
      <c r="E90" s="149" t="s">
        <v>45</v>
      </c>
      <c r="F90" s="543">
        <v>0.5</v>
      </c>
      <c r="G90" s="543">
        <v>0.4</v>
      </c>
      <c r="H90" s="543">
        <v>0.09</v>
      </c>
      <c r="I90" s="543">
        <v>0.01</v>
      </c>
      <c r="J90" s="543">
        <v>1</v>
      </c>
      <c r="K90" s="542">
        <v>14618670</v>
      </c>
      <c r="L90" s="542">
        <v>11694936</v>
      </c>
      <c r="M90" s="542">
        <v>2631361</v>
      </c>
      <c r="N90" s="542">
        <v>292373</v>
      </c>
      <c r="O90" s="542">
        <v>29237340</v>
      </c>
      <c r="P90" s="542">
        <v>0</v>
      </c>
      <c r="Q90" s="542">
        <v>0</v>
      </c>
      <c r="R90" s="542">
        <v>14618670</v>
      </c>
      <c r="S90" s="542">
        <v>227568</v>
      </c>
      <c r="T90" s="542">
        <v>227568</v>
      </c>
      <c r="U90" s="542">
        <v>0</v>
      </c>
      <c r="V90" s="542">
        <v>0</v>
      </c>
      <c r="W90" s="542">
        <v>122152</v>
      </c>
      <c r="X90" s="542">
        <v>0</v>
      </c>
      <c r="Y90" s="542">
        <v>122152</v>
      </c>
      <c r="Z90" s="542">
        <v>0</v>
      </c>
      <c r="AA90" s="542">
        <v>0</v>
      </c>
      <c r="AB90" s="542">
        <v>0</v>
      </c>
      <c r="AC90" s="542">
        <v>0</v>
      </c>
      <c r="AD90" s="542">
        <v>335836</v>
      </c>
      <c r="AE90" s="542">
        <v>268670</v>
      </c>
      <c r="AF90" s="542">
        <v>60451</v>
      </c>
      <c r="AG90" s="542">
        <v>6717</v>
      </c>
      <c r="AH90" s="542">
        <v>671674</v>
      </c>
      <c r="AI90" s="542">
        <v>-191201</v>
      </c>
      <c r="AJ90" s="542">
        <v>-152961</v>
      </c>
      <c r="AK90" s="542">
        <v>-34416</v>
      </c>
      <c r="AL90" s="542">
        <v>-3824</v>
      </c>
      <c r="AM90" s="542">
        <v>-382402</v>
      </c>
      <c r="AN90" s="542">
        <v>-63000</v>
      </c>
      <c r="AO90" s="542">
        <v>-50400</v>
      </c>
      <c r="AP90" s="542">
        <v>-11340</v>
      </c>
      <c r="AQ90" s="542">
        <v>-1260</v>
      </c>
      <c r="AR90" s="542">
        <v>-126000</v>
      </c>
      <c r="AS90" s="542">
        <v>63000</v>
      </c>
      <c r="AT90" s="542">
        <v>50400</v>
      </c>
      <c r="AU90" s="542">
        <v>11340</v>
      </c>
      <c r="AV90" s="542">
        <v>1260</v>
      </c>
      <c r="AW90" s="542">
        <v>126000</v>
      </c>
      <c r="AX90" s="542">
        <v>-71416</v>
      </c>
      <c r="AY90" s="542">
        <v>-57132</v>
      </c>
      <c r="AZ90" s="542">
        <v>-12855</v>
      </c>
      <c r="BA90" s="542">
        <v>-1428</v>
      </c>
      <c r="BB90" s="542">
        <v>-142831</v>
      </c>
      <c r="BC90" s="542">
        <v>-71416</v>
      </c>
      <c r="BD90" s="542">
        <v>-57132</v>
      </c>
      <c r="BE90" s="542">
        <v>-12855</v>
      </c>
      <c r="BF90" s="542">
        <v>-1428</v>
      </c>
      <c r="BG90" s="542">
        <v>-142831</v>
      </c>
      <c r="BH90" s="542">
        <v>-785673</v>
      </c>
      <c r="BI90" s="542">
        <v>-628537</v>
      </c>
      <c r="BJ90" s="542">
        <v>-141421</v>
      </c>
      <c r="BK90" s="542">
        <v>-15713</v>
      </c>
      <c r="BL90" s="542">
        <v>-1571344</v>
      </c>
      <c r="BM90" s="542">
        <v>685814</v>
      </c>
      <c r="BN90" s="542">
        <v>548651</v>
      </c>
      <c r="BO90" s="542">
        <v>123447</v>
      </c>
      <c r="BP90" s="542">
        <v>13716</v>
      </c>
      <c r="BQ90" s="542">
        <v>1371628</v>
      </c>
      <c r="BR90" s="542">
        <v>-1624785</v>
      </c>
      <c r="BS90" s="542">
        <v>-1299828</v>
      </c>
      <c r="BT90" s="542">
        <v>-292461</v>
      </c>
      <c r="BU90" s="542">
        <v>-32496</v>
      </c>
      <c r="BV90" s="542">
        <v>-3249570</v>
      </c>
      <c r="BW90" s="542">
        <v>-1724644</v>
      </c>
      <c r="BX90" s="542">
        <v>-1379714</v>
      </c>
      <c r="BY90" s="542">
        <v>-310435</v>
      </c>
      <c r="BZ90" s="542">
        <v>-34493</v>
      </c>
      <c r="CA90" s="542">
        <v>-3449286</v>
      </c>
    </row>
    <row r="91" spans="1:79" ht="12.75" x14ac:dyDescent="0.2">
      <c r="A91" s="93">
        <v>85</v>
      </c>
      <c r="B91" s="145" t="s">
        <v>48</v>
      </c>
      <c r="C91" s="141" t="s">
        <v>866</v>
      </c>
      <c r="D91" s="142" t="s">
        <v>875</v>
      </c>
      <c r="E91" s="149" t="s">
        <v>47</v>
      </c>
      <c r="F91" s="543">
        <v>0.5</v>
      </c>
      <c r="G91" s="543">
        <v>0.4</v>
      </c>
      <c r="H91" s="543">
        <v>0.09</v>
      </c>
      <c r="I91" s="543">
        <v>0.01</v>
      </c>
      <c r="J91" s="543">
        <v>1</v>
      </c>
      <c r="K91" s="542">
        <v>10614827.6</v>
      </c>
      <c r="L91" s="542">
        <v>8491862</v>
      </c>
      <c r="M91" s="542">
        <v>1910669</v>
      </c>
      <c r="N91" s="542">
        <v>212297</v>
      </c>
      <c r="O91" s="542">
        <v>21229655.600000001</v>
      </c>
      <c r="P91" s="542">
        <v>0</v>
      </c>
      <c r="Q91" s="542">
        <v>0</v>
      </c>
      <c r="R91" s="542">
        <v>10614827.6</v>
      </c>
      <c r="S91" s="542">
        <v>109348</v>
      </c>
      <c r="T91" s="542">
        <v>109348</v>
      </c>
      <c r="U91" s="542">
        <v>0</v>
      </c>
      <c r="V91" s="542">
        <v>0</v>
      </c>
      <c r="W91" s="542">
        <v>43601</v>
      </c>
      <c r="X91" s="542">
        <v>0</v>
      </c>
      <c r="Y91" s="542">
        <v>43601</v>
      </c>
      <c r="Z91" s="542">
        <v>0</v>
      </c>
      <c r="AA91" s="542">
        <v>0</v>
      </c>
      <c r="AB91" s="542">
        <v>0</v>
      </c>
      <c r="AC91" s="542">
        <v>0</v>
      </c>
      <c r="AD91" s="542">
        <v>434991</v>
      </c>
      <c r="AE91" s="542">
        <v>347994</v>
      </c>
      <c r="AF91" s="542">
        <v>78299</v>
      </c>
      <c r="AG91" s="542">
        <v>8700</v>
      </c>
      <c r="AH91" s="542">
        <v>869984</v>
      </c>
      <c r="AI91" s="542">
        <v>-62516</v>
      </c>
      <c r="AJ91" s="542">
        <v>-50013</v>
      </c>
      <c r="AK91" s="542">
        <v>-11253</v>
      </c>
      <c r="AL91" s="542">
        <v>-1250</v>
      </c>
      <c r="AM91" s="542">
        <v>-125032</v>
      </c>
      <c r="AN91" s="542">
        <v>-133002</v>
      </c>
      <c r="AO91" s="542">
        <v>-106403</v>
      </c>
      <c r="AP91" s="542">
        <v>-23941</v>
      </c>
      <c r="AQ91" s="542">
        <v>-2660</v>
      </c>
      <c r="AR91" s="542">
        <v>-266006</v>
      </c>
      <c r="AS91" s="542">
        <v>84597</v>
      </c>
      <c r="AT91" s="542">
        <v>67677</v>
      </c>
      <c r="AU91" s="542">
        <v>15227</v>
      </c>
      <c r="AV91" s="542">
        <v>1692</v>
      </c>
      <c r="AW91" s="542">
        <v>169193</v>
      </c>
      <c r="AX91" s="542">
        <v>-149985</v>
      </c>
      <c r="AY91" s="542">
        <v>-119988</v>
      </c>
      <c r="AZ91" s="542">
        <v>-26997</v>
      </c>
      <c r="BA91" s="542">
        <v>-3000</v>
      </c>
      <c r="BB91" s="542">
        <v>-299970</v>
      </c>
      <c r="BC91" s="542">
        <v>-198390</v>
      </c>
      <c r="BD91" s="542">
        <v>-158714</v>
      </c>
      <c r="BE91" s="542">
        <v>-35711</v>
      </c>
      <c r="BF91" s="542">
        <v>-3968</v>
      </c>
      <c r="BG91" s="542">
        <v>-396783</v>
      </c>
      <c r="BH91" s="542">
        <v>-586194</v>
      </c>
      <c r="BI91" s="542">
        <v>-468956</v>
      </c>
      <c r="BJ91" s="542">
        <v>-105515</v>
      </c>
      <c r="BK91" s="542">
        <v>-11724</v>
      </c>
      <c r="BL91" s="542">
        <v>-1172389</v>
      </c>
      <c r="BM91" s="542">
        <v>420094</v>
      </c>
      <c r="BN91" s="542">
        <v>336076</v>
      </c>
      <c r="BO91" s="542">
        <v>75617</v>
      </c>
      <c r="BP91" s="542">
        <v>8402</v>
      </c>
      <c r="BQ91" s="542">
        <v>840189</v>
      </c>
      <c r="BR91" s="542">
        <v>-300827.40000000002</v>
      </c>
      <c r="BS91" s="542">
        <v>-240662</v>
      </c>
      <c r="BT91" s="542">
        <v>-54149</v>
      </c>
      <c r="BU91" s="542">
        <v>-6017</v>
      </c>
      <c r="BV91" s="542">
        <v>-601655.4</v>
      </c>
      <c r="BW91" s="542">
        <v>-466927.4</v>
      </c>
      <c r="BX91" s="542">
        <v>-373542</v>
      </c>
      <c r="BY91" s="542">
        <v>-84047</v>
      </c>
      <c r="BZ91" s="542">
        <v>-9339</v>
      </c>
      <c r="CA91" s="542">
        <v>-933855.4</v>
      </c>
    </row>
    <row r="92" spans="1:79" ht="12.75" x14ac:dyDescent="0.2">
      <c r="A92" s="93">
        <v>86</v>
      </c>
      <c r="B92" s="145" t="s">
        <v>50</v>
      </c>
      <c r="C92" s="141" t="s">
        <v>866</v>
      </c>
      <c r="D92" s="142" t="s">
        <v>867</v>
      </c>
      <c r="E92" s="149" t="s">
        <v>49</v>
      </c>
      <c r="F92" s="543">
        <v>0.5</v>
      </c>
      <c r="G92" s="543">
        <v>0.4</v>
      </c>
      <c r="H92" s="543">
        <v>0.09</v>
      </c>
      <c r="I92" s="543">
        <v>0.01</v>
      </c>
      <c r="J92" s="543">
        <v>1</v>
      </c>
      <c r="K92" s="542">
        <v>14742451</v>
      </c>
      <c r="L92" s="542">
        <v>11793961</v>
      </c>
      <c r="M92" s="542">
        <v>2653641</v>
      </c>
      <c r="N92" s="542">
        <v>294849</v>
      </c>
      <c r="O92" s="542">
        <v>29484902</v>
      </c>
      <c r="P92" s="542">
        <v>0</v>
      </c>
      <c r="Q92" s="542">
        <v>0</v>
      </c>
      <c r="R92" s="542">
        <v>14742451</v>
      </c>
      <c r="S92" s="542">
        <v>151081</v>
      </c>
      <c r="T92" s="542">
        <v>151081</v>
      </c>
      <c r="U92" s="542">
        <v>0</v>
      </c>
      <c r="V92" s="542">
        <v>0</v>
      </c>
      <c r="W92" s="542">
        <v>0</v>
      </c>
      <c r="X92" s="542">
        <v>0</v>
      </c>
      <c r="Y92" s="542">
        <v>0</v>
      </c>
      <c r="Z92" s="542">
        <v>0</v>
      </c>
      <c r="AA92" s="542">
        <v>0</v>
      </c>
      <c r="AB92" s="542">
        <v>0</v>
      </c>
      <c r="AC92" s="542">
        <v>0</v>
      </c>
      <c r="AD92" s="542">
        <v>185528</v>
      </c>
      <c r="AE92" s="542">
        <v>148423</v>
      </c>
      <c r="AF92" s="542">
        <v>33395</v>
      </c>
      <c r="AG92" s="542">
        <v>3711</v>
      </c>
      <c r="AH92" s="542">
        <v>371057</v>
      </c>
      <c r="AI92" s="542">
        <v>-86536</v>
      </c>
      <c r="AJ92" s="542">
        <v>-69230</v>
      </c>
      <c r="AK92" s="542">
        <v>-15577</v>
      </c>
      <c r="AL92" s="542">
        <v>-1731</v>
      </c>
      <c r="AM92" s="542">
        <v>-173074</v>
      </c>
      <c r="AN92" s="542">
        <v>-134064</v>
      </c>
      <c r="AO92" s="542">
        <v>-107250</v>
      </c>
      <c r="AP92" s="542">
        <v>-24131</v>
      </c>
      <c r="AQ92" s="542">
        <v>-2682</v>
      </c>
      <c r="AR92" s="542">
        <v>-268127</v>
      </c>
      <c r="AS92" s="542">
        <v>78283</v>
      </c>
      <c r="AT92" s="542">
        <v>62626</v>
      </c>
      <c r="AU92" s="542">
        <v>14091</v>
      </c>
      <c r="AV92" s="542">
        <v>1566</v>
      </c>
      <c r="AW92" s="542">
        <v>156566</v>
      </c>
      <c r="AX92" s="542">
        <v>-40484</v>
      </c>
      <c r="AY92" s="542">
        <v>-32388</v>
      </c>
      <c r="AZ92" s="542">
        <v>-7287</v>
      </c>
      <c r="BA92" s="542">
        <v>-810</v>
      </c>
      <c r="BB92" s="542">
        <v>-80969</v>
      </c>
      <c r="BC92" s="542">
        <v>-96265</v>
      </c>
      <c r="BD92" s="542">
        <v>-77012</v>
      </c>
      <c r="BE92" s="542">
        <v>-17327</v>
      </c>
      <c r="BF92" s="542">
        <v>-1926</v>
      </c>
      <c r="BG92" s="542">
        <v>-192530</v>
      </c>
      <c r="BH92" s="542">
        <v>-792659</v>
      </c>
      <c r="BI92" s="542">
        <v>-634127</v>
      </c>
      <c r="BJ92" s="542">
        <v>-142679</v>
      </c>
      <c r="BK92" s="542">
        <v>-15853</v>
      </c>
      <c r="BL92" s="542">
        <v>-1585318</v>
      </c>
      <c r="BM92" s="542">
        <v>0</v>
      </c>
      <c r="BN92" s="542">
        <v>0</v>
      </c>
      <c r="BO92" s="542">
        <v>0</v>
      </c>
      <c r="BP92" s="542">
        <v>0</v>
      </c>
      <c r="BQ92" s="542">
        <v>0</v>
      </c>
      <c r="BR92" s="542">
        <v>539264</v>
      </c>
      <c r="BS92" s="542">
        <v>431412</v>
      </c>
      <c r="BT92" s="542">
        <v>97068</v>
      </c>
      <c r="BU92" s="542">
        <v>10785</v>
      </c>
      <c r="BV92" s="542">
        <v>1078529</v>
      </c>
      <c r="BW92" s="542">
        <v>-253395</v>
      </c>
      <c r="BX92" s="542">
        <v>-202715</v>
      </c>
      <c r="BY92" s="542">
        <v>-45611</v>
      </c>
      <c r="BZ92" s="542">
        <v>-5068</v>
      </c>
      <c r="CA92" s="542">
        <v>-506789</v>
      </c>
    </row>
    <row r="93" spans="1:79" ht="12.75" x14ac:dyDescent="0.2">
      <c r="A93" s="93">
        <v>87</v>
      </c>
      <c r="B93" s="145" t="s">
        <v>52</v>
      </c>
      <c r="C93" s="141" t="s">
        <v>866</v>
      </c>
      <c r="D93" s="142" t="s">
        <v>870</v>
      </c>
      <c r="E93" s="149" t="s">
        <v>51</v>
      </c>
      <c r="F93" s="543">
        <v>0.5</v>
      </c>
      <c r="G93" s="543">
        <v>0.4</v>
      </c>
      <c r="H93" s="543">
        <v>0.1</v>
      </c>
      <c r="I93" s="543">
        <v>0</v>
      </c>
      <c r="J93" s="543">
        <v>1</v>
      </c>
      <c r="K93" s="542">
        <v>19312393</v>
      </c>
      <c r="L93" s="542">
        <v>15449915</v>
      </c>
      <c r="M93" s="542">
        <v>3862479</v>
      </c>
      <c r="N93" s="542">
        <v>0</v>
      </c>
      <c r="O93" s="542">
        <v>38624787</v>
      </c>
      <c r="P93" s="542">
        <v>0</v>
      </c>
      <c r="Q93" s="542">
        <v>0</v>
      </c>
      <c r="R93" s="542">
        <v>19312393</v>
      </c>
      <c r="S93" s="542">
        <v>197093</v>
      </c>
      <c r="T93" s="542">
        <v>197093</v>
      </c>
      <c r="U93" s="542">
        <v>0</v>
      </c>
      <c r="V93" s="542">
        <v>0</v>
      </c>
      <c r="W93" s="542">
        <v>0</v>
      </c>
      <c r="X93" s="542">
        <v>0</v>
      </c>
      <c r="Y93" s="542">
        <v>0</v>
      </c>
      <c r="Z93" s="542">
        <v>0</v>
      </c>
      <c r="AA93" s="542">
        <v>0</v>
      </c>
      <c r="AB93" s="542">
        <v>0</v>
      </c>
      <c r="AC93" s="542">
        <v>0</v>
      </c>
      <c r="AD93" s="542">
        <v>929840</v>
      </c>
      <c r="AE93" s="542">
        <v>743872</v>
      </c>
      <c r="AF93" s="542">
        <v>185968</v>
      </c>
      <c r="AG93" s="542">
        <v>0</v>
      </c>
      <c r="AH93" s="542">
        <v>1859680</v>
      </c>
      <c r="AI93" s="542">
        <v>-85787</v>
      </c>
      <c r="AJ93" s="542">
        <v>-68630</v>
      </c>
      <c r="AK93" s="542">
        <v>-17157</v>
      </c>
      <c r="AL93" s="542">
        <v>0</v>
      </c>
      <c r="AM93" s="542">
        <v>-171574</v>
      </c>
      <c r="AN93" s="542">
        <v>-698168</v>
      </c>
      <c r="AO93" s="542">
        <v>-558534</v>
      </c>
      <c r="AP93" s="542">
        <v>-139634</v>
      </c>
      <c r="AQ93" s="542">
        <v>0</v>
      </c>
      <c r="AR93" s="542">
        <v>-1396336</v>
      </c>
      <c r="AS93" s="542">
        <v>465313</v>
      </c>
      <c r="AT93" s="542">
        <v>372251</v>
      </c>
      <c r="AU93" s="542">
        <v>93063</v>
      </c>
      <c r="AV93" s="542">
        <v>0</v>
      </c>
      <c r="AW93" s="542">
        <v>930627</v>
      </c>
      <c r="AX93" s="542">
        <v>-300529</v>
      </c>
      <c r="AY93" s="542">
        <v>-240423</v>
      </c>
      <c r="AZ93" s="542">
        <v>-60106</v>
      </c>
      <c r="BA93" s="542">
        <v>0</v>
      </c>
      <c r="BB93" s="542">
        <v>-601058</v>
      </c>
      <c r="BC93" s="542">
        <v>-533384</v>
      </c>
      <c r="BD93" s="542">
        <v>-426706</v>
      </c>
      <c r="BE93" s="542">
        <v>-106677</v>
      </c>
      <c r="BF93" s="542">
        <v>0</v>
      </c>
      <c r="BG93" s="542">
        <v>-1066767</v>
      </c>
      <c r="BH93" s="542">
        <v>-1280140</v>
      </c>
      <c r="BI93" s="542">
        <v>-1024112</v>
      </c>
      <c r="BJ93" s="542">
        <v>-256028</v>
      </c>
      <c r="BK93" s="542">
        <v>0</v>
      </c>
      <c r="BL93" s="542">
        <v>-2560280</v>
      </c>
      <c r="BM93" s="542">
        <v>782897</v>
      </c>
      <c r="BN93" s="542">
        <v>626317</v>
      </c>
      <c r="BO93" s="542">
        <v>156579</v>
      </c>
      <c r="BP93" s="542">
        <v>0</v>
      </c>
      <c r="BQ93" s="542">
        <v>1565793</v>
      </c>
      <c r="BR93" s="542">
        <v>-2651077</v>
      </c>
      <c r="BS93" s="542">
        <v>-2120862</v>
      </c>
      <c r="BT93" s="542">
        <v>-530216</v>
      </c>
      <c r="BU93" s="542">
        <v>0</v>
      </c>
      <c r="BV93" s="542">
        <v>-5302155</v>
      </c>
      <c r="BW93" s="542">
        <v>-3148320</v>
      </c>
      <c r="BX93" s="542">
        <v>-2518657</v>
      </c>
      <c r="BY93" s="542">
        <v>-629665</v>
      </c>
      <c r="BZ93" s="542">
        <v>0</v>
      </c>
      <c r="CA93" s="542">
        <v>-6296642</v>
      </c>
    </row>
    <row r="94" spans="1:79" ht="12.75" x14ac:dyDescent="0.2">
      <c r="A94" s="93">
        <v>88</v>
      </c>
      <c r="B94" s="145" t="s">
        <v>54</v>
      </c>
      <c r="C94" s="141" t="s">
        <v>866</v>
      </c>
      <c r="D94" s="142" t="s">
        <v>869</v>
      </c>
      <c r="E94" s="149" t="s">
        <v>53</v>
      </c>
      <c r="F94" s="543">
        <v>0.5</v>
      </c>
      <c r="G94" s="543">
        <v>0.4</v>
      </c>
      <c r="H94" s="543">
        <v>0.1</v>
      </c>
      <c r="I94" s="543">
        <v>0</v>
      </c>
      <c r="J94" s="543">
        <v>1</v>
      </c>
      <c r="K94" s="542">
        <v>15439471</v>
      </c>
      <c r="L94" s="542">
        <v>12351577</v>
      </c>
      <c r="M94" s="542">
        <v>3087894</v>
      </c>
      <c r="N94" s="542">
        <v>0</v>
      </c>
      <c r="O94" s="542">
        <v>30878942</v>
      </c>
      <c r="P94" s="542">
        <v>0</v>
      </c>
      <c r="Q94" s="542">
        <v>0</v>
      </c>
      <c r="R94" s="542">
        <v>15439471</v>
      </c>
      <c r="S94" s="542">
        <v>269433</v>
      </c>
      <c r="T94" s="542">
        <v>269433</v>
      </c>
      <c r="U94" s="542">
        <v>0</v>
      </c>
      <c r="V94" s="542">
        <v>0</v>
      </c>
      <c r="W94" s="542">
        <v>70647</v>
      </c>
      <c r="X94" s="542">
        <v>0</v>
      </c>
      <c r="Y94" s="542">
        <v>70647</v>
      </c>
      <c r="Z94" s="542">
        <v>0</v>
      </c>
      <c r="AA94" s="542">
        <v>0</v>
      </c>
      <c r="AB94" s="542">
        <v>0</v>
      </c>
      <c r="AC94" s="542">
        <v>0</v>
      </c>
      <c r="AD94" s="542">
        <v>1076582</v>
      </c>
      <c r="AE94" s="542">
        <v>861266</v>
      </c>
      <c r="AF94" s="542">
        <v>215317</v>
      </c>
      <c r="AG94" s="542">
        <v>0</v>
      </c>
      <c r="AH94" s="542">
        <v>2153165</v>
      </c>
      <c r="AI94" s="542">
        <v>-548959</v>
      </c>
      <c r="AJ94" s="542">
        <v>-439167</v>
      </c>
      <c r="AK94" s="542">
        <v>-109792</v>
      </c>
      <c r="AL94" s="542">
        <v>0</v>
      </c>
      <c r="AM94" s="542">
        <v>-1097918</v>
      </c>
      <c r="AN94" s="542">
        <v>-358000</v>
      </c>
      <c r="AO94" s="542">
        <v>-286400</v>
      </c>
      <c r="AP94" s="542">
        <v>-71600</v>
      </c>
      <c r="AQ94" s="542">
        <v>0</v>
      </c>
      <c r="AR94" s="542">
        <v>-716000</v>
      </c>
      <c r="AS94" s="542">
        <v>214952</v>
      </c>
      <c r="AT94" s="542">
        <v>171961</v>
      </c>
      <c r="AU94" s="542">
        <v>42990</v>
      </c>
      <c r="AV94" s="542">
        <v>0</v>
      </c>
      <c r="AW94" s="542">
        <v>429903</v>
      </c>
      <c r="AX94" s="542">
        <v>-285952</v>
      </c>
      <c r="AY94" s="542">
        <v>-228761</v>
      </c>
      <c r="AZ94" s="542">
        <v>-57190</v>
      </c>
      <c r="BA94" s="542">
        <v>0</v>
      </c>
      <c r="BB94" s="542">
        <v>-571903</v>
      </c>
      <c r="BC94" s="542">
        <v>-429000</v>
      </c>
      <c r="BD94" s="542">
        <v>-343200</v>
      </c>
      <c r="BE94" s="542">
        <v>-85800</v>
      </c>
      <c r="BF94" s="542">
        <v>0</v>
      </c>
      <c r="BG94" s="542">
        <v>-858000</v>
      </c>
      <c r="BH94" s="542">
        <v>-755406</v>
      </c>
      <c r="BI94" s="542">
        <v>-604326</v>
      </c>
      <c r="BJ94" s="542">
        <v>-151081</v>
      </c>
      <c r="BK94" s="542">
        <v>0</v>
      </c>
      <c r="BL94" s="542">
        <v>-1510813</v>
      </c>
      <c r="BM94" s="542">
        <v>156868</v>
      </c>
      <c r="BN94" s="542">
        <v>125494</v>
      </c>
      <c r="BO94" s="542">
        <v>31374</v>
      </c>
      <c r="BP94" s="542">
        <v>0</v>
      </c>
      <c r="BQ94" s="542">
        <v>313736</v>
      </c>
      <c r="BR94" s="542">
        <v>-812858</v>
      </c>
      <c r="BS94" s="542">
        <v>-650286</v>
      </c>
      <c r="BT94" s="542">
        <v>-162572</v>
      </c>
      <c r="BU94" s="542">
        <v>0</v>
      </c>
      <c r="BV94" s="542">
        <v>-1625716</v>
      </c>
      <c r="BW94" s="542">
        <v>-1411396</v>
      </c>
      <c r="BX94" s="542">
        <v>-1129118</v>
      </c>
      <c r="BY94" s="542">
        <v>-282279</v>
      </c>
      <c r="BZ94" s="542">
        <v>0</v>
      </c>
      <c r="CA94" s="542">
        <v>-2822793</v>
      </c>
    </row>
    <row r="95" spans="1:79" ht="12.75" x14ac:dyDescent="0.2">
      <c r="A95" s="93">
        <v>89</v>
      </c>
      <c r="B95" s="145" t="s">
        <v>56</v>
      </c>
      <c r="C95" s="141" t="s">
        <v>866</v>
      </c>
      <c r="D95" s="142" t="s">
        <v>869</v>
      </c>
      <c r="E95" s="149" t="s">
        <v>55</v>
      </c>
      <c r="F95" s="543">
        <v>0.5</v>
      </c>
      <c r="G95" s="543">
        <v>0.4</v>
      </c>
      <c r="H95" s="543">
        <v>0.1</v>
      </c>
      <c r="I95" s="543">
        <v>0</v>
      </c>
      <c r="J95" s="543">
        <v>1</v>
      </c>
      <c r="K95" s="542">
        <v>9905459</v>
      </c>
      <c r="L95" s="542">
        <v>7924367</v>
      </c>
      <c r="M95" s="542">
        <v>1981092</v>
      </c>
      <c r="N95" s="542">
        <v>0</v>
      </c>
      <c r="O95" s="542">
        <v>19810918</v>
      </c>
      <c r="P95" s="542">
        <v>0</v>
      </c>
      <c r="Q95" s="542">
        <v>0</v>
      </c>
      <c r="R95" s="542">
        <v>9905459</v>
      </c>
      <c r="S95" s="542">
        <v>99677</v>
      </c>
      <c r="T95" s="542">
        <v>99677</v>
      </c>
      <c r="U95" s="542">
        <v>0</v>
      </c>
      <c r="V95" s="542">
        <v>0</v>
      </c>
      <c r="W95" s="542">
        <v>547385</v>
      </c>
      <c r="X95" s="542">
        <v>0</v>
      </c>
      <c r="Y95" s="542">
        <v>547385</v>
      </c>
      <c r="Z95" s="542">
        <v>0</v>
      </c>
      <c r="AA95" s="542">
        <v>0</v>
      </c>
      <c r="AB95" s="542">
        <v>0</v>
      </c>
      <c r="AC95" s="542">
        <v>0</v>
      </c>
      <c r="AD95" s="542">
        <v>61950</v>
      </c>
      <c r="AE95" s="542">
        <v>49560</v>
      </c>
      <c r="AF95" s="542">
        <v>12390</v>
      </c>
      <c r="AG95" s="542">
        <v>0</v>
      </c>
      <c r="AH95" s="542">
        <v>123900</v>
      </c>
      <c r="AI95" s="542">
        <v>-90294</v>
      </c>
      <c r="AJ95" s="542">
        <v>-72235</v>
      </c>
      <c r="AK95" s="542">
        <v>-18059</v>
      </c>
      <c r="AL95" s="542">
        <v>0</v>
      </c>
      <c r="AM95" s="542">
        <v>-180588</v>
      </c>
      <c r="AN95" s="542">
        <v>-45528</v>
      </c>
      <c r="AO95" s="542">
        <v>-36421</v>
      </c>
      <c r="AP95" s="542">
        <v>-9105</v>
      </c>
      <c r="AQ95" s="542">
        <v>0</v>
      </c>
      <c r="AR95" s="542">
        <v>-91054</v>
      </c>
      <c r="AS95" s="542">
        <v>70127</v>
      </c>
      <c r="AT95" s="542">
        <v>56102</v>
      </c>
      <c r="AU95" s="542">
        <v>14026</v>
      </c>
      <c r="AV95" s="542">
        <v>0</v>
      </c>
      <c r="AW95" s="542">
        <v>140255</v>
      </c>
      <c r="AX95" s="542">
        <v>-60084</v>
      </c>
      <c r="AY95" s="542">
        <v>-48067</v>
      </c>
      <c r="AZ95" s="542">
        <v>-12017</v>
      </c>
      <c r="BA95" s="542">
        <v>0</v>
      </c>
      <c r="BB95" s="542">
        <v>-120168</v>
      </c>
      <c r="BC95" s="542">
        <v>-35485</v>
      </c>
      <c r="BD95" s="542">
        <v>-28386</v>
      </c>
      <c r="BE95" s="542">
        <v>-7096</v>
      </c>
      <c r="BF95" s="542">
        <v>0</v>
      </c>
      <c r="BG95" s="542">
        <v>-70967</v>
      </c>
      <c r="BH95" s="542">
        <v>-206733</v>
      </c>
      <c r="BI95" s="542">
        <v>-165387</v>
      </c>
      <c r="BJ95" s="542">
        <v>-41347</v>
      </c>
      <c r="BK95" s="542">
        <v>0</v>
      </c>
      <c r="BL95" s="542">
        <v>-413467</v>
      </c>
      <c r="BM95" s="542">
        <v>116458</v>
      </c>
      <c r="BN95" s="542">
        <v>93167</v>
      </c>
      <c r="BO95" s="542">
        <v>23292</v>
      </c>
      <c r="BP95" s="542">
        <v>0</v>
      </c>
      <c r="BQ95" s="542">
        <v>232917</v>
      </c>
      <c r="BR95" s="542">
        <v>-847023</v>
      </c>
      <c r="BS95" s="542">
        <v>-677618</v>
      </c>
      <c r="BT95" s="542">
        <v>-169405</v>
      </c>
      <c r="BU95" s="542">
        <v>0</v>
      </c>
      <c r="BV95" s="542">
        <v>-1694046</v>
      </c>
      <c r="BW95" s="542">
        <v>-937298</v>
      </c>
      <c r="BX95" s="542">
        <v>-749838</v>
      </c>
      <c r="BY95" s="542">
        <v>-187460</v>
      </c>
      <c r="BZ95" s="542">
        <v>0</v>
      </c>
      <c r="CA95" s="542">
        <v>-1874596</v>
      </c>
    </row>
    <row r="96" spans="1:79" ht="12.75" x14ac:dyDescent="0.2">
      <c r="A96" s="93">
        <v>90</v>
      </c>
      <c r="B96" s="145" t="s">
        <v>58</v>
      </c>
      <c r="C96" s="141" t="s">
        <v>770</v>
      </c>
      <c r="D96" s="142" t="s">
        <v>874</v>
      </c>
      <c r="E96" s="149" t="s">
        <v>696</v>
      </c>
      <c r="F96" s="543">
        <v>0.5</v>
      </c>
      <c r="G96" s="543">
        <v>0.49</v>
      </c>
      <c r="H96" s="543">
        <v>0</v>
      </c>
      <c r="I96" s="543">
        <v>0.01</v>
      </c>
      <c r="J96" s="543">
        <v>1</v>
      </c>
      <c r="K96" s="542">
        <v>53914757</v>
      </c>
      <c r="L96" s="542">
        <v>52836462</v>
      </c>
      <c r="M96" s="542">
        <v>0</v>
      </c>
      <c r="N96" s="542">
        <v>1078295</v>
      </c>
      <c r="O96" s="542">
        <v>107829514</v>
      </c>
      <c r="P96" s="542">
        <v>203456.65</v>
      </c>
      <c r="Q96" s="542">
        <v>203456.65</v>
      </c>
      <c r="R96" s="542">
        <v>53711300.299999997</v>
      </c>
      <c r="S96" s="542">
        <v>435614</v>
      </c>
      <c r="T96" s="542">
        <v>435614</v>
      </c>
      <c r="U96" s="542">
        <v>0</v>
      </c>
      <c r="V96" s="542">
        <v>0</v>
      </c>
      <c r="W96" s="542">
        <v>1473938</v>
      </c>
      <c r="X96" s="542">
        <v>0</v>
      </c>
      <c r="Y96" s="542">
        <v>1473938</v>
      </c>
      <c r="Z96" s="542">
        <v>200671.2</v>
      </c>
      <c r="AA96" s="542">
        <v>0</v>
      </c>
      <c r="AB96" s="542">
        <v>2785.45</v>
      </c>
      <c r="AC96" s="542">
        <v>203456.65</v>
      </c>
      <c r="AD96" s="542">
        <v>2350255</v>
      </c>
      <c r="AE96" s="542">
        <v>2303249</v>
      </c>
      <c r="AF96" s="542">
        <v>0</v>
      </c>
      <c r="AG96" s="542">
        <v>47005</v>
      </c>
      <c r="AH96" s="542">
        <v>4700509</v>
      </c>
      <c r="AI96" s="542">
        <v>-1173756</v>
      </c>
      <c r="AJ96" s="542">
        <v>-1150281</v>
      </c>
      <c r="AK96" s="542">
        <v>0</v>
      </c>
      <c r="AL96" s="542">
        <v>-23475</v>
      </c>
      <c r="AM96" s="542">
        <v>-2347512</v>
      </c>
      <c r="AN96" s="542">
        <v>-767152</v>
      </c>
      <c r="AO96" s="542">
        <v>-751809</v>
      </c>
      <c r="AP96" s="542">
        <v>0</v>
      </c>
      <c r="AQ96" s="542">
        <v>-15343</v>
      </c>
      <c r="AR96" s="542">
        <v>-1534304</v>
      </c>
      <c r="AS96" s="542">
        <v>185851</v>
      </c>
      <c r="AT96" s="542">
        <v>182133</v>
      </c>
      <c r="AU96" s="542">
        <v>0</v>
      </c>
      <c r="AV96" s="542">
        <v>3717</v>
      </c>
      <c r="AW96" s="542">
        <v>371701</v>
      </c>
      <c r="AX96" s="542">
        <v>-405363</v>
      </c>
      <c r="AY96" s="542">
        <v>-397255</v>
      </c>
      <c r="AZ96" s="542">
        <v>0</v>
      </c>
      <c r="BA96" s="542">
        <v>-8107</v>
      </c>
      <c r="BB96" s="542">
        <v>-810725</v>
      </c>
      <c r="BC96" s="542">
        <v>-986664</v>
      </c>
      <c r="BD96" s="542">
        <v>-966931</v>
      </c>
      <c r="BE96" s="542">
        <v>0</v>
      </c>
      <c r="BF96" s="542">
        <v>-19733</v>
      </c>
      <c r="BG96" s="542">
        <v>-1973328</v>
      </c>
      <c r="BH96" s="542">
        <v>-1082775</v>
      </c>
      <c r="BI96" s="542">
        <v>-1061118</v>
      </c>
      <c r="BJ96" s="542">
        <v>0</v>
      </c>
      <c r="BK96" s="542">
        <v>-21655</v>
      </c>
      <c r="BL96" s="542">
        <v>-2165548</v>
      </c>
      <c r="BM96" s="542">
        <v>795873</v>
      </c>
      <c r="BN96" s="542">
        <v>779955</v>
      </c>
      <c r="BO96" s="542">
        <v>0</v>
      </c>
      <c r="BP96" s="542">
        <v>15917</v>
      </c>
      <c r="BQ96" s="542">
        <v>1591745</v>
      </c>
      <c r="BR96" s="542">
        <v>-5191364</v>
      </c>
      <c r="BS96" s="542">
        <v>-5087536</v>
      </c>
      <c r="BT96" s="542">
        <v>0</v>
      </c>
      <c r="BU96" s="542">
        <v>-103827</v>
      </c>
      <c r="BV96" s="542">
        <v>-10382727</v>
      </c>
      <c r="BW96" s="542">
        <v>-5478266</v>
      </c>
      <c r="BX96" s="542">
        <v>-5368699</v>
      </c>
      <c r="BY96" s="542">
        <v>0</v>
      </c>
      <c r="BZ96" s="542">
        <v>-109565</v>
      </c>
      <c r="CA96" s="542">
        <v>-10956530</v>
      </c>
    </row>
    <row r="97" spans="1:79" ht="12.75" x14ac:dyDescent="0.2">
      <c r="A97" s="93">
        <v>91</v>
      </c>
      <c r="B97" s="145" t="s">
        <v>60</v>
      </c>
      <c r="C97" s="141" t="s">
        <v>866</v>
      </c>
      <c r="D97" s="142" t="s">
        <v>876</v>
      </c>
      <c r="E97" s="149" t="s">
        <v>59</v>
      </c>
      <c r="F97" s="543">
        <v>0.5</v>
      </c>
      <c r="G97" s="543">
        <v>0.4</v>
      </c>
      <c r="H97" s="543">
        <v>0.09</v>
      </c>
      <c r="I97" s="543">
        <v>0.01</v>
      </c>
      <c r="J97" s="543">
        <v>1</v>
      </c>
      <c r="K97" s="542">
        <v>25860581</v>
      </c>
      <c r="L97" s="542">
        <v>20688464</v>
      </c>
      <c r="M97" s="542">
        <v>4654904</v>
      </c>
      <c r="N97" s="542">
        <v>517212</v>
      </c>
      <c r="O97" s="542">
        <v>51721161</v>
      </c>
      <c r="P97" s="542">
        <v>0</v>
      </c>
      <c r="Q97" s="542">
        <v>0</v>
      </c>
      <c r="R97" s="542">
        <v>25860581</v>
      </c>
      <c r="S97" s="542">
        <v>180196</v>
      </c>
      <c r="T97" s="542">
        <v>180196</v>
      </c>
      <c r="U97" s="542">
        <v>0</v>
      </c>
      <c r="V97" s="542">
        <v>0</v>
      </c>
      <c r="W97" s="542">
        <v>0</v>
      </c>
      <c r="X97" s="542">
        <v>0</v>
      </c>
      <c r="Y97" s="542">
        <v>0</v>
      </c>
      <c r="Z97" s="542">
        <v>0</v>
      </c>
      <c r="AA97" s="542">
        <v>0</v>
      </c>
      <c r="AB97" s="542">
        <v>0</v>
      </c>
      <c r="AC97" s="542">
        <v>0</v>
      </c>
      <c r="AD97" s="542">
        <v>966606</v>
      </c>
      <c r="AE97" s="542">
        <v>773284</v>
      </c>
      <c r="AF97" s="542">
        <v>173989</v>
      </c>
      <c r="AG97" s="542">
        <v>19332</v>
      </c>
      <c r="AH97" s="542">
        <v>1933211</v>
      </c>
      <c r="AI97" s="542">
        <v>-730889</v>
      </c>
      <c r="AJ97" s="542">
        <v>-584712</v>
      </c>
      <c r="AK97" s="542">
        <v>-131560</v>
      </c>
      <c r="AL97" s="542">
        <v>-14618</v>
      </c>
      <c r="AM97" s="542">
        <v>-1461779</v>
      </c>
      <c r="AN97" s="542">
        <v>-69287</v>
      </c>
      <c r="AO97" s="542">
        <v>-55430</v>
      </c>
      <c r="AP97" s="542">
        <v>-12472</v>
      </c>
      <c r="AQ97" s="542">
        <v>-1386</v>
      </c>
      <c r="AR97" s="542">
        <v>-138575</v>
      </c>
      <c r="AS97" s="542">
        <v>226747</v>
      </c>
      <c r="AT97" s="542">
        <v>181398</v>
      </c>
      <c r="AU97" s="542">
        <v>40815</v>
      </c>
      <c r="AV97" s="542">
        <v>4535</v>
      </c>
      <c r="AW97" s="542">
        <v>453495</v>
      </c>
      <c r="AX97" s="542">
        <v>-229338</v>
      </c>
      <c r="AY97" s="542">
        <v>-183471</v>
      </c>
      <c r="AZ97" s="542">
        <v>-41281</v>
      </c>
      <c r="BA97" s="542">
        <v>-4587</v>
      </c>
      <c r="BB97" s="542">
        <v>-458677</v>
      </c>
      <c r="BC97" s="542">
        <v>-71878</v>
      </c>
      <c r="BD97" s="542">
        <v>-57503</v>
      </c>
      <c r="BE97" s="542">
        <v>-12938</v>
      </c>
      <c r="BF97" s="542">
        <v>-1438</v>
      </c>
      <c r="BG97" s="542">
        <v>-143757</v>
      </c>
      <c r="BH97" s="542">
        <v>-1846180</v>
      </c>
      <c r="BI97" s="542">
        <v>-1476944</v>
      </c>
      <c r="BJ97" s="542">
        <v>-332313</v>
      </c>
      <c r="BK97" s="542">
        <v>-36924</v>
      </c>
      <c r="BL97" s="542">
        <v>-3692361</v>
      </c>
      <c r="BM97" s="542">
        <v>275491</v>
      </c>
      <c r="BN97" s="542">
        <v>220392</v>
      </c>
      <c r="BO97" s="542">
        <v>49588</v>
      </c>
      <c r="BP97" s="542">
        <v>5510</v>
      </c>
      <c r="BQ97" s="542">
        <v>550981</v>
      </c>
      <c r="BR97" s="542">
        <v>-1374938</v>
      </c>
      <c r="BS97" s="542">
        <v>-1099950</v>
      </c>
      <c r="BT97" s="542">
        <v>-247489</v>
      </c>
      <c r="BU97" s="542">
        <v>-27499</v>
      </c>
      <c r="BV97" s="542">
        <v>-2749876</v>
      </c>
      <c r="BW97" s="542">
        <v>-2945627</v>
      </c>
      <c r="BX97" s="542">
        <v>-2356502</v>
      </c>
      <c r="BY97" s="542">
        <v>-530214</v>
      </c>
      <c r="BZ97" s="542">
        <v>-58913</v>
      </c>
      <c r="CA97" s="542">
        <v>-5891256</v>
      </c>
    </row>
    <row r="98" spans="1:79" ht="12.75" x14ac:dyDescent="0.2">
      <c r="A98" s="93">
        <v>92</v>
      </c>
      <c r="B98" s="145" t="s">
        <v>62</v>
      </c>
      <c r="C98" s="141" t="s">
        <v>866</v>
      </c>
      <c r="D98" s="142" t="s">
        <v>867</v>
      </c>
      <c r="E98" s="149" t="s">
        <v>61</v>
      </c>
      <c r="F98" s="543">
        <v>0.5</v>
      </c>
      <c r="G98" s="543">
        <v>0.4</v>
      </c>
      <c r="H98" s="543">
        <v>0.09</v>
      </c>
      <c r="I98" s="543">
        <v>0.01</v>
      </c>
      <c r="J98" s="543">
        <v>1</v>
      </c>
      <c r="K98" s="542">
        <v>16282004</v>
      </c>
      <c r="L98" s="542">
        <v>13025604</v>
      </c>
      <c r="M98" s="542">
        <v>2930761</v>
      </c>
      <c r="N98" s="542">
        <v>325640</v>
      </c>
      <c r="O98" s="542">
        <v>32564009</v>
      </c>
      <c r="P98" s="542">
        <v>0</v>
      </c>
      <c r="Q98" s="542">
        <v>0</v>
      </c>
      <c r="R98" s="542">
        <v>16282004</v>
      </c>
      <c r="S98" s="542">
        <v>127045</v>
      </c>
      <c r="T98" s="542">
        <v>127045</v>
      </c>
      <c r="U98" s="542">
        <v>0</v>
      </c>
      <c r="V98" s="542">
        <v>0</v>
      </c>
      <c r="W98" s="542">
        <v>0</v>
      </c>
      <c r="X98" s="542">
        <v>0</v>
      </c>
      <c r="Y98" s="542">
        <v>0</v>
      </c>
      <c r="Z98" s="542">
        <v>0</v>
      </c>
      <c r="AA98" s="542">
        <v>0</v>
      </c>
      <c r="AB98" s="542">
        <v>0</v>
      </c>
      <c r="AC98" s="542">
        <v>0</v>
      </c>
      <c r="AD98" s="542">
        <v>972863</v>
      </c>
      <c r="AE98" s="542">
        <v>778290</v>
      </c>
      <c r="AF98" s="542">
        <v>175115</v>
      </c>
      <c r="AG98" s="542">
        <v>19457</v>
      </c>
      <c r="AH98" s="542">
        <v>1945725</v>
      </c>
      <c r="AI98" s="542">
        <v>-587217</v>
      </c>
      <c r="AJ98" s="542">
        <v>-469774</v>
      </c>
      <c r="AK98" s="542">
        <v>-105699</v>
      </c>
      <c r="AL98" s="542">
        <v>-11744</v>
      </c>
      <c r="AM98" s="542">
        <v>-1174434</v>
      </c>
      <c r="AN98" s="542">
        <v>-271396</v>
      </c>
      <c r="AO98" s="542">
        <v>-217118</v>
      </c>
      <c r="AP98" s="542">
        <v>-48852</v>
      </c>
      <c r="AQ98" s="542">
        <v>-5428</v>
      </c>
      <c r="AR98" s="542">
        <v>-542794</v>
      </c>
      <c r="AS98" s="542">
        <v>117784</v>
      </c>
      <c r="AT98" s="542">
        <v>94228</v>
      </c>
      <c r="AU98" s="542">
        <v>21201</v>
      </c>
      <c r="AV98" s="542">
        <v>2356</v>
      </c>
      <c r="AW98" s="542">
        <v>235569</v>
      </c>
      <c r="AX98" s="542">
        <v>-147960</v>
      </c>
      <c r="AY98" s="542">
        <v>-118368</v>
      </c>
      <c r="AZ98" s="542">
        <v>-26633</v>
      </c>
      <c r="BA98" s="542">
        <v>-2959</v>
      </c>
      <c r="BB98" s="542">
        <v>-295920</v>
      </c>
      <c r="BC98" s="542">
        <v>-301572</v>
      </c>
      <c r="BD98" s="542">
        <v>-241258</v>
      </c>
      <c r="BE98" s="542">
        <v>-54284</v>
      </c>
      <c r="BF98" s="542">
        <v>-6031</v>
      </c>
      <c r="BG98" s="542">
        <v>-603145</v>
      </c>
      <c r="BH98" s="542">
        <v>-818029</v>
      </c>
      <c r="BI98" s="542">
        <v>-654424</v>
      </c>
      <c r="BJ98" s="542">
        <v>-147245</v>
      </c>
      <c r="BK98" s="542">
        <v>-16361</v>
      </c>
      <c r="BL98" s="542">
        <v>-1636059</v>
      </c>
      <c r="BM98" s="542">
        <v>186666</v>
      </c>
      <c r="BN98" s="542">
        <v>149332</v>
      </c>
      <c r="BO98" s="542">
        <v>33600</v>
      </c>
      <c r="BP98" s="542">
        <v>3733</v>
      </c>
      <c r="BQ98" s="542">
        <v>373331</v>
      </c>
      <c r="BR98" s="542">
        <v>108825</v>
      </c>
      <c r="BS98" s="542">
        <v>87060</v>
      </c>
      <c r="BT98" s="542">
        <v>19589</v>
      </c>
      <c r="BU98" s="542">
        <v>2177</v>
      </c>
      <c r="BV98" s="542">
        <v>217651</v>
      </c>
      <c r="BW98" s="542">
        <v>-522538</v>
      </c>
      <c r="BX98" s="542">
        <v>-418032</v>
      </c>
      <c r="BY98" s="542">
        <v>-94056</v>
      </c>
      <c r="BZ98" s="542">
        <v>-10451</v>
      </c>
      <c r="CA98" s="542">
        <v>-1045077</v>
      </c>
    </row>
    <row r="99" spans="1:79" ht="12.75" x14ac:dyDescent="0.2">
      <c r="A99" s="93">
        <v>93</v>
      </c>
      <c r="B99" s="145" t="s">
        <v>64</v>
      </c>
      <c r="C99" s="141" t="s">
        <v>866</v>
      </c>
      <c r="D99" s="142" t="s">
        <v>867</v>
      </c>
      <c r="E99" s="149" t="s">
        <v>63</v>
      </c>
      <c r="F99" s="543">
        <v>0.5</v>
      </c>
      <c r="G99" s="543">
        <v>0.4</v>
      </c>
      <c r="H99" s="543">
        <v>0.09</v>
      </c>
      <c r="I99" s="543">
        <v>0.01</v>
      </c>
      <c r="J99" s="543">
        <v>1</v>
      </c>
      <c r="K99" s="542">
        <v>26788049</v>
      </c>
      <c r="L99" s="542">
        <v>21430439</v>
      </c>
      <c r="M99" s="542">
        <v>4821849</v>
      </c>
      <c r="N99" s="542">
        <v>535761</v>
      </c>
      <c r="O99" s="542">
        <v>53576098</v>
      </c>
      <c r="P99" s="542">
        <v>0</v>
      </c>
      <c r="Q99" s="542">
        <v>0</v>
      </c>
      <c r="R99" s="542">
        <v>26788049</v>
      </c>
      <c r="S99" s="542">
        <v>151459</v>
      </c>
      <c r="T99" s="542">
        <v>151459</v>
      </c>
      <c r="U99" s="542">
        <v>0</v>
      </c>
      <c r="V99" s="542">
        <v>0</v>
      </c>
      <c r="W99" s="542">
        <v>0</v>
      </c>
      <c r="X99" s="542">
        <v>0</v>
      </c>
      <c r="Y99" s="542">
        <v>0</v>
      </c>
      <c r="Z99" s="542">
        <v>0</v>
      </c>
      <c r="AA99" s="542">
        <v>0</v>
      </c>
      <c r="AB99" s="542">
        <v>0</v>
      </c>
      <c r="AC99" s="542">
        <v>0</v>
      </c>
      <c r="AD99" s="542">
        <v>550228</v>
      </c>
      <c r="AE99" s="542">
        <v>440183</v>
      </c>
      <c r="AF99" s="542">
        <v>99041</v>
      </c>
      <c r="AG99" s="542">
        <v>11005</v>
      </c>
      <c r="AH99" s="542">
        <v>1100457</v>
      </c>
      <c r="AI99" s="542">
        <v>-199209</v>
      </c>
      <c r="AJ99" s="542">
        <v>-159368</v>
      </c>
      <c r="AK99" s="542">
        <v>-35858</v>
      </c>
      <c r="AL99" s="542">
        <v>-3984</v>
      </c>
      <c r="AM99" s="542">
        <v>-398419</v>
      </c>
      <c r="AN99" s="542">
        <v>-245857</v>
      </c>
      <c r="AO99" s="542">
        <v>-196686</v>
      </c>
      <c r="AP99" s="542">
        <v>-44254</v>
      </c>
      <c r="AQ99" s="542">
        <v>-4917</v>
      </c>
      <c r="AR99" s="542">
        <v>-491714</v>
      </c>
      <c r="AS99" s="542">
        <v>84974</v>
      </c>
      <c r="AT99" s="542">
        <v>67979</v>
      </c>
      <c r="AU99" s="542">
        <v>15295</v>
      </c>
      <c r="AV99" s="542">
        <v>1699</v>
      </c>
      <c r="AW99" s="542">
        <v>169947</v>
      </c>
      <c r="AX99" s="542">
        <v>-70693</v>
      </c>
      <c r="AY99" s="542">
        <v>-56554</v>
      </c>
      <c r="AZ99" s="542">
        <v>-12725</v>
      </c>
      <c r="BA99" s="542">
        <v>-1414</v>
      </c>
      <c r="BB99" s="542">
        <v>-141386</v>
      </c>
      <c r="BC99" s="542">
        <v>-231576</v>
      </c>
      <c r="BD99" s="542">
        <v>-185261</v>
      </c>
      <c r="BE99" s="542">
        <v>-41684</v>
      </c>
      <c r="BF99" s="542">
        <v>-4632</v>
      </c>
      <c r="BG99" s="542">
        <v>-463153</v>
      </c>
      <c r="BH99" s="542">
        <v>-1566500</v>
      </c>
      <c r="BI99" s="542">
        <v>-1253200</v>
      </c>
      <c r="BJ99" s="542">
        <v>-281970</v>
      </c>
      <c r="BK99" s="542">
        <v>-31330</v>
      </c>
      <c r="BL99" s="542">
        <v>-3133000</v>
      </c>
      <c r="BM99" s="542">
        <v>991989</v>
      </c>
      <c r="BN99" s="542">
        <v>793592</v>
      </c>
      <c r="BO99" s="542">
        <v>178558</v>
      </c>
      <c r="BP99" s="542">
        <v>19840</v>
      </c>
      <c r="BQ99" s="542">
        <v>1983979</v>
      </c>
      <c r="BR99" s="542">
        <v>-2139964</v>
      </c>
      <c r="BS99" s="542">
        <v>-1711971</v>
      </c>
      <c r="BT99" s="542">
        <v>-385194</v>
      </c>
      <c r="BU99" s="542">
        <v>-42799</v>
      </c>
      <c r="BV99" s="542">
        <v>-4279928</v>
      </c>
      <c r="BW99" s="542">
        <v>-2714475</v>
      </c>
      <c r="BX99" s="542">
        <v>-2171579</v>
      </c>
      <c r="BY99" s="542">
        <v>-488606</v>
      </c>
      <c r="BZ99" s="542">
        <v>-54289</v>
      </c>
      <c r="CA99" s="542">
        <v>-5428949</v>
      </c>
    </row>
    <row r="100" spans="1:79" ht="12.75" x14ac:dyDescent="0.2">
      <c r="A100" s="93">
        <v>94</v>
      </c>
      <c r="B100" s="145" t="s">
        <v>66</v>
      </c>
      <c r="C100" s="141" t="s">
        <v>866</v>
      </c>
      <c r="D100" s="142" t="s">
        <v>868</v>
      </c>
      <c r="E100" s="149" t="s">
        <v>65</v>
      </c>
      <c r="F100" s="543">
        <v>0.5</v>
      </c>
      <c r="G100" s="543">
        <v>0.4</v>
      </c>
      <c r="H100" s="543">
        <v>0.1</v>
      </c>
      <c r="I100" s="543">
        <v>0</v>
      </c>
      <c r="J100" s="543">
        <v>1</v>
      </c>
      <c r="K100" s="542">
        <v>9930613</v>
      </c>
      <c r="L100" s="542">
        <v>7944490</v>
      </c>
      <c r="M100" s="542">
        <v>1986123</v>
      </c>
      <c r="N100" s="542">
        <v>0</v>
      </c>
      <c r="O100" s="542">
        <v>19861226</v>
      </c>
      <c r="P100" s="542">
        <v>0</v>
      </c>
      <c r="Q100" s="542">
        <v>0</v>
      </c>
      <c r="R100" s="542">
        <v>9930613</v>
      </c>
      <c r="S100" s="542">
        <v>128447</v>
      </c>
      <c r="T100" s="542">
        <v>128447</v>
      </c>
      <c r="U100" s="542">
        <v>0</v>
      </c>
      <c r="V100" s="542">
        <v>0</v>
      </c>
      <c r="W100" s="542">
        <v>0</v>
      </c>
      <c r="X100" s="542">
        <v>0</v>
      </c>
      <c r="Y100" s="542">
        <v>0</v>
      </c>
      <c r="Z100" s="542">
        <v>0</v>
      </c>
      <c r="AA100" s="542">
        <v>0</v>
      </c>
      <c r="AB100" s="542">
        <v>0</v>
      </c>
      <c r="AC100" s="542">
        <v>0</v>
      </c>
      <c r="AD100" s="542">
        <v>295378</v>
      </c>
      <c r="AE100" s="542">
        <v>236302</v>
      </c>
      <c r="AF100" s="542">
        <v>59076</v>
      </c>
      <c r="AG100" s="542">
        <v>0</v>
      </c>
      <c r="AH100" s="542">
        <v>590756</v>
      </c>
      <c r="AI100" s="542">
        <v>-68097</v>
      </c>
      <c r="AJ100" s="542">
        <v>-54477</v>
      </c>
      <c r="AK100" s="542">
        <v>-13619</v>
      </c>
      <c r="AL100" s="542">
        <v>0</v>
      </c>
      <c r="AM100" s="542">
        <v>-136193</v>
      </c>
      <c r="AN100" s="542">
        <v>-25724</v>
      </c>
      <c r="AO100" s="542">
        <v>-20579</v>
      </c>
      <c r="AP100" s="542">
        <v>-5145</v>
      </c>
      <c r="AQ100" s="542">
        <v>0</v>
      </c>
      <c r="AR100" s="542">
        <v>-51448</v>
      </c>
      <c r="AS100" s="542">
        <v>52597</v>
      </c>
      <c r="AT100" s="542">
        <v>42078</v>
      </c>
      <c r="AU100" s="542">
        <v>10519</v>
      </c>
      <c r="AV100" s="542">
        <v>0</v>
      </c>
      <c r="AW100" s="542">
        <v>105194</v>
      </c>
      <c r="AX100" s="542">
        <v>-95623</v>
      </c>
      <c r="AY100" s="542">
        <v>-76499</v>
      </c>
      <c r="AZ100" s="542">
        <v>-19125</v>
      </c>
      <c r="BA100" s="542">
        <v>0</v>
      </c>
      <c r="BB100" s="542">
        <v>-191247</v>
      </c>
      <c r="BC100" s="542">
        <v>-68750</v>
      </c>
      <c r="BD100" s="542">
        <v>-55000</v>
      </c>
      <c r="BE100" s="542">
        <v>-13751</v>
      </c>
      <c r="BF100" s="542">
        <v>0</v>
      </c>
      <c r="BG100" s="542">
        <v>-137501</v>
      </c>
      <c r="BH100" s="542">
        <v>-203199.04</v>
      </c>
      <c r="BI100" s="542">
        <v>-162560</v>
      </c>
      <c r="BJ100" s="542">
        <v>-40640</v>
      </c>
      <c r="BK100" s="542">
        <v>0</v>
      </c>
      <c r="BL100" s="542">
        <v>-406399.04</v>
      </c>
      <c r="BM100" s="542">
        <v>234242</v>
      </c>
      <c r="BN100" s="542">
        <v>187394</v>
      </c>
      <c r="BO100" s="542">
        <v>46848</v>
      </c>
      <c r="BP100" s="542">
        <v>0</v>
      </c>
      <c r="BQ100" s="542">
        <v>468484</v>
      </c>
      <c r="BR100" s="542">
        <v>-682897</v>
      </c>
      <c r="BS100" s="542">
        <v>-546318</v>
      </c>
      <c r="BT100" s="542">
        <v>-136580</v>
      </c>
      <c r="BU100" s="542">
        <v>0</v>
      </c>
      <c r="BV100" s="542">
        <v>-1365795</v>
      </c>
      <c r="BW100" s="542">
        <v>-651854.04</v>
      </c>
      <c r="BX100" s="542">
        <v>-521484</v>
      </c>
      <c r="BY100" s="542">
        <v>-130372</v>
      </c>
      <c r="BZ100" s="542">
        <v>0</v>
      </c>
      <c r="CA100" s="542">
        <v>-1303710</v>
      </c>
    </row>
    <row r="101" spans="1:79" ht="12.75" x14ac:dyDescent="0.2">
      <c r="A101" s="93">
        <v>95</v>
      </c>
      <c r="B101" s="145" t="s">
        <v>68</v>
      </c>
      <c r="C101" s="141" t="s">
        <v>866</v>
      </c>
      <c r="D101" s="142" t="s">
        <v>867</v>
      </c>
      <c r="E101" s="149" t="s">
        <v>67</v>
      </c>
      <c r="F101" s="543">
        <v>0.5</v>
      </c>
      <c r="G101" s="543">
        <v>0.4</v>
      </c>
      <c r="H101" s="543">
        <v>0.1</v>
      </c>
      <c r="I101" s="543">
        <v>0</v>
      </c>
      <c r="J101" s="543">
        <v>1</v>
      </c>
      <c r="K101" s="542">
        <v>23207282</v>
      </c>
      <c r="L101" s="542">
        <v>18565826</v>
      </c>
      <c r="M101" s="542">
        <v>4641457</v>
      </c>
      <c r="N101" s="542">
        <v>0</v>
      </c>
      <c r="O101" s="542">
        <v>46414565</v>
      </c>
      <c r="P101" s="542">
        <v>0</v>
      </c>
      <c r="Q101" s="542">
        <v>0</v>
      </c>
      <c r="R101" s="542">
        <v>23207282</v>
      </c>
      <c r="S101" s="542">
        <v>183832</v>
      </c>
      <c r="T101" s="542">
        <v>183832</v>
      </c>
      <c r="U101" s="542">
        <v>0</v>
      </c>
      <c r="V101" s="542">
        <v>0</v>
      </c>
      <c r="W101" s="542">
        <v>0</v>
      </c>
      <c r="X101" s="542">
        <v>0</v>
      </c>
      <c r="Y101" s="542">
        <v>0</v>
      </c>
      <c r="Z101" s="542">
        <v>0</v>
      </c>
      <c r="AA101" s="542">
        <v>0</v>
      </c>
      <c r="AB101" s="542">
        <v>0</v>
      </c>
      <c r="AC101" s="542">
        <v>0</v>
      </c>
      <c r="AD101" s="542">
        <v>431051</v>
      </c>
      <c r="AE101" s="542">
        <v>344840</v>
      </c>
      <c r="AF101" s="542">
        <v>86210</v>
      </c>
      <c r="AG101" s="542">
        <v>0</v>
      </c>
      <c r="AH101" s="542">
        <v>862101</v>
      </c>
      <c r="AI101" s="542">
        <v>-299702</v>
      </c>
      <c r="AJ101" s="542">
        <v>-239761</v>
      </c>
      <c r="AK101" s="542">
        <v>-59940</v>
      </c>
      <c r="AL101" s="542">
        <v>0</v>
      </c>
      <c r="AM101" s="542">
        <v>-599403</v>
      </c>
      <c r="AN101" s="542">
        <v>-253500</v>
      </c>
      <c r="AO101" s="542">
        <v>-202800</v>
      </c>
      <c r="AP101" s="542">
        <v>-50700</v>
      </c>
      <c r="AQ101" s="542">
        <v>0</v>
      </c>
      <c r="AR101" s="542">
        <v>-507000</v>
      </c>
      <c r="AS101" s="542">
        <v>116695</v>
      </c>
      <c r="AT101" s="542">
        <v>93356</v>
      </c>
      <c r="AU101" s="542">
        <v>23339</v>
      </c>
      <c r="AV101" s="542">
        <v>0</v>
      </c>
      <c r="AW101" s="542">
        <v>233390</v>
      </c>
      <c r="AX101" s="542">
        <v>-104195</v>
      </c>
      <c r="AY101" s="542">
        <v>-83356</v>
      </c>
      <c r="AZ101" s="542">
        <v>-20839</v>
      </c>
      <c r="BA101" s="542">
        <v>0</v>
      </c>
      <c r="BB101" s="542">
        <v>-208390</v>
      </c>
      <c r="BC101" s="542">
        <v>-241000</v>
      </c>
      <c r="BD101" s="542">
        <v>-192800</v>
      </c>
      <c r="BE101" s="542">
        <v>-48200</v>
      </c>
      <c r="BF101" s="542">
        <v>0</v>
      </c>
      <c r="BG101" s="542">
        <v>-482000</v>
      </c>
      <c r="BH101" s="542">
        <v>-534088</v>
      </c>
      <c r="BI101" s="542">
        <v>-427270</v>
      </c>
      <c r="BJ101" s="542">
        <v>-106818</v>
      </c>
      <c r="BK101" s="542">
        <v>0</v>
      </c>
      <c r="BL101" s="542">
        <v>-1068176</v>
      </c>
      <c r="BM101" s="542">
        <v>353924</v>
      </c>
      <c r="BN101" s="542">
        <v>283139</v>
      </c>
      <c r="BO101" s="542">
        <v>70785</v>
      </c>
      <c r="BP101" s="542">
        <v>0</v>
      </c>
      <c r="BQ101" s="542">
        <v>707848</v>
      </c>
      <c r="BR101" s="542">
        <v>-3710952</v>
      </c>
      <c r="BS101" s="542">
        <v>-2968762</v>
      </c>
      <c r="BT101" s="542">
        <v>-742191</v>
      </c>
      <c r="BU101" s="542">
        <v>0</v>
      </c>
      <c r="BV101" s="542">
        <v>-7421905</v>
      </c>
      <c r="BW101" s="542">
        <v>-3891116</v>
      </c>
      <c r="BX101" s="542">
        <v>-3112893</v>
      </c>
      <c r="BY101" s="542">
        <v>-778224</v>
      </c>
      <c r="BZ101" s="542">
        <v>0</v>
      </c>
      <c r="CA101" s="542">
        <v>-7782233</v>
      </c>
    </row>
    <row r="102" spans="1:79" ht="12.75" x14ac:dyDescent="0.2">
      <c r="A102" s="93">
        <v>96</v>
      </c>
      <c r="B102" s="145" t="s">
        <v>70</v>
      </c>
      <c r="C102" s="141" t="s">
        <v>871</v>
      </c>
      <c r="D102" s="142" t="s">
        <v>872</v>
      </c>
      <c r="E102" s="149" t="s">
        <v>69</v>
      </c>
      <c r="F102" s="543">
        <v>0.5</v>
      </c>
      <c r="G102" s="543">
        <v>0.3</v>
      </c>
      <c r="H102" s="543">
        <v>0.2</v>
      </c>
      <c r="I102" s="543">
        <v>0</v>
      </c>
      <c r="J102" s="543">
        <v>1</v>
      </c>
      <c r="K102" s="542">
        <v>48888269</v>
      </c>
      <c r="L102" s="542">
        <v>29332961</v>
      </c>
      <c r="M102" s="542">
        <v>19555307</v>
      </c>
      <c r="N102" s="542">
        <v>0</v>
      </c>
      <c r="O102" s="542">
        <v>97776537</v>
      </c>
      <c r="P102" s="542">
        <v>0</v>
      </c>
      <c r="Q102" s="542">
        <v>0</v>
      </c>
      <c r="R102" s="542">
        <v>48888269</v>
      </c>
      <c r="S102" s="542">
        <v>350845</v>
      </c>
      <c r="T102" s="542">
        <v>350845</v>
      </c>
      <c r="U102" s="542">
        <v>0</v>
      </c>
      <c r="V102" s="542">
        <v>0</v>
      </c>
      <c r="W102" s="542">
        <v>0</v>
      </c>
      <c r="X102" s="542">
        <v>0</v>
      </c>
      <c r="Y102" s="542">
        <v>0</v>
      </c>
      <c r="Z102" s="542">
        <v>0</v>
      </c>
      <c r="AA102" s="542">
        <v>0</v>
      </c>
      <c r="AB102" s="542">
        <v>0</v>
      </c>
      <c r="AC102" s="542">
        <v>0</v>
      </c>
      <c r="AD102" s="542">
        <v>3571454</v>
      </c>
      <c r="AE102" s="542">
        <v>2142873</v>
      </c>
      <c r="AF102" s="542">
        <v>1428582</v>
      </c>
      <c r="AG102" s="542">
        <v>0</v>
      </c>
      <c r="AH102" s="542">
        <v>7142909</v>
      </c>
      <c r="AI102" s="542">
        <v>-1238585</v>
      </c>
      <c r="AJ102" s="542">
        <v>-743151</v>
      </c>
      <c r="AK102" s="542">
        <v>-495434</v>
      </c>
      <c r="AL102" s="542">
        <v>0</v>
      </c>
      <c r="AM102" s="542">
        <v>-2477170</v>
      </c>
      <c r="AN102" s="542">
        <v>-3454516</v>
      </c>
      <c r="AO102" s="542">
        <v>-2072709</v>
      </c>
      <c r="AP102" s="542">
        <v>-1381807</v>
      </c>
      <c r="AQ102" s="542">
        <v>0</v>
      </c>
      <c r="AR102" s="542">
        <v>-6909032</v>
      </c>
      <c r="AS102" s="542">
        <v>1822768</v>
      </c>
      <c r="AT102" s="542">
        <v>1093661</v>
      </c>
      <c r="AU102" s="542">
        <v>729107</v>
      </c>
      <c r="AV102" s="542">
        <v>0</v>
      </c>
      <c r="AW102" s="542">
        <v>3645536</v>
      </c>
      <c r="AX102" s="542">
        <v>-759883</v>
      </c>
      <c r="AY102" s="542">
        <v>-455930</v>
      </c>
      <c r="AZ102" s="542">
        <v>-303953</v>
      </c>
      <c r="BA102" s="542">
        <v>0</v>
      </c>
      <c r="BB102" s="542">
        <v>-1519766</v>
      </c>
      <c r="BC102" s="542">
        <v>-2391631</v>
      </c>
      <c r="BD102" s="542">
        <v>-1434978</v>
      </c>
      <c r="BE102" s="542">
        <v>-956653</v>
      </c>
      <c r="BF102" s="542">
        <v>0</v>
      </c>
      <c r="BG102" s="542">
        <v>-4783262</v>
      </c>
      <c r="BH102" s="542">
        <v>-1208612.5</v>
      </c>
      <c r="BI102" s="542">
        <v>-725167</v>
      </c>
      <c r="BJ102" s="542">
        <v>-483445</v>
      </c>
      <c r="BK102" s="542">
        <v>0</v>
      </c>
      <c r="BL102" s="542">
        <v>-2417224.5</v>
      </c>
      <c r="BM102" s="542">
        <v>1148288</v>
      </c>
      <c r="BN102" s="542">
        <v>688973</v>
      </c>
      <c r="BO102" s="542">
        <v>459315</v>
      </c>
      <c r="BP102" s="542">
        <v>0</v>
      </c>
      <c r="BQ102" s="542">
        <v>2296576</v>
      </c>
      <c r="BR102" s="542">
        <v>-3613147</v>
      </c>
      <c r="BS102" s="542">
        <v>-2167888</v>
      </c>
      <c r="BT102" s="542">
        <v>-1445259</v>
      </c>
      <c r="BU102" s="542">
        <v>0</v>
      </c>
      <c r="BV102" s="542">
        <v>-7226294</v>
      </c>
      <c r="BW102" s="542">
        <v>-3673471.5</v>
      </c>
      <c r="BX102" s="542">
        <v>-2204082</v>
      </c>
      <c r="BY102" s="542">
        <v>-1469389</v>
      </c>
      <c r="BZ102" s="542">
        <v>0</v>
      </c>
      <c r="CA102" s="542">
        <v>-7346942.5</v>
      </c>
    </row>
    <row r="103" spans="1:79" ht="12.75" x14ac:dyDescent="0.2">
      <c r="A103" s="93">
        <v>97</v>
      </c>
      <c r="B103" s="145" t="s">
        <v>72</v>
      </c>
      <c r="C103" s="141" t="s">
        <v>866</v>
      </c>
      <c r="D103" s="142" t="s">
        <v>870</v>
      </c>
      <c r="E103" s="149" t="s">
        <v>71</v>
      </c>
      <c r="F103" s="543">
        <v>0.5</v>
      </c>
      <c r="G103" s="543">
        <v>0.4</v>
      </c>
      <c r="H103" s="543">
        <v>0.09</v>
      </c>
      <c r="I103" s="543">
        <v>0.01</v>
      </c>
      <c r="J103" s="543">
        <v>1</v>
      </c>
      <c r="K103" s="542">
        <v>16196288</v>
      </c>
      <c r="L103" s="542">
        <v>12957030</v>
      </c>
      <c r="M103" s="542">
        <v>2915332</v>
      </c>
      <c r="N103" s="542">
        <v>323926</v>
      </c>
      <c r="O103" s="542">
        <v>32392576</v>
      </c>
      <c r="P103" s="542">
        <v>0</v>
      </c>
      <c r="Q103" s="542">
        <v>0</v>
      </c>
      <c r="R103" s="542">
        <v>16196288</v>
      </c>
      <c r="S103" s="542">
        <v>172663</v>
      </c>
      <c r="T103" s="542">
        <v>172663</v>
      </c>
      <c r="U103" s="542">
        <v>0</v>
      </c>
      <c r="V103" s="542">
        <v>0</v>
      </c>
      <c r="W103" s="542">
        <v>0</v>
      </c>
      <c r="X103" s="542">
        <v>0</v>
      </c>
      <c r="Y103" s="542">
        <v>0</v>
      </c>
      <c r="Z103" s="542">
        <v>0</v>
      </c>
      <c r="AA103" s="542">
        <v>0</v>
      </c>
      <c r="AB103" s="542">
        <v>0</v>
      </c>
      <c r="AC103" s="542">
        <v>0</v>
      </c>
      <c r="AD103" s="542">
        <v>558596</v>
      </c>
      <c r="AE103" s="542">
        <v>446877</v>
      </c>
      <c r="AF103" s="542">
        <v>100547</v>
      </c>
      <c r="AG103" s="542">
        <v>11172</v>
      </c>
      <c r="AH103" s="542">
        <v>1117192</v>
      </c>
      <c r="AI103" s="542">
        <v>-406543</v>
      </c>
      <c r="AJ103" s="542">
        <v>-325234</v>
      </c>
      <c r="AK103" s="542">
        <v>-73178</v>
      </c>
      <c r="AL103" s="542">
        <v>-8131</v>
      </c>
      <c r="AM103" s="542">
        <v>-813086</v>
      </c>
      <c r="AN103" s="542">
        <v>-252659</v>
      </c>
      <c r="AO103" s="542">
        <v>-202128</v>
      </c>
      <c r="AP103" s="542">
        <v>-45479</v>
      </c>
      <c r="AQ103" s="542">
        <v>-5053</v>
      </c>
      <c r="AR103" s="542">
        <v>-505319</v>
      </c>
      <c r="AS103" s="542">
        <v>131164</v>
      </c>
      <c r="AT103" s="542">
        <v>104932</v>
      </c>
      <c r="AU103" s="542">
        <v>23610</v>
      </c>
      <c r="AV103" s="542">
        <v>2623</v>
      </c>
      <c r="AW103" s="542">
        <v>262329</v>
      </c>
      <c r="AX103" s="542">
        <v>-44797</v>
      </c>
      <c r="AY103" s="542">
        <v>-35838</v>
      </c>
      <c r="AZ103" s="542">
        <v>-8064</v>
      </c>
      <c r="BA103" s="542">
        <v>-896</v>
      </c>
      <c r="BB103" s="542">
        <v>-89595</v>
      </c>
      <c r="BC103" s="542">
        <v>-166292</v>
      </c>
      <c r="BD103" s="542">
        <v>-133034</v>
      </c>
      <c r="BE103" s="542">
        <v>-29933</v>
      </c>
      <c r="BF103" s="542">
        <v>-3326</v>
      </c>
      <c r="BG103" s="542">
        <v>-332585</v>
      </c>
      <c r="BH103" s="542">
        <v>-743033</v>
      </c>
      <c r="BI103" s="542">
        <v>-594427</v>
      </c>
      <c r="BJ103" s="542">
        <v>-133746</v>
      </c>
      <c r="BK103" s="542">
        <v>-14860</v>
      </c>
      <c r="BL103" s="542">
        <v>-1486066</v>
      </c>
      <c r="BM103" s="542">
        <v>77706</v>
      </c>
      <c r="BN103" s="542">
        <v>62164</v>
      </c>
      <c r="BO103" s="542">
        <v>13987</v>
      </c>
      <c r="BP103" s="542">
        <v>1554</v>
      </c>
      <c r="BQ103" s="542">
        <v>155411</v>
      </c>
      <c r="BR103" s="542">
        <v>-965643</v>
      </c>
      <c r="BS103" s="542">
        <v>-772515</v>
      </c>
      <c r="BT103" s="542">
        <v>-173816</v>
      </c>
      <c r="BU103" s="542">
        <v>-19313</v>
      </c>
      <c r="BV103" s="542">
        <v>-1931287</v>
      </c>
      <c r="BW103" s="542">
        <v>-1630970</v>
      </c>
      <c r="BX103" s="542">
        <v>-1304778</v>
      </c>
      <c r="BY103" s="542">
        <v>-293575</v>
      </c>
      <c r="BZ103" s="542">
        <v>-32619</v>
      </c>
      <c r="CA103" s="542">
        <v>-3261942</v>
      </c>
    </row>
    <row r="104" spans="1:79" ht="12.75" x14ac:dyDescent="0.2">
      <c r="A104" s="93">
        <v>98</v>
      </c>
      <c r="B104" s="145" t="s">
        <v>74</v>
      </c>
      <c r="C104" s="141" t="s">
        <v>866</v>
      </c>
      <c r="D104" s="142" t="s">
        <v>867</v>
      </c>
      <c r="E104" s="149" t="s">
        <v>880</v>
      </c>
      <c r="F104" s="543">
        <v>0.5</v>
      </c>
      <c r="G104" s="543">
        <v>0.4</v>
      </c>
      <c r="H104" s="543">
        <v>0.1</v>
      </c>
      <c r="I104" s="543">
        <v>0</v>
      </c>
      <c r="J104" s="543">
        <v>1</v>
      </c>
      <c r="K104" s="542">
        <v>11321102</v>
      </c>
      <c r="L104" s="542">
        <v>9056881</v>
      </c>
      <c r="M104" s="542">
        <v>2264220</v>
      </c>
      <c r="N104" s="542">
        <v>0</v>
      </c>
      <c r="O104" s="542">
        <v>22642203</v>
      </c>
      <c r="P104" s="542">
        <v>0</v>
      </c>
      <c r="Q104" s="542">
        <v>0</v>
      </c>
      <c r="R104" s="542">
        <v>11321102</v>
      </c>
      <c r="S104" s="542">
        <v>87279</v>
      </c>
      <c r="T104" s="542">
        <v>87279</v>
      </c>
      <c r="U104" s="542">
        <v>0</v>
      </c>
      <c r="V104" s="542">
        <v>0</v>
      </c>
      <c r="W104" s="542">
        <v>0</v>
      </c>
      <c r="X104" s="542">
        <v>0</v>
      </c>
      <c r="Y104" s="542">
        <v>0</v>
      </c>
      <c r="Z104" s="542">
        <v>0</v>
      </c>
      <c r="AA104" s="542">
        <v>0</v>
      </c>
      <c r="AB104" s="542">
        <v>0</v>
      </c>
      <c r="AC104" s="542">
        <v>0</v>
      </c>
      <c r="AD104" s="542">
        <v>86807</v>
      </c>
      <c r="AE104" s="542">
        <v>69445</v>
      </c>
      <c r="AF104" s="542">
        <v>17361</v>
      </c>
      <c r="AG104" s="542">
        <v>0</v>
      </c>
      <c r="AH104" s="542">
        <v>173613</v>
      </c>
      <c r="AI104" s="542">
        <v>-180533</v>
      </c>
      <c r="AJ104" s="542">
        <v>-144426</v>
      </c>
      <c r="AK104" s="542">
        <v>-36107</v>
      </c>
      <c r="AL104" s="542">
        <v>0</v>
      </c>
      <c r="AM104" s="542">
        <v>-361066</v>
      </c>
      <c r="AN104" s="542">
        <v>-44383</v>
      </c>
      <c r="AO104" s="542">
        <v>-35507</v>
      </c>
      <c r="AP104" s="542">
        <v>-8877</v>
      </c>
      <c r="AQ104" s="542">
        <v>0</v>
      </c>
      <c r="AR104" s="542">
        <v>-88767</v>
      </c>
      <c r="AS104" s="542">
        <v>54177</v>
      </c>
      <c r="AT104" s="542">
        <v>43342</v>
      </c>
      <c r="AU104" s="542">
        <v>10836</v>
      </c>
      <c r="AV104" s="542">
        <v>0</v>
      </c>
      <c r="AW104" s="542">
        <v>108355</v>
      </c>
      <c r="AX104" s="542">
        <v>-42907</v>
      </c>
      <c r="AY104" s="542">
        <v>-34326</v>
      </c>
      <c r="AZ104" s="542">
        <v>-8581</v>
      </c>
      <c r="BA104" s="542">
        <v>0</v>
      </c>
      <c r="BB104" s="542">
        <v>-85814</v>
      </c>
      <c r="BC104" s="542">
        <v>-33113</v>
      </c>
      <c r="BD104" s="542">
        <v>-26491</v>
      </c>
      <c r="BE104" s="542">
        <v>-6622</v>
      </c>
      <c r="BF104" s="542">
        <v>0</v>
      </c>
      <c r="BG104" s="542">
        <v>-66226</v>
      </c>
      <c r="BH104" s="542">
        <v>-658278</v>
      </c>
      <c r="BI104" s="542">
        <v>-526622</v>
      </c>
      <c r="BJ104" s="542">
        <v>-131656</v>
      </c>
      <c r="BK104" s="542">
        <v>0</v>
      </c>
      <c r="BL104" s="542">
        <v>-1316556</v>
      </c>
      <c r="BM104" s="542">
        <v>0</v>
      </c>
      <c r="BN104" s="542">
        <v>0</v>
      </c>
      <c r="BO104" s="542">
        <v>0</v>
      </c>
      <c r="BP104" s="542">
        <v>0</v>
      </c>
      <c r="BQ104" s="542">
        <v>0</v>
      </c>
      <c r="BR104" s="542">
        <v>18006</v>
      </c>
      <c r="BS104" s="542">
        <v>14404</v>
      </c>
      <c r="BT104" s="542">
        <v>3601</v>
      </c>
      <c r="BU104" s="542">
        <v>0</v>
      </c>
      <c r="BV104" s="542">
        <v>36011</v>
      </c>
      <c r="BW104" s="542">
        <v>-640272</v>
      </c>
      <c r="BX104" s="542">
        <v>-512218</v>
      </c>
      <c r="BY104" s="542">
        <v>-128055</v>
      </c>
      <c r="BZ104" s="542">
        <v>0</v>
      </c>
      <c r="CA104" s="542">
        <v>-1280545</v>
      </c>
    </row>
    <row r="105" spans="1:79" ht="12.75" x14ac:dyDescent="0.2">
      <c r="A105" s="93">
        <v>99</v>
      </c>
      <c r="B105" s="145" t="s">
        <v>76</v>
      </c>
      <c r="C105" s="141" t="s">
        <v>866</v>
      </c>
      <c r="D105" s="142" t="s">
        <v>869</v>
      </c>
      <c r="E105" s="149" t="s">
        <v>75</v>
      </c>
      <c r="F105" s="543">
        <v>0.5</v>
      </c>
      <c r="G105" s="543">
        <v>0.4</v>
      </c>
      <c r="H105" s="543">
        <v>0.09</v>
      </c>
      <c r="I105" s="543">
        <v>0.01</v>
      </c>
      <c r="J105" s="543">
        <v>1</v>
      </c>
      <c r="K105" s="542">
        <v>11909606</v>
      </c>
      <c r="L105" s="542">
        <v>9527685</v>
      </c>
      <c r="M105" s="542">
        <v>2143729</v>
      </c>
      <c r="N105" s="542">
        <v>238192</v>
      </c>
      <c r="O105" s="542">
        <v>23819212</v>
      </c>
      <c r="P105" s="542">
        <v>0</v>
      </c>
      <c r="Q105" s="542">
        <v>0</v>
      </c>
      <c r="R105" s="542">
        <v>11909606</v>
      </c>
      <c r="S105" s="542">
        <v>136145</v>
      </c>
      <c r="T105" s="542">
        <v>136145</v>
      </c>
      <c r="U105" s="542">
        <v>0</v>
      </c>
      <c r="V105" s="542">
        <v>0</v>
      </c>
      <c r="W105" s="542">
        <v>0</v>
      </c>
      <c r="X105" s="542">
        <v>0</v>
      </c>
      <c r="Y105" s="542">
        <v>0</v>
      </c>
      <c r="Z105" s="542">
        <v>0</v>
      </c>
      <c r="AA105" s="542">
        <v>0</v>
      </c>
      <c r="AB105" s="542">
        <v>0</v>
      </c>
      <c r="AC105" s="542">
        <v>0</v>
      </c>
      <c r="AD105" s="542">
        <v>671647</v>
      </c>
      <c r="AE105" s="542">
        <v>537317</v>
      </c>
      <c r="AF105" s="542">
        <v>120896</v>
      </c>
      <c r="AG105" s="542">
        <v>13433</v>
      </c>
      <c r="AH105" s="542">
        <v>1343293</v>
      </c>
      <c r="AI105" s="542">
        <v>-346151</v>
      </c>
      <c r="AJ105" s="542">
        <v>-276921</v>
      </c>
      <c r="AK105" s="542">
        <v>-62307</v>
      </c>
      <c r="AL105" s="542">
        <v>-6923</v>
      </c>
      <c r="AM105" s="542">
        <v>-692302</v>
      </c>
      <c r="AN105" s="542">
        <v>-262000</v>
      </c>
      <c r="AO105" s="542">
        <v>-209600</v>
      </c>
      <c r="AP105" s="542">
        <v>-47160</v>
      </c>
      <c r="AQ105" s="542">
        <v>-5240</v>
      </c>
      <c r="AR105" s="542">
        <v>-524000</v>
      </c>
      <c r="AS105" s="542">
        <v>122634</v>
      </c>
      <c r="AT105" s="542">
        <v>98107</v>
      </c>
      <c r="AU105" s="542">
        <v>22074</v>
      </c>
      <c r="AV105" s="542">
        <v>2453</v>
      </c>
      <c r="AW105" s="542">
        <v>245268</v>
      </c>
      <c r="AX105" s="542">
        <v>-129634</v>
      </c>
      <c r="AY105" s="542">
        <v>-103707</v>
      </c>
      <c r="AZ105" s="542">
        <v>-23334</v>
      </c>
      <c r="BA105" s="542">
        <v>-2593</v>
      </c>
      <c r="BB105" s="542">
        <v>-259268</v>
      </c>
      <c r="BC105" s="542">
        <v>-269000</v>
      </c>
      <c r="BD105" s="542">
        <v>-215200</v>
      </c>
      <c r="BE105" s="542">
        <v>-48420</v>
      </c>
      <c r="BF105" s="542">
        <v>-5380</v>
      </c>
      <c r="BG105" s="542">
        <v>-538000</v>
      </c>
      <c r="BH105" s="542">
        <v>-207500</v>
      </c>
      <c r="BI105" s="542">
        <v>-166000</v>
      </c>
      <c r="BJ105" s="542">
        <v>-37350</v>
      </c>
      <c r="BK105" s="542">
        <v>-4150</v>
      </c>
      <c r="BL105" s="542">
        <v>-415000</v>
      </c>
      <c r="BM105" s="542">
        <v>207500</v>
      </c>
      <c r="BN105" s="542">
        <v>166000</v>
      </c>
      <c r="BO105" s="542">
        <v>37350</v>
      </c>
      <c r="BP105" s="542">
        <v>4150</v>
      </c>
      <c r="BQ105" s="542">
        <v>415000</v>
      </c>
      <c r="BR105" s="542">
        <v>-217000</v>
      </c>
      <c r="BS105" s="542">
        <v>-173600</v>
      </c>
      <c r="BT105" s="542">
        <v>-39060</v>
      </c>
      <c r="BU105" s="542">
        <v>-4340</v>
      </c>
      <c r="BV105" s="542">
        <v>-434000</v>
      </c>
      <c r="BW105" s="542">
        <v>-217000</v>
      </c>
      <c r="BX105" s="542">
        <v>-173600</v>
      </c>
      <c r="BY105" s="542">
        <v>-39060</v>
      </c>
      <c r="BZ105" s="542">
        <v>-4340</v>
      </c>
      <c r="CA105" s="542">
        <v>-434000</v>
      </c>
    </row>
    <row r="106" spans="1:79" ht="12.75" x14ac:dyDescent="0.2">
      <c r="A106" s="93">
        <v>100</v>
      </c>
      <c r="B106" s="145" t="s">
        <v>78</v>
      </c>
      <c r="C106" s="141" t="s">
        <v>866</v>
      </c>
      <c r="D106" s="142" t="s">
        <v>875</v>
      </c>
      <c r="E106" s="149" t="s">
        <v>77</v>
      </c>
      <c r="F106" s="543">
        <v>0.5</v>
      </c>
      <c r="G106" s="543">
        <v>0.4</v>
      </c>
      <c r="H106" s="543">
        <v>0.09</v>
      </c>
      <c r="I106" s="543">
        <v>0.01</v>
      </c>
      <c r="J106" s="543">
        <v>1</v>
      </c>
      <c r="K106" s="542">
        <v>38199649</v>
      </c>
      <c r="L106" s="542">
        <v>30559719</v>
      </c>
      <c r="M106" s="542">
        <v>6875937</v>
      </c>
      <c r="N106" s="542">
        <v>763993</v>
      </c>
      <c r="O106" s="542">
        <v>76399298</v>
      </c>
      <c r="P106" s="542">
        <v>0</v>
      </c>
      <c r="Q106" s="542">
        <v>0</v>
      </c>
      <c r="R106" s="542">
        <v>38199649</v>
      </c>
      <c r="S106" s="542">
        <v>224010</v>
      </c>
      <c r="T106" s="542">
        <v>224010</v>
      </c>
      <c r="U106" s="542">
        <v>0</v>
      </c>
      <c r="V106" s="542">
        <v>0</v>
      </c>
      <c r="W106" s="542">
        <v>0</v>
      </c>
      <c r="X106" s="542">
        <v>0</v>
      </c>
      <c r="Y106" s="542">
        <v>0</v>
      </c>
      <c r="Z106" s="542">
        <v>0</v>
      </c>
      <c r="AA106" s="542">
        <v>0</v>
      </c>
      <c r="AB106" s="542">
        <v>0</v>
      </c>
      <c r="AC106" s="542">
        <v>0</v>
      </c>
      <c r="AD106" s="542">
        <v>1012446</v>
      </c>
      <c r="AE106" s="542">
        <v>809956</v>
      </c>
      <c r="AF106" s="542">
        <v>182240</v>
      </c>
      <c r="AG106" s="542">
        <v>20249</v>
      </c>
      <c r="AH106" s="542">
        <v>2024891</v>
      </c>
      <c r="AI106" s="542">
        <v>-716106</v>
      </c>
      <c r="AJ106" s="542">
        <v>-572885</v>
      </c>
      <c r="AK106" s="542">
        <v>-128899</v>
      </c>
      <c r="AL106" s="542">
        <v>-14322</v>
      </c>
      <c r="AM106" s="542">
        <v>-1432212</v>
      </c>
      <c r="AN106" s="542">
        <v>-15000</v>
      </c>
      <c r="AO106" s="542">
        <v>-12000</v>
      </c>
      <c r="AP106" s="542">
        <v>-2700</v>
      </c>
      <c r="AQ106" s="542">
        <v>-300</v>
      </c>
      <c r="AR106" s="542">
        <v>-30000</v>
      </c>
      <c r="AS106" s="542">
        <v>0</v>
      </c>
      <c r="AT106" s="542">
        <v>0</v>
      </c>
      <c r="AU106" s="542">
        <v>0</v>
      </c>
      <c r="AV106" s="542">
        <v>0</v>
      </c>
      <c r="AW106" s="542">
        <v>0</v>
      </c>
      <c r="AX106" s="542">
        <v>-65000</v>
      </c>
      <c r="AY106" s="542">
        <v>-52000</v>
      </c>
      <c r="AZ106" s="542">
        <v>-11700</v>
      </c>
      <c r="BA106" s="542">
        <v>-1300</v>
      </c>
      <c r="BB106" s="542">
        <v>-130000</v>
      </c>
      <c r="BC106" s="542">
        <v>-80000</v>
      </c>
      <c r="BD106" s="542">
        <v>-64000</v>
      </c>
      <c r="BE106" s="542">
        <v>-14400</v>
      </c>
      <c r="BF106" s="542">
        <v>-1600</v>
      </c>
      <c r="BG106" s="542">
        <v>-160000</v>
      </c>
      <c r="BH106" s="542">
        <v>-1839659</v>
      </c>
      <c r="BI106" s="542">
        <v>-1471726</v>
      </c>
      <c r="BJ106" s="542">
        <v>-331139</v>
      </c>
      <c r="BK106" s="542">
        <v>-36793</v>
      </c>
      <c r="BL106" s="542">
        <v>-3679317</v>
      </c>
      <c r="BM106" s="542">
        <v>1370384</v>
      </c>
      <c r="BN106" s="542">
        <v>1096308</v>
      </c>
      <c r="BO106" s="542">
        <v>246669</v>
      </c>
      <c r="BP106" s="542">
        <v>27408</v>
      </c>
      <c r="BQ106" s="542">
        <v>2740769</v>
      </c>
      <c r="BR106" s="542">
        <v>-969422</v>
      </c>
      <c r="BS106" s="542">
        <v>-775538</v>
      </c>
      <c r="BT106" s="542">
        <v>-174496</v>
      </c>
      <c r="BU106" s="542">
        <v>-19388</v>
      </c>
      <c r="BV106" s="542">
        <v>-1938844</v>
      </c>
      <c r="BW106" s="542">
        <v>-1438697</v>
      </c>
      <c r="BX106" s="542">
        <v>-1150956</v>
      </c>
      <c r="BY106" s="542">
        <v>-258966</v>
      </c>
      <c r="BZ106" s="542">
        <v>-28773</v>
      </c>
      <c r="CA106" s="542">
        <v>-2877392</v>
      </c>
    </row>
    <row r="107" spans="1:79" ht="12.75" x14ac:dyDescent="0.2">
      <c r="A107" s="93">
        <v>101</v>
      </c>
      <c r="B107" s="145" t="s">
        <v>80</v>
      </c>
      <c r="C107" s="141" t="s">
        <v>866</v>
      </c>
      <c r="D107" s="142" t="s">
        <v>867</v>
      </c>
      <c r="E107" s="149" t="s">
        <v>79</v>
      </c>
      <c r="F107" s="543">
        <v>0.5</v>
      </c>
      <c r="G107" s="543">
        <v>0.4</v>
      </c>
      <c r="H107" s="543">
        <v>0.09</v>
      </c>
      <c r="I107" s="543">
        <v>0.01</v>
      </c>
      <c r="J107" s="543">
        <v>1</v>
      </c>
      <c r="K107" s="542">
        <v>18948564</v>
      </c>
      <c r="L107" s="542">
        <v>15158852</v>
      </c>
      <c r="M107" s="542">
        <v>3410742</v>
      </c>
      <c r="N107" s="542">
        <v>378971</v>
      </c>
      <c r="O107" s="542">
        <v>37897129</v>
      </c>
      <c r="P107" s="542">
        <v>160744.492</v>
      </c>
      <c r="Q107" s="542">
        <v>160744.492</v>
      </c>
      <c r="R107" s="542">
        <v>18787819.5</v>
      </c>
      <c r="S107" s="542">
        <v>142074</v>
      </c>
      <c r="T107" s="542">
        <v>142074</v>
      </c>
      <c r="U107" s="542">
        <v>0</v>
      </c>
      <c r="V107" s="542">
        <v>0</v>
      </c>
      <c r="W107" s="542">
        <v>79471</v>
      </c>
      <c r="X107" s="542">
        <v>0</v>
      </c>
      <c r="Y107" s="542">
        <v>79471</v>
      </c>
      <c r="Z107" s="542">
        <v>160744.492</v>
      </c>
      <c r="AA107" s="542">
        <v>0</v>
      </c>
      <c r="AB107" s="542">
        <v>0</v>
      </c>
      <c r="AC107" s="542">
        <v>160744.492</v>
      </c>
      <c r="AD107" s="542">
        <v>325569</v>
      </c>
      <c r="AE107" s="542">
        <v>260456</v>
      </c>
      <c r="AF107" s="542">
        <v>58603</v>
      </c>
      <c r="AG107" s="542">
        <v>6511</v>
      </c>
      <c r="AH107" s="542">
        <v>651139</v>
      </c>
      <c r="AI107" s="542">
        <v>-318167</v>
      </c>
      <c r="AJ107" s="542">
        <v>-254534</v>
      </c>
      <c r="AK107" s="542">
        <v>-57270</v>
      </c>
      <c r="AL107" s="542">
        <v>-6363</v>
      </c>
      <c r="AM107" s="542">
        <v>-636334</v>
      </c>
      <c r="AN107" s="542">
        <v>-210563.49</v>
      </c>
      <c r="AO107" s="542">
        <v>-168450</v>
      </c>
      <c r="AP107" s="542">
        <v>-37901</v>
      </c>
      <c r="AQ107" s="542">
        <v>-4211</v>
      </c>
      <c r="AR107" s="542">
        <v>-421125.49</v>
      </c>
      <c r="AS107" s="542">
        <v>163270</v>
      </c>
      <c r="AT107" s="542">
        <v>130615</v>
      </c>
      <c r="AU107" s="542">
        <v>29388</v>
      </c>
      <c r="AV107" s="542">
        <v>3265</v>
      </c>
      <c r="AW107" s="542">
        <v>326538</v>
      </c>
      <c r="AX107" s="542">
        <v>-110831</v>
      </c>
      <c r="AY107" s="542">
        <v>-88664</v>
      </c>
      <c r="AZ107" s="542">
        <v>-19949</v>
      </c>
      <c r="BA107" s="542">
        <v>-2217</v>
      </c>
      <c r="BB107" s="542">
        <v>-221661</v>
      </c>
      <c r="BC107" s="542">
        <v>-158124.49</v>
      </c>
      <c r="BD107" s="542">
        <v>-126499</v>
      </c>
      <c r="BE107" s="542">
        <v>-28462</v>
      </c>
      <c r="BF107" s="542">
        <v>-3163</v>
      </c>
      <c r="BG107" s="542">
        <v>-316248.49</v>
      </c>
      <c r="BH107" s="542">
        <v>-1688710</v>
      </c>
      <c r="BI107" s="542">
        <v>-1350967</v>
      </c>
      <c r="BJ107" s="542">
        <v>-303967</v>
      </c>
      <c r="BK107" s="542">
        <v>-33774</v>
      </c>
      <c r="BL107" s="542">
        <v>-3377418</v>
      </c>
      <c r="BM107" s="542">
        <v>327111</v>
      </c>
      <c r="BN107" s="542">
        <v>261688</v>
      </c>
      <c r="BO107" s="542">
        <v>58880</v>
      </c>
      <c r="BP107" s="542">
        <v>6542</v>
      </c>
      <c r="BQ107" s="542">
        <v>654221</v>
      </c>
      <c r="BR107" s="542">
        <v>-1940314</v>
      </c>
      <c r="BS107" s="542">
        <v>-1552251</v>
      </c>
      <c r="BT107" s="542">
        <v>-349256</v>
      </c>
      <c r="BU107" s="542">
        <v>-38806</v>
      </c>
      <c r="BV107" s="542">
        <v>-3880627</v>
      </c>
      <c r="BW107" s="542">
        <v>-3301913</v>
      </c>
      <c r="BX107" s="542">
        <v>-2641530</v>
      </c>
      <c r="BY107" s="542">
        <v>-594343</v>
      </c>
      <c r="BZ107" s="542">
        <v>-66038</v>
      </c>
      <c r="CA107" s="542">
        <v>-6603824</v>
      </c>
    </row>
    <row r="108" spans="1:79" ht="12.75" x14ac:dyDescent="0.2">
      <c r="A108" s="93">
        <v>102</v>
      </c>
      <c r="B108" s="145" t="s">
        <v>82</v>
      </c>
      <c r="C108" s="141" t="s">
        <v>866</v>
      </c>
      <c r="D108" s="142" t="s">
        <v>870</v>
      </c>
      <c r="E108" s="149" t="s">
        <v>81</v>
      </c>
      <c r="F108" s="543">
        <v>0.5</v>
      </c>
      <c r="G108" s="543">
        <v>0.4</v>
      </c>
      <c r="H108" s="543">
        <v>0.09</v>
      </c>
      <c r="I108" s="543">
        <v>0.01</v>
      </c>
      <c r="J108" s="543">
        <v>1</v>
      </c>
      <c r="K108" s="542">
        <v>12032470</v>
      </c>
      <c r="L108" s="542">
        <v>9625975</v>
      </c>
      <c r="M108" s="542">
        <v>2165844</v>
      </c>
      <c r="N108" s="542">
        <v>240649</v>
      </c>
      <c r="O108" s="542">
        <v>24064938</v>
      </c>
      <c r="P108" s="542">
        <v>0</v>
      </c>
      <c r="Q108" s="542">
        <v>0</v>
      </c>
      <c r="R108" s="542">
        <v>12032470</v>
      </c>
      <c r="S108" s="542">
        <v>127291</v>
      </c>
      <c r="T108" s="542">
        <v>127291</v>
      </c>
      <c r="U108" s="542">
        <v>0</v>
      </c>
      <c r="V108" s="542">
        <v>0</v>
      </c>
      <c r="W108" s="542">
        <v>0</v>
      </c>
      <c r="X108" s="542">
        <v>0</v>
      </c>
      <c r="Y108" s="542">
        <v>0</v>
      </c>
      <c r="Z108" s="542">
        <v>0</v>
      </c>
      <c r="AA108" s="542">
        <v>0</v>
      </c>
      <c r="AB108" s="542">
        <v>0</v>
      </c>
      <c r="AC108" s="542">
        <v>0</v>
      </c>
      <c r="AD108" s="542">
        <v>443113</v>
      </c>
      <c r="AE108" s="542">
        <v>354490</v>
      </c>
      <c r="AF108" s="542">
        <v>79760</v>
      </c>
      <c r="AG108" s="542">
        <v>8862</v>
      </c>
      <c r="AH108" s="542">
        <v>886225</v>
      </c>
      <c r="AI108" s="542">
        <v>-45779</v>
      </c>
      <c r="AJ108" s="542">
        <v>-36623</v>
      </c>
      <c r="AK108" s="542">
        <v>-8240</v>
      </c>
      <c r="AL108" s="542">
        <v>-916</v>
      </c>
      <c r="AM108" s="542">
        <v>-91558</v>
      </c>
      <c r="AN108" s="542">
        <v>-160546.53</v>
      </c>
      <c r="AO108" s="542">
        <v>-128438</v>
      </c>
      <c r="AP108" s="542">
        <v>-28899</v>
      </c>
      <c r="AQ108" s="542">
        <v>-3211</v>
      </c>
      <c r="AR108" s="542">
        <v>-321094.53000000003</v>
      </c>
      <c r="AS108" s="542">
        <v>29559</v>
      </c>
      <c r="AT108" s="542">
        <v>23647</v>
      </c>
      <c r="AU108" s="542">
        <v>5321</v>
      </c>
      <c r="AV108" s="542">
        <v>591</v>
      </c>
      <c r="AW108" s="542">
        <v>59118</v>
      </c>
      <c r="AX108" s="542">
        <v>-101314</v>
      </c>
      <c r="AY108" s="542">
        <v>-81051</v>
      </c>
      <c r="AZ108" s="542">
        <v>-18237</v>
      </c>
      <c r="BA108" s="542">
        <v>-2026</v>
      </c>
      <c r="BB108" s="542">
        <v>-202628</v>
      </c>
      <c r="BC108" s="542">
        <v>-232301.53</v>
      </c>
      <c r="BD108" s="542">
        <v>-185842</v>
      </c>
      <c r="BE108" s="542">
        <v>-41815</v>
      </c>
      <c r="BF108" s="542">
        <v>-4646</v>
      </c>
      <c r="BG108" s="542">
        <v>-464604.53</v>
      </c>
      <c r="BH108" s="542">
        <v>-507869</v>
      </c>
      <c r="BI108" s="542">
        <v>-406295</v>
      </c>
      <c r="BJ108" s="542">
        <v>-91416</v>
      </c>
      <c r="BK108" s="542">
        <v>-10158</v>
      </c>
      <c r="BL108" s="542">
        <v>-1015738</v>
      </c>
      <c r="BM108" s="542">
        <v>507870</v>
      </c>
      <c r="BN108" s="542">
        <v>406295</v>
      </c>
      <c r="BO108" s="542">
        <v>91416</v>
      </c>
      <c r="BP108" s="542">
        <v>10157</v>
      </c>
      <c r="BQ108" s="542">
        <v>1015738</v>
      </c>
      <c r="BR108" s="542">
        <v>-730647</v>
      </c>
      <c r="BS108" s="542">
        <v>-584518</v>
      </c>
      <c r="BT108" s="542">
        <v>-131517</v>
      </c>
      <c r="BU108" s="542">
        <v>-14613</v>
      </c>
      <c r="BV108" s="542">
        <v>-1461295</v>
      </c>
      <c r="BW108" s="542">
        <v>-730646</v>
      </c>
      <c r="BX108" s="542">
        <v>-584518</v>
      </c>
      <c r="BY108" s="542">
        <v>-131517</v>
      </c>
      <c r="BZ108" s="542">
        <v>-14614</v>
      </c>
      <c r="CA108" s="542">
        <v>-1461295</v>
      </c>
    </row>
    <row r="109" spans="1:79" ht="12.75" x14ac:dyDescent="0.2">
      <c r="A109" s="93">
        <v>103</v>
      </c>
      <c r="B109" s="145" t="s">
        <v>84</v>
      </c>
      <c r="C109" s="141" t="s">
        <v>866</v>
      </c>
      <c r="D109" s="142" t="s">
        <v>870</v>
      </c>
      <c r="E109" s="149" t="s">
        <v>83</v>
      </c>
      <c r="F109" s="543">
        <v>0.5</v>
      </c>
      <c r="G109" s="543">
        <v>0.4</v>
      </c>
      <c r="H109" s="543">
        <v>0.1</v>
      </c>
      <c r="I109" s="543">
        <v>0</v>
      </c>
      <c r="J109" s="543">
        <v>1</v>
      </c>
      <c r="K109" s="542">
        <v>10833019</v>
      </c>
      <c r="L109" s="542">
        <v>8666415</v>
      </c>
      <c r="M109" s="542">
        <v>2166604</v>
      </c>
      <c r="N109" s="542">
        <v>0</v>
      </c>
      <c r="O109" s="542">
        <v>21666038</v>
      </c>
      <c r="P109" s="542">
        <v>0</v>
      </c>
      <c r="Q109" s="542">
        <v>0</v>
      </c>
      <c r="R109" s="542">
        <v>10833019</v>
      </c>
      <c r="S109" s="542">
        <v>90011</v>
      </c>
      <c r="T109" s="542">
        <v>90011</v>
      </c>
      <c r="U109" s="542">
        <v>0</v>
      </c>
      <c r="V109" s="542">
        <v>0</v>
      </c>
      <c r="W109" s="542">
        <v>55091</v>
      </c>
      <c r="X109" s="542">
        <v>0</v>
      </c>
      <c r="Y109" s="542">
        <v>55091</v>
      </c>
      <c r="Z109" s="542">
        <v>0</v>
      </c>
      <c r="AA109" s="542">
        <v>0</v>
      </c>
      <c r="AB109" s="542">
        <v>0</v>
      </c>
      <c r="AC109" s="542">
        <v>0</v>
      </c>
      <c r="AD109" s="542">
        <v>417669</v>
      </c>
      <c r="AE109" s="542">
        <v>334135</v>
      </c>
      <c r="AF109" s="542">
        <v>83534</v>
      </c>
      <c r="AG109" s="542">
        <v>0</v>
      </c>
      <c r="AH109" s="542">
        <v>835338</v>
      </c>
      <c r="AI109" s="542">
        <v>-19032</v>
      </c>
      <c r="AJ109" s="542">
        <v>-15226</v>
      </c>
      <c r="AK109" s="542">
        <v>-3807</v>
      </c>
      <c r="AL109" s="542">
        <v>0</v>
      </c>
      <c r="AM109" s="542">
        <v>-38065</v>
      </c>
      <c r="AN109" s="542">
        <v>-91625.600000000006</v>
      </c>
      <c r="AO109" s="542">
        <v>-73300</v>
      </c>
      <c r="AP109" s="542">
        <v>-18325</v>
      </c>
      <c r="AQ109" s="542">
        <v>0</v>
      </c>
      <c r="AR109" s="542">
        <v>-183250.6</v>
      </c>
      <c r="AS109" s="542">
        <v>7099</v>
      </c>
      <c r="AT109" s="542">
        <v>5679</v>
      </c>
      <c r="AU109" s="542">
        <v>1420</v>
      </c>
      <c r="AV109" s="542">
        <v>0</v>
      </c>
      <c r="AW109" s="542">
        <v>14198</v>
      </c>
      <c r="AX109" s="542">
        <v>-57715</v>
      </c>
      <c r="AY109" s="542">
        <v>-46172</v>
      </c>
      <c r="AZ109" s="542">
        <v>-11543</v>
      </c>
      <c r="BA109" s="542">
        <v>0</v>
      </c>
      <c r="BB109" s="542">
        <v>-115430</v>
      </c>
      <c r="BC109" s="542">
        <v>-142241.60000000001</v>
      </c>
      <c r="BD109" s="542">
        <v>-113793</v>
      </c>
      <c r="BE109" s="542">
        <v>-28448</v>
      </c>
      <c r="BF109" s="542">
        <v>0</v>
      </c>
      <c r="BG109" s="542">
        <v>-284482.59999999998</v>
      </c>
      <c r="BH109" s="542">
        <v>-200411</v>
      </c>
      <c r="BI109" s="542">
        <v>-160330</v>
      </c>
      <c r="BJ109" s="542">
        <v>-40082</v>
      </c>
      <c r="BK109" s="542">
        <v>0</v>
      </c>
      <c r="BL109" s="542">
        <v>-400823</v>
      </c>
      <c r="BM109" s="542">
        <v>204600</v>
      </c>
      <c r="BN109" s="542">
        <v>163680</v>
      </c>
      <c r="BO109" s="542">
        <v>40920</v>
      </c>
      <c r="BP109" s="542">
        <v>0</v>
      </c>
      <c r="BQ109" s="542">
        <v>409200</v>
      </c>
      <c r="BR109" s="542">
        <v>-366372</v>
      </c>
      <c r="BS109" s="542">
        <v>-293098</v>
      </c>
      <c r="BT109" s="542">
        <v>-73274</v>
      </c>
      <c r="BU109" s="542">
        <v>0</v>
      </c>
      <c r="BV109" s="542">
        <v>-732744</v>
      </c>
      <c r="BW109" s="542">
        <v>-362183</v>
      </c>
      <c r="BX109" s="542">
        <v>-289748</v>
      </c>
      <c r="BY109" s="542">
        <v>-72436</v>
      </c>
      <c r="BZ109" s="542">
        <v>0</v>
      </c>
      <c r="CA109" s="542">
        <v>-724367</v>
      </c>
    </row>
    <row r="110" spans="1:79" ht="12.75" x14ac:dyDescent="0.2">
      <c r="A110" s="93">
        <v>104</v>
      </c>
      <c r="B110" s="145" t="s">
        <v>86</v>
      </c>
      <c r="C110" s="141" t="s">
        <v>866</v>
      </c>
      <c r="D110" s="142" t="s">
        <v>875</v>
      </c>
      <c r="E110" s="149" t="s">
        <v>85</v>
      </c>
      <c r="F110" s="543">
        <v>0.5</v>
      </c>
      <c r="G110" s="543">
        <v>0.4</v>
      </c>
      <c r="H110" s="543">
        <v>0.1</v>
      </c>
      <c r="I110" s="543">
        <v>0</v>
      </c>
      <c r="J110" s="543">
        <v>1</v>
      </c>
      <c r="K110" s="542">
        <v>5822412</v>
      </c>
      <c r="L110" s="542">
        <v>4657929</v>
      </c>
      <c r="M110" s="542">
        <v>1164482</v>
      </c>
      <c r="N110" s="542">
        <v>0</v>
      </c>
      <c r="O110" s="542">
        <v>11644823</v>
      </c>
      <c r="P110" s="542">
        <v>0</v>
      </c>
      <c r="Q110" s="542">
        <v>0</v>
      </c>
      <c r="R110" s="542">
        <v>5822412</v>
      </c>
      <c r="S110" s="542">
        <v>119688</v>
      </c>
      <c r="T110" s="542">
        <v>119688</v>
      </c>
      <c r="U110" s="542">
        <v>0</v>
      </c>
      <c r="V110" s="542">
        <v>0</v>
      </c>
      <c r="W110" s="542">
        <v>13292</v>
      </c>
      <c r="X110" s="542">
        <v>0</v>
      </c>
      <c r="Y110" s="542">
        <v>13292</v>
      </c>
      <c r="Z110" s="542">
        <v>0</v>
      </c>
      <c r="AA110" s="542">
        <v>0</v>
      </c>
      <c r="AB110" s="542">
        <v>0</v>
      </c>
      <c r="AC110" s="542">
        <v>0</v>
      </c>
      <c r="AD110" s="542">
        <v>262679</v>
      </c>
      <c r="AE110" s="542">
        <v>210144</v>
      </c>
      <c r="AF110" s="542">
        <v>52536</v>
      </c>
      <c r="AG110" s="542">
        <v>0</v>
      </c>
      <c r="AH110" s="542">
        <v>525359</v>
      </c>
      <c r="AI110" s="542">
        <v>-72112</v>
      </c>
      <c r="AJ110" s="542">
        <v>-57689</v>
      </c>
      <c r="AK110" s="542">
        <v>-14422</v>
      </c>
      <c r="AL110" s="542">
        <v>0</v>
      </c>
      <c r="AM110" s="542">
        <v>-144223</v>
      </c>
      <c r="AN110" s="542">
        <v>-119704</v>
      </c>
      <c r="AO110" s="542">
        <v>-95763</v>
      </c>
      <c r="AP110" s="542">
        <v>-23941</v>
      </c>
      <c r="AQ110" s="542">
        <v>0</v>
      </c>
      <c r="AR110" s="542">
        <v>-239408</v>
      </c>
      <c r="AS110" s="542">
        <v>93209</v>
      </c>
      <c r="AT110" s="542">
        <v>74568</v>
      </c>
      <c r="AU110" s="542">
        <v>18642</v>
      </c>
      <c r="AV110" s="542">
        <v>0</v>
      </c>
      <c r="AW110" s="542">
        <v>186419</v>
      </c>
      <c r="AX110" s="542">
        <v>-53468</v>
      </c>
      <c r="AY110" s="542">
        <v>-42774</v>
      </c>
      <c r="AZ110" s="542">
        <v>-10694</v>
      </c>
      <c r="BA110" s="542">
        <v>0</v>
      </c>
      <c r="BB110" s="542">
        <v>-106936</v>
      </c>
      <c r="BC110" s="542">
        <v>-79963</v>
      </c>
      <c r="BD110" s="542">
        <v>-63969</v>
      </c>
      <c r="BE110" s="542">
        <v>-15993</v>
      </c>
      <c r="BF110" s="542">
        <v>0</v>
      </c>
      <c r="BG110" s="542">
        <v>-159925</v>
      </c>
      <c r="BH110" s="542">
        <v>-125591</v>
      </c>
      <c r="BI110" s="542">
        <v>-100474</v>
      </c>
      <c r="BJ110" s="542">
        <v>-25119</v>
      </c>
      <c r="BK110" s="542">
        <v>0</v>
      </c>
      <c r="BL110" s="542">
        <v>-251184</v>
      </c>
      <c r="BM110" s="542">
        <v>67420</v>
      </c>
      <c r="BN110" s="542">
        <v>53936</v>
      </c>
      <c r="BO110" s="542">
        <v>13484</v>
      </c>
      <c r="BP110" s="542">
        <v>0</v>
      </c>
      <c r="BQ110" s="542">
        <v>134840</v>
      </c>
      <c r="BR110" s="542">
        <v>-20546</v>
      </c>
      <c r="BS110" s="542">
        <v>-16436</v>
      </c>
      <c r="BT110" s="542">
        <v>-4109</v>
      </c>
      <c r="BU110" s="542">
        <v>0</v>
      </c>
      <c r="BV110" s="542">
        <v>-41091</v>
      </c>
      <c r="BW110" s="542">
        <v>-78717</v>
      </c>
      <c r="BX110" s="542">
        <v>-62974</v>
      </c>
      <c r="BY110" s="542">
        <v>-15744</v>
      </c>
      <c r="BZ110" s="542">
        <v>0</v>
      </c>
      <c r="CA110" s="542">
        <v>-157435</v>
      </c>
    </row>
    <row r="111" spans="1:79" ht="12.75" x14ac:dyDescent="0.2">
      <c r="A111" s="93">
        <v>105</v>
      </c>
      <c r="B111" s="145" t="s">
        <v>88</v>
      </c>
      <c r="C111" s="141" t="s">
        <v>866</v>
      </c>
      <c r="D111" s="142" t="s">
        <v>868</v>
      </c>
      <c r="E111" s="149" t="s">
        <v>87</v>
      </c>
      <c r="F111" s="543">
        <v>0.5</v>
      </c>
      <c r="G111" s="543">
        <v>0.4</v>
      </c>
      <c r="H111" s="543">
        <v>0.09</v>
      </c>
      <c r="I111" s="543">
        <v>0.01</v>
      </c>
      <c r="J111" s="543">
        <v>1</v>
      </c>
      <c r="K111" s="542">
        <v>10923816</v>
      </c>
      <c r="L111" s="542">
        <v>8739053</v>
      </c>
      <c r="M111" s="542">
        <v>1966287</v>
      </c>
      <c r="N111" s="542">
        <v>218476</v>
      </c>
      <c r="O111" s="542">
        <v>21847632</v>
      </c>
      <c r="P111" s="542">
        <v>0</v>
      </c>
      <c r="Q111" s="542">
        <v>0</v>
      </c>
      <c r="R111" s="542">
        <v>10923816</v>
      </c>
      <c r="S111" s="542">
        <v>111357</v>
      </c>
      <c r="T111" s="542">
        <v>111357</v>
      </c>
      <c r="U111" s="542">
        <v>0</v>
      </c>
      <c r="V111" s="542">
        <v>0</v>
      </c>
      <c r="W111" s="542">
        <v>0</v>
      </c>
      <c r="X111" s="542">
        <v>0</v>
      </c>
      <c r="Y111" s="542">
        <v>0</v>
      </c>
      <c r="Z111" s="542">
        <v>0</v>
      </c>
      <c r="AA111" s="542">
        <v>0</v>
      </c>
      <c r="AB111" s="542">
        <v>0</v>
      </c>
      <c r="AC111" s="542">
        <v>0</v>
      </c>
      <c r="AD111" s="542">
        <v>794624</v>
      </c>
      <c r="AE111" s="542">
        <v>635699</v>
      </c>
      <c r="AF111" s="542">
        <v>143032</v>
      </c>
      <c r="AG111" s="542">
        <v>15892</v>
      </c>
      <c r="AH111" s="542">
        <v>1589247</v>
      </c>
      <c r="AI111" s="542">
        <v>-198369</v>
      </c>
      <c r="AJ111" s="542">
        <v>-158695</v>
      </c>
      <c r="AK111" s="542">
        <v>-35706</v>
      </c>
      <c r="AL111" s="542">
        <v>-3967</v>
      </c>
      <c r="AM111" s="542">
        <v>-396737</v>
      </c>
      <c r="AN111" s="542">
        <v>-318145</v>
      </c>
      <c r="AO111" s="542">
        <v>-254516</v>
      </c>
      <c r="AP111" s="542">
        <v>-57266</v>
      </c>
      <c r="AQ111" s="542">
        <v>-6363</v>
      </c>
      <c r="AR111" s="542">
        <v>-636290</v>
      </c>
      <c r="AS111" s="542">
        <v>0</v>
      </c>
      <c r="AT111" s="542">
        <v>0</v>
      </c>
      <c r="AU111" s="542">
        <v>0</v>
      </c>
      <c r="AV111" s="542">
        <v>0</v>
      </c>
      <c r="AW111" s="542">
        <v>0</v>
      </c>
      <c r="AX111" s="542">
        <v>-51399</v>
      </c>
      <c r="AY111" s="542">
        <v>-41120</v>
      </c>
      <c r="AZ111" s="542">
        <v>-9252</v>
      </c>
      <c r="BA111" s="542">
        <v>-1028</v>
      </c>
      <c r="BB111" s="542">
        <v>-102799</v>
      </c>
      <c r="BC111" s="542">
        <v>-369544</v>
      </c>
      <c r="BD111" s="542">
        <v>-295636</v>
      </c>
      <c r="BE111" s="542">
        <v>-66518</v>
      </c>
      <c r="BF111" s="542">
        <v>-7391</v>
      </c>
      <c r="BG111" s="542">
        <v>-739089</v>
      </c>
      <c r="BH111" s="542">
        <v>-607896</v>
      </c>
      <c r="BI111" s="542">
        <v>-486316</v>
      </c>
      <c r="BJ111" s="542">
        <v>-109421</v>
      </c>
      <c r="BK111" s="542">
        <v>-12158</v>
      </c>
      <c r="BL111" s="542">
        <v>-1215791</v>
      </c>
      <c r="BM111" s="542">
        <v>0</v>
      </c>
      <c r="BN111" s="542">
        <v>0</v>
      </c>
      <c r="BO111" s="542">
        <v>0</v>
      </c>
      <c r="BP111" s="542">
        <v>0</v>
      </c>
      <c r="BQ111" s="542">
        <v>0</v>
      </c>
      <c r="BR111" s="542">
        <v>-1172229</v>
      </c>
      <c r="BS111" s="542">
        <v>-937784</v>
      </c>
      <c r="BT111" s="542">
        <v>-211001</v>
      </c>
      <c r="BU111" s="542">
        <v>-23445</v>
      </c>
      <c r="BV111" s="542">
        <v>-2344459</v>
      </c>
      <c r="BW111" s="542">
        <v>-1780125</v>
      </c>
      <c r="BX111" s="542">
        <v>-1424100</v>
      </c>
      <c r="BY111" s="542">
        <v>-320422</v>
      </c>
      <c r="BZ111" s="542">
        <v>-35603</v>
      </c>
      <c r="CA111" s="542">
        <v>-3560250</v>
      </c>
    </row>
    <row r="112" spans="1:79" ht="12.75" x14ac:dyDescent="0.2">
      <c r="A112" s="93">
        <v>106</v>
      </c>
      <c r="B112" s="145" t="s">
        <v>90</v>
      </c>
      <c r="C112" s="141" t="s">
        <v>873</v>
      </c>
      <c r="D112" s="142" t="s">
        <v>878</v>
      </c>
      <c r="E112" s="149" t="s">
        <v>89</v>
      </c>
      <c r="F112" s="543">
        <v>0.5</v>
      </c>
      <c r="G112" s="543">
        <v>0.49</v>
      </c>
      <c r="H112" s="543">
        <v>0</v>
      </c>
      <c r="I112" s="543">
        <v>0.01</v>
      </c>
      <c r="J112" s="543">
        <v>1</v>
      </c>
      <c r="K112" s="542">
        <v>43503011</v>
      </c>
      <c r="L112" s="542">
        <v>42632951</v>
      </c>
      <c r="M112" s="542">
        <v>0</v>
      </c>
      <c r="N112" s="542">
        <v>870060</v>
      </c>
      <c r="O112" s="542">
        <v>87006022</v>
      </c>
      <c r="P112" s="542">
        <v>0</v>
      </c>
      <c r="Q112" s="542">
        <v>0</v>
      </c>
      <c r="R112" s="542">
        <v>43503011</v>
      </c>
      <c r="S112" s="542">
        <v>293640</v>
      </c>
      <c r="T112" s="542">
        <v>293640</v>
      </c>
      <c r="U112" s="542">
        <v>253927</v>
      </c>
      <c r="V112" s="542">
        <v>253927</v>
      </c>
      <c r="W112" s="542">
        <v>0</v>
      </c>
      <c r="X112" s="542">
        <v>0</v>
      </c>
      <c r="Y112" s="542">
        <v>0</v>
      </c>
      <c r="Z112" s="542">
        <v>0</v>
      </c>
      <c r="AA112" s="542">
        <v>0</v>
      </c>
      <c r="AB112" s="542">
        <v>0</v>
      </c>
      <c r="AC112" s="542">
        <v>0</v>
      </c>
      <c r="AD112" s="542">
        <v>3778058</v>
      </c>
      <c r="AE112" s="542">
        <v>3702497</v>
      </c>
      <c r="AF112" s="542">
        <v>0</v>
      </c>
      <c r="AG112" s="542">
        <v>75561</v>
      </c>
      <c r="AH112" s="542">
        <v>7556116</v>
      </c>
      <c r="AI112" s="542">
        <v>-1010422</v>
      </c>
      <c r="AJ112" s="542">
        <v>-990213</v>
      </c>
      <c r="AK112" s="542">
        <v>0</v>
      </c>
      <c r="AL112" s="542">
        <v>-20208</v>
      </c>
      <c r="AM112" s="542">
        <v>-2020843</v>
      </c>
      <c r="AN112" s="542">
        <v>-1582500</v>
      </c>
      <c r="AO112" s="542">
        <v>-1550850</v>
      </c>
      <c r="AP112" s="542">
        <v>0</v>
      </c>
      <c r="AQ112" s="542">
        <v>-31650</v>
      </c>
      <c r="AR112" s="542">
        <v>-3165000</v>
      </c>
      <c r="AS112" s="542">
        <v>553790</v>
      </c>
      <c r="AT112" s="542">
        <v>542714</v>
      </c>
      <c r="AU112" s="542">
        <v>0</v>
      </c>
      <c r="AV112" s="542">
        <v>11076</v>
      </c>
      <c r="AW112" s="542">
        <v>1107580</v>
      </c>
      <c r="AX112" s="542">
        <v>-553790</v>
      </c>
      <c r="AY112" s="542">
        <v>-542714</v>
      </c>
      <c r="AZ112" s="542">
        <v>0</v>
      </c>
      <c r="BA112" s="542">
        <v>-11076</v>
      </c>
      <c r="BB112" s="542">
        <v>-1107580</v>
      </c>
      <c r="BC112" s="542">
        <v>-1582500</v>
      </c>
      <c r="BD112" s="542">
        <v>-1550850</v>
      </c>
      <c r="BE112" s="542">
        <v>0</v>
      </c>
      <c r="BF112" s="542">
        <v>-31650</v>
      </c>
      <c r="BG112" s="542">
        <v>-3165000</v>
      </c>
      <c r="BH112" s="542">
        <v>-1689937</v>
      </c>
      <c r="BI112" s="542">
        <v>-1656139</v>
      </c>
      <c r="BJ112" s="542">
        <v>0</v>
      </c>
      <c r="BK112" s="542">
        <v>-33799</v>
      </c>
      <c r="BL112" s="542">
        <v>-3379875</v>
      </c>
      <c r="BM112" s="542">
        <v>1154837</v>
      </c>
      <c r="BN112" s="542">
        <v>1131741</v>
      </c>
      <c r="BO112" s="542">
        <v>0</v>
      </c>
      <c r="BP112" s="542">
        <v>23097</v>
      </c>
      <c r="BQ112" s="542">
        <v>2309675</v>
      </c>
      <c r="BR112" s="542">
        <v>-1154837</v>
      </c>
      <c r="BS112" s="542">
        <v>-1131741</v>
      </c>
      <c r="BT112" s="542">
        <v>0</v>
      </c>
      <c r="BU112" s="542">
        <v>-23097</v>
      </c>
      <c r="BV112" s="542">
        <v>-2309675</v>
      </c>
      <c r="BW112" s="542">
        <v>-1689937</v>
      </c>
      <c r="BX112" s="542">
        <v>-1656139</v>
      </c>
      <c r="BY112" s="542">
        <v>0</v>
      </c>
      <c r="BZ112" s="542">
        <v>-33799</v>
      </c>
      <c r="CA112" s="542">
        <v>-3379875</v>
      </c>
    </row>
    <row r="113" spans="1:79" ht="12.75" x14ac:dyDescent="0.2">
      <c r="A113" s="93">
        <v>107</v>
      </c>
      <c r="B113" s="145" t="s">
        <v>92</v>
      </c>
      <c r="C113" s="141" t="s">
        <v>866</v>
      </c>
      <c r="D113" s="142" t="s">
        <v>869</v>
      </c>
      <c r="E113" s="149" t="s">
        <v>91</v>
      </c>
      <c r="F113" s="543">
        <v>0.5</v>
      </c>
      <c r="G113" s="543">
        <v>0.4</v>
      </c>
      <c r="H113" s="543">
        <v>0.09</v>
      </c>
      <c r="I113" s="543">
        <v>0.01</v>
      </c>
      <c r="J113" s="543">
        <v>1</v>
      </c>
      <c r="K113" s="542">
        <v>9679903</v>
      </c>
      <c r="L113" s="542">
        <v>7743923</v>
      </c>
      <c r="M113" s="542">
        <v>1742383</v>
      </c>
      <c r="N113" s="542">
        <v>193598</v>
      </c>
      <c r="O113" s="542">
        <v>19359807</v>
      </c>
      <c r="P113" s="542">
        <v>0</v>
      </c>
      <c r="Q113" s="542">
        <v>0</v>
      </c>
      <c r="R113" s="542">
        <v>9679903</v>
      </c>
      <c r="S113" s="542">
        <v>101805</v>
      </c>
      <c r="T113" s="542">
        <v>101805</v>
      </c>
      <c r="U113" s="542">
        <v>0</v>
      </c>
      <c r="V113" s="542">
        <v>0</v>
      </c>
      <c r="W113" s="542">
        <v>0</v>
      </c>
      <c r="X113" s="542">
        <v>0</v>
      </c>
      <c r="Y113" s="542">
        <v>0</v>
      </c>
      <c r="Z113" s="542">
        <v>0</v>
      </c>
      <c r="AA113" s="542">
        <v>0</v>
      </c>
      <c r="AB113" s="542">
        <v>0</v>
      </c>
      <c r="AC113" s="542">
        <v>0</v>
      </c>
      <c r="AD113" s="542">
        <v>137354</v>
      </c>
      <c r="AE113" s="542">
        <v>109884</v>
      </c>
      <c r="AF113" s="542">
        <v>24724</v>
      </c>
      <c r="AG113" s="542">
        <v>2747</v>
      </c>
      <c r="AH113" s="542">
        <v>274709</v>
      </c>
      <c r="AI113" s="542">
        <v>-66577</v>
      </c>
      <c r="AJ113" s="542">
        <v>-53262</v>
      </c>
      <c r="AK113" s="542">
        <v>-11984</v>
      </c>
      <c r="AL113" s="542">
        <v>-1332</v>
      </c>
      <c r="AM113" s="542">
        <v>-133155</v>
      </c>
      <c r="AN113" s="542">
        <v>-104343</v>
      </c>
      <c r="AO113" s="542">
        <v>-83475</v>
      </c>
      <c r="AP113" s="542">
        <v>-18782</v>
      </c>
      <c r="AQ113" s="542">
        <v>-2087</v>
      </c>
      <c r="AR113" s="542">
        <v>-208687</v>
      </c>
      <c r="AS113" s="542">
        <v>92228</v>
      </c>
      <c r="AT113" s="542">
        <v>73782</v>
      </c>
      <c r="AU113" s="542">
        <v>16601</v>
      </c>
      <c r="AV113" s="542">
        <v>1845</v>
      </c>
      <c r="AW113" s="542">
        <v>184456</v>
      </c>
      <c r="AX113" s="542">
        <v>-51898</v>
      </c>
      <c r="AY113" s="542">
        <v>-41518</v>
      </c>
      <c r="AZ113" s="542">
        <v>-9342</v>
      </c>
      <c r="BA113" s="542">
        <v>-1038</v>
      </c>
      <c r="BB113" s="542">
        <v>-103796</v>
      </c>
      <c r="BC113" s="542">
        <v>-64013</v>
      </c>
      <c r="BD113" s="542">
        <v>-51211</v>
      </c>
      <c r="BE113" s="542">
        <v>-11523</v>
      </c>
      <c r="BF113" s="542">
        <v>-1280</v>
      </c>
      <c r="BG113" s="542">
        <v>-128027</v>
      </c>
      <c r="BH113" s="542">
        <v>-278061</v>
      </c>
      <c r="BI113" s="542">
        <v>-222448</v>
      </c>
      <c r="BJ113" s="542">
        <v>-50051</v>
      </c>
      <c r="BK113" s="542">
        <v>-5561</v>
      </c>
      <c r="BL113" s="542">
        <v>-556121</v>
      </c>
      <c r="BM113" s="542">
        <v>380986</v>
      </c>
      <c r="BN113" s="542">
        <v>304789</v>
      </c>
      <c r="BO113" s="542">
        <v>68577</v>
      </c>
      <c r="BP113" s="542">
        <v>7620</v>
      </c>
      <c r="BQ113" s="542">
        <v>761972</v>
      </c>
      <c r="BR113" s="542">
        <v>-991535</v>
      </c>
      <c r="BS113" s="542">
        <v>-793228</v>
      </c>
      <c r="BT113" s="542">
        <v>-178476</v>
      </c>
      <c r="BU113" s="542">
        <v>-19831</v>
      </c>
      <c r="BV113" s="542">
        <v>-1983070</v>
      </c>
      <c r="BW113" s="542">
        <v>-888610</v>
      </c>
      <c r="BX113" s="542">
        <v>-710887</v>
      </c>
      <c r="BY113" s="542">
        <v>-159950</v>
      </c>
      <c r="BZ113" s="542">
        <v>-17772</v>
      </c>
      <c r="CA113" s="542">
        <v>-1777219</v>
      </c>
    </row>
    <row r="114" spans="1:79" ht="12.75" x14ac:dyDescent="0.2">
      <c r="A114" s="93">
        <v>108</v>
      </c>
      <c r="B114" s="145" t="s">
        <v>94</v>
      </c>
      <c r="C114" s="141" t="s">
        <v>866</v>
      </c>
      <c r="D114" s="142" t="s">
        <v>875</v>
      </c>
      <c r="E114" s="149" t="s">
        <v>93</v>
      </c>
      <c r="F114" s="543">
        <v>0.5</v>
      </c>
      <c r="G114" s="543">
        <v>0.4</v>
      </c>
      <c r="H114" s="543">
        <v>0.1</v>
      </c>
      <c r="I114" s="543">
        <v>0</v>
      </c>
      <c r="J114" s="543">
        <v>1</v>
      </c>
      <c r="K114" s="542">
        <v>25436192</v>
      </c>
      <c r="L114" s="542">
        <v>20348953</v>
      </c>
      <c r="M114" s="542">
        <v>5087238</v>
      </c>
      <c r="N114" s="542">
        <v>0</v>
      </c>
      <c r="O114" s="542">
        <v>50872383</v>
      </c>
      <c r="P114" s="542">
        <v>0</v>
      </c>
      <c r="Q114" s="542">
        <v>0</v>
      </c>
      <c r="R114" s="542">
        <v>25436192</v>
      </c>
      <c r="S114" s="542">
        <v>178775</v>
      </c>
      <c r="T114" s="542">
        <v>178775</v>
      </c>
      <c r="U114" s="542">
        <v>0</v>
      </c>
      <c r="V114" s="542">
        <v>0</v>
      </c>
      <c r="W114" s="542">
        <v>0</v>
      </c>
      <c r="X114" s="542">
        <v>0</v>
      </c>
      <c r="Y114" s="542">
        <v>0</v>
      </c>
      <c r="Z114" s="542">
        <v>0</v>
      </c>
      <c r="AA114" s="542">
        <v>0</v>
      </c>
      <c r="AB114" s="542">
        <v>0</v>
      </c>
      <c r="AC114" s="542">
        <v>0</v>
      </c>
      <c r="AD114" s="542">
        <v>1374588</v>
      </c>
      <c r="AE114" s="542">
        <v>1099671</v>
      </c>
      <c r="AF114" s="542">
        <v>274918</v>
      </c>
      <c r="AG114" s="542">
        <v>0</v>
      </c>
      <c r="AH114" s="542">
        <v>2749177</v>
      </c>
      <c r="AI114" s="542">
        <v>-432456</v>
      </c>
      <c r="AJ114" s="542">
        <v>-345964</v>
      </c>
      <c r="AK114" s="542">
        <v>-86491</v>
      </c>
      <c r="AL114" s="542">
        <v>0</v>
      </c>
      <c r="AM114" s="542">
        <v>-864911</v>
      </c>
      <c r="AN114" s="542">
        <v>-1445209.3</v>
      </c>
      <c r="AO114" s="542">
        <v>-1156169</v>
      </c>
      <c r="AP114" s="542">
        <v>-289042</v>
      </c>
      <c r="AQ114" s="542">
        <v>0</v>
      </c>
      <c r="AR114" s="542">
        <v>-2890420.3</v>
      </c>
      <c r="AS114" s="542">
        <v>947377</v>
      </c>
      <c r="AT114" s="542">
        <v>757901</v>
      </c>
      <c r="AU114" s="542">
        <v>189475</v>
      </c>
      <c r="AV114" s="542">
        <v>0</v>
      </c>
      <c r="AW114" s="542">
        <v>1894753</v>
      </c>
      <c r="AX114" s="542">
        <v>-147202</v>
      </c>
      <c r="AY114" s="542">
        <v>-117762</v>
      </c>
      <c r="AZ114" s="542">
        <v>-29441</v>
      </c>
      <c r="BA114" s="542">
        <v>0</v>
      </c>
      <c r="BB114" s="542">
        <v>-294405</v>
      </c>
      <c r="BC114" s="542">
        <v>-645034.36</v>
      </c>
      <c r="BD114" s="542">
        <v>-516030</v>
      </c>
      <c r="BE114" s="542">
        <v>-129008</v>
      </c>
      <c r="BF114" s="542">
        <v>0</v>
      </c>
      <c r="BG114" s="542">
        <v>-1290072.3</v>
      </c>
      <c r="BH114" s="542">
        <v>-541533</v>
      </c>
      <c r="BI114" s="542">
        <v>-433227</v>
      </c>
      <c r="BJ114" s="542">
        <v>-108306</v>
      </c>
      <c r="BK114" s="542">
        <v>0</v>
      </c>
      <c r="BL114" s="542">
        <v>-1083066</v>
      </c>
      <c r="BM114" s="542">
        <v>580519</v>
      </c>
      <c r="BN114" s="542">
        <v>464415</v>
      </c>
      <c r="BO114" s="542">
        <v>116104</v>
      </c>
      <c r="BP114" s="542">
        <v>0</v>
      </c>
      <c r="BQ114" s="542">
        <v>1161038</v>
      </c>
      <c r="BR114" s="542">
        <v>-687262</v>
      </c>
      <c r="BS114" s="542">
        <v>-549809</v>
      </c>
      <c r="BT114" s="542">
        <v>-137452</v>
      </c>
      <c r="BU114" s="542">
        <v>0</v>
      </c>
      <c r="BV114" s="542">
        <v>-1374523</v>
      </c>
      <c r="BW114" s="542">
        <v>-648276</v>
      </c>
      <c r="BX114" s="542">
        <v>-518621</v>
      </c>
      <c r="BY114" s="542">
        <v>-129654</v>
      </c>
      <c r="BZ114" s="542">
        <v>0</v>
      </c>
      <c r="CA114" s="542">
        <v>-1296551</v>
      </c>
    </row>
    <row r="115" spans="1:79" ht="12.75" x14ac:dyDescent="0.2">
      <c r="A115" s="93">
        <v>109</v>
      </c>
      <c r="B115" s="145" t="s">
        <v>96</v>
      </c>
      <c r="C115" s="141" t="s">
        <v>866</v>
      </c>
      <c r="D115" s="142" t="s">
        <v>867</v>
      </c>
      <c r="E115" s="149" t="s">
        <v>95</v>
      </c>
      <c r="F115" s="543">
        <v>0.5</v>
      </c>
      <c r="G115" s="543">
        <v>0.4</v>
      </c>
      <c r="H115" s="543">
        <v>0.09</v>
      </c>
      <c r="I115" s="543">
        <v>0.01</v>
      </c>
      <c r="J115" s="543">
        <v>1</v>
      </c>
      <c r="K115" s="542">
        <v>7696325</v>
      </c>
      <c r="L115" s="542">
        <v>6157060</v>
      </c>
      <c r="M115" s="542">
        <v>1385338</v>
      </c>
      <c r="N115" s="542">
        <v>153926</v>
      </c>
      <c r="O115" s="542">
        <v>15392649</v>
      </c>
      <c r="P115" s="542">
        <v>83440.4755</v>
      </c>
      <c r="Q115" s="542">
        <v>83440.4755</v>
      </c>
      <c r="R115" s="542">
        <v>7612884.5199999996</v>
      </c>
      <c r="S115" s="542">
        <v>81548</v>
      </c>
      <c r="T115" s="542">
        <v>81548</v>
      </c>
      <c r="U115" s="542">
        <v>0</v>
      </c>
      <c r="V115" s="542">
        <v>0</v>
      </c>
      <c r="W115" s="542">
        <v>0</v>
      </c>
      <c r="X115" s="542">
        <v>0</v>
      </c>
      <c r="Y115" s="542">
        <v>0</v>
      </c>
      <c r="Z115" s="542">
        <v>83440.4755</v>
      </c>
      <c r="AA115" s="542">
        <v>0</v>
      </c>
      <c r="AB115" s="542">
        <v>0</v>
      </c>
      <c r="AC115" s="542">
        <v>83440.4755</v>
      </c>
      <c r="AD115" s="542">
        <v>553447</v>
      </c>
      <c r="AE115" s="542">
        <v>442758</v>
      </c>
      <c r="AF115" s="542">
        <v>99620</v>
      </c>
      <c r="AG115" s="542">
        <v>11069</v>
      </c>
      <c r="AH115" s="542">
        <v>1106894</v>
      </c>
      <c r="AI115" s="542">
        <v>-51306</v>
      </c>
      <c r="AJ115" s="542">
        <v>-41044</v>
      </c>
      <c r="AK115" s="542">
        <v>-9235</v>
      </c>
      <c r="AL115" s="542">
        <v>-1026</v>
      </c>
      <c r="AM115" s="542">
        <v>-102611</v>
      </c>
      <c r="AN115" s="542">
        <v>-266250</v>
      </c>
      <c r="AO115" s="542">
        <v>-213000</v>
      </c>
      <c r="AP115" s="542">
        <v>-47925</v>
      </c>
      <c r="AQ115" s="542">
        <v>-5325</v>
      </c>
      <c r="AR115" s="542">
        <v>-532500</v>
      </c>
      <c r="AS115" s="542">
        <v>22149</v>
      </c>
      <c r="AT115" s="542">
        <v>17719</v>
      </c>
      <c r="AU115" s="542">
        <v>3987</v>
      </c>
      <c r="AV115" s="542">
        <v>443</v>
      </c>
      <c r="AW115" s="542">
        <v>44298</v>
      </c>
      <c r="AX115" s="542">
        <v>-57849</v>
      </c>
      <c r="AY115" s="542">
        <v>-46279</v>
      </c>
      <c r="AZ115" s="542">
        <v>-10413</v>
      </c>
      <c r="BA115" s="542">
        <v>-1157</v>
      </c>
      <c r="BB115" s="542">
        <v>-115698</v>
      </c>
      <c r="BC115" s="542">
        <v>-301950</v>
      </c>
      <c r="BD115" s="542">
        <v>-241560</v>
      </c>
      <c r="BE115" s="542">
        <v>-54351</v>
      </c>
      <c r="BF115" s="542">
        <v>-6039</v>
      </c>
      <c r="BG115" s="542">
        <v>-603900</v>
      </c>
      <c r="BH115" s="542">
        <v>-1631591</v>
      </c>
      <c r="BI115" s="542">
        <v>-1305273</v>
      </c>
      <c r="BJ115" s="542">
        <v>-293686</v>
      </c>
      <c r="BK115" s="542">
        <v>-32632</v>
      </c>
      <c r="BL115" s="542">
        <v>-3263182</v>
      </c>
      <c r="BM115" s="542">
        <v>118129</v>
      </c>
      <c r="BN115" s="542">
        <v>94504</v>
      </c>
      <c r="BO115" s="542">
        <v>21263</v>
      </c>
      <c r="BP115" s="542">
        <v>2363</v>
      </c>
      <c r="BQ115" s="542">
        <v>236259</v>
      </c>
      <c r="BR115" s="542">
        <v>-212753</v>
      </c>
      <c r="BS115" s="542">
        <v>-170202</v>
      </c>
      <c r="BT115" s="542">
        <v>-38295</v>
      </c>
      <c r="BU115" s="542">
        <v>-4255</v>
      </c>
      <c r="BV115" s="542">
        <v>-425505</v>
      </c>
      <c r="BW115" s="542">
        <v>-1726215</v>
      </c>
      <c r="BX115" s="542">
        <v>-1380971</v>
      </c>
      <c r="BY115" s="542">
        <v>-310718</v>
      </c>
      <c r="BZ115" s="542">
        <v>-34524</v>
      </c>
      <c r="CA115" s="542">
        <v>-3452428</v>
      </c>
    </row>
    <row r="116" spans="1:79" ht="12.75" x14ac:dyDescent="0.2">
      <c r="A116" s="93">
        <v>110</v>
      </c>
      <c r="B116" s="145" t="s">
        <v>98</v>
      </c>
      <c r="C116" s="141" t="s">
        <v>866</v>
      </c>
      <c r="D116" s="142" t="s">
        <v>867</v>
      </c>
      <c r="E116" s="149" t="s">
        <v>97</v>
      </c>
      <c r="F116" s="543">
        <v>0.5</v>
      </c>
      <c r="G116" s="543">
        <v>0.4</v>
      </c>
      <c r="H116" s="543">
        <v>0.09</v>
      </c>
      <c r="I116" s="543">
        <v>0.01</v>
      </c>
      <c r="J116" s="543">
        <v>1</v>
      </c>
      <c r="K116" s="542">
        <v>10087139</v>
      </c>
      <c r="L116" s="542">
        <v>8069711</v>
      </c>
      <c r="M116" s="542">
        <v>1815685</v>
      </c>
      <c r="N116" s="542">
        <v>201743</v>
      </c>
      <c r="O116" s="542">
        <v>20174278</v>
      </c>
      <c r="P116" s="542">
        <v>0</v>
      </c>
      <c r="Q116" s="542">
        <v>0</v>
      </c>
      <c r="R116" s="542">
        <v>10087139</v>
      </c>
      <c r="S116" s="542">
        <v>97673</v>
      </c>
      <c r="T116" s="542">
        <v>97673</v>
      </c>
      <c r="U116" s="542">
        <v>0</v>
      </c>
      <c r="V116" s="542">
        <v>0</v>
      </c>
      <c r="W116" s="542">
        <v>0</v>
      </c>
      <c r="X116" s="542">
        <v>0</v>
      </c>
      <c r="Y116" s="542">
        <v>0</v>
      </c>
      <c r="Z116" s="542">
        <v>0</v>
      </c>
      <c r="AA116" s="542">
        <v>0</v>
      </c>
      <c r="AB116" s="542">
        <v>0</v>
      </c>
      <c r="AC116" s="542">
        <v>0</v>
      </c>
      <c r="AD116" s="542">
        <v>1058098</v>
      </c>
      <c r="AE116" s="542">
        <v>846479</v>
      </c>
      <c r="AF116" s="542">
        <v>190458</v>
      </c>
      <c r="AG116" s="542">
        <v>21162</v>
      </c>
      <c r="AH116" s="542">
        <v>2116197</v>
      </c>
      <c r="AI116" s="542">
        <v>-153244</v>
      </c>
      <c r="AJ116" s="542">
        <v>-122596</v>
      </c>
      <c r="AK116" s="542">
        <v>-27584</v>
      </c>
      <c r="AL116" s="542">
        <v>-3065</v>
      </c>
      <c r="AM116" s="542">
        <v>-306489</v>
      </c>
      <c r="AN116" s="542">
        <v>-678642</v>
      </c>
      <c r="AO116" s="542">
        <v>-542913.6</v>
      </c>
      <c r="AP116" s="542">
        <v>-122156</v>
      </c>
      <c r="AQ116" s="542">
        <v>-13572</v>
      </c>
      <c r="AR116" s="542">
        <v>-1357284</v>
      </c>
      <c r="AS116" s="542">
        <v>51520</v>
      </c>
      <c r="AT116" s="542">
        <v>41215</v>
      </c>
      <c r="AU116" s="542">
        <v>9273</v>
      </c>
      <c r="AV116" s="542">
        <v>1030</v>
      </c>
      <c r="AW116" s="542">
        <v>103038</v>
      </c>
      <c r="AX116" s="542">
        <v>-330525</v>
      </c>
      <c r="AY116" s="542">
        <v>-264419</v>
      </c>
      <c r="AZ116" s="542">
        <v>-59494</v>
      </c>
      <c r="BA116" s="542">
        <v>-6610</v>
      </c>
      <c r="BB116" s="542">
        <v>-661048</v>
      </c>
      <c r="BC116" s="542">
        <v>-957647</v>
      </c>
      <c r="BD116" s="542">
        <v>-766117.6</v>
      </c>
      <c r="BE116" s="542">
        <v>-172377</v>
      </c>
      <c r="BF116" s="542">
        <v>-19152</v>
      </c>
      <c r="BG116" s="542">
        <v>-1915294</v>
      </c>
      <c r="BH116" s="542">
        <v>-272207</v>
      </c>
      <c r="BI116" s="542">
        <v>-217766</v>
      </c>
      <c r="BJ116" s="542">
        <v>-48997</v>
      </c>
      <c r="BK116" s="542">
        <v>-5444</v>
      </c>
      <c r="BL116" s="542">
        <v>-544414</v>
      </c>
      <c r="BM116" s="542">
        <v>272207</v>
      </c>
      <c r="BN116" s="542">
        <v>217766</v>
      </c>
      <c r="BO116" s="542">
        <v>48997</v>
      </c>
      <c r="BP116" s="542">
        <v>5444</v>
      </c>
      <c r="BQ116" s="542">
        <v>544414</v>
      </c>
      <c r="BR116" s="542">
        <v>-1400926</v>
      </c>
      <c r="BS116" s="542">
        <v>-1120741</v>
      </c>
      <c r="BT116" s="542">
        <v>-252167</v>
      </c>
      <c r="BU116" s="542">
        <v>-28019</v>
      </c>
      <c r="BV116" s="542">
        <v>-2801853</v>
      </c>
      <c r="BW116" s="542">
        <v>-1400926</v>
      </c>
      <c r="BX116" s="542">
        <v>-1120741</v>
      </c>
      <c r="BY116" s="542">
        <v>-252167</v>
      </c>
      <c r="BZ116" s="542">
        <v>-28019</v>
      </c>
      <c r="CA116" s="542">
        <v>-2801853</v>
      </c>
    </row>
    <row r="117" spans="1:79" ht="12.75" x14ac:dyDescent="0.2">
      <c r="A117" s="93">
        <v>111</v>
      </c>
      <c r="B117" s="145" t="s">
        <v>100</v>
      </c>
      <c r="C117" s="141" t="s">
        <v>866</v>
      </c>
      <c r="D117" s="142" t="s">
        <v>870</v>
      </c>
      <c r="E117" s="149" t="s">
        <v>99</v>
      </c>
      <c r="F117" s="543">
        <v>0.5</v>
      </c>
      <c r="G117" s="543">
        <v>0.4</v>
      </c>
      <c r="H117" s="543">
        <v>0.1</v>
      </c>
      <c r="I117" s="543">
        <v>0</v>
      </c>
      <c r="J117" s="543">
        <v>1</v>
      </c>
      <c r="K117" s="542">
        <v>13097186</v>
      </c>
      <c r="L117" s="542">
        <v>10477749</v>
      </c>
      <c r="M117" s="542">
        <v>2619437</v>
      </c>
      <c r="N117" s="542">
        <v>0</v>
      </c>
      <c r="O117" s="542">
        <v>26194372</v>
      </c>
      <c r="P117" s="542">
        <v>318887.65999999997</v>
      </c>
      <c r="Q117" s="542">
        <v>318887.65999999997</v>
      </c>
      <c r="R117" s="542">
        <v>12778298.300000001</v>
      </c>
      <c r="S117" s="542">
        <v>185114</v>
      </c>
      <c r="T117" s="542">
        <v>185114</v>
      </c>
      <c r="U117" s="542">
        <v>0</v>
      </c>
      <c r="V117" s="542">
        <v>0</v>
      </c>
      <c r="W117" s="542">
        <v>54707</v>
      </c>
      <c r="X117" s="542">
        <v>0</v>
      </c>
      <c r="Y117" s="542">
        <v>54707</v>
      </c>
      <c r="Z117" s="542">
        <v>318887.65999999997</v>
      </c>
      <c r="AA117" s="542">
        <v>0</v>
      </c>
      <c r="AB117" s="542">
        <v>0</v>
      </c>
      <c r="AC117" s="542">
        <v>318887.65999999997</v>
      </c>
      <c r="AD117" s="542">
        <v>477943</v>
      </c>
      <c r="AE117" s="542">
        <v>382354</v>
      </c>
      <c r="AF117" s="542">
        <v>95589</v>
      </c>
      <c r="AG117" s="542">
        <v>0</v>
      </c>
      <c r="AH117" s="542">
        <v>955886</v>
      </c>
      <c r="AI117" s="542">
        <v>-54287</v>
      </c>
      <c r="AJ117" s="542">
        <v>-43430</v>
      </c>
      <c r="AK117" s="542">
        <v>-10857</v>
      </c>
      <c r="AL117" s="542">
        <v>0</v>
      </c>
      <c r="AM117" s="542">
        <v>-108574</v>
      </c>
      <c r="AN117" s="542">
        <v>-160077.68</v>
      </c>
      <c r="AO117" s="542">
        <v>-128062</v>
      </c>
      <c r="AP117" s="542">
        <v>-32016</v>
      </c>
      <c r="AQ117" s="542">
        <v>0</v>
      </c>
      <c r="AR117" s="542">
        <v>-320155.68</v>
      </c>
      <c r="AS117" s="542">
        <v>146433</v>
      </c>
      <c r="AT117" s="542">
        <v>117146</v>
      </c>
      <c r="AU117" s="542">
        <v>29287</v>
      </c>
      <c r="AV117" s="542">
        <v>0</v>
      </c>
      <c r="AW117" s="542">
        <v>292866</v>
      </c>
      <c r="AX117" s="542">
        <v>48937</v>
      </c>
      <c r="AY117" s="542">
        <v>39150</v>
      </c>
      <c r="AZ117" s="542">
        <v>9788</v>
      </c>
      <c r="BA117" s="542">
        <v>0</v>
      </c>
      <c r="BB117" s="542">
        <v>97875</v>
      </c>
      <c r="BC117" s="542">
        <v>35292.32</v>
      </c>
      <c r="BD117" s="542">
        <v>28234</v>
      </c>
      <c r="BE117" s="542">
        <v>7059</v>
      </c>
      <c r="BF117" s="542">
        <v>0</v>
      </c>
      <c r="BG117" s="542">
        <v>70585.320000000007</v>
      </c>
      <c r="BH117" s="542">
        <v>-5380524</v>
      </c>
      <c r="BI117" s="542">
        <v>-4304419</v>
      </c>
      <c r="BJ117" s="542">
        <v>-1076105</v>
      </c>
      <c r="BK117" s="542">
        <v>0</v>
      </c>
      <c r="BL117" s="542">
        <v>-10761048</v>
      </c>
      <c r="BM117" s="542">
        <v>244732</v>
      </c>
      <c r="BN117" s="542">
        <v>195786</v>
      </c>
      <c r="BO117" s="542">
        <v>48947</v>
      </c>
      <c r="BP117" s="542">
        <v>0</v>
      </c>
      <c r="BQ117" s="542">
        <v>489465</v>
      </c>
      <c r="BR117" s="542">
        <v>-1350099</v>
      </c>
      <c r="BS117" s="542">
        <v>-1080079</v>
      </c>
      <c r="BT117" s="542">
        <v>-270020</v>
      </c>
      <c r="BU117" s="542">
        <v>0</v>
      </c>
      <c r="BV117" s="542">
        <v>-2700198</v>
      </c>
      <c r="BW117" s="542">
        <v>-6485891</v>
      </c>
      <c r="BX117" s="542">
        <v>-5188712</v>
      </c>
      <c r="BY117" s="542">
        <v>-1297178</v>
      </c>
      <c r="BZ117" s="542">
        <v>0</v>
      </c>
      <c r="CA117" s="542">
        <v>-12971781</v>
      </c>
    </row>
    <row r="118" spans="1:79" ht="12.75" x14ac:dyDescent="0.2">
      <c r="A118" s="93">
        <v>112</v>
      </c>
      <c r="B118" s="145" t="s">
        <v>102</v>
      </c>
      <c r="C118" s="141" t="s">
        <v>877</v>
      </c>
      <c r="D118" s="142" t="s">
        <v>872</v>
      </c>
      <c r="E118" s="149" t="s">
        <v>101</v>
      </c>
      <c r="F118" s="543">
        <v>0.5</v>
      </c>
      <c r="G118" s="543">
        <v>0.3</v>
      </c>
      <c r="H118" s="543">
        <v>0.2</v>
      </c>
      <c r="I118" s="543">
        <v>0</v>
      </c>
      <c r="J118" s="543">
        <v>1</v>
      </c>
      <c r="K118" s="542">
        <v>33401877</v>
      </c>
      <c r="L118" s="542">
        <v>20041127</v>
      </c>
      <c r="M118" s="542">
        <v>13360751</v>
      </c>
      <c r="N118" s="542">
        <v>0</v>
      </c>
      <c r="O118" s="542">
        <v>66803755</v>
      </c>
      <c r="P118" s="542">
        <v>0</v>
      </c>
      <c r="Q118" s="542">
        <v>0</v>
      </c>
      <c r="R118" s="542">
        <v>33401877</v>
      </c>
      <c r="S118" s="542">
        <v>279481</v>
      </c>
      <c r="T118" s="542">
        <v>279481</v>
      </c>
      <c r="U118" s="542">
        <v>0</v>
      </c>
      <c r="V118" s="542">
        <v>0</v>
      </c>
      <c r="W118" s="542">
        <v>0</v>
      </c>
      <c r="X118" s="542">
        <v>0</v>
      </c>
      <c r="Y118" s="542">
        <v>0</v>
      </c>
      <c r="Z118" s="542">
        <v>0</v>
      </c>
      <c r="AA118" s="542">
        <v>0</v>
      </c>
      <c r="AB118" s="542">
        <v>0</v>
      </c>
      <c r="AC118" s="542">
        <v>0</v>
      </c>
      <c r="AD118" s="542">
        <v>1464030</v>
      </c>
      <c r="AE118" s="542">
        <v>878418</v>
      </c>
      <c r="AF118" s="542">
        <v>585612</v>
      </c>
      <c r="AG118" s="542">
        <v>0</v>
      </c>
      <c r="AH118" s="542">
        <v>2928060</v>
      </c>
      <c r="AI118" s="542">
        <v>-1484727</v>
      </c>
      <c r="AJ118" s="542">
        <v>-890837</v>
      </c>
      <c r="AK118" s="542">
        <v>-593891</v>
      </c>
      <c r="AL118" s="542">
        <v>0</v>
      </c>
      <c r="AM118" s="542">
        <v>-2969455</v>
      </c>
      <c r="AN118" s="542">
        <v>-1081013</v>
      </c>
      <c r="AO118" s="542">
        <v>-648608</v>
      </c>
      <c r="AP118" s="542">
        <v>-432405</v>
      </c>
      <c r="AQ118" s="542">
        <v>0</v>
      </c>
      <c r="AR118" s="542">
        <v>-2162026</v>
      </c>
      <c r="AS118" s="542">
        <v>361436</v>
      </c>
      <c r="AT118" s="542">
        <v>216862</v>
      </c>
      <c r="AU118" s="542">
        <v>144575</v>
      </c>
      <c r="AV118" s="542">
        <v>0</v>
      </c>
      <c r="AW118" s="542">
        <v>722873</v>
      </c>
      <c r="AX118" s="542">
        <v>-198832</v>
      </c>
      <c r="AY118" s="542">
        <v>-119300</v>
      </c>
      <c r="AZ118" s="542">
        <v>-79533</v>
      </c>
      <c r="BA118" s="542">
        <v>0</v>
      </c>
      <c r="BB118" s="542">
        <v>-397665</v>
      </c>
      <c r="BC118" s="542">
        <v>-918409</v>
      </c>
      <c r="BD118" s="542">
        <v>-551046</v>
      </c>
      <c r="BE118" s="542">
        <v>-367363</v>
      </c>
      <c r="BF118" s="542">
        <v>0</v>
      </c>
      <c r="BG118" s="542">
        <v>-1836818</v>
      </c>
      <c r="BH118" s="542">
        <v>-2096000</v>
      </c>
      <c r="BI118" s="542">
        <v>-1257600</v>
      </c>
      <c r="BJ118" s="542">
        <v>-838400</v>
      </c>
      <c r="BK118" s="542">
        <v>0</v>
      </c>
      <c r="BL118" s="542">
        <v>-4192000</v>
      </c>
      <c r="BM118" s="542">
        <v>526000</v>
      </c>
      <c r="BN118" s="542">
        <v>315600</v>
      </c>
      <c r="BO118" s="542">
        <v>210400</v>
      </c>
      <c r="BP118" s="542">
        <v>0</v>
      </c>
      <c r="BQ118" s="542">
        <v>1052000</v>
      </c>
      <c r="BR118" s="542">
        <v>-541000</v>
      </c>
      <c r="BS118" s="542">
        <v>-324600</v>
      </c>
      <c r="BT118" s="542">
        <v>-216400</v>
      </c>
      <c r="BU118" s="542">
        <v>0</v>
      </c>
      <c r="BV118" s="542">
        <v>-1082000</v>
      </c>
      <c r="BW118" s="542">
        <v>-2111000</v>
      </c>
      <c r="BX118" s="542">
        <v>-1266600</v>
      </c>
      <c r="BY118" s="542">
        <v>-844400</v>
      </c>
      <c r="BZ118" s="542">
        <v>0</v>
      </c>
      <c r="CA118" s="542">
        <v>-4222000</v>
      </c>
    </row>
    <row r="119" spans="1:79" ht="12.75" x14ac:dyDescent="0.2">
      <c r="A119" s="93">
        <v>113</v>
      </c>
      <c r="B119" s="145" t="s">
        <v>104</v>
      </c>
      <c r="C119" s="141" t="s">
        <v>866</v>
      </c>
      <c r="D119" s="142" t="s">
        <v>867</v>
      </c>
      <c r="E119" s="149" t="s">
        <v>103</v>
      </c>
      <c r="F119" s="543">
        <v>0.5</v>
      </c>
      <c r="G119" s="543">
        <v>0.4</v>
      </c>
      <c r="H119" s="543">
        <v>0.1</v>
      </c>
      <c r="I119" s="543">
        <v>0</v>
      </c>
      <c r="J119" s="543">
        <v>1</v>
      </c>
      <c r="K119" s="542">
        <v>37327242</v>
      </c>
      <c r="L119" s="542">
        <v>29861794</v>
      </c>
      <c r="M119" s="542">
        <v>7465448</v>
      </c>
      <c r="N119" s="542">
        <v>0</v>
      </c>
      <c r="O119" s="542">
        <v>74654484</v>
      </c>
      <c r="P119" s="542">
        <v>0</v>
      </c>
      <c r="Q119" s="542">
        <v>0</v>
      </c>
      <c r="R119" s="542">
        <v>37327242</v>
      </c>
      <c r="S119" s="542">
        <v>238276</v>
      </c>
      <c r="T119" s="542">
        <v>238276</v>
      </c>
      <c r="U119" s="542">
        <v>0</v>
      </c>
      <c r="V119" s="542">
        <v>0</v>
      </c>
      <c r="W119" s="542">
        <v>0</v>
      </c>
      <c r="X119" s="542">
        <v>0</v>
      </c>
      <c r="Y119" s="542">
        <v>0</v>
      </c>
      <c r="Z119" s="542">
        <v>0</v>
      </c>
      <c r="AA119" s="542">
        <v>0</v>
      </c>
      <c r="AB119" s="542">
        <v>0</v>
      </c>
      <c r="AC119" s="542">
        <v>0</v>
      </c>
      <c r="AD119" s="542">
        <v>772146</v>
      </c>
      <c r="AE119" s="542">
        <v>617717</v>
      </c>
      <c r="AF119" s="542">
        <v>154429</v>
      </c>
      <c r="AG119" s="542">
        <v>0</v>
      </c>
      <c r="AH119" s="542">
        <v>1544292</v>
      </c>
      <c r="AI119" s="542">
        <v>-1114307</v>
      </c>
      <c r="AJ119" s="542">
        <v>-891445</v>
      </c>
      <c r="AK119" s="542">
        <v>-222861</v>
      </c>
      <c r="AL119" s="542">
        <v>0</v>
      </c>
      <c r="AM119" s="542">
        <v>-2228613</v>
      </c>
      <c r="AN119" s="542">
        <v>-358254</v>
      </c>
      <c r="AO119" s="542">
        <v>-286604</v>
      </c>
      <c r="AP119" s="542">
        <v>-71651</v>
      </c>
      <c r="AQ119" s="542">
        <v>0</v>
      </c>
      <c r="AR119" s="542">
        <v>-716509</v>
      </c>
      <c r="AS119" s="542">
        <v>0</v>
      </c>
      <c r="AT119" s="542">
        <v>0</v>
      </c>
      <c r="AU119" s="542">
        <v>0</v>
      </c>
      <c r="AV119" s="542">
        <v>0</v>
      </c>
      <c r="AW119" s="542">
        <v>0</v>
      </c>
      <c r="AX119" s="542">
        <v>-74500</v>
      </c>
      <c r="AY119" s="542">
        <v>-59600</v>
      </c>
      <c r="AZ119" s="542">
        <v>-14900</v>
      </c>
      <c r="BA119" s="542">
        <v>0</v>
      </c>
      <c r="BB119" s="542">
        <v>-149000</v>
      </c>
      <c r="BC119" s="542">
        <v>-432754</v>
      </c>
      <c r="BD119" s="542">
        <v>-346204</v>
      </c>
      <c r="BE119" s="542">
        <v>-86551</v>
      </c>
      <c r="BF119" s="542">
        <v>0</v>
      </c>
      <c r="BG119" s="542">
        <v>-865509</v>
      </c>
      <c r="BH119" s="542">
        <v>-1950000</v>
      </c>
      <c r="BI119" s="542">
        <v>-1560000</v>
      </c>
      <c r="BJ119" s="542">
        <v>-390000</v>
      </c>
      <c r="BK119" s="542">
        <v>0</v>
      </c>
      <c r="BL119" s="542">
        <v>-3900000</v>
      </c>
      <c r="BM119" s="542">
        <v>620566</v>
      </c>
      <c r="BN119" s="542">
        <v>496453</v>
      </c>
      <c r="BO119" s="542">
        <v>124113</v>
      </c>
      <c r="BP119" s="542">
        <v>0</v>
      </c>
      <c r="BQ119" s="542">
        <v>1241132</v>
      </c>
      <c r="BR119" s="542">
        <v>-2784367</v>
      </c>
      <c r="BS119" s="542">
        <v>-2227494</v>
      </c>
      <c r="BT119" s="542">
        <v>-556874</v>
      </c>
      <c r="BU119" s="542">
        <v>0</v>
      </c>
      <c r="BV119" s="542">
        <v>-5568735</v>
      </c>
      <c r="BW119" s="542">
        <v>-4113801</v>
      </c>
      <c r="BX119" s="542">
        <v>-3291041</v>
      </c>
      <c r="BY119" s="542">
        <v>-822761</v>
      </c>
      <c r="BZ119" s="542">
        <v>0</v>
      </c>
      <c r="CA119" s="542">
        <v>-8227603</v>
      </c>
    </row>
    <row r="120" spans="1:79" ht="12.75" x14ac:dyDescent="0.2">
      <c r="A120" s="93">
        <v>114</v>
      </c>
      <c r="B120" s="145" t="s">
        <v>106</v>
      </c>
      <c r="C120" s="141" t="s">
        <v>877</v>
      </c>
      <c r="D120" s="142" t="s">
        <v>872</v>
      </c>
      <c r="E120" s="149" t="s">
        <v>105</v>
      </c>
      <c r="F120" s="543">
        <v>0.5</v>
      </c>
      <c r="G120" s="543">
        <v>0.3</v>
      </c>
      <c r="H120" s="543">
        <v>0.2</v>
      </c>
      <c r="I120" s="543">
        <v>0</v>
      </c>
      <c r="J120" s="543">
        <v>1</v>
      </c>
      <c r="K120" s="542">
        <v>41704042</v>
      </c>
      <c r="L120" s="542">
        <v>25022425</v>
      </c>
      <c r="M120" s="542">
        <v>16681617</v>
      </c>
      <c r="N120" s="542">
        <v>0</v>
      </c>
      <c r="O120" s="542">
        <v>83408084</v>
      </c>
      <c r="P120" s="542">
        <v>0</v>
      </c>
      <c r="Q120" s="542">
        <v>0</v>
      </c>
      <c r="R120" s="542">
        <v>41704042</v>
      </c>
      <c r="S120" s="542">
        <v>508126</v>
      </c>
      <c r="T120" s="542">
        <v>508126</v>
      </c>
      <c r="U120" s="542">
        <v>0</v>
      </c>
      <c r="V120" s="542">
        <v>0</v>
      </c>
      <c r="W120" s="542">
        <v>0</v>
      </c>
      <c r="X120" s="542">
        <v>0</v>
      </c>
      <c r="Y120" s="542">
        <v>0</v>
      </c>
      <c r="Z120" s="542">
        <v>0</v>
      </c>
      <c r="AA120" s="542">
        <v>0</v>
      </c>
      <c r="AB120" s="542">
        <v>0</v>
      </c>
      <c r="AC120" s="542">
        <v>0</v>
      </c>
      <c r="AD120" s="542">
        <v>11862320</v>
      </c>
      <c r="AE120" s="542">
        <v>7117392</v>
      </c>
      <c r="AF120" s="542">
        <v>4744928</v>
      </c>
      <c r="AG120" s="542">
        <v>0</v>
      </c>
      <c r="AH120" s="542">
        <v>23724640</v>
      </c>
      <c r="AI120" s="542">
        <v>-4550298</v>
      </c>
      <c r="AJ120" s="542">
        <v>-2730179</v>
      </c>
      <c r="AK120" s="542">
        <v>-1820119</v>
      </c>
      <c r="AL120" s="542">
        <v>0</v>
      </c>
      <c r="AM120" s="542">
        <v>-9100596</v>
      </c>
      <c r="AN120" s="542">
        <v>-5353521</v>
      </c>
      <c r="AO120" s="542">
        <v>-3212113</v>
      </c>
      <c r="AP120" s="542">
        <v>-2141408</v>
      </c>
      <c r="AQ120" s="542">
        <v>0</v>
      </c>
      <c r="AR120" s="542">
        <v>-10707042</v>
      </c>
      <c r="AS120" s="542">
        <v>0</v>
      </c>
      <c r="AT120" s="542">
        <v>0</v>
      </c>
      <c r="AU120" s="542">
        <v>0</v>
      </c>
      <c r="AV120" s="542">
        <v>0</v>
      </c>
      <c r="AW120" s="542">
        <v>0</v>
      </c>
      <c r="AX120" s="542">
        <v>-660551</v>
      </c>
      <c r="AY120" s="542">
        <v>-396330</v>
      </c>
      <c r="AZ120" s="542">
        <v>-264220</v>
      </c>
      <c r="BA120" s="542">
        <v>0</v>
      </c>
      <c r="BB120" s="542">
        <v>-1321101</v>
      </c>
      <c r="BC120" s="542">
        <v>-6014072</v>
      </c>
      <c r="BD120" s="542">
        <v>-3608443</v>
      </c>
      <c r="BE120" s="542">
        <v>-2405628</v>
      </c>
      <c r="BF120" s="542">
        <v>0</v>
      </c>
      <c r="BG120" s="542">
        <v>-12028143</v>
      </c>
      <c r="BH120" s="542">
        <v>-1297438</v>
      </c>
      <c r="BI120" s="542">
        <v>-778463</v>
      </c>
      <c r="BJ120" s="542">
        <v>-518975</v>
      </c>
      <c r="BK120" s="542">
        <v>0</v>
      </c>
      <c r="BL120" s="542">
        <v>-2594876</v>
      </c>
      <c r="BM120" s="542">
        <v>480802</v>
      </c>
      <c r="BN120" s="542">
        <v>288481</v>
      </c>
      <c r="BO120" s="542">
        <v>192321</v>
      </c>
      <c r="BP120" s="542">
        <v>0</v>
      </c>
      <c r="BQ120" s="542">
        <v>961604</v>
      </c>
      <c r="BR120" s="542">
        <v>-3754779</v>
      </c>
      <c r="BS120" s="542">
        <v>-2252868</v>
      </c>
      <c r="BT120" s="542">
        <v>-1501912</v>
      </c>
      <c r="BU120" s="542">
        <v>0</v>
      </c>
      <c r="BV120" s="542">
        <v>-7509559</v>
      </c>
      <c r="BW120" s="542">
        <v>-4571415</v>
      </c>
      <c r="BX120" s="542">
        <v>-2742850</v>
      </c>
      <c r="BY120" s="542">
        <v>-1828566</v>
      </c>
      <c r="BZ120" s="542">
        <v>0</v>
      </c>
      <c r="CA120" s="542">
        <v>-9142831</v>
      </c>
    </row>
    <row r="121" spans="1:79" ht="12.75" x14ac:dyDescent="0.2">
      <c r="A121" s="93">
        <v>115</v>
      </c>
      <c r="B121" s="145" t="s">
        <v>108</v>
      </c>
      <c r="C121" s="141" t="s">
        <v>770</v>
      </c>
      <c r="D121" s="142" t="s">
        <v>868</v>
      </c>
      <c r="E121" s="149" t="s">
        <v>697</v>
      </c>
      <c r="F121" s="543">
        <v>0.5</v>
      </c>
      <c r="G121" s="543">
        <v>0.49</v>
      </c>
      <c r="H121" s="543">
        <v>0</v>
      </c>
      <c r="I121" s="543">
        <v>0.01</v>
      </c>
      <c r="J121" s="543">
        <v>1</v>
      </c>
      <c r="K121" s="542">
        <v>23167806</v>
      </c>
      <c r="L121" s="542">
        <v>22704449</v>
      </c>
      <c r="M121" s="542">
        <v>0</v>
      </c>
      <c r="N121" s="542">
        <v>463356</v>
      </c>
      <c r="O121" s="542">
        <v>46335611</v>
      </c>
      <c r="P121" s="542">
        <v>166024.45000000001</v>
      </c>
      <c r="Q121" s="542">
        <v>166024.45000000001</v>
      </c>
      <c r="R121" s="542">
        <v>23001781.5</v>
      </c>
      <c r="S121" s="542">
        <v>167391</v>
      </c>
      <c r="T121" s="542">
        <v>167391</v>
      </c>
      <c r="U121" s="542">
        <v>0</v>
      </c>
      <c r="V121" s="542">
        <v>0</v>
      </c>
      <c r="W121" s="542">
        <v>0</v>
      </c>
      <c r="X121" s="542">
        <v>0</v>
      </c>
      <c r="Y121" s="542">
        <v>0</v>
      </c>
      <c r="Z121" s="542">
        <v>165694.70000000001</v>
      </c>
      <c r="AA121" s="542">
        <v>0</v>
      </c>
      <c r="AB121" s="542">
        <v>329.75</v>
      </c>
      <c r="AC121" s="542">
        <v>166024.45000000001</v>
      </c>
      <c r="AD121" s="542">
        <v>1818699</v>
      </c>
      <c r="AE121" s="542">
        <v>1782325</v>
      </c>
      <c r="AF121" s="542">
        <v>0</v>
      </c>
      <c r="AG121" s="542">
        <v>36374</v>
      </c>
      <c r="AH121" s="542">
        <v>3637398</v>
      </c>
      <c r="AI121" s="542">
        <v>-566582</v>
      </c>
      <c r="AJ121" s="542">
        <v>-555251</v>
      </c>
      <c r="AK121" s="542">
        <v>0</v>
      </c>
      <c r="AL121" s="542">
        <v>-11332</v>
      </c>
      <c r="AM121" s="542">
        <v>-1133165</v>
      </c>
      <c r="AN121" s="542">
        <v>-1355526</v>
      </c>
      <c r="AO121" s="542">
        <v>-1328414</v>
      </c>
      <c r="AP121" s="542">
        <v>0</v>
      </c>
      <c r="AQ121" s="542">
        <v>-27110</v>
      </c>
      <c r="AR121" s="542">
        <v>-2711050</v>
      </c>
      <c r="AS121" s="542">
        <v>243636</v>
      </c>
      <c r="AT121" s="542">
        <v>238764</v>
      </c>
      <c r="AU121" s="542">
        <v>0</v>
      </c>
      <c r="AV121" s="542">
        <v>4873</v>
      </c>
      <c r="AW121" s="542">
        <v>487273</v>
      </c>
      <c r="AX121" s="542">
        <v>-64949</v>
      </c>
      <c r="AY121" s="542">
        <v>-63650</v>
      </c>
      <c r="AZ121" s="542">
        <v>0</v>
      </c>
      <c r="BA121" s="542">
        <v>-1299</v>
      </c>
      <c r="BB121" s="542">
        <v>-129898</v>
      </c>
      <c r="BC121" s="542">
        <v>-1176839</v>
      </c>
      <c r="BD121" s="542">
        <v>-1153300</v>
      </c>
      <c r="BE121" s="542">
        <v>0</v>
      </c>
      <c r="BF121" s="542">
        <v>-23536</v>
      </c>
      <c r="BG121" s="542">
        <v>-2353675</v>
      </c>
      <c r="BH121" s="542">
        <v>-2400434</v>
      </c>
      <c r="BI121" s="542">
        <v>-2352426</v>
      </c>
      <c r="BJ121" s="542">
        <v>0</v>
      </c>
      <c r="BK121" s="542">
        <v>-48009</v>
      </c>
      <c r="BL121" s="542">
        <v>-4800869</v>
      </c>
      <c r="BM121" s="542">
        <v>0</v>
      </c>
      <c r="BN121" s="542">
        <v>0</v>
      </c>
      <c r="BO121" s="542">
        <v>0</v>
      </c>
      <c r="BP121" s="542">
        <v>0</v>
      </c>
      <c r="BQ121" s="542">
        <v>0</v>
      </c>
      <c r="BR121" s="542">
        <v>-2203963</v>
      </c>
      <c r="BS121" s="542">
        <v>-2159883</v>
      </c>
      <c r="BT121" s="542">
        <v>0</v>
      </c>
      <c r="BU121" s="542">
        <v>-44079</v>
      </c>
      <c r="BV121" s="542">
        <v>-4407925</v>
      </c>
      <c r="BW121" s="542">
        <v>-4604397</v>
      </c>
      <c r="BX121" s="542">
        <v>-4512309</v>
      </c>
      <c r="BY121" s="542">
        <v>0</v>
      </c>
      <c r="BZ121" s="542">
        <v>-92088</v>
      </c>
      <c r="CA121" s="542">
        <v>-9208794</v>
      </c>
    </row>
    <row r="122" spans="1:79" ht="12.75" x14ac:dyDescent="0.2">
      <c r="A122" s="93">
        <v>116</v>
      </c>
      <c r="B122" s="145" t="s">
        <v>110</v>
      </c>
      <c r="C122" s="141" t="s">
        <v>866</v>
      </c>
      <c r="D122" s="142" t="s">
        <v>874</v>
      </c>
      <c r="E122" s="149" t="s">
        <v>109</v>
      </c>
      <c r="F122" s="543">
        <v>0.5</v>
      </c>
      <c r="G122" s="543">
        <v>0.4</v>
      </c>
      <c r="H122" s="543">
        <v>0.09</v>
      </c>
      <c r="I122" s="543">
        <v>0.01</v>
      </c>
      <c r="J122" s="543">
        <v>1</v>
      </c>
      <c r="K122" s="542">
        <v>12814631</v>
      </c>
      <c r="L122" s="542">
        <v>10251706</v>
      </c>
      <c r="M122" s="542">
        <v>2306634</v>
      </c>
      <c r="N122" s="542">
        <v>256293</v>
      </c>
      <c r="O122" s="542">
        <v>25629264</v>
      </c>
      <c r="P122" s="542">
        <v>0</v>
      </c>
      <c r="Q122" s="542">
        <v>0</v>
      </c>
      <c r="R122" s="542">
        <v>12814631</v>
      </c>
      <c r="S122" s="542">
        <v>154459</v>
      </c>
      <c r="T122" s="542">
        <v>154459</v>
      </c>
      <c r="U122" s="542">
        <v>0</v>
      </c>
      <c r="V122" s="542">
        <v>0</v>
      </c>
      <c r="W122" s="542">
        <v>0</v>
      </c>
      <c r="X122" s="542">
        <v>0</v>
      </c>
      <c r="Y122" s="542">
        <v>0</v>
      </c>
      <c r="Z122" s="542">
        <v>0</v>
      </c>
      <c r="AA122" s="542">
        <v>0</v>
      </c>
      <c r="AB122" s="542">
        <v>0</v>
      </c>
      <c r="AC122" s="542">
        <v>0</v>
      </c>
      <c r="AD122" s="542">
        <v>23964</v>
      </c>
      <c r="AE122" s="542">
        <v>19170</v>
      </c>
      <c r="AF122" s="542">
        <v>4313</v>
      </c>
      <c r="AG122" s="542">
        <v>479</v>
      </c>
      <c r="AH122" s="542">
        <v>47926</v>
      </c>
      <c r="AI122" s="542">
        <v>-44466</v>
      </c>
      <c r="AJ122" s="542">
        <v>-35573</v>
      </c>
      <c r="AK122" s="542">
        <v>-8004</v>
      </c>
      <c r="AL122" s="542">
        <v>-889</v>
      </c>
      <c r="AM122" s="542">
        <v>-88932</v>
      </c>
      <c r="AN122" s="542">
        <v>-140077</v>
      </c>
      <c r="AO122" s="542">
        <v>-112062</v>
      </c>
      <c r="AP122" s="542">
        <v>-25215</v>
      </c>
      <c r="AQ122" s="542">
        <v>-2802</v>
      </c>
      <c r="AR122" s="542">
        <v>-280156</v>
      </c>
      <c r="AS122" s="542">
        <v>42855</v>
      </c>
      <c r="AT122" s="542">
        <v>34284</v>
      </c>
      <c r="AU122" s="542">
        <v>7714</v>
      </c>
      <c r="AV122" s="542">
        <v>857</v>
      </c>
      <c r="AW122" s="542">
        <v>85710</v>
      </c>
      <c r="AX122" s="542">
        <v>-37421</v>
      </c>
      <c r="AY122" s="542">
        <v>-29936</v>
      </c>
      <c r="AZ122" s="542">
        <v>-6736</v>
      </c>
      <c r="BA122" s="542">
        <v>-748</v>
      </c>
      <c r="BB122" s="542">
        <v>-74841</v>
      </c>
      <c r="BC122" s="542">
        <v>-134643</v>
      </c>
      <c r="BD122" s="542">
        <v>-107714</v>
      </c>
      <c r="BE122" s="542">
        <v>-24237</v>
      </c>
      <c r="BF122" s="542">
        <v>-2693</v>
      </c>
      <c r="BG122" s="542">
        <v>-269287</v>
      </c>
      <c r="BH122" s="542">
        <v>-340982</v>
      </c>
      <c r="BI122" s="542">
        <v>-272785</v>
      </c>
      <c r="BJ122" s="542">
        <v>-61376</v>
      </c>
      <c r="BK122" s="542">
        <v>-6819</v>
      </c>
      <c r="BL122" s="542">
        <v>-681962</v>
      </c>
      <c r="BM122" s="542">
        <v>671874</v>
      </c>
      <c r="BN122" s="542">
        <v>537500</v>
      </c>
      <c r="BO122" s="542">
        <v>120938</v>
      </c>
      <c r="BP122" s="542">
        <v>13438</v>
      </c>
      <c r="BQ122" s="542">
        <v>1343750</v>
      </c>
      <c r="BR122" s="542">
        <v>-1119730</v>
      </c>
      <c r="BS122" s="542">
        <v>-895784</v>
      </c>
      <c r="BT122" s="542">
        <v>-201551</v>
      </c>
      <c r="BU122" s="542">
        <v>-22395</v>
      </c>
      <c r="BV122" s="542">
        <v>-2239460</v>
      </c>
      <c r="BW122" s="542">
        <v>-788838</v>
      </c>
      <c r="BX122" s="542">
        <v>-631069</v>
      </c>
      <c r="BY122" s="542">
        <v>-141989</v>
      </c>
      <c r="BZ122" s="542">
        <v>-15776</v>
      </c>
      <c r="CA122" s="542">
        <v>-1577672</v>
      </c>
    </row>
    <row r="123" spans="1:79" ht="12.75" x14ac:dyDescent="0.2">
      <c r="A123" s="93">
        <v>117</v>
      </c>
      <c r="B123" s="145" t="s">
        <v>112</v>
      </c>
      <c r="C123" s="141" t="s">
        <v>877</v>
      </c>
      <c r="D123" s="142" t="s">
        <v>872</v>
      </c>
      <c r="E123" s="149" t="s">
        <v>698</v>
      </c>
      <c r="F123" s="543">
        <v>0.5</v>
      </c>
      <c r="G123" s="543">
        <v>0.3</v>
      </c>
      <c r="H123" s="543">
        <v>0.2</v>
      </c>
      <c r="I123" s="543">
        <v>0</v>
      </c>
      <c r="J123" s="543">
        <v>1</v>
      </c>
      <c r="K123" s="542">
        <v>86136314</v>
      </c>
      <c r="L123" s="542">
        <v>51681788</v>
      </c>
      <c r="M123" s="542">
        <v>34454526</v>
      </c>
      <c r="N123" s="542">
        <v>0</v>
      </c>
      <c r="O123" s="542">
        <v>172272628</v>
      </c>
      <c r="P123" s="542">
        <v>0</v>
      </c>
      <c r="Q123" s="542">
        <v>0</v>
      </c>
      <c r="R123" s="542">
        <v>86136314</v>
      </c>
      <c r="S123" s="542">
        <v>565150</v>
      </c>
      <c r="T123" s="542">
        <v>565150</v>
      </c>
      <c r="U123" s="542">
        <v>0</v>
      </c>
      <c r="V123" s="542">
        <v>0</v>
      </c>
      <c r="W123" s="542">
        <v>0</v>
      </c>
      <c r="X123" s="542">
        <v>0</v>
      </c>
      <c r="Y123" s="542">
        <v>0</v>
      </c>
      <c r="Z123" s="542">
        <v>0</v>
      </c>
      <c r="AA123" s="542">
        <v>0</v>
      </c>
      <c r="AB123" s="542">
        <v>0</v>
      </c>
      <c r="AC123" s="542">
        <v>0</v>
      </c>
      <c r="AD123" s="542">
        <v>11323540</v>
      </c>
      <c r="AE123" s="542">
        <v>6794124</v>
      </c>
      <c r="AF123" s="542">
        <v>4529416</v>
      </c>
      <c r="AG123" s="542">
        <v>0</v>
      </c>
      <c r="AH123" s="542">
        <v>22647080</v>
      </c>
      <c r="AI123" s="542">
        <v>-7785350</v>
      </c>
      <c r="AJ123" s="542">
        <v>-4671210</v>
      </c>
      <c r="AK123" s="542">
        <v>-3114140</v>
      </c>
      <c r="AL123" s="542">
        <v>0</v>
      </c>
      <c r="AM123" s="542">
        <v>-15570700</v>
      </c>
      <c r="AN123" s="542">
        <v>-10168133</v>
      </c>
      <c r="AO123" s="542">
        <v>-6100881</v>
      </c>
      <c r="AP123" s="542">
        <v>-4067254</v>
      </c>
      <c r="AQ123" s="542">
        <v>0</v>
      </c>
      <c r="AR123" s="542">
        <v>-20336268</v>
      </c>
      <c r="AS123" s="542">
        <v>0</v>
      </c>
      <c r="AT123" s="542">
        <v>0</v>
      </c>
      <c r="AU123" s="542">
        <v>0</v>
      </c>
      <c r="AV123" s="542">
        <v>0</v>
      </c>
      <c r="AW123" s="542">
        <v>0</v>
      </c>
      <c r="AX123" s="542">
        <v>2157280</v>
      </c>
      <c r="AY123" s="542">
        <v>1294368</v>
      </c>
      <c r="AZ123" s="542">
        <v>862912</v>
      </c>
      <c r="BA123" s="542">
        <v>0</v>
      </c>
      <c r="BB123" s="542">
        <v>4314560</v>
      </c>
      <c r="BC123" s="542">
        <v>-8010853.4000000004</v>
      </c>
      <c r="BD123" s="542">
        <v>-4806513</v>
      </c>
      <c r="BE123" s="542">
        <v>-3204342</v>
      </c>
      <c r="BF123" s="542">
        <v>0</v>
      </c>
      <c r="BG123" s="542">
        <v>-16021708</v>
      </c>
      <c r="BH123" s="542">
        <v>-19541702</v>
      </c>
      <c r="BI123" s="542">
        <v>-11725022</v>
      </c>
      <c r="BJ123" s="542">
        <v>-7816682</v>
      </c>
      <c r="BK123" s="542">
        <v>0</v>
      </c>
      <c r="BL123" s="542">
        <v>-39083406</v>
      </c>
      <c r="BM123" s="542">
        <v>5392206</v>
      </c>
      <c r="BN123" s="542">
        <v>3235324</v>
      </c>
      <c r="BO123" s="542">
        <v>2156882</v>
      </c>
      <c r="BP123" s="542">
        <v>0</v>
      </c>
      <c r="BQ123" s="542">
        <v>10784412</v>
      </c>
      <c r="BR123" s="542">
        <v>-14982959</v>
      </c>
      <c r="BS123" s="542">
        <v>-8989775</v>
      </c>
      <c r="BT123" s="542">
        <v>-5993184</v>
      </c>
      <c r="BU123" s="542">
        <v>0</v>
      </c>
      <c r="BV123" s="542">
        <v>-29965918</v>
      </c>
      <c r="BW123" s="542">
        <v>-29132455</v>
      </c>
      <c r="BX123" s="542">
        <v>-17479473</v>
      </c>
      <c r="BY123" s="542">
        <v>-11652984</v>
      </c>
      <c r="BZ123" s="542">
        <v>0</v>
      </c>
      <c r="CA123" s="542">
        <v>-58264912</v>
      </c>
    </row>
    <row r="124" spans="1:79" ht="12.75" x14ac:dyDescent="0.2">
      <c r="A124" s="93">
        <v>118</v>
      </c>
      <c r="B124" s="145" t="s">
        <v>114</v>
      </c>
      <c r="C124" s="141" t="s">
        <v>866</v>
      </c>
      <c r="D124" s="142" t="s">
        <v>869</v>
      </c>
      <c r="E124" s="149" t="s">
        <v>113</v>
      </c>
      <c r="F124" s="543">
        <v>0.5</v>
      </c>
      <c r="G124" s="543">
        <v>0.4</v>
      </c>
      <c r="H124" s="543">
        <v>0.09</v>
      </c>
      <c r="I124" s="543">
        <v>0.01</v>
      </c>
      <c r="J124" s="543">
        <v>1</v>
      </c>
      <c r="K124" s="542">
        <v>17266536</v>
      </c>
      <c r="L124" s="542">
        <v>13813229</v>
      </c>
      <c r="M124" s="542">
        <v>3107977</v>
      </c>
      <c r="N124" s="542">
        <v>345331</v>
      </c>
      <c r="O124" s="542">
        <v>34533073</v>
      </c>
      <c r="P124" s="542">
        <v>0</v>
      </c>
      <c r="Q124" s="542">
        <v>0</v>
      </c>
      <c r="R124" s="542">
        <v>17266536</v>
      </c>
      <c r="S124" s="542">
        <v>124037</v>
      </c>
      <c r="T124" s="542">
        <v>124037</v>
      </c>
      <c r="U124" s="542">
        <v>0</v>
      </c>
      <c r="V124" s="542">
        <v>0</v>
      </c>
      <c r="W124" s="542">
        <v>0</v>
      </c>
      <c r="X124" s="542">
        <v>0</v>
      </c>
      <c r="Y124" s="542">
        <v>0</v>
      </c>
      <c r="Z124" s="542">
        <v>0</v>
      </c>
      <c r="AA124" s="542">
        <v>0</v>
      </c>
      <c r="AB124" s="542">
        <v>0</v>
      </c>
      <c r="AC124" s="542">
        <v>0</v>
      </c>
      <c r="AD124" s="542">
        <v>334782</v>
      </c>
      <c r="AE124" s="542">
        <v>267826</v>
      </c>
      <c r="AF124" s="542">
        <v>60261</v>
      </c>
      <c r="AG124" s="542">
        <v>6696</v>
      </c>
      <c r="AH124" s="542">
        <v>669565</v>
      </c>
      <c r="AI124" s="542">
        <v>-137946</v>
      </c>
      <c r="AJ124" s="542">
        <v>-110357</v>
      </c>
      <c r="AK124" s="542">
        <v>-24830</v>
      </c>
      <c r="AL124" s="542">
        <v>-2759</v>
      </c>
      <c r="AM124" s="542">
        <v>-275892</v>
      </c>
      <c r="AN124" s="542">
        <v>-28776</v>
      </c>
      <c r="AO124" s="542">
        <v>-23019</v>
      </c>
      <c r="AP124" s="542">
        <v>-5179</v>
      </c>
      <c r="AQ124" s="542">
        <v>-575</v>
      </c>
      <c r="AR124" s="542">
        <v>-57549</v>
      </c>
      <c r="AS124" s="542">
        <v>69206</v>
      </c>
      <c r="AT124" s="542">
        <v>55365</v>
      </c>
      <c r="AU124" s="542">
        <v>12457</v>
      </c>
      <c r="AV124" s="542">
        <v>1384</v>
      </c>
      <c r="AW124" s="542">
        <v>138412</v>
      </c>
      <c r="AX124" s="542">
        <v>-76132</v>
      </c>
      <c r="AY124" s="542">
        <v>-60906</v>
      </c>
      <c r="AZ124" s="542">
        <v>-13704</v>
      </c>
      <c r="BA124" s="542">
        <v>-1523</v>
      </c>
      <c r="BB124" s="542">
        <v>-152265</v>
      </c>
      <c r="BC124" s="542">
        <v>-35702</v>
      </c>
      <c r="BD124" s="542">
        <v>-28560</v>
      </c>
      <c r="BE124" s="542">
        <v>-6426</v>
      </c>
      <c r="BF124" s="542">
        <v>-714</v>
      </c>
      <c r="BG124" s="542">
        <v>-71402</v>
      </c>
      <c r="BH124" s="542">
        <v>-266853</v>
      </c>
      <c r="BI124" s="542">
        <v>-213483</v>
      </c>
      <c r="BJ124" s="542">
        <v>-48034</v>
      </c>
      <c r="BK124" s="542">
        <v>-5337</v>
      </c>
      <c r="BL124" s="542">
        <v>-533707</v>
      </c>
      <c r="BM124" s="542">
        <v>0</v>
      </c>
      <c r="BN124" s="542">
        <v>0</v>
      </c>
      <c r="BO124" s="542">
        <v>0</v>
      </c>
      <c r="BP124" s="542">
        <v>0</v>
      </c>
      <c r="BQ124" s="542">
        <v>0</v>
      </c>
      <c r="BR124" s="542">
        <v>-1658799</v>
      </c>
      <c r="BS124" s="542">
        <v>-1327040</v>
      </c>
      <c r="BT124" s="542">
        <v>-298584</v>
      </c>
      <c r="BU124" s="542">
        <v>-33176</v>
      </c>
      <c r="BV124" s="542">
        <v>-3317599</v>
      </c>
      <c r="BW124" s="542">
        <v>-1925652</v>
      </c>
      <c r="BX124" s="542">
        <v>-1540523</v>
      </c>
      <c r="BY124" s="542">
        <v>-346618</v>
      </c>
      <c r="BZ124" s="542">
        <v>-38513</v>
      </c>
      <c r="CA124" s="542">
        <v>-3851306</v>
      </c>
    </row>
    <row r="125" spans="1:79" ht="12.75" x14ac:dyDescent="0.2">
      <c r="A125" s="93">
        <v>119</v>
      </c>
      <c r="B125" s="145" t="s">
        <v>116</v>
      </c>
      <c r="C125" s="141" t="s">
        <v>871</v>
      </c>
      <c r="D125" s="142" t="s">
        <v>872</v>
      </c>
      <c r="E125" s="149" t="s">
        <v>115</v>
      </c>
      <c r="F125" s="543">
        <v>0.5</v>
      </c>
      <c r="G125" s="543">
        <v>0.3</v>
      </c>
      <c r="H125" s="543">
        <v>0.2</v>
      </c>
      <c r="I125" s="543">
        <v>0</v>
      </c>
      <c r="J125" s="543">
        <v>1</v>
      </c>
      <c r="K125" s="542">
        <v>24152992</v>
      </c>
      <c r="L125" s="542">
        <v>14491795</v>
      </c>
      <c r="M125" s="542">
        <v>9661197</v>
      </c>
      <c r="N125" s="542">
        <v>0</v>
      </c>
      <c r="O125" s="542">
        <v>48305984</v>
      </c>
      <c r="P125" s="542">
        <v>0</v>
      </c>
      <c r="Q125" s="542">
        <v>0</v>
      </c>
      <c r="R125" s="542">
        <v>24152992</v>
      </c>
      <c r="S125" s="542">
        <v>309403</v>
      </c>
      <c r="T125" s="542">
        <v>309403</v>
      </c>
      <c r="U125" s="542">
        <v>0</v>
      </c>
      <c r="V125" s="542">
        <v>0</v>
      </c>
      <c r="W125" s="542">
        <v>0</v>
      </c>
      <c r="X125" s="542">
        <v>0</v>
      </c>
      <c r="Y125" s="542">
        <v>0</v>
      </c>
      <c r="Z125" s="542">
        <v>0</v>
      </c>
      <c r="AA125" s="542">
        <v>0</v>
      </c>
      <c r="AB125" s="542">
        <v>0</v>
      </c>
      <c r="AC125" s="542">
        <v>0</v>
      </c>
      <c r="AD125" s="542">
        <v>4768263.66</v>
      </c>
      <c r="AE125" s="542">
        <v>2860958</v>
      </c>
      <c r="AF125" s="542">
        <v>1907305</v>
      </c>
      <c r="AG125" s="542">
        <v>0</v>
      </c>
      <c r="AH125" s="542">
        <v>9536526.6600000001</v>
      </c>
      <c r="AI125" s="542">
        <v>-4930125.5</v>
      </c>
      <c r="AJ125" s="542">
        <v>-2958076</v>
      </c>
      <c r="AK125" s="542">
        <v>-1972051</v>
      </c>
      <c r="AL125" s="542">
        <v>0</v>
      </c>
      <c r="AM125" s="542">
        <v>-9860252.5</v>
      </c>
      <c r="AN125" s="542">
        <v>-1034999.3</v>
      </c>
      <c r="AO125" s="542">
        <v>-621001</v>
      </c>
      <c r="AP125" s="542">
        <v>-414000</v>
      </c>
      <c r="AQ125" s="542">
        <v>0</v>
      </c>
      <c r="AR125" s="542">
        <v>-2070000.3</v>
      </c>
      <c r="AS125" s="542">
        <v>1035000</v>
      </c>
      <c r="AT125" s="542">
        <v>621000</v>
      </c>
      <c r="AU125" s="542">
        <v>414000</v>
      </c>
      <c r="AV125" s="542">
        <v>0</v>
      </c>
      <c r="AW125" s="542">
        <v>2070000</v>
      </c>
      <c r="AX125" s="542">
        <v>-2583697</v>
      </c>
      <c r="AY125" s="542">
        <v>-1550218</v>
      </c>
      <c r="AZ125" s="542">
        <v>-1033479</v>
      </c>
      <c r="BA125" s="542">
        <v>0</v>
      </c>
      <c r="BB125" s="542">
        <v>-5167394</v>
      </c>
      <c r="BC125" s="542">
        <v>-2583696.2999999998</v>
      </c>
      <c r="BD125" s="542">
        <v>-1550219</v>
      </c>
      <c r="BE125" s="542">
        <v>-1033479</v>
      </c>
      <c r="BF125" s="542">
        <v>0</v>
      </c>
      <c r="BG125" s="542">
        <v>-5167394.3</v>
      </c>
      <c r="BH125" s="542">
        <v>-864588</v>
      </c>
      <c r="BI125" s="542">
        <v>-518752</v>
      </c>
      <c r="BJ125" s="542">
        <v>-345835</v>
      </c>
      <c r="BK125" s="542">
        <v>0</v>
      </c>
      <c r="BL125" s="542">
        <v>-1729175</v>
      </c>
      <c r="BM125" s="542">
        <v>864587</v>
      </c>
      <c r="BN125" s="542">
        <v>518753</v>
      </c>
      <c r="BO125" s="542">
        <v>345835</v>
      </c>
      <c r="BP125" s="542">
        <v>0</v>
      </c>
      <c r="BQ125" s="542">
        <v>1729175</v>
      </c>
      <c r="BR125" s="542">
        <v>-4226597</v>
      </c>
      <c r="BS125" s="542">
        <v>-2535958</v>
      </c>
      <c r="BT125" s="542">
        <v>-1690639</v>
      </c>
      <c r="BU125" s="542">
        <v>0</v>
      </c>
      <c r="BV125" s="542">
        <v>-8453194</v>
      </c>
      <c r="BW125" s="542">
        <v>-4226598</v>
      </c>
      <c r="BX125" s="542">
        <v>-2535957</v>
      </c>
      <c r="BY125" s="542">
        <v>-1690639</v>
      </c>
      <c r="BZ125" s="542">
        <v>0</v>
      </c>
      <c r="CA125" s="542">
        <v>-8453194</v>
      </c>
    </row>
    <row r="126" spans="1:79" ht="12.75" x14ac:dyDescent="0.2">
      <c r="A126" s="93">
        <v>120</v>
      </c>
      <c r="B126" s="145" t="s">
        <v>118</v>
      </c>
      <c r="C126" s="141" t="s">
        <v>866</v>
      </c>
      <c r="D126" s="142" t="s">
        <v>870</v>
      </c>
      <c r="E126" s="149" t="s">
        <v>117</v>
      </c>
      <c r="F126" s="543">
        <v>0.5</v>
      </c>
      <c r="G126" s="543">
        <v>0.4</v>
      </c>
      <c r="H126" s="543">
        <v>0.09</v>
      </c>
      <c r="I126" s="543">
        <v>0.01</v>
      </c>
      <c r="J126" s="543">
        <v>1</v>
      </c>
      <c r="K126" s="542">
        <v>21182416</v>
      </c>
      <c r="L126" s="542">
        <v>16945933</v>
      </c>
      <c r="M126" s="542">
        <v>3812835</v>
      </c>
      <c r="N126" s="542">
        <v>423648</v>
      </c>
      <c r="O126" s="542">
        <v>42364832</v>
      </c>
      <c r="P126" s="542">
        <v>0</v>
      </c>
      <c r="Q126" s="542">
        <v>0</v>
      </c>
      <c r="R126" s="542">
        <v>21182416</v>
      </c>
      <c r="S126" s="542">
        <v>123090</v>
      </c>
      <c r="T126" s="542">
        <v>123090</v>
      </c>
      <c r="U126" s="542">
        <v>0</v>
      </c>
      <c r="V126" s="542">
        <v>0</v>
      </c>
      <c r="W126" s="542">
        <v>0</v>
      </c>
      <c r="X126" s="542">
        <v>0</v>
      </c>
      <c r="Y126" s="542">
        <v>0</v>
      </c>
      <c r="Z126" s="542">
        <v>0</v>
      </c>
      <c r="AA126" s="542">
        <v>0</v>
      </c>
      <c r="AB126" s="542">
        <v>0</v>
      </c>
      <c r="AC126" s="542">
        <v>0</v>
      </c>
      <c r="AD126" s="542">
        <v>1240746</v>
      </c>
      <c r="AE126" s="542">
        <v>992597</v>
      </c>
      <c r="AF126" s="542">
        <v>223334</v>
      </c>
      <c r="AG126" s="542">
        <v>24815</v>
      </c>
      <c r="AH126" s="542">
        <v>2481492</v>
      </c>
      <c r="AI126" s="542">
        <v>-271458</v>
      </c>
      <c r="AJ126" s="542">
        <v>-217166</v>
      </c>
      <c r="AK126" s="542">
        <v>-48862</v>
      </c>
      <c r="AL126" s="542">
        <v>-5429</v>
      </c>
      <c r="AM126" s="542">
        <v>-542915</v>
      </c>
      <c r="AN126" s="542">
        <v>-1018750</v>
      </c>
      <c r="AO126" s="542">
        <v>-815000</v>
      </c>
      <c r="AP126" s="542">
        <v>-183375</v>
      </c>
      <c r="AQ126" s="542">
        <v>-20375</v>
      </c>
      <c r="AR126" s="542">
        <v>-2037500</v>
      </c>
      <c r="AS126" s="542">
        <v>128792</v>
      </c>
      <c r="AT126" s="542">
        <v>103033</v>
      </c>
      <c r="AU126" s="542">
        <v>23182</v>
      </c>
      <c r="AV126" s="542">
        <v>2576</v>
      </c>
      <c r="AW126" s="542">
        <v>257583</v>
      </c>
      <c r="AX126" s="542">
        <v>266500</v>
      </c>
      <c r="AY126" s="542">
        <v>213200</v>
      </c>
      <c r="AZ126" s="542">
        <v>47970</v>
      </c>
      <c r="BA126" s="542">
        <v>5330</v>
      </c>
      <c r="BB126" s="542">
        <v>533000</v>
      </c>
      <c r="BC126" s="542">
        <v>-623458</v>
      </c>
      <c r="BD126" s="542">
        <v>-498767</v>
      </c>
      <c r="BE126" s="542">
        <v>-112223</v>
      </c>
      <c r="BF126" s="542">
        <v>-12469</v>
      </c>
      <c r="BG126" s="542">
        <v>-1246917</v>
      </c>
      <c r="BH126" s="542">
        <v>-2159227</v>
      </c>
      <c r="BI126" s="542">
        <v>-1727382</v>
      </c>
      <c r="BJ126" s="542">
        <v>-388661</v>
      </c>
      <c r="BK126" s="542">
        <v>-43184</v>
      </c>
      <c r="BL126" s="542">
        <v>-4318454</v>
      </c>
      <c r="BM126" s="542">
        <v>778500</v>
      </c>
      <c r="BN126" s="542">
        <v>622800</v>
      </c>
      <c r="BO126" s="542">
        <v>140130</v>
      </c>
      <c r="BP126" s="542">
        <v>15570</v>
      </c>
      <c r="BQ126" s="542">
        <v>1557000</v>
      </c>
      <c r="BR126" s="542">
        <v>-2139500</v>
      </c>
      <c r="BS126" s="542">
        <v>-1711600</v>
      </c>
      <c r="BT126" s="542">
        <v>-385110</v>
      </c>
      <c r="BU126" s="542">
        <v>-42790</v>
      </c>
      <c r="BV126" s="542">
        <v>-4279000</v>
      </c>
      <c r="BW126" s="542">
        <v>-3520227</v>
      </c>
      <c r="BX126" s="542">
        <v>-2816182</v>
      </c>
      <c r="BY126" s="542">
        <v>-633641</v>
      </c>
      <c r="BZ126" s="542">
        <v>-70404</v>
      </c>
      <c r="CA126" s="542">
        <v>-7040454</v>
      </c>
    </row>
    <row r="127" spans="1:79" ht="12.75" x14ac:dyDescent="0.2">
      <c r="A127" s="93">
        <v>121</v>
      </c>
      <c r="B127" s="145" t="s">
        <v>120</v>
      </c>
      <c r="C127" s="141" t="s">
        <v>866</v>
      </c>
      <c r="D127" s="142" t="s">
        <v>874</v>
      </c>
      <c r="E127" s="149" t="s">
        <v>119</v>
      </c>
      <c r="F127" s="543">
        <v>0.5</v>
      </c>
      <c r="G127" s="543">
        <v>0.4</v>
      </c>
      <c r="H127" s="543">
        <v>0.09</v>
      </c>
      <c r="I127" s="543">
        <v>0.01</v>
      </c>
      <c r="J127" s="543">
        <v>1</v>
      </c>
      <c r="K127" s="542">
        <v>29853648</v>
      </c>
      <c r="L127" s="542">
        <v>23882919</v>
      </c>
      <c r="M127" s="542">
        <v>5373657</v>
      </c>
      <c r="N127" s="542">
        <v>597073</v>
      </c>
      <c r="O127" s="542">
        <v>59707297</v>
      </c>
      <c r="P127" s="542">
        <v>0</v>
      </c>
      <c r="Q127" s="542">
        <v>0</v>
      </c>
      <c r="R127" s="542">
        <v>29853648</v>
      </c>
      <c r="S127" s="542">
        <v>285902</v>
      </c>
      <c r="T127" s="542">
        <v>285902</v>
      </c>
      <c r="U127" s="542">
        <v>0</v>
      </c>
      <c r="V127" s="542">
        <v>0</v>
      </c>
      <c r="W127" s="542">
        <v>0</v>
      </c>
      <c r="X127" s="542">
        <v>0</v>
      </c>
      <c r="Y127" s="542">
        <v>0</v>
      </c>
      <c r="Z127" s="542">
        <v>0</v>
      </c>
      <c r="AA127" s="542">
        <v>0</v>
      </c>
      <c r="AB127" s="542">
        <v>0</v>
      </c>
      <c r="AC127" s="542">
        <v>0</v>
      </c>
      <c r="AD127" s="542">
        <v>796704</v>
      </c>
      <c r="AE127" s="542">
        <v>637363</v>
      </c>
      <c r="AF127" s="542">
        <v>143407</v>
      </c>
      <c r="AG127" s="542">
        <v>15934</v>
      </c>
      <c r="AH127" s="542">
        <v>1593408</v>
      </c>
      <c r="AI127" s="542">
        <v>-348844</v>
      </c>
      <c r="AJ127" s="542">
        <v>-279075</v>
      </c>
      <c r="AK127" s="542">
        <v>-62792</v>
      </c>
      <c r="AL127" s="542">
        <v>-6977</v>
      </c>
      <c r="AM127" s="542">
        <v>-697688</v>
      </c>
      <c r="AN127" s="542">
        <v>-582705</v>
      </c>
      <c r="AO127" s="542">
        <v>-466164</v>
      </c>
      <c r="AP127" s="542">
        <v>-104886</v>
      </c>
      <c r="AQ127" s="542">
        <v>-11654</v>
      </c>
      <c r="AR127" s="542">
        <v>-1165409</v>
      </c>
      <c r="AS127" s="542">
        <v>0</v>
      </c>
      <c r="AT127" s="542">
        <v>0</v>
      </c>
      <c r="AU127" s="542">
        <v>0</v>
      </c>
      <c r="AV127" s="542">
        <v>0</v>
      </c>
      <c r="AW127" s="542">
        <v>0</v>
      </c>
      <c r="AX127" s="542">
        <v>77069</v>
      </c>
      <c r="AY127" s="542">
        <v>61654</v>
      </c>
      <c r="AZ127" s="542">
        <v>13872</v>
      </c>
      <c r="BA127" s="542">
        <v>1541</v>
      </c>
      <c r="BB127" s="542">
        <v>154136</v>
      </c>
      <c r="BC127" s="542">
        <v>-505636</v>
      </c>
      <c r="BD127" s="542">
        <v>-404510</v>
      </c>
      <c r="BE127" s="542">
        <v>-91014</v>
      </c>
      <c r="BF127" s="542">
        <v>-10113</v>
      </c>
      <c r="BG127" s="542">
        <v>-1011273</v>
      </c>
      <c r="BH127" s="542">
        <v>-868726</v>
      </c>
      <c r="BI127" s="542">
        <v>-694980</v>
      </c>
      <c r="BJ127" s="542">
        <v>-156370</v>
      </c>
      <c r="BK127" s="542">
        <v>-17374</v>
      </c>
      <c r="BL127" s="542">
        <v>-1737450</v>
      </c>
      <c r="BM127" s="542">
        <v>0</v>
      </c>
      <c r="BN127" s="542">
        <v>0</v>
      </c>
      <c r="BO127" s="542">
        <v>0</v>
      </c>
      <c r="BP127" s="542">
        <v>0</v>
      </c>
      <c r="BQ127" s="542">
        <v>0</v>
      </c>
      <c r="BR127" s="542">
        <v>-527372</v>
      </c>
      <c r="BS127" s="542">
        <v>-421898</v>
      </c>
      <c r="BT127" s="542">
        <v>-94927</v>
      </c>
      <c r="BU127" s="542">
        <v>-10547</v>
      </c>
      <c r="BV127" s="542">
        <v>-1054744</v>
      </c>
      <c r="BW127" s="542">
        <v>-1396098</v>
      </c>
      <c r="BX127" s="542">
        <v>-1116878</v>
      </c>
      <c r="BY127" s="542">
        <v>-251297</v>
      </c>
      <c r="BZ127" s="542">
        <v>-27921</v>
      </c>
      <c r="CA127" s="542">
        <v>-2792194</v>
      </c>
    </row>
    <row r="128" spans="1:79" ht="12.75" x14ac:dyDescent="0.2">
      <c r="A128" s="93">
        <v>122</v>
      </c>
      <c r="B128" s="145" t="s">
        <v>122</v>
      </c>
      <c r="C128" s="141" t="s">
        <v>871</v>
      </c>
      <c r="D128" s="142" t="s">
        <v>872</v>
      </c>
      <c r="E128" s="149" t="s">
        <v>121</v>
      </c>
      <c r="F128" s="543">
        <v>0.5</v>
      </c>
      <c r="G128" s="543">
        <v>0.3</v>
      </c>
      <c r="H128" s="543">
        <v>0.2</v>
      </c>
      <c r="I128" s="543">
        <v>0</v>
      </c>
      <c r="J128" s="543">
        <v>1</v>
      </c>
      <c r="K128" s="542">
        <v>22423093</v>
      </c>
      <c r="L128" s="542">
        <v>13453856</v>
      </c>
      <c r="M128" s="542">
        <v>8969237</v>
      </c>
      <c r="N128" s="542">
        <v>0</v>
      </c>
      <c r="O128" s="542">
        <v>44846186</v>
      </c>
      <c r="P128" s="542">
        <v>0</v>
      </c>
      <c r="Q128" s="542">
        <v>0</v>
      </c>
      <c r="R128" s="542">
        <v>22423093</v>
      </c>
      <c r="S128" s="542">
        <v>257701</v>
      </c>
      <c r="T128" s="542">
        <v>257701</v>
      </c>
      <c r="U128" s="542">
        <v>0</v>
      </c>
      <c r="V128" s="542">
        <v>0</v>
      </c>
      <c r="W128" s="542">
        <v>0</v>
      </c>
      <c r="X128" s="542">
        <v>0</v>
      </c>
      <c r="Y128" s="542">
        <v>0</v>
      </c>
      <c r="Z128" s="542">
        <v>0</v>
      </c>
      <c r="AA128" s="542">
        <v>0</v>
      </c>
      <c r="AB128" s="542">
        <v>0</v>
      </c>
      <c r="AC128" s="542">
        <v>0</v>
      </c>
      <c r="AD128" s="542">
        <v>1665639</v>
      </c>
      <c r="AE128" s="542">
        <v>999383</v>
      </c>
      <c r="AF128" s="542">
        <v>666255</v>
      </c>
      <c r="AG128" s="542">
        <v>0</v>
      </c>
      <c r="AH128" s="542">
        <v>3331277</v>
      </c>
      <c r="AI128" s="542">
        <v>-254542</v>
      </c>
      <c r="AJ128" s="542">
        <v>-152725</v>
      </c>
      <c r="AK128" s="542">
        <v>-101817</v>
      </c>
      <c r="AL128" s="542">
        <v>0</v>
      </c>
      <c r="AM128" s="542">
        <v>-509084</v>
      </c>
      <c r="AN128" s="542">
        <v>-1248273</v>
      </c>
      <c r="AO128" s="542">
        <v>-748964</v>
      </c>
      <c r="AP128" s="542">
        <v>-499309</v>
      </c>
      <c r="AQ128" s="542">
        <v>0</v>
      </c>
      <c r="AR128" s="542">
        <v>-2496546</v>
      </c>
      <c r="AS128" s="542">
        <v>585584</v>
      </c>
      <c r="AT128" s="542">
        <v>351350</v>
      </c>
      <c r="AU128" s="542">
        <v>234234</v>
      </c>
      <c r="AV128" s="542">
        <v>0</v>
      </c>
      <c r="AW128" s="542">
        <v>1171168</v>
      </c>
      <c r="AX128" s="542">
        <v>-437996</v>
      </c>
      <c r="AY128" s="542">
        <v>-262798</v>
      </c>
      <c r="AZ128" s="542">
        <v>-175198</v>
      </c>
      <c r="BA128" s="542">
        <v>0</v>
      </c>
      <c r="BB128" s="542">
        <v>-875992</v>
      </c>
      <c r="BC128" s="542">
        <v>-1100685</v>
      </c>
      <c r="BD128" s="542">
        <v>-660412</v>
      </c>
      <c r="BE128" s="542">
        <v>-440273</v>
      </c>
      <c r="BF128" s="542">
        <v>0</v>
      </c>
      <c r="BG128" s="542">
        <v>-2201370</v>
      </c>
      <c r="BH128" s="542">
        <v>-700000</v>
      </c>
      <c r="BI128" s="542">
        <v>-420000</v>
      </c>
      <c r="BJ128" s="542">
        <v>-280000</v>
      </c>
      <c r="BK128" s="542">
        <v>0</v>
      </c>
      <c r="BL128" s="542">
        <v>-1400000</v>
      </c>
      <c r="BM128" s="542">
        <v>1635264</v>
      </c>
      <c r="BN128" s="542">
        <v>981159</v>
      </c>
      <c r="BO128" s="542">
        <v>654106</v>
      </c>
      <c r="BP128" s="542">
        <v>0</v>
      </c>
      <c r="BQ128" s="542">
        <v>3270529</v>
      </c>
      <c r="BR128" s="542">
        <v>-3035264</v>
      </c>
      <c r="BS128" s="542">
        <v>-1821159</v>
      </c>
      <c r="BT128" s="542">
        <v>-1214106</v>
      </c>
      <c r="BU128" s="542">
        <v>0</v>
      </c>
      <c r="BV128" s="542">
        <v>-6070529</v>
      </c>
      <c r="BW128" s="542">
        <v>-2100000</v>
      </c>
      <c r="BX128" s="542">
        <v>-1260000</v>
      </c>
      <c r="BY128" s="542">
        <v>-840000</v>
      </c>
      <c r="BZ128" s="542">
        <v>0</v>
      </c>
      <c r="CA128" s="542">
        <v>-4200000</v>
      </c>
    </row>
    <row r="129" spans="1:79" ht="12.75" x14ac:dyDescent="0.2">
      <c r="A129" s="93">
        <v>123</v>
      </c>
      <c r="B129" s="145" t="s">
        <v>124</v>
      </c>
      <c r="C129" s="141" t="s">
        <v>866</v>
      </c>
      <c r="D129" s="142" t="s">
        <v>867</v>
      </c>
      <c r="E129" s="149" t="s">
        <v>123</v>
      </c>
      <c r="F129" s="543">
        <v>0.5</v>
      </c>
      <c r="G129" s="543">
        <v>0.4</v>
      </c>
      <c r="H129" s="543">
        <v>0.09</v>
      </c>
      <c r="I129" s="543">
        <v>0.01</v>
      </c>
      <c r="J129" s="543">
        <v>1</v>
      </c>
      <c r="K129" s="542">
        <v>14116752</v>
      </c>
      <c r="L129" s="542">
        <v>11293401</v>
      </c>
      <c r="M129" s="542">
        <v>2541015</v>
      </c>
      <c r="N129" s="542">
        <v>282335</v>
      </c>
      <c r="O129" s="542">
        <v>28233503</v>
      </c>
      <c r="P129" s="542">
        <v>0</v>
      </c>
      <c r="Q129" s="542">
        <v>0</v>
      </c>
      <c r="R129" s="542">
        <v>14116752</v>
      </c>
      <c r="S129" s="542">
        <v>99703</v>
      </c>
      <c r="T129" s="542">
        <v>99703</v>
      </c>
      <c r="U129" s="542">
        <v>0</v>
      </c>
      <c r="V129" s="542">
        <v>0</v>
      </c>
      <c r="W129" s="542">
        <v>0</v>
      </c>
      <c r="X129" s="542">
        <v>0</v>
      </c>
      <c r="Y129" s="542">
        <v>0</v>
      </c>
      <c r="Z129" s="542">
        <v>0</v>
      </c>
      <c r="AA129" s="542">
        <v>0</v>
      </c>
      <c r="AB129" s="542">
        <v>0</v>
      </c>
      <c r="AC129" s="542">
        <v>0</v>
      </c>
      <c r="AD129" s="542">
        <v>701149</v>
      </c>
      <c r="AE129" s="542">
        <v>560919</v>
      </c>
      <c r="AF129" s="542">
        <v>126207</v>
      </c>
      <c r="AG129" s="542">
        <v>14023</v>
      </c>
      <c r="AH129" s="542">
        <v>1402298</v>
      </c>
      <c r="AI129" s="542">
        <v>-178977</v>
      </c>
      <c r="AJ129" s="542">
        <v>-143182</v>
      </c>
      <c r="AK129" s="542">
        <v>-32216</v>
      </c>
      <c r="AL129" s="542">
        <v>-3580</v>
      </c>
      <c r="AM129" s="542">
        <v>-357955</v>
      </c>
      <c r="AN129" s="542">
        <v>-33179324</v>
      </c>
      <c r="AO129" s="542">
        <v>-26543461</v>
      </c>
      <c r="AP129" s="542">
        <v>-5972279</v>
      </c>
      <c r="AQ129" s="542">
        <v>-663587</v>
      </c>
      <c r="AR129" s="542">
        <v>-66358651</v>
      </c>
      <c r="AS129" s="542">
        <v>117481</v>
      </c>
      <c r="AT129" s="542">
        <v>93986</v>
      </c>
      <c r="AU129" s="542">
        <v>21147</v>
      </c>
      <c r="AV129" s="542">
        <v>2350</v>
      </c>
      <c r="AW129" s="542">
        <v>234964</v>
      </c>
      <c r="AX129" s="542">
        <v>-105216</v>
      </c>
      <c r="AY129" s="542">
        <v>-84173</v>
      </c>
      <c r="AZ129" s="542">
        <v>-18939</v>
      </c>
      <c r="BA129" s="542">
        <v>-2104</v>
      </c>
      <c r="BB129" s="542">
        <v>-210432</v>
      </c>
      <c r="BC129" s="542">
        <v>-33167059</v>
      </c>
      <c r="BD129" s="542">
        <v>-26533648</v>
      </c>
      <c r="BE129" s="542">
        <v>-5970071</v>
      </c>
      <c r="BF129" s="542">
        <v>-663341</v>
      </c>
      <c r="BG129" s="542">
        <v>-66334119</v>
      </c>
      <c r="BH129" s="542">
        <v>-948353.35</v>
      </c>
      <c r="BI129" s="542">
        <v>-758684</v>
      </c>
      <c r="BJ129" s="542">
        <v>-170704</v>
      </c>
      <c r="BK129" s="542">
        <v>-18968</v>
      </c>
      <c r="BL129" s="542">
        <v>-1896709.3</v>
      </c>
      <c r="BM129" s="542">
        <v>358118</v>
      </c>
      <c r="BN129" s="542">
        <v>286494</v>
      </c>
      <c r="BO129" s="542">
        <v>64461</v>
      </c>
      <c r="BP129" s="542">
        <v>7162</v>
      </c>
      <c r="BQ129" s="542">
        <v>716235</v>
      </c>
      <c r="BR129" s="542">
        <v>-413663</v>
      </c>
      <c r="BS129" s="542">
        <v>-330930</v>
      </c>
      <c r="BT129" s="542">
        <v>-74459</v>
      </c>
      <c r="BU129" s="542">
        <v>-8273</v>
      </c>
      <c r="BV129" s="542">
        <v>-827325</v>
      </c>
      <c r="BW129" s="542">
        <v>-1003898.3</v>
      </c>
      <c r="BX129" s="542">
        <v>-803120</v>
      </c>
      <c r="BY129" s="542">
        <v>-180702</v>
      </c>
      <c r="BZ129" s="542">
        <v>-20079</v>
      </c>
      <c r="CA129" s="542">
        <v>-2007799.3</v>
      </c>
    </row>
    <row r="130" spans="1:79" ht="12.75" x14ac:dyDescent="0.2">
      <c r="A130" s="93">
        <v>124</v>
      </c>
      <c r="B130" s="145" t="s">
        <v>126</v>
      </c>
      <c r="C130" s="141" t="s">
        <v>770</v>
      </c>
      <c r="D130" s="142" t="s">
        <v>878</v>
      </c>
      <c r="E130" s="149" t="s">
        <v>699</v>
      </c>
      <c r="F130" s="543">
        <v>0.5</v>
      </c>
      <c r="G130" s="543">
        <v>0.49</v>
      </c>
      <c r="H130" s="543">
        <v>0</v>
      </c>
      <c r="I130" s="543">
        <v>0.01</v>
      </c>
      <c r="J130" s="543">
        <v>1</v>
      </c>
      <c r="K130" s="542">
        <v>21600588</v>
      </c>
      <c r="L130" s="542">
        <v>21168576</v>
      </c>
      <c r="M130" s="542">
        <v>0</v>
      </c>
      <c r="N130" s="542">
        <v>432012</v>
      </c>
      <c r="O130" s="542">
        <v>43201176</v>
      </c>
      <c r="P130" s="542">
        <v>83607.23</v>
      </c>
      <c r="Q130" s="542">
        <v>83607.23</v>
      </c>
      <c r="R130" s="542">
        <v>21516980.699999999</v>
      </c>
      <c r="S130" s="542">
        <v>125321</v>
      </c>
      <c r="T130" s="542">
        <v>125321</v>
      </c>
      <c r="U130" s="542">
        <v>0</v>
      </c>
      <c r="V130" s="542">
        <v>0</v>
      </c>
      <c r="W130" s="542">
        <v>0</v>
      </c>
      <c r="X130" s="542">
        <v>0</v>
      </c>
      <c r="Y130" s="542">
        <v>0</v>
      </c>
      <c r="Z130" s="542">
        <v>83607.23</v>
      </c>
      <c r="AA130" s="542">
        <v>0</v>
      </c>
      <c r="AB130" s="542">
        <v>0</v>
      </c>
      <c r="AC130" s="542">
        <v>83607.23</v>
      </c>
      <c r="AD130" s="542">
        <v>824508</v>
      </c>
      <c r="AE130" s="542">
        <v>808017</v>
      </c>
      <c r="AF130" s="542">
        <v>0</v>
      </c>
      <c r="AG130" s="542">
        <v>16490</v>
      </c>
      <c r="AH130" s="542">
        <v>1649015</v>
      </c>
      <c r="AI130" s="542">
        <v>-436433</v>
      </c>
      <c r="AJ130" s="542">
        <v>-427704</v>
      </c>
      <c r="AK130" s="542">
        <v>0</v>
      </c>
      <c r="AL130" s="542">
        <v>-8729</v>
      </c>
      <c r="AM130" s="542">
        <v>-872866</v>
      </c>
      <c r="AN130" s="542">
        <v>-386840</v>
      </c>
      <c r="AO130" s="542">
        <v>-379103</v>
      </c>
      <c r="AP130" s="542">
        <v>0</v>
      </c>
      <c r="AQ130" s="542">
        <v>-7737</v>
      </c>
      <c r="AR130" s="542">
        <v>-773680</v>
      </c>
      <c r="AS130" s="542">
        <v>36852</v>
      </c>
      <c r="AT130" s="542">
        <v>36115</v>
      </c>
      <c r="AU130" s="542">
        <v>0</v>
      </c>
      <c r="AV130" s="542">
        <v>737</v>
      </c>
      <c r="AW130" s="542">
        <v>73704</v>
      </c>
      <c r="AX130" s="542">
        <v>-110573</v>
      </c>
      <c r="AY130" s="542">
        <v>-108362</v>
      </c>
      <c r="AZ130" s="542">
        <v>0</v>
      </c>
      <c r="BA130" s="542">
        <v>-2211</v>
      </c>
      <c r="BB130" s="542">
        <v>-221146</v>
      </c>
      <c r="BC130" s="542">
        <v>-460561</v>
      </c>
      <c r="BD130" s="542">
        <v>-451350</v>
      </c>
      <c r="BE130" s="542">
        <v>0</v>
      </c>
      <c r="BF130" s="542">
        <v>-9211</v>
      </c>
      <c r="BG130" s="542">
        <v>-921122</v>
      </c>
      <c r="BH130" s="542">
        <v>-1981899</v>
      </c>
      <c r="BI130" s="542">
        <v>-1942262</v>
      </c>
      <c r="BJ130" s="542">
        <v>0</v>
      </c>
      <c r="BK130" s="542">
        <v>-39638</v>
      </c>
      <c r="BL130" s="542">
        <v>-3963799</v>
      </c>
      <c r="BM130" s="542">
        <v>57419</v>
      </c>
      <c r="BN130" s="542">
        <v>56271</v>
      </c>
      <c r="BO130" s="542">
        <v>0</v>
      </c>
      <c r="BP130" s="542">
        <v>1148</v>
      </c>
      <c r="BQ130" s="542">
        <v>114838</v>
      </c>
      <c r="BR130" s="542">
        <v>1230376</v>
      </c>
      <c r="BS130" s="542">
        <v>1205768</v>
      </c>
      <c r="BT130" s="542">
        <v>0</v>
      </c>
      <c r="BU130" s="542">
        <v>24608</v>
      </c>
      <c r="BV130" s="542">
        <v>2460752</v>
      </c>
      <c r="BW130" s="542">
        <v>-694104</v>
      </c>
      <c r="BX130" s="542">
        <v>-680223</v>
      </c>
      <c r="BY130" s="542">
        <v>0</v>
      </c>
      <c r="BZ130" s="542">
        <v>-13882</v>
      </c>
      <c r="CA130" s="542">
        <v>-1388209</v>
      </c>
    </row>
    <row r="131" spans="1:79" ht="12.75" x14ac:dyDescent="0.2">
      <c r="A131" s="93">
        <v>125</v>
      </c>
      <c r="B131" s="145" t="s">
        <v>128</v>
      </c>
      <c r="C131" s="141" t="s">
        <v>866</v>
      </c>
      <c r="D131" s="142" t="s">
        <v>867</v>
      </c>
      <c r="E131" s="149" t="s">
        <v>127</v>
      </c>
      <c r="F131" s="543">
        <v>0.5</v>
      </c>
      <c r="G131" s="543">
        <v>0.4</v>
      </c>
      <c r="H131" s="543">
        <v>0.09</v>
      </c>
      <c r="I131" s="543">
        <v>0.01</v>
      </c>
      <c r="J131" s="543">
        <v>1</v>
      </c>
      <c r="K131" s="542">
        <v>9721010</v>
      </c>
      <c r="L131" s="542">
        <v>7776808</v>
      </c>
      <c r="M131" s="542">
        <v>1749782</v>
      </c>
      <c r="N131" s="542">
        <v>194420</v>
      </c>
      <c r="O131" s="542">
        <v>19442020</v>
      </c>
      <c r="P131" s="542">
        <v>0</v>
      </c>
      <c r="Q131" s="542">
        <v>0</v>
      </c>
      <c r="R131" s="542">
        <v>9721010</v>
      </c>
      <c r="S131" s="542">
        <v>132805</v>
      </c>
      <c r="T131" s="542">
        <v>132805</v>
      </c>
      <c r="U131" s="542">
        <v>0</v>
      </c>
      <c r="V131" s="542">
        <v>0</v>
      </c>
      <c r="W131" s="542">
        <v>0</v>
      </c>
      <c r="X131" s="542">
        <v>0</v>
      </c>
      <c r="Y131" s="542">
        <v>0</v>
      </c>
      <c r="Z131" s="542">
        <v>0</v>
      </c>
      <c r="AA131" s="542">
        <v>0</v>
      </c>
      <c r="AB131" s="542">
        <v>0</v>
      </c>
      <c r="AC131" s="542">
        <v>0</v>
      </c>
      <c r="AD131" s="542">
        <v>647231</v>
      </c>
      <c r="AE131" s="542">
        <v>517785</v>
      </c>
      <c r="AF131" s="542">
        <v>116502</v>
      </c>
      <c r="AG131" s="542">
        <v>12945</v>
      </c>
      <c r="AH131" s="542">
        <v>1294463</v>
      </c>
      <c r="AI131" s="542">
        <v>-208628</v>
      </c>
      <c r="AJ131" s="542">
        <v>-166902</v>
      </c>
      <c r="AK131" s="542">
        <v>-37553</v>
      </c>
      <c r="AL131" s="542">
        <v>-4173</v>
      </c>
      <c r="AM131" s="542">
        <v>-417256</v>
      </c>
      <c r="AN131" s="542">
        <v>-366342</v>
      </c>
      <c r="AO131" s="542">
        <v>-293074</v>
      </c>
      <c r="AP131" s="542">
        <v>-65942</v>
      </c>
      <c r="AQ131" s="542">
        <v>-7326</v>
      </c>
      <c r="AR131" s="542">
        <v>-732684</v>
      </c>
      <c r="AS131" s="542">
        <v>45601</v>
      </c>
      <c r="AT131" s="542">
        <v>36480</v>
      </c>
      <c r="AU131" s="542">
        <v>8208</v>
      </c>
      <c r="AV131" s="542">
        <v>912</v>
      </c>
      <c r="AW131" s="542">
        <v>91201</v>
      </c>
      <c r="AX131" s="542">
        <v>-58413</v>
      </c>
      <c r="AY131" s="542">
        <v>-46730</v>
      </c>
      <c r="AZ131" s="542">
        <v>-10514</v>
      </c>
      <c r="BA131" s="542">
        <v>-1168</v>
      </c>
      <c r="BB131" s="542">
        <v>-116825</v>
      </c>
      <c r="BC131" s="542">
        <v>-379154</v>
      </c>
      <c r="BD131" s="542">
        <v>-303324</v>
      </c>
      <c r="BE131" s="542">
        <v>-68248</v>
      </c>
      <c r="BF131" s="542">
        <v>-7582</v>
      </c>
      <c r="BG131" s="542">
        <v>-758308</v>
      </c>
      <c r="BH131" s="542">
        <v>-899832</v>
      </c>
      <c r="BI131" s="542">
        <v>-719865</v>
      </c>
      <c r="BJ131" s="542">
        <v>-161970</v>
      </c>
      <c r="BK131" s="542">
        <v>-17997</v>
      </c>
      <c r="BL131" s="542">
        <v>-1799664</v>
      </c>
      <c r="BM131" s="542">
        <v>899831</v>
      </c>
      <c r="BN131" s="542">
        <v>719866</v>
      </c>
      <c r="BO131" s="542">
        <v>161970</v>
      </c>
      <c r="BP131" s="542">
        <v>17997</v>
      </c>
      <c r="BQ131" s="542">
        <v>1799664</v>
      </c>
      <c r="BR131" s="542">
        <v>-1055500</v>
      </c>
      <c r="BS131" s="542">
        <v>-844400</v>
      </c>
      <c r="BT131" s="542">
        <v>-189990</v>
      </c>
      <c r="BU131" s="542">
        <v>-21110</v>
      </c>
      <c r="BV131" s="542">
        <v>-2111000</v>
      </c>
      <c r="BW131" s="542">
        <v>-1055501</v>
      </c>
      <c r="BX131" s="542">
        <v>-844399</v>
      </c>
      <c r="BY131" s="542">
        <v>-189990</v>
      </c>
      <c r="BZ131" s="542">
        <v>-21110</v>
      </c>
      <c r="CA131" s="542">
        <v>-2111000</v>
      </c>
    </row>
    <row r="132" spans="1:79" ht="12.75" x14ac:dyDescent="0.2">
      <c r="A132" s="93">
        <v>126</v>
      </c>
      <c r="B132" s="145" t="s">
        <v>130</v>
      </c>
      <c r="C132" s="141" t="s">
        <v>866</v>
      </c>
      <c r="D132" s="142" t="s">
        <v>867</v>
      </c>
      <c r="E132" s="149" t="s">
        <v>129</v>
      </c>
      <c r="F132" s="543">
        <v>0.5</v>
      </c>
      <c r="G132" s="543">
        <v>0.4</v>
      </c>
      <c r="H132" s="543">
        <v>0.09</v>
      </c>
      <c r="I132" s="543">
        <v>0.01</v>
      </c>
      <c r="J132" s="543">
        <v>1</v>
      </c>
      <c r="K132" s="542">
        <v>16609218</v>
      </c>
      <c r="L132" s="542">
        <v>13287374</v>
      </c>
      <c r="M132" s="542">
        <v>2989659</v>
      </c>
      <c r="N132" s="542">
        <v>332184</v>
      </c>
      <c r="O132" s="542">
        <v>33218435</v>
      </c>
      <c r="P132" s="542">
        <v>0</v>
      </c>
      <c r="Q132" s="542">
        <v>0</v>
      </c>
      <c r="R132" s="542">
        <v>16609218</v>
      </c>
      <c r="S132" s="542">
        <v>140067</v>
      </c>
      <c r="T132" s="542">
        <v>140067</v>
      </c>
      <c r="U132" s="542">
        <v>0</v>
      </c>
      <c r="V132" s="542">
        <v>0</v>
      </c>
      <c r="W132" s="542">
        <v>0</v>
      </c>
      <c r="X132" s="542">
        <v>0</v>
      </c>
      <c r="Y132" s="542">
        <v>0</v>
      </c>
      <c r="Z132" s="542">
        <v>0</v>
      </c>
      <c r="AA132" s="542">
        <v>0</v>
      </c>
      <c r="AB132" s="542">
        <v>0</v>
      </c>
      <c r="AC132" s="542">
        <v>0</v>
      </c>
      <c r="AD132" s="542">
        <v>227438</v>
      </c>
      <c r="AE132" s="542">
        <v>181951</v>
      </c>
      <c r="AF132" s="542">
        <v>40939</v>
      </c>
      <c r="AG132" s="542">
        <v>4549</v>
      </c>
      <c r="AH132" s="542">
        <v>454877</v>
      </c>
      <c r="AI132" s="542">
        <v>-345379</v>
      </c>
      <c r="AJ132" s="542">
        <v>-276304</v>
      </c>
      <c r="AK132" s="542">
        <v>-62168</v>
      </c>
      <c r="AL132" s="542">
        <v>-6908</v>
      </c>
      <c r="AM132" s="542">
        <v>-690759</v>
      </c>
      <c r="AN132" s="542">
        <v>-96233</v>
      </c>
      <c r="AO132" s="542">
        <v>-76986</v>
      </c>
      <c r="AP132" s="542">
        <v>-17321</v>
      </c>
      <c r="AQ132" s="542">
        <v>-1925</v>
      </c>
      <c r="AR132" s="542">
        <v>-192465</v>
      </c>
      <c r="AS132" s="542">
        <v>113895</v>
      </c>
      <c r="AT132" s="542">
        <v>91116</v>
      </c>
      <c r="AU132" s="542">
        <v>20501</v>
      </c>
      <c r="AV132" s="542">
        <v>2278</v>
      </c>
      <c r="AW132" s="542">
        <v>227790</v>
      </c>
      <c r="AX132" s="542">
        <v>-204086</v>
      </c>
      <c r="AY132" s="542">
        <v>-163269</v>
      </c>
      <c r="AZ132" s="542">
        <v>-36736</v>
      </c>
      <c r="BA132" s="542">
        <v>-4082</v>
      </c>
      <c r="BB132" s="542">
        <v>-408173</v>
      </c>
      <c r="BC132" s="542">
        <v>-186424</v>
      </c>
      <c r="BD132" s="542">
        <v>-149139</v>
      </c>
      <c r="BE132" s="542">
        <v>-33556</v>
      </c>
      <c r="BF132" s="542">
        <v>-3729</v>
      </c>
      <c r="BG132" s="542">
        <v>-372848</v>
      </c>
      <c r="BH132" s="542">
        <v>-560556</v>
      </c>
      <c r="BI132" s="542">
        <v>-448443</v>
      </c>
      <c r="BJ132" s="542">
        <v>-100899</v>
      </c>
      <c r="BK132" s="542">
        <v>-11211</v>
      </c>
      <c r="BL132" s="542">
        <v>-1121109</v>
      </c>
      <c r="BM132" s="542">
        <v>0</v>
      </c>
      <c r="BN132" s="542">
        <v>0</v>
      </c>
      <c r="BO132" s="542">
        <v>0</v>
      </c>
      <c r="BP132" s="542">
        <v>0</v>
      </c>
      <c r="BQ132" s="542">
        <v>0</v>
      </c>
      <c r="BR132" s="542">
        <v>386080</v>
      </c>
      <c r="BS132" s="542">
        <v>308864</v>
      </c>
      <c r="BT132" s="542">
        <v>69494</v>
      </c>
      <c r="BU132" s="542">
        <v>7722</v>
      </c>
      <c r="BV132" s="542">
        <v>772160</v>
      </c>
      <c r="BW132" s="542">
        <v>-174476</v>
      </c>
      <c r="BX132" s="542">
        <v>-139579</v>
      </c>
      <c r="BY132" s="542">
        <v>-31405</v>
      </c>
      <c r="BZ132" s="542">
        <v>-3489</v>
      </c>
      <c r="CA132" s="542">
        <v>-348949</v>
      </c>
    </row>
    <row r="133" spans="1:79" ht="12.75" x14ac:dyDescent="0.2">
      <c r="A133" s="93">
        <v>127</v>
      </c>
      <c r="B133" s="145" t="s">
        <v>132</v>
      </c>
      <c r="C133" s="141" t="s">
        <v>871</v>
      </c>
      <c r="D133" s="142" t="s">
        <v>872</v>
      </c>
      <c r="E133" s="149" t="s">
        <v>131</v>
      </c>
      <c r="F133" s="543">
        <v>0.5</v>
      </c>
      <c r="G133" s="543">
        <v>0.3</v>
      </c>
      <c r="H133" s="543">
        <v>0.2</v>
      </c>
      <c r="I133" s="543">
        <v>0</v>
      </c>
      <c r="J133" s="543">
        <v>1</v>
      </c>
      <c r="K133" s="542">
        <v>36476078</v>
      </c>
      <c r="L133" s="542">
        <v>21885647</v>
      </c>
      <c r="M133" s="542">
        <v>14590431</v>
      </c>
      <c r="N133" s="542">
        <v>0</v>
      </c>
      <c r="O133" s="542">
        <v>72952156</v>
      </c>
      <c r="P133" s="542">
        <v>0</v>
      </c>
      <c r="Q133" s="542">
        <v>0</v>
      </c>
      <c r="R133" s="542">
        <v>36476078</v>
      </c>
      <c r="S133" s="542">
        <v>272168</v>
      </c>
      <c r="T133" s="542">
        <v>272168</v>
      </c>
      <c r="U133" s="542">
        <v>0</v>
      </c>
      <c r="V133" s="542">
        <v>0</v>
      </c>
      <c r="W133" s="542">
        <v>0</v>
      </c>
      <c r="X133" s="542">
        <v>0</v>
      </c>
      <c r="Y133" s="542">
        <v>0</v>
      </c>
      <c r="Z133" s="542">
        <v>0</v>
      </c>
      <c r="AA133" s="542">
        <v>0</v>
      </c>
      <c r="AB133" s="542">
        <v>0</v>
      </c>
      <c r="AC133" s="542">
        <v>0</v>
      </c>
      <c r="AD133" s="542">
        <v>3093651</v>
      </c>
      <c r="AE133" s="542">
        <v>1856191</v>
      </c>
      <c r="AF133" s="542">
        <v>1237461</v>
      </c>
      <c r="AG133" s="542">
        <v>0</v>
      </c>
      <c r="AH133" s="542">
        <v>6187303</v>
      </c>
      <c r="AI133" s="542">
        <v>-1851704</v>
      </c>
      <c r="AJ133" s="542">
        <v>-1111023</v>
      </c>
      <c r="AK133" s="542">
        <v>-740682</v>
      </c>
      <c r="AL133" s="542">
        <v>0</v>
      </c>
      <c r="AM133" s="542">
        <v>-3703409</v>
      </c>
      <c r="AN133" s="542">
        <v>-1778283.4</v>
      </c>
      <c r="AO133" s="542">
        <v>-1066969</v>
      </c>
      <c r="AP133" s="542">
        <v>-711313</v>
      </c>
      <c r="AQ133" s="542">
        <v>0</v>
      </c>
      <c r="AR133" s="542">
        <v>-3556565.4</v>
      </c>
      <c r="AS133" s="542">
        <v>599381</v>
      </c>
      <c r="AT133" s="542">
        <v>359629</v>
      </c>
      <c r="AU133" s="542">
        <v>239752</v>
      </c>
      <c r="AV133" s="542">
        <v>0</v>
      </c>
      <c r="AW133" s="542">
        <v>1198762</v>
      </c>
      <c r="AX133" s="542">
        <v>-595321</v>
      </c>
      <c r="AY133" s="542">
        <v>-357192</v>
      </c>
      <c r="AZ133" s="542">
        <v>-238128</v>
      </c>
      <c r="BA133" s="542">
        <v>0</v>
      </c>
      <c r="BB133" s="542">
        <v>-1190641</v>
      </c>
      <c r="BC133" s="542">
        <v>-1774223.4</v>
      </c>
      <c r="BD133" s="542">
        <v>-1064532</v>
      </c>
      <c r="BE133" s="542">
        <v>-709689</v>
      </c>
      <c r="BF133" s="542">
        <v>0</v>
      </c>
      <c r="BG133" s="542">
        <v>-3548444.4</v>
      </c>
      <c r="BH133" s="542">
        <v>-2942444.4</v>
      </c>
      <c r="BI133" s="542">
        <v>-1765467</v>
      </c>
      <c r="BJ133" s="542">
        <v>-1176978</v>
      </c>
      <c r="BK133" s="542">
        <v>0</v>
      </c>
      <c r="BL133" s="542">
        <v>-5884889.4000000004</v>
      </c>
      <c r="BM133" s="542">
        <v>2443549</v>
      </c>
      <c r="BN133" s="542">
        <v>1466130</v>
      </c>
      <c r="BO133" s="542">
        <v>977420</v>
      </c>
      <c r="BP133" s="542">
        <v>0</v>
      </c>
      <c r="BQ133" s="542">
        <v>4887099</v>
      </c>
      <c r="BR133" s="542">
        <v>-992776</v>
      </c>
      <c r="BS133" s="542">
        <v>-595666</v>
      </c>
      <c r="BT133" s="542">
        <v>-397111</v>
      </c>
      <c r="BU133" s="542">
        <v>0</v>
      </c>
      <c r="BV133" s="542">
        <v>-1985553</v>
      </c>
      <c r="BW133" s="542">
        <v>-1491671.4</v>
      </c>
      <c r="BX133" s="542">
        <v>-895003</v>
      </c>
      <c r="BY133" s="542">
        <v>-596669</v>
      </c>
      <c r="BZ133" s="542">
        <v>0</v>
      </c>
      <c r="CA133" s="542">
        <v>-2983343.4</v>
      </c>
    </row>
    <row r="134" spans="1:79" ht="12.75" x14ac:dyDescent="0.2">
      <c r="A134" s="93">
        <v>128</v>
      </c>
      <c r="B134" s="145" t="s">
        <v>134</v>
      </c>
      <c r="C134" s="141" t="s">
        <v>770</v>
      </c>
      <c r="D134" s="142" t="s">
        <v>876</v>
      </c>
      <c r="E134" s="149" t="s">
        <v>700</v>
      </c>
      <c r="F134" s="543">
        <v>0.5</v>
      </c>
      <c r="G134" s="543">
        <v>0.49</v>
      </c>
      <c r="H134" s="543">
        <v>0</v>
      </c>
      <c r="I134" s="543">
        <v>0.01</v>
      </c>
      <c r="J134" s="543">
        <v>1</v>
      </c>
      <c r="K134" s="542">
        <v>20936474</v>
      </c>
      <c r="L134" s="542">
        <v>20517746</v>
      </c>
      <c r="M134" s="542">
        <v>0</v>
      </c>
      <c r="N134" s="542">
        <v>418730</v>
      </c>
      <c r="O134" s="542">
        <v>41872950</v>
      </c>
      <c r="P134" s="542">
        <v>89976.13</v>
      </c>
      <c r="Q134" s="542">
        <v>89976.13</v>
      </c>
      <c r="R134" s="542">
        <v>20846497.800000001</v>
      </c>
      <c r="S134" s="542">
        <v>300804</v>
      </c>
      <c r="T134" s="542">
        <v>300804</v>
      </c>
      <c r="U134" s="542">
        <v>0</v>
      </c>
      <c r="V134" s="542">
        <v>0</v>
      </c>
      <c r="W134" s="542">
        <v>42598</v>
      </c>
      <c r="X134" s="542">
        <v>0</v>
      </c>
      <c r="Y134" s="542">
        <v>42598</v>
      </c>
      <c r="Z134" s="542">
        <v>89976.13</v>
      </c>
      <c r="AA134" s="542">
        <v>0</v>
      </c>
      <c r="AB134" s="542">
        <v>0</v>
      </c>
      <c r="AC134" s="542">
        <v>89976.13</v>
      </c>
      <c r="AD134" s="542">
        <v>464721</v>
      </c>
      <c r="AE134" s="542">
        <v>455427</v>
      </c>
      <c r="AF134" s="542">
        <v>0</v>
      </c>
      <c r="AG134" s="542">
        <v>9294</v>
      </c>
      <c r="AH134" s="542">
        <v>929442</v>
      </c>
      <c r="AI134" s="542">
        <v>-540037</v>
      </c>
      <c r="AJ134" s="542">
        <v>-529236</v>
      </c>
      <c r="AK134" s="542">
        <v>0</v>
      </c>
      <c r="AL134" s="542">
        <v>-10801</v>
      </c>
      <c r="AM134" s="542">
        <v>-1080074</v>
      </c>
      <c r="AN134" s="542">
        <v>-142730.42000000001</v>
      </c>
      <c r="AO134" s="542">
        <v>-139875</v>
      </c>
      <c r="AP134" s="542">
        <v>0</v>
      </c>
      <c r="AQ134" s="542">
        <v>-2855</v>
      </c>
      <c r="AR134" s="542">
        <v>-285460.42</v>
      </c>
      <c r="AS134" s="542">
        <v>228489</v>
      </c>
      <c r="AT134" s="542">
        <v>223920</v>
      </c>
      <c r="AU134" s="542">
        <v>0</v>
      </c>
      <c r="AV134" s="542">
        <v>4570</v>
      </c>
      <c r="AW134" s="542">
        <v>456979</v>
      </c>
      <c r="AX134" s="542">
        <v>-184419</v>
      </c>
      <c r="AY134" s="542">
        <v>-180731</v>
      </c>
      <c r="AZ134" s="542">
        <v>0</v>
      </c>
      <c r="BA134" s="542">
        <v>-3688</v>
      </c>
      <c r="BB134" s="542">
        <v>-368838</v>
      </c>
      <c r="BC134" s="542">
        <v>-98660.42</v>
      </c>
      <c r="BD134" s="542">
        <v>-96686</v>
      </c>
      <c r="BE134" s="542">
        <v>0</v>
      </c>
      <c r="BF134" s="542">
        <v>-1973</v>
      </c>
      <c r="BG134" s="542">
        <v>-197319.42</v>
      </c>
      <c r="BH134" s="542">
        <v>-1063394</v>
      </c>
      <c r="BI134" s="542">
        <v>-1042127</v>
      </c>
      <c r="BJ134" s="542">
        <v>0</v>
      </c>
      <c r="BK134" s="542">
        <v>-21268</v>
      </c>
      <c r="BL134" s="542">
        <v>-2126789</v>
      </c>
      <c r="BM134" s="542">
        <v>579519</v>
      </c>
      <c r="BN134" s="542">
        <v>567928</v>
      </c>
      <c r="BO134" s="542">
        <v>0</v>
      </c>
      <c r="BP134" s="542">
        <v>11590</v>
      </c>
      <c r="BQ134" s="542">
        <v>1159037</v>
      </c>
      <c r="BR134" s="542">
        <v>-2501806</v>
      </c>
      <c r="BS134" s="542">
        <v>-2451770</v>
      </c>
      <c r="BT134" s="542">
        <v>0</v>
      </c>
      <c r="BU134" s="542">
        <v>-50036</v>
      </c>
      <c r="BV134" s="542">
        <v>-5003612</v>
      </c>
      <c r="BW134" s="542">
        <v>-2985681</v>
      </c>
      <c r="BX134" s="542">
        <v>-2925969</v>
      </c>
      <c r="BY134" s="542">
        <v>0</v>
      </c>
      <c r="BZ134" s="542">
        <v>-59714</v>
      </c>
      <c r="CA134" s="542">
        <v>-5971364</v>
      </c>
    </row>
    <row r="135" spans="1:79" ht="12.75" x14ac:dyDescent="0.2">
      <c r="A135" s="93">
        <v>129</v>
      </c>
      <c r="B135" s="145" t="s">
        <v>136</v>
      </c>
      <c r="C135" s="141" t="s">
        <v>866</v>
      </c>
      <c r="D135" s="142" t="s">
        <v>870</v>
      </c>
      <c r="E135" s="149" t="s">
        <v>135</v>
      </c>
      <c r="F135" s="543">
        <v>0.5</v>
      </c>
      <c r="G135" s="543">
        <v>0.4</v>
      </c>
      <c r="H135" s="543">
        <v>0.1</v>
      </c>
      <c r="I135" s="543">
        <v>0</v>
      </c>
      <c r="J135" s="543">
        <v>1</v>
      </c>
      <c r="K135" s="542">
        <v>23969587.5</v>
      </c>
      <c r="L135" s="542">
        <v>19175670</v>
      </c>
      <c r="M135" s="542">
        <v>4793917</v>
      </c>
      <c r="N135" s="542">
        <v>0</v>
      </c>
      <c r="O135" s="542">
        <v>47939174.5</v>
      </c>
      <c r="P135" s="542">
        <v>0</v>
      </c>
      <c r="Q135" s="542">
        <v>0</v>
      </c>
      <c r="R135" s="542">
        <v>23969587.5</v>
      </c>
      <c r="S135" s="542">
        <v>147906</v>
      </c>
      <c r="T135" s="542">
        <v>147906</v>
      </c>
      <c r="U135" s="542">
        <v>0</v>
      </c>
      <c r="V135" s="542">
        <v>0</v>
      </c>
      <c r="W135" s="542">
        <v>0</v>
      </c>
      <c r="X135" s="542">
        <v>0</v>
      </c>
      <c r="Y135" s="542">
        <v>0</v>
      </c>
      <c r="Z135" s="542">
        <v>0</v>
      </c>
      <c r="AA135" s="542">
        <v>0</v>
      </c>
      <c r="AB135" s="542">
        <v>0</v>
      </c>
      <c r="AC135" s="542">
        <v>0</v>
      </c>
      <c r="AD135" s="542">
        <v>520979</v>
      </c>
      <c r="AE135" s="542">
        <v>416784</v>
      </c>
      <c r="AF135" s="542">
        <v>104196</v>
      </c>
      <c r="AG135" s="542">
        <v>0</v>
      </c>
      <c r="AH135" s="542">
        <v>1041959</v>
      </c>
      <c r="AI135" s="542">
        <v>-454438</v>
      </c>
      <c r="AJ135" s="542">
        <v>-363551</v>
      </c>
      <c r="AK135" s="542">
        <v>-90888</v>
      </c>
      <c r="AL135" s="542">
        <v>0</v>
      </c>
      <c r="AM135" s="542">
        <v>-908877</v>
      </c>
      <c r="AN135" s="542">
        <v>-303191.90999999997</v>
      </c>
      <c r="AO135" s="542">
        <v>-242553</v>
      </c>
      <c r="AP135" s="542">
        <v>-60638</v>
      </c>
      <c r="AQ135" s="542">
        <v>0</v>
      </c>
      <c r="AR135" s="542">
        <v>-606382.91</v>
      </c>
      <c r="AS135" s="542">
        <v>198379</v>
      </c>
      <c r="AT135" s="542">
        <v>158704</v>
      </c>
      <c r="AU135" s="542">
        <v>39676</v>
      </c>
      <c r="AV135" s="542">
        <v>0</v>
      </c>
      <c r="AW135" s="542">
        <v>396759</v>
      </c>
      <c r="AX135" s="542">
        <v>-45130.44</v>
      </c>
      <c r="AY135" s="542">
        <v>-36104</v>
      </c>
      <c r="AZ135" s="542">
        <v>-9026</v>
      </c>
      <c r="BA135" s="542">
        <v>0</v>
      </c>
      <c r="BB135" s="542">
        <v>-90260.44</v>
      </c>
      <c r="BC135" s="542">
        <v>-149943.35</v>
      </c>
      <c r="BD135" s="542">
        <v>-119953</v>
      </c>
      <c r="BE135" s="542">
        <v>-29988</v>
      </c>
      <c r="BF135" s="542">
        <v>0</v>
      </c>
      <c r="BG135" s="542">
        <v>-299884.34999999998</v>
      </c>
      <c r="BH135" s="542">
        <v>-2883815</v>
      </c>
      <c r="BI135" s="542">
        <v>-2307051</v>
      </c>
      <c r="BJ135" s="542">
        <v>-576762</v>
      </c>
      <c r="BK135" s="542">
        <v>0</v>
      </c>
      <c r="BL135" s="542">
        <v>-5767628</v>
      </c>
      <c r="BM135" s="542">
        <v>1061083</v>
      </c>
      <c r="BN135" s="542">
        <v>848866</v>
      </c>
      <c r="BO135" s="542">
        <v>212217</v>
      </c>
      <c r="BP135" s="542">
        <v>0</v>
      </c>
      <c r="BQ135" s="542">
        <v>2122166</v>
      </c>
      <c r="BR135" s="542">
        <v>56627</v>
      </c>
      <c r="BS135" s="542">
        <v>45302</v>
      </c>
      <c r="BT135" s="542">
        <v>11325</v>
      </c>
      <c r="BU135" s="542">
        <v>0</v>
      </c>
      <c r="BV135" s="542">
        <v>113254</v>
      </c>
      <c r="BW135" s="542">
        <v>-1766105</v>
      </c>
      <c r="BX135" s="542">
        <v>-1412883</v>
      </c>
      <c r="BY135" s="542">
        <v>-353220</v>
      </c>
      <c r="BZ135" s="542">
        <v>0</v>
      </c>
      <c r="CA135" s="542">
        <v>-3532208</v>
      </c>
    </row>
    <row r="136" spans="1:79" ht="12.75" x14ac:dyDescent="0.2">
      <c r="A136" s="93">
        <v>130</v>
      </c>
      <c r="B136" s="145" t="s">
        <v>138</v>
      </c>
      <c r="C136" s="141" t="s">
        <v>866</v>
      </c>
      <c r="D136" s="142" t="s">
        <v>869</v>
      </c>
      <c r="E136" s="149" t="s">
        <v>137</v>
      </c>
      <c r="F136" s="543">
        <v>0.5</v>
      </c>
      <c r="G136" s="543">
        <v>0.4</v>
      </c>
      <c r="H136" s="543">
        <v>0.09</v>
      </c>
      <c r="I136" s="543">
        <v>0.01</v>
      </c>
      <c r="J136" s="543">
        <v>1</v>
      </c>
      <c r="K136" s="542">
        <v>11707019</v>
      </c>
      <c r="L136" s="542">
        <v>9365615</v>
      </c>
      <c r="M136" s="542">
        <v>2107263</v>
      </c>
      <c r="N136" s="542">
        <v>234140</v>
      </c>
      <c r="O136" s="542">
        <v>23414037</v>
      </c>
      <c r="P136" s="542">
        <v>0</v>
      </c>
      <c r="Q136" s="542">
        <v>0</v>
      </c>
      <c r="R136" s="542">
        <v>11707019</v>
      </c>
      <c r="S136" s="542">
        <v>134980</v>
      </c>
      <c r="T136" s="542">
        <v>134980</v>
      </c>
      <c r="U136" s="542">
        <v>0</v>
      </c>
      <c r="V136" s="542">
        <v>0</v>
      </c>
      <c r="W136" s="542">
        <v>0</v>
      </c>
      <c r="X136" s="542">
        <v>0</v>
      </c>
      <c r="Y136" s="542">
        <v>0</v>
      </c>
      <c r="Z136" s="542">
        <v>0</v>
      </c>
      <c r="AA136" s="542">
        <v>0</v>
      </c>
      <c r="AB136" s="542">
        <v>0</v>
      </c>
      <c r="AC136" s="542">
        <v>0</v>
      </c>
      <c r="AD136" s="542">
        <v>711587</v>
      </c>
      <c r="AE136" s="542">
        <v>569270</v>
      </c>
      <c r="AF136" s="542">
        <v>128086</v>
      </c>
      <c r="AG136" s="542">
        <v>14232</v>
      </c>
      <c r="AH136" s="542">
        <v>1423175</v>
      </c>
      <c r="AI136" s="542">
        <v>-525183</v>
      </c>
      <c r="AJ136" s="542">
        <v>-420146</v>
      </c>
      <c r="AK136" s="542">
        <v>-94533</v>
      </c>
      <c r="AL136" s="542">
        <v>-10504</v>
      </c>
      <c r="AM136" s="542">
        <v>-1050366</v>
      </c>
      <c r="AN136" s="542">
        <v>-315167</v>
      </c>
      <c r="AO136" s="542">
        <v>-252135</v>
      </c>
      <c r="AP136" s="542">
        <v>-56731</v>
      </c>
      <c r="AQ136" s="542">
        <v>-6304</v>
      </c>
      <c r="AR136" s="542">
        <v>-630337</v>
      </c>
      <c r="AS136" s="542">
        <v>84517</v>
      </c>
      <c r="AT136" s="542">
        <v>67613</v>
      </c>
      <c r="AU136" s="542">
        <v>15213</v>
      </c>
      <c r="AV136" s="542">
        <v>1690</v>
      </c>
      <c r="AW136" s="542">
        <v>169033</v>
      </c>
      <c r="AX136" s="542">
        <v>-221203</v>
      </c>
      <c r="AY136" s="542">
        <v>-176962</v>
      </c>
      <c r="AZ136" s="542">
        <v>-39816</v>
      </c>
      <c r="BA136" s="542">
        <v>-4424</v>
      </c>
      <c r="BB136" s="542">
        <v>-442405</v>
      </c>
      <c r="BC136" s="542">
        <v>-451853</v>
      </c>
      <c r="BD136" s="542">
        <v>-361484</v>
      </c>
      <c r="BE136" s="542">
        <v>-81334</v>
      </c>
      <c r="BF136" s="542">
        <v>-9038</v>
      </c>
      <c r="BG136" s="542">
        <v>-903709</v>
      </c>
      <c r="BH136" s="542">
        <v>-145418</v>
      </c>
      <c r="BI136" s="542">
        <v>-116334</v>
      </c>
      <c r="BJ136" s="542">
        <v>-26175</v>
      </c>
      <c r="BK136" s="542">
        <v>-2909</v>
      </c>
      <c r="BL136" s="542">
        <v>-290836</v>
      </c>
      <c r="BM136" s="542">
        <v>108271</v>
      </c>
      <c r="BN136" s="542">
        <v>86617</v>
      </c>
      <c r="BO136" s="542">
        <v>19489</v>
      </c>
      <c r="BP136" s="542">
        <v>2165</v>
      </c>
      <c r="BQ136" s="542">
        <v>216542</v>
      </c>
      <c r="BR136" s="542">
        <v>-354948</v>
      </c>
      <c r="BS136" s="542">
        <v>-283959</v>
      </c>
      <c r="BT136" s="542">
        <v>-63891</v>
      </c>
      <c r="BU136" s="542">
        <v>-7099</v>
      </c>
      <c r="BV136" s="542">
        <v>-709897</v>
      </c>
      <c r="BW136" s="542">
        <v>-392095</v>
      </c>
      <c r="BX136" s="542">
        <v>-313676</v>
      </c>
      <c r="BY136" s="542">
        <v>-70577</v>
      </c>
      <c r="BZ136" s="542">
        <v>-7843</v>
      </c>
      <c r="CA136" s="542">
        <v>-784191</v>
      </c>
    </row>
    <row r="137" spans="1:79" ht="12.75" x14ac:dyDescent="0.2">
      <c r="A137" s="93">
        <v>131</v>
      </c>
      <c r="B137" s="145" t="s">
        <v>140</v>
      </c>
      <c r="C137" s="141" t="s">
        <v>871</v>
      </c>
      <c r="D137" s="142" t="s">
        <v>872</v>
      </c>
      <c r="E137" s="149" t="s">
        <v>139</v>
      </c>
      <c r="F137" s="543">
        <v>0.5</v>
      </c>
      <c r="G137" s="543">
        <v>0.3</v>
      </c>
      <c r="H137" s="543">
        <v>0.2</v>
      </c>
      <c r="I137" s="543">
        <v>0</v>
      </c>
      <c r="J137" s="543">
        <v>1</v>
      </c>
      <c r="K137" s="542">
        <v>173038912</v>
      </c>
      <c r="L137" s="542">
        <v>103823347</v>
      </c>
      <c r="M137" s="542">
        <v>69215565</v>
      </c>
      <c r="N137" s="542">
        <v>0</v>
      </c>
      <c r="O137" s="542">
        <v>346077824</v>
      </c>
      <c r="P137" s="542">
        <v>0</v>
      </c>
      <c r="Q137" s="542">
        <v>0</v>
      </c>
      <c r="R137" s="542">
        <v>173038912</v>
      </c>
      <c r="S137" s="542">
        <v>595739</v>
      </c>
      <c r="T137" s="542">
        <v>595739</v>
      </c>
      <c r="U137" s="542">
        <v>0</v>
      </c>
      <c r="V137" s="542">
        <v>0</v>
      </c>
      <c r="W137" s="542">
        <v>0</v>
      </c>
      <c r="X137" s="542">
        <v>0</v>
      </c>
      <c r="Y137" s="542">
        <v>0</v>
      </c>
      <c r="Z137" s="542">
        <v>0</v>
      </c>
      <c r="AA137" s="542">
        <v>0</v>
      </c>
      <c r="AB137" s="542">
        <v>0</v>
      </c>
      <c r="AC137" s="542">
        <v>0</v>
      </c>
      <c r="AD137" s="542">
        <v>6099350</v>
      </c>
      <c r="AE137" s="542">
        <v>3659610</v>
      </c>
      <c r="AF137" s="542">
        <v>2439740</v>
      </c>
      <c r="AG137" s="542">
        <v>0</v>
      </c>
      <c r="AH137" s="542">
        <v>12198700</v>
      </c>
      <c r="AI137" s="542">
        <v>-4834682</v>
      </c>
      <c r="AJ137" s="542">
        <v>-2900809</v>
      </c>
      <c r="AK137" s="542">
        <v>-1933873</v>
      </c>
      <c r="AL137" s="542">
        <v>0</v>
      </c>
      <c r="AM137" s="542">
        <v>-9669364</v>
      </c>
      <c r="AN137" s="542">
        <v>-1581594</v>
      </c>
      <c r="AO137" s="542">
        <v>-948956</v>
      </c>
      <c r="AP137" s="542">
        <v>-632637</v>
      </c>
      <c r="AQ137" s="542">
        <v>0</v>
      </c>
      <c r="AR137" s="542">
        <v>-3163187</v>
      </c>
      <c r="AS137" s="542">
        <v>348000</v>
      </c>
      <c r="AT137" s="542">
        <v>208800</v>
      </c>
      <c r="AU137" s="542">
        <v>139200</v>
      </c>
      <c r="AV137" s="542">
        <v>0</v>
      </c>
      <c r="AW137" s="542">
        <v>696000</v>
      </c>
      <c r="AX137" s="542">
        <v>-491606</v>
      </c>
      <c r="AY137" s="542">
        <v>-294964</v>
      </c>
      <c r="AZ137" s="542">
        <v>-196643</v>
      </c>
      <c r="BA137" s="542">
        <v>0</v>
      </c>
      <c r="BB137" s="542">
        <v>-983213</v>
      </c>
      <c r="BC137" s="542">
        <v>-1725200</v>
      </c>
      <c r="BD137" s="542">
        <v>-1035120</v>
      </c>
      <c r="BE137" s="542">
        <v>-690080</v>
      </c>
      <c r="BF137" s="542">
        <v>0</v>
      </c>
      <c r="BG137" s="542">
        <v>-3450400</v>
      </c>
      <c r="BH137" s="542">
        <v>-2147526</v>
      </c>
      <c r="BI137" s="542">
        <v>-1288516</v>
      </c>
      <c r="BJ137" s="542">
        <v>-859010</v>
      </c>
      <c r="BK137" s="542">
        <v>0</v>
      </c>
      <c r="BL137" s="542">
        <v>-4295052</v>
      </c>
      <c r="BM137" s="542">
        <v>418831</v>
      </c>
      <c r="BN137" s="542">
        <v>251299</v>
      </c>
      <c r="BO137" s="542">
        <v>167532</v>
      </c>
      <c r="BP137" s="542">
        <v>0</v>
      </c>
      <c r="BQ137" s="542">
        <v>837662</v>
      </c>
      <c r="BR137" s="542">
        <v>1023261</v>
      </c>
      <c r="BS137" s="542">
        <v>613956</v>
      </c>
      <c r="BT137" s="542">
        <v>409304</v>
      </c>
      <c r="BU137" s="542">
        <v>0</v>
      </c>
      <c r="BV137" s="542">
        <v>2046521</v>
      </c>
      <c r="BW137" s="542">
        <v>-705434</v>
      </c>
      <c r="BX137" s="542">
        <v>-423261</v>
      </c>
      <c r="BY137" s="542">
        <v>-282174</v>
      </c>
      <c r="BZ137" s="542">
        <v>0</v>
      </c>
      <c r="CA137" s="542">
        <v>-1410869</v>
      </c>
    </row>
    <row r="138" spans="1:79" ht="12.75" x14ac:dyDescent="0.2">
      <c r="A138" s="93">
        <v>132</v>
      </c>
      <c r="B138" s="145" t="s">
        <v>142</v>
      </c>
      <c r="C138" s="141" t="s">
        <v>866</v>
      </c>
      <c r="D138" s="142" t="s">
        <v>869</v>
      </c>
      <c r="E138" s="149" t="s">
        <v>701</v>
      </c>
      <c r="F138" s="543">
        <v>0.5</v>
      </c>
      <c r="G138" s="543">
        <v>0.4</v>
      </c>
      <c r="H138" s="543">
        <v>0.09</v>
      </c>
      <c r="I138" s="543">
        <v>0.01</v>
      </c>
      <c r="J138" s="543">
        <v>1</v>
      </c>
      <c r="K138" s="542">
        <v>13275664</v>
      </c>
      <c r="L138" s="542">
        <v>10620530</v>
      </c>
      <c r="M138" s="542">
        <v>2389619</v>
      </c>
      <c r="N138" s="542">
        <v>265513</v>
      </c>
      <c r="O138" s="542">
        <v>26551326</v>
      </c>
      <c r="P138" s="542">
        <v>0</v>
      </c>
      <c r="Q138" s="542">
        <v>0</v>
      </c>
      <c r="R138" s="542">
        <v>13275664</v>
      </c>
      <c r="S138" s="542">
        <v>124663</v>
      </c>
      <c r="T138" s="542">
        <v>124663</v>
      </c>
      <c r="U138" s="542">
        <v>59808</v>
      </c>
      <c r="V138" s="542">
        <v>59808</v>
      </c>
      <c r="W138" s="542">
        <v>0</v>
      </c>
      <c r="X138" s="542">
        <v>0</v>
      </c>
      <c r="Y138" s="542">
        <v>0</v>
      </c>
      <c r="Z138" s="542">
        <v>0</v>
      </c>
      <c r="AA138" s="542">
        <v>0</v>
      </c>
      <c r="AB138" s="542">
        <v>0</v>
      </c>
      <c r="AC138" s="542">
        <v>0</v>
      </c>
      <c r="AD138" s="542">
        <v>274521</v>
      </c>
      <c r="AE138" s="542">
        <v>219617</v>
      </c>
      <c r="AF138" s="542">
        <v>49414</v>
      </c>
      <c r="AG138" s="542">
        <v>5490</v>
      </c>
      <c r="AH138" s="542">
        <v>549042</v>
      </c>
      <c r="AI138" s="542">
        <v>-184126</v>
      </c>
      <c r="AJ138" s="542">
        <v>-147302</v>
      </c>
      <c r="AK138" s="542">
        <v>-33143</v>
      </c>
      <c r="AL138" s="542">
        <v>-3683</v>
      </c>
      <c r="AM138" s="542">
        <v>-368254</v>
      </c>
      <c r="AN138" s="542">
        <v>-16429</v>
      </c>
      <c r="AO138" s="542">
        <v>-13145</v>
      </c>
      <c r="AP138" s="542">
        <v>-2958</v>
      </c>
      <c r="AQ138" s="542">
        <v>-329</v>
      </c>
      <c r="AR138" s="542">
        <v>-32861</v>
      </c>
      <c r="AS138" s="542">
        <v>157146</v>
      </c>
      <c r="AT138" s="542">
        <v>125717</v>
      </c>
      <c r="AU138" s="542">
        <v>28286</v>
      </c>
      <c r="AV138" s="542">
        <v>3143</v>
      </c>
      <c r="AW138" s="542">
        <v>314292</v>
      </c>
      <c r="AX138" s="542">
        <v>-170553</v>
      </c>
      <c r="AY138" s="542">
        <v>-136442</v>
      </c>
      <c r="AZ138" s="542">
        <v>-30699</v>
      </c>
      <c r="BA138" s="542">
        <v>-3411</v>
      </c>
      <c r="BB138" s="542">
        <v>-341105</v>
      </c>
      <c r="BC138" s="542">
        <v>-29836</v>
      </c>
      <c r="BD138" s="542">
        <v>-23870</v>
      </c>
      <c r="BE138" s="542">
        <v>-5371</v>
      </c>
      <c r="BF138" s="542">
        <v>-597</v>
      </c>
      <c r="BG138" s="542">
        <v>-59674</v>
      </c>
      <c r="BH138" s="542">
        <v>-269046</v>
      </c>
      <c r="BI138" s="542">
        <v>-215238</v>
      </c>
      <c r="BJ138" s="542">
        <v>-48429</v>
      </c>
      <c r="BK138" s="542">
        <v>-5381</v>
      </c>
      <c r="BL138" s="542">
        <v>-538094</v>
      </c>
      <c r="BM138" s="542">
        <v>269047</v>
      </c>
      <c r="BN138" s="542">
        <v>215238</v>
      </c>
      <c r="BO138" s="542">
        <v>48428</v>
      </c>
      <c r="BP138" s="542">
        <v>5381</v>
      </c>
      <c r="BQ138" s="542">
        <v>538094</v>
      </c>
      <c r="BR138" s="542">
        <v>-419715</v>
      </c>
      <c r="BS138" s="542">
        <v>-335772</v>
      </c>
      <c r="BT138" s="542">
        <v>-75549</v>
      </c>
      <c r="BU138" s="542">
        <v>-8394</v>
      </c>
      <c r="BV138" s="542">
        <v>-839430</v>
      </c>
      <c r="BW138" s="542">
        <v>-419714</v>
      </c>
      <c r="BX138" s="542">
        <v>-335772</v>
      </c>
      <c r="BY138" s="542">
        <v>-75550</v>
      </c>
      <c r="BZ138" s="542">
        <v>-8394</v>
      </c>
      <c r="CA138" s="542">
        <v>-839430</v>
      </c>
    </row>
    <row r="139" spans="1:79" ht="12.75" x14ac:dyDescent="0.2">
      <c r="A139" s="93">
        <v>133</v>
      </c>
      <c r="B139" s="145" t="s">
        <v>144</v>
      </c>
      <c r="C139" s="141" t="s">
        <v>866</v>
      </c>
      <c r="D139" s="142" t="s">
        <v>867</v>
      </c>
      <c r="E139" s="149" t="s">
        <v>143</v>
      </c>
      <c r="F139" s="543">
        <v>0.5</v>
      </c>
      <c r="G139" s="543">
        <v>0.4</v>
      </c>
      <c r="H139" s="543">
        <v>0.1</v>
      </c>
      <c r="I139" s="543">
        <v>0</v>
      </c>
      <c r="J139" s="543">
        <v>1</v>
      </c>
      <c r="K139" s="542">
        <v>18487182</v>
      </c>
      <c r="L139" s="542">
        <v>14789746</v>
      </c>
      <c r="M139" s="542">
        <v>3697437</v>
      </c>
      <c r="N139" s="542">
        <v>0</v>
      </c>
      <c r="O139" s="542">
        <v>36974365</v>
      </c>
      <c r="P139" s="542">
        <v>0</v>
      </c>
      <c r="Q139" s="542">
        <v>0</v>
      </c>
      <c r="R139" s="542">
        <v>18487182</v>
      </c>
      <c r="S139" s="542">
        <v>178215</v>
      </c>
      <c r="T139" s="542">
        <v>178215</v>
      </c>
      <c r="U139" s="542">
        <v>0</v>
      </c>
      <c r="V139" s="542">
        <v>0</v>
      </c>
      <c r="W139" s="542">
        <v>0</v>
      </c>
      <c r="X139" s="542">
        <v>0</v>
      </c>
      <c r="Y139" s="542">
        <v>0</v>
      </c>
      <c r="Z139" s="542">
        <v>0</v>
      </c>
      <c r="AA139" s="542">
        <v>0</v>
      </c>
      <c r="AB139" s="542">
        <v>0</v>
      </c>
      <c r="AC139" s="542">
        <v>0</v>
      </c>
      <c r="AD139" s="542">
        <v>1257199</v>
      </c>
      <c r="AE139" s="542">
        <v>1005760</v>
      </c>
      <c r="AF139" s="542">
        <v>251440</v>
      </c>
      <c r="AG139" s="542">
        <v>0</v>
      </c>
      <c r="AH139" s="542">
        <v>2514399</v>
      </c>
      <c r="AI139" s="542">
        <v>-756888</v>
      </c>
      <c r="AJ139" s="542">
        <v>-605510</v>
      </c>
      <c r="AK139" s="542">
        <v>-151378</v>
      </c>
      <c r="AL139" s="542">
        <v>0</v>
      </c>
      <c r="AM139" s="542">
        <v>-1513776</v>
      </c>
      <c r="AN139" s="542">
        <v>-486375</v>
      </c>
      <c r="AO139" s="542">
        <v>-389100</v>
      </c>
      <c r="AP139" s="542">
        <v>-97275</v>
      </c>
      <c r="AQ139" s="542">
        <v>0</v>
      </c>
      <c r="AR139" s="542">
        <v>-972750</v>
      </c>
      <c r="AS139" s="542">
        <v>261884</v>
      </c>
      <c r="AT139" s="542">
        <v>209508</v>
      </c>
      <c r="AU139" s="542">
        <v>52377</v>
      </c>
      <c r="AV139" s="542">
        <v>0</v>
      </c>
      <c r="AW139" s="542">
        <v>523769</v>
      </c>
      <c r="AX139" s="542">
        <v>-322196</v>
      </c>
      <c r="AY139" s="542">
        <v>-257757</v>
      </c>
      <c r="AZ139" s="542">
        <v>-64439</v>
      </c>
      <c r="BA139" s="542">
        <v>0</v>
      </c>
      <c r="BB139" s="542">
        <v>-644392</v>
      </c>
      <c r="BC139" s="542">
        <v>-546687</v>
      </c>
      <c r="BD139" s="542">
        <v>-437349</v>
      </c>
      <c r="BE139" s="542">
        <v>-109337</v>
      </c>
      <c r="BF139" s="542">
        <v>0</v>
      </c>
      <c r="BG139" s="542">
        <v>-1093373</v>
      </c>
      <c r="BH139" s="542">
        <v>-1337108</v>
      </c>
      <c r="BI139" s="542">
        <v>-1069686</v>
      </c>
      <c r="BJ139" s="542">
        <v>-267421</v>
      </c>
      <c r="BK139" s="542">
        <v>0</v>
      </c>
      <c r="BL139" s="542">
        <v>-2674215</v>
      </c>
      <c r="BM139" s="542">
        <v>467969</v>
      </c>
      <c r="BN139" s="542">
        <v>374375</v>
      </c>
      <c r="BO139" s="542">
        <v>93594</v>
      </c>
      <c r="BP139" s="542">
        <v>0</v>
      </c>
      <c r="BQ139" s="542">
        <v>935938</v>
      </c>
      <c r="BR139" s="542">
        <v>-1246568</v>
      </c>
      <c r="BS139" s="542">
        <v>-997254</v>
      </c>
      <c r="BT139" s="542">
        <v>-249314</v>
      </c>
      <c r="BU139" s="542">
        <v>0</v>
      </c>
      <c r="BV139" s="542">
        <v>-2493136</v>
      </c>
      <c r="BW139" s="542">
        <v>-2115707</v>
      </c>
      <c r="BX139" s="542">
        <v>-1692565</v>
      </c>
      <c r="BY139" s="542">
        <v>-423141</v>
      </c>
      <c r="BZ139" s="542">
        <v>0</v>
      </c>
      <c r="CA139" s="542">
        <v>-4231413</v>
      </c>
    </row>
    <row r="140" spans="1:79" ht="12.75" x14ac:dyDescent="0.2">
      <c r="A140" s="93">
        <v>134</v>
      </c>
      <c r="B140" s="145" t="s">
        <v>146</v>
      </c>
      <c r="C140" s="141" t="s">
        <v>871</v>
      </c>
      <c r="D140" s="142" t="s">
        <v>872</v>
      </c>
      <c r="E140" s="149" t="s">
        <v>145</v>
      </c>
      <c r="F140" s="543">
        <v>0.5</v>
      </c>
      <c r="G140" s="543">
        <v>0.3</v>
      </c>
      <c r="H140" s="543">
        <v>0.2</v>
      </c>
      <c r="I140" s="543">
        <v>0</v>
      </c>
      <c r="J140" s="543">
        <v>1</v>
      </c>
      <c r="K140" s="542">
        <v>71021997</v>
      </c>
      <c r="L140" s="542">
        <v>42613199</v>
      </c>
      <c r="M140" s="542">
        <v>28408799</v>
      </c>
      <c r="N140" s="542">
        <v>0</v>
      </c>
      <c r="O140" s="542">
        <v>142043995</v>
      </c>
      <c r="P140" s="542">
        <v>0</v>
      </c>
      <c r="Q140" s="542">
        <v>0</v>
      </c>
      <c r="R140" s="542">
        <v>71021997</v>
      </c>
      <c r="S140" s="542">
        <v>398763</v>
      </c>
      <c r="T140" s="542">
        <v>398763</v>
      </c>
      <c r="U140" s="542">
        <v>0</v>
      </c>
      <c r="V140" s="542">
        <v>0</v>
      </c>
      <c r="W140" s="542">
        <v>0</v>
      </c>
      <c r="X140" s="542">
        <v>0</v>
      </c>
      <c r="Y140" s="542">
        <v>0</v>
      </c>
      <c r="Z140" s="542">
        <v>0</v>
      </c>
      <c r="AA140" s="542">
        <v>0</v>
      </c>
      <c r="AB140" s="542">
        <v>0</v>
      </c>
      <c r="AC140" s="542">
        <v>0</v>
      </c>
      <c r="AD140" s="542">
        <v>6153027</v>
      </c>
      <c r="AE140" s="542">
        <v>3691817</v>
      </c>
      <c r="AF140" s="542">
        <v>2461211</v>
      </c>
      <c r="AG140" s="542">
        <v>0</v>
      </c>
      <c r="AH140" s="542">
        <v>12306055</v>
      </c>
      <c r="AI140" s="542">
        <v>-5969337</v>
      </c>
      <c r="AJ140" s="542">
        <v>-3581603</v>
      </c>
      <c r="AK140" s="542">
        <v>-2387735</v>
      </c>
      <c r="AL140" s="542">
        <v>0</v>
      </c>
      <c r="AM140" s="542">
        <v>-11938675</v>
      </c>
      <c r="AN140" s="542">
        <v>-1150000</v>
      </c>
      <c r="AO140" s="542">
        <v>-690000</v>
      </c>
      <c r="AP140" s="542">
        <v>-460000</v>
      </c>
      <c r="AQ140" s="542">
        <v>0</v>
      </c>
      <c r="AR140" s="542">
        <v>-2300000</v>
      </c>
      <c r="AS140" s="542">
        <v>7090</v>
      </c>
      <c r="AT140" s="542">
        <v>4254</v>
      </c>
      <c r="AU140" s="542">
        <v>2836</v>
      </c>
      <c r="AV140" s="542">
        <v>0</v>
      </c>
      <c r="AW140" s="542">
        <v>14180</v>
      </c>
      <c r="AX140" s="542">
        <v>-1750000</v>
      </c>
      <c r="AY140" s="542">
        <v>-1050000</v>
      </c>
      <c r="AZ140" s="542">
        <v>-700000</v>
      </c>
      <c r="BA140" s="542">
        <v>0</v>
      </c>
      <c r="BB140" s="542">
        <v>-3500000</v>
      </c>
      <c r="BC140" s="542">
        <v>-2892910</v>
      </c>
      <c r="BD140" s="542">
        <v>-1735746</v>
      </c>
      <c r="BE140" s="542">
        <v>-1157164</v>
      </c>
      <c r="BF140" s="542">
        <v>0</v>
      </c>
      <c r="BG140" s="542">
        <v>-5785820</v>
      </c>
      <c r="BH140" s="542">
        <v>-6500000</v>
      </c>
      <c r="BI140" s="542">
        <v>-3900000</v>
      </c>
      <c r="BJ140" s="542">
        <v>-2600000</v>
      </c>
      <c r="BK140" s="542">
        <v>0</v>
      </c>
      <c r="BL140" s="542">
        <v>-13000000</v>
      </c>
      <c r="BM140" s="542">
        <v>3613200</v>
      </c>
      <c r="BN140" s="542">
        <v>2167920</v>
      </c>
      <c r="BO140" s="542">
        <v>1445280</v>
      </c>
      <c r="BP140" s="542">
        <v>0</v>
      </c>
      <c r="BQ140" s="542">
        <v>7226400</v>
      </c>
      <c r="BR140" s="542">
        <v>-7113200</v>
      </c>
      <c r="BS140" s="542">
        <v>-4267920</v>
      </c>
      <c r="BT140" s="542">
        <v>-2845280</v>
      </c>
      <c r="BU140" s="542">
        <v>0</v>
      </c>
      <c r="BV140" s="542">
        <v>-14226400</v>
      </c>
      <c r="BW140" s="542">
        <v>-10000000</v>
      </c>
      <c r="BX140" s="542">
        <v>-6000000</v>
      </c>
      <c r="BY140" s="542">
        <v>-4000000</v>
      </c>
      <c r="BZ140" s="542">
        <v>0</v>
      </c>
      <c r="CA140" s="542">
        <v>-20000000</v>
      </c>
    </row>
    <row r="141" spans="1:79" ht="12.75" x14ac:dyDescent="0.2">
      <c r="A141" s="93">
        <v>135</v>
      </c>
      <c r="B141" s="145" t="s">
        <v>148</v>
      </c>
      <c r="C141" s="141" t="s">
        <v>866</v>
      </c>
      <c r="D141" s="142" t="s">
        <v>870</v>
      </c>
      <c r="E141" s="149" t="s">
        <v>881</v>
      </c>
      <c r="F141" s="543">
        <v>0.5</v>
      </c>
      <c r="G141" s="543">
        <v>0.4</v>
      </c>
      <c r="H141" s="543">
        <v>0.09</v>
      </c>
      <c r="I141" s="543">
        <v>0.01</v>
      </c>
      <c r="J141" s="543">
        <v>1</v>
      </c>
      <c r="K141" s="542">
        <v>26228630</v>
      </c>
      <c r="L141" s="542">
        <v>20982905</v>
      </c>
      <c r="M141" s="542">
        <v>4721154</v>
      </c>
      <c r="N141" s="542">
        <v>524573</v>
      </c>
      <c r="O141" s="542">
        <v>52457262</v>
      </c>
      <c r="P141" s="542">
        <v>271659.56599999999</v>
      </c>
      <c r="Q141" s="542">
        <v>271659.56599999999</v>
      </c>
      <c r="R141" s="542">
        <v>25956970.399999999</v>
      </c>
      <c r="S141" s="542">
        <v>221615</v>
      </c>
      <c r="T141" s="542">
        <v>221615</v>
      </c>
      <c r="U141" s="542">
        <v>0</v>
      </c>
      <c r="V141" s="542">
        <v>0</v>
      </c>
      <c r="W141" s="542">
        <v>223074</v>
      </c>
      <c r="X141" s="542">
        <v>0</v>
      </c>
      <c r="Y141" s="542">
        <v>223074</v>
      </c>
      <c r="Z141" s="542">
        <v>271659.56599999999</v>
      </c>
      <c r="AA141" s="542">
        <v>0</v>
      </c>
      <c r="AB141" s="542">
        <v>0</v>
      </c>
      <c r="AC141" s="542">
        <v>271659.56599999999</v>
      </c>
      <c r="AD141" s="542">
        <v>306409</v>
      </c>
      <c r="AE141" s="542">
        <v>245126</v>
      </c>
      <c r="AF141" s="542">
        <v>55153</v>
      </c>
      <c r="AG141" s="542">
        <v>6128</v>
      </c>
      <c r="AH141" s="542">
        <v>612816</v>
      </c>
      <c r="AI141" s="542">
        <v>-32089</v>
      </c>
      <c r="AJ141" s="542">
        <v>-25672</v>
      </c>
      <c r="AK141" s="542">
        <v>-5776</v>
      </c>
      <c r="AL141" s="542">
        <v>-642</v>
      </c>
      <c r="AM141" s="542">
        <v>-64179</v>
      </c>
      <c r="AN141" s="542">
        <v>34500</v>
      </c>
      <c r="AO141" s="542">
        <v>27600</v>
      </c>
      <c r="AP141" s="542">
        <v>6210</v>
      </c>
      <c r="AQ141" s="542">
        <v>690</v>
      </c>
      <c r="AR141" s="542">
        <v>69000</v>
      </c>
      <c r="AS141" s="542">
        <v>161500</v>
      </c>
      <c r="AT141" s="542">
        <v>129200</v>
      </c>
      <c r="AU141" s="542">
        <v>29070</v>
      </c>
      <c r="AV141" s="542">
        <v>3230</v>
      </c>
      <c r="AW141" s="542">
        <v>323000</v>
      </c>
      <c r="AX141" s="542">
        <v>-77500</v>
      </c>
      <c r="AY141" s="542">
        <v>-62000</v>
      </c>
      <c r="AZ141" s="542">
        <v>-13950</v>
      </c>
      <c r="BA141" s="542">
        <v>-1550</v>
      </c>
      <c r="BB141" s="542">
        <v>-155000</v>
      </c>
      <c r="BC141" s="542">
        <v>118500</v>
      </c>
      <c r="BD141" s="542">
        <v>94800</v>
      </c>
      <c r="BE141" s="542">
        <v>21330</v>
      </c>
      <c r="BF141" s="542">
        <v>2370</v>
      </c>
      <c r="BG141" s="542">
        <v>237000</v>
      </c>
      <c r="BH141" s="542">
        <v>-2567500</v>
      </c>
      <c r="BI141" s="542">
        <v>-2054000</v>
      </c>
      <c r="BJ141" s="542">
        <v>-462150</v>
      </c>
      <c r="BK141" s="542">
        <v>-51350</v>
      </c>
      <c r="BL141" s="542">
        <v>-5135000</v>
      </c>
      <c r="BM141" s="542">
        <v>1763853</v>
      </c>
      <c r="BN141" s="542">
        <v>1411082</v>
      </c>
      <c r="BO141" s="542">
        <v>317493</v>
      </c>
      <c r="BP141" s="542">
        <v>35277</v>
      </c>
      <c r="BQ141" s="542">
        <v>3527705</v>
      </c>
      <c r="BR141" s="542">
        <v>-3345683</v>
      </c>
      <c r="BS141" s="542">
        <v>-2676547</v>
      </c>
      <c r="BT141" s="542">
        <v>-602223</v>
      </c>
      <c r="BU141" s="542">
        <v>-66914</v>
      </c>
      <c r="BV141" s="542">
        <v>-6691367</v>
      </c>
      <c r="BW141" s="542">
        <v>-4149330</v>
      </c>
      <c r="BX141" s="542">
        <v>-3319465</v>
      </c>
      <c r="BY141" s="542">
        <v>-746880</v>
      </c>
      <c r="BZ141" s="542">
        <v>-82987</v>
      </c>
      <c r="CA141" s="542">
        <v>-8298662</v>
      </c>
    </row>
    <row r="142" spans="1:79" ht="12.75" x14ac:dyDescent="0.2">
      <c r="A142" s="93">
        <v>136</v>
      </c>
      <c r="B142" s="145" t="s">
        <v>150</v>
      </c>
      <c r="C142" s="141" t="s">
        <v>866</v>
      </c>
      <c r="D142" s="142" t="s">
        <v>868</v>
      </c>
      <c r="E142" s="149" t="s">
        <v>149</v>
      </c>
      <c r="F142" s="543">
        <v>0.5</v>
      </c>
      <c r="G142" s="543">
        <v>0.4</v>
      </c>
      <c r="H142" s="543">
        <v>0.09</v>
      </c>
      <c r="I142" s="543">
        <v>0.01</v>
      </c>
      <c r="J142" s="543">
        <v>1</v>
      </c>
      <c r="K142" s="542">
        <v>10325088</v>
      </c>
      <c r="L142" s="542">
        <v>8260071</v>
      </c>
      <c r="M142" s="542">
        <v>1858516</v>
      </c>
      <c r="N142" s="542">
        <v>206502</v>
      </c>
      <c r="O142" s="542">
        <v>20650177</v>
      </c>
      <c r="P142" s="542">
        <v>0</v>
      </c>
      <c r="Q142" s="542">
        <v>0</v>
      </c>
      <c r="R142" s="542">
        <v>10325088</v>
      </c>
      <c r="S142" s="542">
        <v>132514</v>
      </c>
      <c r="T142" s="542">
        <v>132514</v>
      </c>
      <c r="U142" s="542">
        <v>0</v>
      </c>
      <c r="V142" s="542">
        <v>0</v>
      </c>
      <c r="W142" s="542">
        <v>0</v>
      </c>
      <c r="X142" s="542">
        <v>0</v>
      </c>
      <c r="Y142" s="542">
        <v>0</v>
      </c>
      <c r="Z142" s="542">
        <v>0</v>
      </c>
      <c r="AA142" s="542">
        <v>0</v>
      </c>
      <c r="AB142" s="542">
        <v>0</v>
      </c>
      <c r="AC142" s="542">
        <v>0</v>
      </c>
      <c r="AD142" s="542">
        <v>2026556</v>
      </c>
      <c r="AE142" s="542">
        <v>1621245</v>
      </c>
      <c r="AF142" s="542">
        <v>364780</v>
      </c>
      <c r="AG142" s="542">
        <v>40531</v>
      </c>
      <c r="AH142" s="542">
        <v>4053112</v>
      </c>
      <c r="AI142" s="542">
        <v>-357189</v>
      </c>
      <c r="AJ142" s="542">
        <v>-285751</v>
      </c>
      <c r="AK142" s="542">
        <v>-64294</v>
      </c>
      <c r="AL142" s="542">
        <v>-7144</v>
      </c>
      <c r="AM142" s="542">
        <v>-714378</v>
      </c>
      <c r="AN142" s="542">
        <v>-1165946</v>
      </c>
      <c r="AO142" s="542">
        <v>-932757</v>
      </c>
      <c r="AP142" s="542">
        <v>-209870</v>
      </c>
      <c r="AQ142" s="542">
        <v>-23319</v>
      </c>
      <c r="AR142" s="542">
        <v>-2331892</v>
      </c>
      <c r="AS142" s="542">
        <v>22226</v>
      </c>
      <c r="AT142" s="542">
        <v>17781</v>
      </c>
      <c r="AU142" s="542">
        <v>4001</v>
      </c>
      <c r="AV142" s="542">
        <v>445</v>
      </c>
      <c r="AW142" s="542">
        <v>44453</v>
      </c>
      <c r="AX142" s="542">
        <v>15517</v>
      </c>
      <c r="AY142" s="542">
        <v>12414</v>
      </c>
      <c r="AZ142" s="542">
        <v>2793</v>
      </c>
      <c r="BA142" s="542">
        <v>310</v>
      </c>
      <c r="BB142" s="542">
        <v>31034</v>
      </c>
      <c r="BC142" s="542">
        <v>-1128203</v>
      </c>
      <c r="BD142" s="542">
        <v>-902562</v>
      </c>
      <c r="BE142" s="542">
        <v>-203076</v>
      </c>
      <c r="BF142" s="542">
        <v>-22564</v>
      </c>
      <c r="BG142" s="542">
        <v>-2256405</v>
      </c>
      <c r="BH142" s="542">
        <v>-493896.26</v>
      </c>
      <c r="BI142" s="542">
        <v>-395117</v>
      </c>
      <c r="BJ142" s="542">
        <v>-88902</v>
      </c>
      <c r="BK142" s="542">
        <v>-9878</v>
      </c>
      <c r="BL142" s="542">
        <v>-987793.26</v>
      </c>
      <c r="BM142" s="542">
        <v>108160</v>
      </c>
      <c r="BN142" s="542">
        <v>86528</v>
      </c>
      <c r="BO142" s="542">
        <v>19469</v>
      </c>
      <c r="BP142" s="542">
        <v>2163</v>
      </c>
      <c r="BQ142" s="542">
        <v>216320</v>
      </c>
      <c r="BR142" s="542">
        <v>-628234</v>
      </c>
      <c r="BS142" s="542">
        <v>-502587</v>
      </c>
      <c r="BT142" s="542">
        <v>-113082</v>
      </c>
      <c r="BU142" s="542">
        <v>-12565</v>
      </c>
      <c r="BV142" s="542">
        <v>-1256468</v>
      </c>
      <c r="BW142" s="542">
        <v>-1013970.2</v>
      </c>
      <c r="BX142" s="542">
        <v>-811176</v>
      </c>
      <c r="BY142" s="542">
        <v>-182515</v>
      </c>
      <c r="BZ142" s="542">
        <v>-20280</v>
      </c>
      <c r="CA142" s="542">
        <v>-2027941.2</v>
      </c>
    </row>
    <row r="143" spans="1:79" ht="12.75" x14ac:dyDescent="0.2">
      <c r="A143" s="93">
        <v>137</v>
      </c>
      <c r="B143" s="145" t="s">
        <v>152</v>
      </c>
      <c r="C143" s="141" t="s">
        <v>866</v>
      </c>
      <c r="D143" s="142" t="s">
        <v>870</v>
      </c>
      <c r="E143" s="149" t="s">
        <v>151</v>
      </c>
      <c r="F143" s="543">
        <v>0.5</v>
      </c>
      <c r="G143" s="543">
        <v>0.4</v>
      </c>
      <c r="H143" s="543">
        <v>0.1</v>
      </c>
      <c r="I143" s="543">
        <v>0</v>
      </c>
      <c r="J143" s="543">
        <v>1</v>
      </c>
      <c r="K143" s="542">
        <v>27577096</v>
      </c>
      <c r="L143" s="542">
        <v>22061677</v>
      </c>
      <c r="M143" s="542">
        <v>5515419</v>
      </c>
      <c r="N143" s="542">
        <v>0</v>
      </c>
      <c r="O143" s="542">
        <v>55154192</v>
      </c>
      <c r="P143" s="542">
        <v>0</v>
      </c>
      <c r="Q143" s="542">
        <v>0</v>
      </c>
      <c r="R143" s="542">
        <v>27577096</v>
      </c>
      <c r="S143" s="542">
        <v>193509</v>
      </c>
      <c r="T143" s="542">
        <v>193509</v>
      </c>
      <c r="U143" s="542">
        <v>0</v>
      </c>
      <c r="V143" s="542">
        <v>0</v>
      </c>
      <c r="W143" s="542">
        <v>0</v>
      </c>
      <c r="X143" s="542">
        <v>0</v>
      </c>
      <c r="Y143" s="542">
        <v>0</v>
      </c>
      <c r="Z143" s="542">
        <v>0</v>
      </c>
      <c r="AA143" s="542">
        <v>0</v>
      </c>
      <c r="AB143" s="542">
        <v>0</v>
      </c>
      <c r="AC143" s="542">
        <v>0</v>
      </c>
      <c r="AD143" s="542">
        <v>705588</v>
      </c>
      <c r="AE143" s="542">
        <v>564470</v>
      </c>
      <c r="AF143" s="542">
        <v>141118</v>
      </c>
      <c r="AG143" s="542">
        <v>0</v>
      </c>
      <c r="AH143" s="542">
        <v>1411176</v>
      </c>
      <c r="AI143" s="542">
        <v>-249265</v>
      </c>
      <c r="AJ143" s="542">
        <v>-199412</v>
      </c>
      <c r="AK143" s="542">
        <v>-49853</v>
      </c>
      <c r="AL143" s="542">
        <v>0</v>
      </c>
      <c r="AM143" s="542">
        <v>-498530</v>
      </c>
      <c r="AN143" s="542">
        <v>-515050</v>
      </c>
      <c r="AO143" s="542">
        <v>-412040</v>
      </c>
      <c r="AP143" s="542">
        <v>-103011</v>
      </c>
      <c r="AQ143" s="542">
        <v>0</v>
      </c>
      <c r="AR143" s="542">
        <v>-1030101</v>
      </c>
      <c r="AS143" s="542">
        <v>347480</v>
      </c>
      <c r="AT143" s="542">
        <v>277984</v>
      </c>
      <c r="AU143" s="542">
        <v>69496</v>
      </c>
      <c r="AV143" s="542">
        <v>0</v>
      </c>
      <c r="AW143" s="542">
        <v>694960</v>
      </c>
      <c r="AX143" s="542">
        <v>-238524</v>
      </c>
      <c r="AY143" s="542">
        <v>-190819</v>
      </c>
      <c r="AZ143" s="542">
        <v>-47705</v>
      </c>
      <c r="BA143" s="542">
        <v>0</v>
      </c>
      <c r="BB143" s="542">
        <v>-477048</v>
      </c>
      <c r="BC143" s="542">
        <v>-406094</v>
      </c>
      <c r="BD143" s="542">
        <v>-324875</v>
      </c>
      <c r="BE143" s="542">
        <v>-81220</v>
      </c>
      <c r="BF143" s="542">
        <v>0</v>
      </c>
      <c r="BG143" s="542">
        <v>-812189</v>
      </c>
      <c r="BH143" s="542">
        <v>-980773</v>
      </c>
      <c r="BI143" s="542">
        <v>-784618</v>
      </c>
      <c r="BJ143" s="542">
        <v>-196155</v>
      </c>
      <c r="BK143" s="542">
        <v>0</v>
      </c>
      <c r="BL143" s="542">
        <v>-1961546</v>
      </c>
      <c r="BM143" s="542">
        <v>196290</v>
      </c>
      <c r="BN143" s="542">
        <v>157032</v>
      </c>
      <c r="BO143" s="542">
        <v>39258</v>
      </c>
      <c r="BP143" s="542">
        <v>0</v>
      </c>
      <c r="BQ143" s="542">
        <v>392580</v>
      </c>
      <c r="BR143" s="542">
        <v>-491562</v>
      </c>
      <c r="BS143" s="542">
        <v>-393250</v>
      </c>
      <c r="BT143" s="542">
        <v>-98313</v>
      </c>
      <c r="BU143" s="542">
        <v>0</v>
      </c>
      <c r="BV143" s="542">
        <v>-983125</v>
      </c>
      <c r="BW143" s="542">
        <v>-1276045</v>
      </c>
      <c r="BX143" s="542">
        <v>-1020836</v>
      </c>
      <c r="BY143" s="542">
        <v>-255210</v>
      </c>
      <c r="BZ143" s="542">
        <v>0</v>
      </c>
      <c r="CA143" s="542">
        <v>-2552091</v>
      </c>
    </row>
    <row r="144" spans="1:79" ht="12.75" x14ac:dyDescent="0.2">
      <c r="A144" s="93">
        <v>138</v>
      </c>
      <c r="B144" s="145" t="s">
        <v>154</v>
      </c>
      <c r="C144" s="141" t="s">
        <v>770</v>
      </c>
      <c r="D144" s="142" t="s">
        <v>867</v>
      </c>
      <c r="E144" s="149" t="s">
        <v>882</v>
      </c>
      <c r="F144" s="543">
        <v>0.5</v>
      </c>
      <c r="G144" s="543">
        <v>0.5</v>
      </c>
      <c r="H144" s="543">
        <v>0</v>
      </c>
      <c r="I144" s="543">
        <v>0</v>
      </c>
      <c r="J144" s="543">
        <v>1</v>
      </c>
      <c r="K144" s="542">
        <v>16197672</v>
      </c>
      <c r="L144" s="542">
        <v>16197672</v>
      </c>
      <c r="M144" s="542">
        <v>0</v>
      </c>
      <c r="N144" s="542">
        <v>0</v>
      </c>
      <c r="O144" s="542">
        <v>32395344</v>
      </c>
      <c r="P144" s="542">
        <v>0</v>
      </c>
      <c r="Q144" s="542">
        <v>0</v>
      </c>
      <c r="R144" s="542">
        <v>16197672</v>
      </c>
      <c r="S144" s="542">
        <v>251556</v>
      </c>
      <c r="T144" s="542">
        <v>251556</v>
      </c>
      <c r="U144" s="542">
        <v>0</v>
      </c>
      <c r="V144" s="542">
        <v>0</v>
      </c>
      <c r="W144" s="542">
        <v>140658</v>
      </c>
      <c r="X144" s="542">
        <v>0</v>
      </c>
      <c r="Y144" s="542">
        <v>140658</v>
      </c>
      <c r="Z144" s="542">
        <v>0</v>
      </c>
      <c r="AA144" s="542">
        <v>0</v>
      </c>
      <c r="AB144" s="542">
        <v>0</v>
      </c>
      <c r="AC144" s="542">
        <v>0</v>
      </c>
      <c r="AD144" s="542">
        <v>564411</v>
      </c>
      <c r="AE144" s="542">
        <v>564411</v>
      </c>
      <c r="AF144" s="542">
        <v>0</v>
      </c>
      <c r="AG144" s="542">
        <v>0</v>
      </c>
      <c r="AH144" s="542">
        <v>1128822</v>
      </c>
      <c r="AI144" s="542">
        <v>-279060</v>
      </c>
      <c r="AJ144" s="542">
        <v>-279061</v>
      </c>
      <c r="AK144" s="542">
        <v>0</v>
      </c>
      <c r="AL144" s="542">
        <v>0</v>
      </c>
      <c r="AM144" s="542">
        <v>-558121</v>
      </c>
      <c r="AN144" s="542">
        <v>-228292</v>
      </c>
      <c r="AO144" s="542">
        <v>-228294</v>
      </c>
      <c r="AP144" s="542">
        <v>0</v>
      </c>
      <c r="AQ144" s="542">
        <v>0</v>
      </c>
      <c r="AR144" s="542">
        <v>-456586</v>
      </c>
      <c r="AS144" s="542">
        <v>137610</v>
      </c>
      <c r="AT144" s="542">
        <v>137611</v>
      </c>
      <c r="AU144" s="542">
        <v>0</v>
      </c>
      <c r="AV144" s="542">
        <v>0</v>
      </c>
      <c r="AW144" s="542">
        <v>275221</v>
      </c>
      <c r="AX144" s="542">
        <v>-164312</v>
      </c>
      <c r="AY144" s="542">
        <v>-164312</v>
      </c>
      <c r="AZ144" s="542">
        <v>0</v>
      </c>
      <c r="BA144" s="542">
        <v>0</v>
      </c>
      <c r="BB144" s="542">
        <v>-328624</v>
      </c>
      <c r="BC144" s="542">
        <v>-254994</v>
      </c>
      <c r="BD144" s="542">
        <v>-254995</v>
      </c>
      <c r="BE144" s="542">
        <v>0</v>
      </c>
      <c r="BF144" s="542">
        <v>0</v>
      </c>
      <c r="BG144" s="542">
        <v>-509989</v>
      </c>
      <c r="BH144" s="542">
        <v>-1578221</v>
      </c>
      <c r="BI144" s="542">
        <v>-1578223</v>
      </c>
      <c r="BJ144" s="542">
        <v>0</v>
      </c>
      <c r="BK144" s="542">
        <v>0</v>
      </c>
      <c r="BL144" s="542">
        <v>-3156444</v>
      </c>
      <c r="BM144" s="542">
        <v>775233</v>
      </c>
      <c r="BN144" s="542">
        <v>775233</v>
      </c>
      <c r="BO144" s="542">
        <v>0</v>
      </c>
      <c r="BP144" s="542">
        <v>0</v>
      </c>
      <c r="BQ144" s="542">
        <v>1550466</v>
      </c>
      <c r="BR144" s="542">
        <v>-1242778</v>
      </c>
      <c r="BS144" s="542">
        <v>-1242779</v>
      </c>
      <c r="BT144" s="542">
        <v>0</v>
      </c>
      <c r="BU144" s="542">
        <v>0</v>
      </c>
      <c r="BV144" s="542">
        <v>-2485557</v>
      </c>
      <c r="BW144" s="542">
        <v>-2045766</v>
      </c>
      <c r="BX144" s="542">
        <v>-2045769</v>
      </c>
      <c r="BY144" s="542">
        <v>0</v>
      </c>
      <c r="BZ144" s="542">
        <v>0</v>
      </c>
      <c r="CA144" s="542">
        <v>-4091535</v>
      </c>
    </row>
    <row r="145" spans="1:79" ht="12.75" x14ac:dyDescent="0.2">
      <c r="A145" s="93">
        <v>139</v>
      </c>
      <c r="B145" s="145" t="s">
        <v>156</v>
      </c>
      <c r="C145" s="141" t="s">
        <v>770</v>
      </c>
      <c r="D145" s="142" t="s">
        <v>875</v>
      </c>
      <c r="E145" s="149" t="s">
        <v>155</v>
      </c>
      <c r="F145" s="543">
        <v>0.5</v>
      </c>
      <c r="G145" s="543">
        <v>0.5</v>
      </c>
      <c r="H145" s="543">
        <v>0</v>
      </c>
      <c r="I145" s="543">
        <v>0</v>
      </c>
      <c r="J145" s="543">
        <v>1</v>
      </c>
      <c r="K145" s="542">
        <v>775124</v>
      </c>
      <c r="L145" s="542">
        <v>775124</v>
      </c>
      <c r="M145" s="542">
        <v>0</v>
      </c>
      <c r="N145" s="542">
        <v>0</v>
      </c>
      <c r="O145" s="542">
        <v>1550248</v>
      </c>
      <c r="P145" s="542">
        <v>0</v>
      </c>
      <c r="Q145" s="542">
        <v>0</v>
      </c>
      <c r="R145" s="542">
        <v>775124</v>
      </c>
      <c r="S145" s="542">
        <v>25335</v>
      </c>
      <c r="T145" s="542">
        <v>25335</v>
      </c>
      <c r="U145" s="542">
        <v>0</v>
      </c>
      <c r="V145" s="542">
        <v>0</v>
      </c>
      <c r="W145" s="542">
        <v>0</v>
      </c>
      <c r="X145" s="542">
        <v>0</v>
      </c>
      <c r="Y145" s="542">
        <v>0</v>
      </c>
      <c r="Z145" s="542">
        <v>0</v>
      </c>
      <c r="AA145" s="542">
        <v>0</v>
      </c>
      <c r="AB145" s="542">
        <v>0</v>
      </c>
      <c r="AC145" s="542">
        <v>0</v>
      </c>
      <c r="AD145" s="542">
        <v>25175</v>
      </c>
      <c r="AE145" s="542">
        <v>25175</v>
      </c>
      <c r="AF145" s="542">
        <v>0</v>
      </c>
      <c r="AG145" s="542">
        <v>0</v>
      </c>
      <c r="AH145" s="542">
        <v>50350</v>
      </c>
      <c r="AI145" s="542">
        <v>-14299</v>
      </c>
      <c r="AJ145" s="542">
        <v>-14299</v>
      </c>
      <c r="AK145" s="542">
        <v>0</v>
      </c>
      <c r="AL145" s="542">
        <v>0</v>
      </c>
      <c r="AM145" s="542">
        <v>-28598</v>
      </c>
      <c r="AN145" s="542">
        <v>-20402</v>
      </c>
      <c r="AO145" s="542">
        <v>-20402</v>
      </c>
      <c r="AP145" s="542">
        <v>0</v>
      </c>
      <c r="AQ145" s="542">
        <v>0</v>
      </c>
      <c r="AR145" s="542">
        <v>-40804</v>
      </c>
      <c r="AS145" s="542">
        <v>89889</v>
      </c>
      <c r="AT145" s="542">
        <v>89890</v>
      </c>
      <c r="AU145" s="542">
        <v>0</v>
      </c>
      <c r="AV145" s="542">
        <v>0</v>
      </c>
      <c r="AW145" s="542">
        <v>179779</v>
      </c>
      <c r="AX145" s="542">
        <v>0</v>
      </c>
      <c r="AY145" s="542">
        <v>0</v>
      </c>
      <c r="AZ145" s="542">
        <v>0</v>
      </c>
      <c r="BA145" s="542">
        <v>0</v>
      </c>
      <c r="BB145" s="542">
        <v>0</v>
      </c>
      <c r="BC145" s="542">
        <v>69487</v>
      </c>
      <c r="BD145" s="542">
        <v>69488</v>
      </c>
      <c r="BE145" s="542">
        <v>0</v>
      </c>
      <c r="BF145" s="542">
        <v>0</v>
      </c>
      <c r="BG145" s="542">
        <v>138975</v>
      </c>
      <c r="BH145" s="542">
        <v>-27500</v>
      </c>
      <c r="BI145" s="542">
        <v>-27500</v>
      </c>
      <c r="BJ145" s="542">
        <v>0</v>
      </c>
      <c r="BK145" s="542">
        <v>0</v>
      </c>
      <c r="BL145" s="542">
        <v>-55000</v>
      </c>
      <c r="BM145" s="542">
        <v>0</v>
      </c>
      <c r="BN145" s="542">
        <v>0</v>
      </c>
      <c r="BO145" s="542">
        <v>0</v>
      </c>
      <c r="BP145" s="542">
        <v>0</v>
      </c>
      <c r="BQ145" s="542">
        <v>0</v>
      </c>
      <c r="BR145" s="542">
        <v>0</v>
      </c>
      <c r="BS145" s="542">
        <v>0</v>
      </c>
      <c r="BT145" s="542">
        <v>0</v>
      </c>
      <c r="BU145" s="542">
        <v>0</v>
      </c>
      <c r="BV145" s="542">
        <v>0</v>
      </c>
      <c r="BW145" s="542">
        <v>-27500</v>
      </c>
      <c r="BX145" s="542">
        <v>-27500</v>
      </c>
      <c r="BY145" s="542">
        <v>0</v>
      </c>
      <c r="BZ145" s="542">
        <v>0</v>
      </c>
      <c r="CA145" s="542">
        <v>-55000</v>
      </c>
    </row>
    <row r="146" spans="1:79" ht="12.75" x14ac:dyDescent="0.2">
      <c r="A146" s="93">
        <v>140</v>
      </c>
      <c r="B146" s="145" t="s">
        <v>158</v>
      </c>
      <c r="C146" s="141" t="s">
        <v>877</v>
      </c>
      <c r="D146" s="142" t="s">
        <v>872</v>
      </c>
      <c r="E146" s="149" t="s">
        <v>157</v>
      </c>
      <c r="F146" s="543">
        <v>0.5</v>
      </c>
      <c r="G146" s="543">
        <v>0.3</v>
      </c>
      <c r="H146" s="543">
        <v>0.2</v>
      </c>
      <c r="I146" s="543">
        <v>0</v>
      </c>
      <c r="J146" s="543">
        <v>1</v>
      </c>
      <c r="K146" s="542">
        <v>96266644</v>
      </c>
      <c r="L146" s="542">
        <v>57759986</v>
      </c>
      <c r="M146" s="542">
        <v>38506657</v>
      </c>
      <c r="N146" s="542">
        <v>0</v>
      </c>
      <c r="O146" s="542">
        <v>192533287</v>
      </c>
      <c r="P146" s="542">
        <v>0</v>
      </c>
      <c r="Q146" s="542">
        <v>0</v>
      </c>
      <c r="R146" s="542">
        <v>96266644</v>
      </c>
      <c r="S146" s="542">
        <v>647463</v>
      </c>
      <c r="T146" s="542">
        <v>647463</v>
      </c>
      <c r="U146" s="542">
        <v>0</v>
      </c>
      <c r="V146" s="542">
        <v>0</v>
      </c>
      <c r="W146" s="542">
        <v>60240</v>
      </c>
      <c r="X146" s="542">
        <v>0</v>
      </c>
      <c r="Y146" s="542">
        <v>60240</v>
      </c>
      <c r="Z146" s="542">
        <v>0</v>
      </c>
      <c r="AA146" s="542">
        <v>0</v>
      </c>
      <c r="AB146" s="542">
        <v>0</v>
      </c>
      <c r="AC146" s="542">
        <v>0</v>
      </c>
      <c r="AD146" s="542">
        <v>10758216</v>
      </c>
      <c r="AE146" s="542">
        <v>6454930</v>
      </c>
      <c r="AF146" s="542">
        <v>4303286</v>
      </c>
      <c r="AG146" s="542">
        <v>0</v>
      </c>
      <c r="AH146" s="542">
        <v>21516432</v>
      </c>
      <c r="AI146" s="542">
        <v>-6947429</v>
      </c>
      <c r="AJ146" s="542">
        <v>-4168458</v>
      </c>
      <c r="AK146" s="542">
        <v>-2778972</v>
      </c>
      <c r="AL146" s="542">
        <v>0</v>
      </c>
      <c r="AM146" s="542">
        <v>-13894859</v>
      </c>
      <c r="AN146" s="542">
        <v>-8542063.5999999996</v>
      </c>
      <c r="AO146" s="542">
        <v>-5125238</v>
      </c>
      <c r="AP146" s="542">
        <v>-3416825</v>
      </c>
      <c r="AQ146" s="542">
        <v>0</v>
      </c>
      <c r="AR146" s="542">
        <v>-17084126</v>
      </c>
      <c r="AS146" s="542">
        <v>1652057</v>
      </c>
      <c r="AT146" s="542">
        <v>991235</v>
      </c>
      <c r="AU146" s="542">
        <v>660823</v>
      </c>
      <c r="AV146" s="542">
        <v>0</v>
      </c>
      <c r="AW146" s="542">
        <v>3304115</v>
      </c>
      <c r="AX146" s="542">
        <v>-1236041</v>
      </c>
      <c r="AY146" s="542">
        <v>-741624</v>
      </c>
      <c r="AZ146" s="542">
        <v>-494416</v>
      </c>
      <c r="BA146" s="542">
        <v>0</v>
      </c>
      <c r="BB146" s="542">
        <v>-2472081</v>
      </c>
      <c r="BC146" s="542">
        <v>-8126047.5999999996</v>
      </c>
      <c r="BD146" s="542">
        <v>-4875627</v>
      </c>
      <c r="BE146" s="542">
        <v>-3250418</v>
      </c>
      <c r="BF146" s="542">
        <v>0</v>
      </c>
      <c r="BG146" s="542">
        <v>-16252092</v>
      </c>
      <c r="BH146" s="542">
        <v>-3766796</v>
      </c>
      <c r="BI146" s="542">
        <v>-2260077</v>
      </c>
      <c r="BJ146" s="542">
        <v>-1506718</v>
      </c>
      <c r="BK146" s="542">
        <v>0</v>
      </c>
      <c r="BL146" s="542">
        <v>-7533591</v>
      </c>
      <c r="BM146" s="542">
        <v>915466</v>
      </c>
      <c r="BN146" s="542">
        <v>549279</v>
      </c>
      <c r="BO146" s="542">
        <v>366186</v>
      </c>
      <c r="BP146" s="542">
        <v>0</v>
      </c>
      <c r="BQ146" s="542">
        <v>1830931</v>
      </c>
      <c r="BR146" s="542">
        <v>-2632231</v>
      </c>
      <c r="BS146" s="542">
        <v>-1579339</v>
      </c>
      <c r="BT146" s="542">
        <v>-1052892</v>
      </c>
      <c r="BU146" s="542">
        <v>0</v>
      </c>
      <c r="BV146" s="542">
        <v>-5264462</v>
      </c>
      <c r="BW146" s="542">
        <v>-5483561</v>
      </c>
      <c r="BX146" s="542">
        <v>-3290137</v>
      </c>
      <c r="BY146" s="542">
        <v>-2193424</v>
      </c>
      <c r="BZ146" s="542">
        <v>0</v>
      </c>
      <c r="CA146" s="542">
        <v>-10967122</v>
      </c>
    </row>
    <row r="147" spans="1:79" ht="12.75" x14ac:dyDescent="0.2">
      <c r="A147" s="93">
        <v>141</v>
      </c>
      <c r="B147" s="145" t="s">
        <v>160</v>
      </c>
      <c r="C147" s="141" t="s">
        <v>877</v>
      </c>
      <c r="D147" s="142" t="s">
        <v>872</v>
      </c>
      <c r="E147" s="149" t="s">
        <v>702</v>
      </c>
      <c r="F147" s="543">
        <v>0.5</v>
      </c>
      <c r="G147" s="543">
        <v>0.3</v>
      </c>
      <c r="H147" s="543">
        <v>0.2</v>
      </c>
      <c r="I147" s="543">
        <v>0</v>
      </c>
      <c r="J147" s="543">
        <v>1</v>
      </c>
      <c r="K147" s="542">
        <v>133896200</v>
      </c>
      <c r="L147" s="542">
        <v>80337721</v>
      </c>
      <c r="M147" s="542">
        <v>53558480</v>
      </c>
      <c r="N147" s="542">
        <v>0</v>
      </c>
      <c r="O147" s="542">
        <v>267792401</v>
      </c>
      <c r="P147" s="542">
        <v>0</v>
      </c>
      <c r="Q147" s="542">
        <v>0</v>
      </c>
      <c r="R147" s="542">
        <v>133896200</v>
      </c>
      <c r="S147" s="542">
        <v>616397</v>
      </c>
      <c r="T147" s="542">
        <v>616397</v>
      </c>
      <c r="U147" s="542">
        <v>0</v>
      </c>
      <c r="V147" s="542">
        <v>0</v>
      </c>
      <c r="W147" s="542">
        <v>0</v>
      </c>
      <c r="X147" s="542">
        <v>0</v>
      </c>
      <c r="Y147" s="542">
        <v>0</v>
      </c>
      <c r="Z147" s="542">
        <v>0</v>
      </c>
      <c r="AA147" s="542">
        <v>0</v>
      </c>
      <c r="AB147" s="542">
        <v>0</v>
      </c>
      <c r="AC147" s="542">
        <v>0</v>
      </c>
      <c r="AD147" s="542">
        <v>4079094</v>
      </c>
      <c r="AE147" s="542">
        <v>2447457</v>
      </c>
      <c r="AF147" s="542">
        <v>1631638</v>
      </c>
      <c r="AG147" s="542">
        <v>0</v>
      </c>
      <c r="AH147" s="542">
        <v>8158189</v>
      </c>
      <c r="AI147" s="542">
        <v>-4072025</v>
      </c>
      <c r="AJ147" s="542">
        <v>-2443215</v>
      </c>
      <c r="AK147" s="542">
        <v>-1628810</v>
      </c>
      <c r="AL147" s="542">
        <v>0</v>
      </c>
      <c r="AM147" s="542">
        <v>-8144050</v>
      </c>
      <c r="AN147" s="542">
        <v>-474406</v>
      </c>
      <c r="AO147" s="542">
        <v>-284644</v>
      </c>
      <c r="AP147" s="542">
        <v>-189762</v>
      </c>
      <c r="AQ147" s="542">
        <v>0</v>
      </c>
      <c r="AR147" s="542">
        <v>-948812</v>
      </c>
      <c r="AS147" s="542">
        <v>0</v>
      </c>
      <c r="AT147" s="542">
        <v>0</v>
      </c>
      <c r="AU147" s="542">
        <v>0</v>
      </c>
      <c r="AV147" s="542">
        <v>0</v>
      </c>
      <c r="AW147" s="542">
        <v>0</v>
      </c>
      <c r="AX147" s="542">
        <v>162119</v>
      </c>
      <c r="AY147" s="542">
        <v>97271</v>
      </c>
      <c r="AZ147" s="542">
        <v>64847</v>
      </c>
      <c r="BA147" s="542">
        <v>0</v>
      </c>
      <c r="BB147" s="542">
        <v>324237</v>
      </c>
      <c r="BC147" s="542">
        <v>-312287</v>
      </c>
      <c r="BD147" s="542">
        <v>-187373</v>
      </c>
      <c r="BE147" s="542">
        <v>-124915</v>
      </c>
      <c r="BF147" s="542">
        <v>0</v>
      </c>
      <c r="BG147" s="542">
        <v>-624575</v>
      </c>
      <c r="BH147" s="542">
        <v>-6179853</v>
      </c>
      <c r="BI147" s="542">
        <v>-3707912</v>
      </c>
      <c r="BJ147" s="542">
        <v>-2471941</v>
      </c>
      <c r="BK147" s="542">
        <v>0</v>
      </c>
      <c r="BL147" s="542">
        <v>-12359706</v>
      </c>
      <c r="BM147" s="542">
        <v>4977474.8</v>
      </c>
      <c r="BN147" s="542">
        <v>2986485</v>
      </c>
      <c r="BO147" s="542">
        <v>1990990</v>
      </c>
      <c r="BP147" s="542">
        <v>0</v>
      </c>
      <c r="BQ147" s="542">
        <v>9954949.8000000007</v>
      </c>
      <c r="BR147" s="542">
        <v>-7931266</v>
      </c>
      <c r="BS147" s="542">
        <v>-4758760</v>
      </c>
      <c r="BT147" s="542">
        <v>-3172506</v>
      </c>
      <c r="BU147" s="542">
        <v>0</v>
      </c>
      <c r="BV147" s="542">
        <v>-15862532</v>
      </c>
      <c r="BW147" s="542">
        <v>-9133644.1999999993</v>
      </c>
      <c r="BX147" s="542">
        <v>-5480187</v>
      </c>
      <c r="BY147" s="542">
        <v>-3653457</v>
      </c>
      <c r="BZ147" s="542">
        <v>0</v>
      </c>
      <c r="CA147" s="542">
        <v>-18267288</v>
      </c>
    </row>
    <row r="148" spans="1:79" ht="12.75" x14ac:dyDescent="0.2">
      <c r="A148" s="93">
        <v>142</v>
      </c>
      <c r="B148" s="145" t="s">
        <v>162</v>
      </c>
      <c r="C148" s="141" t="s">
        <v>866</v>
      </c>
      <c r="D148" s="142" t="s">
        <v>869</v>
      </c>
      <c r="E148" s="149" t="s">
        <v>161</v>
      </c>
      <c r="F148" s="543">
        <v>0.5</v>
      </c>
      <c r="G148" s="543">
        <v>0.4</v>
      </c>
      <c r="H148" s="543">
        <v>0.1</v>
      </c>
      <c r="I148" s="543">
        <v>0</v>
      </c>
      <c r="J148" s="543">
        <v>1</v>
      </c>
      <c r="K148" s="542">
        <v>15170764</v>
      </c>
      <c r="L148" s="542">
        <v>12136612</v>
      </c>
      <c r="M148" s="542">
        <v>3034153</v>
      </c>
      <c r="N148" s="542">
        <v>0</v>
      </c>
      <c r="O148" s="542">
        <v>30341529</v>
      </c>
      <c r="P148" s="542">
        <v>0</v>
      </c>
      <c r="Q148" s="542">
        <v>0</v>
      </c>
      <c r="R148" s="542">
        <v>15170764</v>
      </c>
      <c r="S148" s="542">
        <v>110664</v>
      </c>
      <c r="T148" s="542">
        <v>110664</v>
      </c>
      <c r="U148" s="542">
        <v>0</v>
      </c>
      <c r="V148" s="542">
        <v>0</v>
      </c>
      <c r="W148" s="542">
        <v>76638</v>
      </c>
      <c r="X148" s="542">
        <v>0</v>
      </c>
      <c r="Y148" s="542">
        <v>76638</v>
      </c>
      <c r="Z148" s="542">
        <v>0</v>
      </c>
      <c r="AA148" s="542">
        <v>0</v>
      </c>
      <c r="AB148" s="542">
        <v>0</v>
      </c>
      <c r="AC148" s="542">
        <v>0</v>
      </c>
      <c r="AD148" s="542">
        <v>129437</v>
      </c>
      <c r="AE148" s="542">
        <v>103550</v>
      </c>
      <c r="AF148" s="542">
        <v>25888</v>
      </c>
      <c r="AG148" s="542">
        <v>0</v>
      </c>
      <c r="AH148" s="542">
        <v>258875</v>
      </c>
      <c r="AI148" s="542">
        <v>-224503</v>
      </c>
      <c r="AJ148" s="542">
        <v>-179603</v>
      </c>
      <c r="AK148" s="542">
        <v>-44901</v>
      </c>
      <c r="AL148" s="542">
        <v>0</v>
      </c>
      <c r="AM148" s="542">
        <v>-449007</v>
      </c>
      <c r="AN148" s="542">
        <v>-106748</v>
      </c>
      <c r="AO148" s="542">
        <v>-85398</v>
      </c>
      <c r="AP148" s="542">
        <v>-21349</v>
      </c>
      <c r="AQ148" s="542">
        <v>0</v>
      </c>
      <c r="AR148" s="542">
        <v>-213495</v>
      </c>
      <c r="AS148" s="542">
        <v>105033</v>
      </c>
      <c r="AT148" s="542">
        <v>84027</v>
      </c>
      <c r="AU148" s="542">
        <v>21007</v>
      </c>
      <c r="AV148" s="542">
        <v>0</v>
      </c>
      <c r="AW148" s="542">
        <v>210067</v>
      </c>
      <c r="AX148" s="542">
        <v>-50017</v>
      </c>
      <c r="AY148" s="542">
        <v>-40013</v>
      </c>
      <c r="AZ148" s="542">
        <v>-10003</v>
      </c>
      <c r="BA148" s="542">
        <v>0</v>
      </c>
      <c r="BB148" s="542">
        <v>-100033</v>
      </c>
      <c r="BC148" s="542">
        <v>-51732</v>
      </c>
      <c r="BD148" s="542">
        <v>-41384</v>
      </c>
      <c r="BE148" s="542">
        <v>-10345</v>
      </c>
      <c r="BF148" s="542">
        <v>0</v>
      </c>
      <c r="BG148" s="542">
        <v>-103461</v>
      </c>
      <c r="BH148" s="542">
        <v>-574211</v>
      </c>
      <c r="BI148" s="542">
        <v>-459368</v>
      </c>
      <c r="BJ148" s="542">
        <v>-114842</v>
      </c>
      <c r="BK148" s="542">
        <v>0</v>
      </c>
      <c r="BL148" s="542">
        <v>-1148421</v>
      </c>
      <c r="BM148" s="542">
        <v>210458</v>
      </c>
      <c r="BN148" s="542">
        <v>168366</v>
      </c>
      <c r="BO148" s="542">
        <v>42092</v>
      </c>
      <c r="BP148" s="542">
        <v>0</v>
      </c>
      <c r="BQ148" s="542">
        <v>420916</v>
      </c>
      <c r="BR148" s="542">
        <v>-572415</v>
      </c>
      <c r="BS148" s="542">
        <v>-457932</v>
      </c>
      <c r="BT148" s="542">
        <v>-114483</v>
      </c>
      <c r="BU148" s="542">
        <v>0</v>
      </c>
      <c r="BV148" s="542">
        <v>-1144830</v>
      </c>
      <c r="BW148" s="542">
        <v>-936168</v>
      </c>
      <c r="BX148" s="542">
        <v>-748934</v>
      </c>
      <c r="BY148" s="542">
        <v>-187233</v>
      </c>
      <c r="BZ148" s="542">
        <v>0</v>
      </c>
      <c r="CA148" s="542">
        <v>-1872335</v>
      </c>
    </row>
    <row r="149" spans="1:79" ht="12.75" x14ac:dyDescent="0.2">
      <c r="A149" s="93">
        <v>143</v>
      </c>
      <c r="B149" s="145" t="s">
        <v>164</v>
      </c>
      <c r="C149" s="141" t="s">
        <v>866</v>
      </c>
      <c r="D149" s="142" t="s">
        <v>870</v>
      </c>
      <c r="E149" s="149" t="s">
        <v>883</v>
      </c>
      <c r="F149" s="543">
        <v>0.5</v>
      </c>
      <c r="G149" s="543">
        <v>0.4</v>
      </c>
      <c r="H149" s="543">
        <v>0.1</v>
      </c>
      <c r="I149" s="543">
        <v>0</v>
      </c>
      <c r="J149" s="543">
        <v>1</v>
      </c>
      <c r="K149" s="542">
        <v>20437646</v>
      </c>
      <c r="L149" s="542">
        <v>16350117</v>
      </c>
      <c r="M149" s="542">
        <v>4087529</v>
      </c>
      <c r="N149" s="542">
        <v>0</v>
      </c>
      <c r="O149" s="542">
        <v>40875292</v>
      </c>
      <c r="P149" s="542">
        <v>0</v>
      </c>
      <c r="Q149" s="542">
        <v>0</v>
      </c>
      <c r="R149" s="542">
        <v>20437646</v>
      </c>
      <c r="S149" s="542">
        <v>217818</v>
      </c>
      <c r="T149" s="542">
        <v>217818</v>
      </c>
      <c r="U149" s="542">
        <v>0</v>
      </c>
      <c r="V149" s="542">
        <v>0</v>
      </c>
      <c r="W149" s="542">
        <v>555504</v>
      </c>
      <c r="X149" s="542">
        <v>0</v>
      </c>
      <c r="Y149" s="542">
        <v>555504</v>
      </c>
      <c r="Z149" s="542">
        <v>0</v>
      </c>
      <c r="AA149" s="542">
        <v>0</v>
      </c>
      <c r="AB149" s="542">
        <v>0</v>
      </c>
      <c r="AC149" s="542">
        <v>0</v>
      </c>
      <c r="AD149" s="542">
        <v>555524</v>
      </c>
      <c r="AE149" s="542">
        <v>444420</v>
      </c>
      <c r="AF149" s="542">
        <v>111105</v>
      </c>
      <c r="AG149" s="542">
        <v>0</v>
      </c>
      <c r="AH149" s="542">
        <v>1111049</v>
      </c>
      <c r="AI149" s="542">
        <v>-124851</v>
      </c>
      <c r="AJ149" s="542">
        <v>-99881</v>
      </c>
      <c r="AK149" s="542">
        <v>-24970</v>
      </c>
      <c r="AL149" s="542">
        <v>0</v>
      </c>
      <c r="AM149" s="542">
        <v>-249702</v>
      </c>
      <c r="AN149" s="542">
        <v>-227124</v>
      </c>
      <c r="AO149" s="542">
        <v>-181699</v>
      </c>
      <c r="AP149" s="542">
        <v>-45425</v>
      </c>
      <c r="AQ149" s="542">
        <v>0</v>
      </c>
      <c r="AR149" s="542">
        <v>-454248</v>
      </c>
      <c r="AS149" s="542">
        <v>167502</v>
      </c>
      <c r="AT149" s="542">
        <v>134002</v>
      </c>
      <c r="AU149" s="542">
        <v>33500</v>
      </c>
      <c r="AV149" s="542">
        <v>0</v>
      </c>
      <c r="AW149" s="542">
        <v>335004</v>
      </c>
      <c r="AX149" s="542">
        <v>-220417</v>
      </c>
      <c r="AY149" s="542">
        <v>-176334</v>
      </c>
      <c r="AZ149" s="542">
        <v>-44084</v>
      </c>
      <c r="BA149" s="542">
        <v>0</v>
      </c>
      <c r="BB149" s="542">
        <v>-440835</v>
      </c>
      <c r="BC149" s="542">
        <v>-280039</v>
      </c>
      <c r="BD149" s="542">
        <v>-224031</v>
      </c>
      <c r="BE149" s="542">
        <v>-56009</v>
      </c>
      <c r="BF149" s="542">
        <v>0</v>
      </c>
      <c r="BG149" s="542">
        <v>-560079</v>
      </c>
      <c r="BH149" s="542">
        <v>-4302277.5999999996</v>
      </c>
      <c r="BI149" s="542">
        <v>-3441822</v>
      </c>
      <c r="BJ149" s="542">
        <v>-860456</v>
      </c>
      <c r="BK149" s="542">
        <v>0</v>
      </c>
      <c r="BL149" s="542">
        <v>-8604555.5999999996</v>
      </c>
      <c r="BM149" s="542">
        <v>0</v>
      </c>
      <c r="BN149" s="542">
        <v>0</v>
      </c>
      <c r="BO149" s="542">
        <v>0</v>
      </c>
      <c r="BP149" s="542">
        <v>0</v>
      </c>
      <c r="BQ149" s="542">
        <v>0</v>
      </c>
      <c r="BR149" s="542">
        <v>-387992</v>
      </c>
      <c r="BS149" s="542">
        <v>-310393</v>
      </c>
      <c r="BT149" s="542">
        <v>-77598</v>
      </c>
      <c r="BU149" s="542">
        <v>0</v>
      </c>
      <c r="BV149" s="542">
        <v>-775983</v>
      </c>
      <c r="BW149" s="542">
        <v>-4690269.5999999996</v>
      </c>
      <c r="BX149" s="542">
        <v>-3752215</v>
      </c>
      <c r="BY149" s="542">
        <v>-938054</v>
      </c>
      <c r="BZ149" s="542">
        <v>0</v>
      </c>
      <c r="CA149" s="542">
        <v>-9380538.5999999996</v>
      </c>
    </row>
    <row r="150" spans="1:79" ht="12.75" x14ac:dyDescent="0.2">
      <c r="A150" s="93">
        <v>144</v>
      </c>
      <c r="B150" s="145" t="s">
        <v>166</v>
      </c>
      <c r="C150" s="141" t="s">
        <v>770</v>
      </c>
      <c r="D150" s="142" t="s">
        <v>874</v>
      </c>
      <c r="E150" s="149" t="s">
        <v>884</v>
      </c>
      <c r="F150" s="543">
        <v>0.5</v>
      </c>
      <c r="G150" s="543">
        <v>0.49</v>
      </c>
      <c r="H150" s="543">
        <v>0</v>
      </c>
      <c r="I150" s="543">
        <v>0.01</v>
      </c>
      <c r="J150" s="543">
        <v>1</v>
      </c>
      <c r="K150" s="542">
        <v>41534628</v>
      </c>
      <c r="L150" s="542">
        <v>40703935</v>
      </c>
      <c r="M150" s="542">
        <v>0</v>
      </c>
      <c r="N150" s="542">
        <v>830693</v>
      </c>
      <c r="O150" s="542">
        <v>83069256</v>
      </c>
      <c r="P150" s="542">
        <v>0</v>
      </c>
      <c r="Q150" s="542">
        <v>0</v>
      </c>
      <c r="R150" s="542">
        <v>41534628</v>
      </c>
      <c r="S150" s="542">
        <v>372932</v>
      </c>
      <c r="T150" s="542">
        <v>372932</v>
      </c>
      <c r="U150" s="542">
        <v>18806</v>
      </c>
      <c r="V150" s="542">
        <v>18806</v>
      </c>
      <c r="W150" s="542">
        <v>0</v>
      </c>
      <c r="X150" s="542">
        <v>0</v>
      </c>
      <c r="Y150" s="542">
        <v>0</v>
      </c>
      <c r="Z150" s="542">
        <v>0</v>
      </c>
      <c r="AA150" s="542">
        <v>0</v>
      </c>
      <c r="AB150" s="542">
        <v>0</v>
      </c>
      <c r="AC150" s="542">
        <v>0</v>
      </c>
      <c r="AD150" s="542">
        <v>2992889</v>
      </c>
      <c r="AE150" s="542">
        <v>2933032</v>
      </c>
      <c r="AF150" s="542">
        <v>0</v>
      </c>
      <c r="AG150" s="542">
        <v>59858</v>
      </c>
      <c r="AH150" s="542">
        <v>5985779</v>
      </c>
      <c r="AI150" s="542">
        <v>-366167</v>
      </c>
      <c r="AJ150" s="542">
        <v>-358843</v>
      </c>
      <c r="AK150" s="542">
        <v>0</v>
      </c>
      <c r="AL150" s="542">
        <v>-7323</v>
      </c>
      <c r="AM150" s="542">
        <v>-732333</v>
      </c>
      <c r="AN150" s="542">
        <v>-663528</v>
      </c>
      <c r="AO150" s="542">
        <v>-650257</v>
      </c>
      <c r="AP150" s="542">
        <v>0</v>
      </c>
      <c r="AQ150" s="542">
        <v>-13270</v>
      </c>
      <c r="AR150" s="542">
        <v>-1327055</v>
      </c>
      <c r="AS150" s="542">
        <v>802351</v>
      </c>
      <c r="AT150" s="542">
        <v>786304</v>
      </c>
      <c r="AU150" s="542">
        <v>0</v>
      </c>
      <c r="AV150" s="542">
        <v>16047</v>
      </c>
      <c r="AW150" s="542">
        <v>1604702</v>
      </c>
      <c r="AX150" s="542">
        <v>-802685</v>
      </c>
      <c r="AY150" s="542">
        <v>-786632</v>
      </c>
      <c r="AZ150" s="542">
        <v>0</v>
      </c>
      <c r="BA150" s="542">
        <v>-16054</v>
      </c>
      <c r="BB150" s="542">
        <v>-1605371</v>
      </c>
      <c r="BC150" s="542">
        <v>-663862</v>
      </c>
      <c r="BD150" s="542">
        <v>-650585</v>
      </c>
      <c r="BE150" s="542">
        <v>0</v>
      </c>
      <c r="BF150" s="542">
        <v>-13277</v>
      </c>
      <c r="BG150" s="542">
        <v>-1327724</v>
      </c>
      <c r="BH150" s="542">
        <v>-2500000</v>
      </c>
      <c r="BI150" s="542">
        <v>-2450000</v>
      </c>
      <c r="BJ150" s="542">
        <v>0</v>
      </c>
      <c r="BK150" s="542">
        <v>-50000</v>
      </c>
      <c r="BL150" s="542">
        <v>-5000000</v>
      </c>
      <c r="BM150" s="542">
        <v>2500000</v>
      </c>
      <c r="BN150" s="542">
        <v>2450000</v>
      </c>
      <c r="BO150" s="542">
        <v>0</v>
      </c>
      <c r="BP150" s="542">
        <v>50000</v>
      </c>
      <c r="BQ150" s="542">
        <v>5000000</v>
      </c>
      <c r="BR150" s="542">
        <v>-3000000</v>
      </c>
      <c r="BS150" s="542">
        <v>-2940000</v>
      </c>
      <c r="BT150" s="542">
        <v>0</v>
      </c>
      <c r="BU150" s="542">
        <v>-60000</v>
      </c>
      <c r="BV150" s="542">
        <v>-6000000</v>
      </c>
      <c r="BW150" s="542">
        <v>-3000000</v>
      </c>
      <c r="BX150" s="542">
        <v>-2940000</v>
      </c>
      <c r="BY150" s="542">
        <v>0</v>
      </c>
      <c r="BZ150" s="542">
        <v>-60000</v>
      </c>
      <c r="CA150" s="542">
        <v>-6000000</v>
      </c>
    </row>
    <row r="151" spans="1:79" ht="12.75" x14ac:dyDescent="0.2">
      <c r="A151" s="93">
        <v>145</v>
      </c>
      <c r="B151" s="145" t="s">
        <v>168</v>
      </c>
      <c r="C151" s="141" t="s">
        <v>871</v>
      </c>
      <c r="D151" s="142" t="s">
        <v>872</v>
      </c>
      <c r="E151" s="149" t="s">
        <v>167</v>
      </c>
      <c r="F151" s="543">
        <v>0.5</v>
      </c>
      <c r="G151" s="543">
        <v>0.3</v>
      </c>
      <c r="H151" s="543">
        <v>0.2</v>
      </c>
      <c r="I151" s="543">
        <v>0</v>
      </c>
      <c r="J151" s="543">
        <v>1</v>
      </c>
      <c r="K151" s="542">
        <v>39898130</v>
      </c>
      <c r="L151" s="542">
        <v>23938878</v>
      </c>
      <c r="M151" s="542">
        <v>15959252</v>
      </c>
      <c r="N151" s="542">
        <v>0</v>
      </c>
      <c r="O151" s="542">
        <v>79796260</v>
      </c>
      <c r="P151" s="542">
        <v>0</v>
      </c>
      <c r="Q151" s="542">
        <v>0</v>
      </c>
      <c r="R151" s="542">
        <v>39898130</v>
      </c>
      <c r="S151" s="542">
        <v>257133</v>
      </c>
      <c r="T151" s="542">
        <v>257133</v>
      </c>
      <c r="U151" s="542">
        <v>0</v>
      </c>
      <c r="V151" s="542">
        <v>0</v>
      </c>
      <c r="W151" s="542">
        <v>0</v>
      </c>
      <c r="X151" s="542">
        <v>0</v>
      </c>
      <c r="Y151" s="542">
        <v>0</v>
      </c>
      <c r="Z151" s="542">
        <v>0</v>
      </c>
      <c r="AA151" s="542">
        <v>0</v>
      </c>
      <c r="AB151" s="542">
        <v>0</v>
      </c>
      <c r="AC151" s="542">
        <v>0</v>
      </c>
      <c r="AD151" s="542">
        <v>1817881</v>
      </c>
      <c r="AE151" s="542">
        <v>1090729</v>
      </c>
      <c r="AF151" s="542">
        <v>727152</v>
      </c>
      <c r="AG151" s="542">
        <v>0</v>
      </c>
      <c r="AH151" s="542">
        <v>3635762</v>
      </c>
      <c r="AI151" s="542">
        <v>-330608</v>
      </c>
      <c r="AJ151" s="542">
        <v>-198365</v>
      </c>
      <c r="AK151" s="542">
        <v>-132243</v>
      </c>
      <c r="AL151" s="542">
        <v>0</v>
      </c>
      <c r="AM151" s="542">
        <v>-661216</v>
      </c>
      <c r="AN151" s="542">
        <v>-1808151.5</v>
      </c>
      <c r="AO151" s="542">
        <v>-1084890.8999999999</v>
      </c>
      <c r="AP151" s="542">
        <v>-723260.6</v>
      </c>
      <c r="AQ151" s="542">
        <v>0</v>
      </c>
      <c r="AR151" s="542">
        <v>-3616303</v>
      </c>
      <c r="AS151" s="542">
        <v>311669</v>
      </c>
      <c r="AT151" s="542">
        <v>187001</v>
      </c>
      <c r="AU151" s="542">
        <v>124668</v>
      </c>
      <c r="AV151" s="542">
        <v>0</v>
      </c>
      <c r="AW151" s="542">
        <v>623338</v>
      </c>
      <c r="AX151" s="542">
        <v>-446429</v>
      </c>
      <c r="AY151" s="542">
        <v>-267858</v>
      </c>
      <c r="AZ151" s="542">
        <v>-178572</v>
      </c>
      <c r="BA151" s="542">
        <v>0</v>
      </c>
      <c r="BB151" s="542">
        <v>-892859</v>
      </c>
      <c r="BC151" s="542">
        <v>-1942911.5</v>
      </c>
      <c r="BD151" s="542">
        <v>-1165747.8999999999</v>
      </c>
      <c r="BE151" s="542">
        <v>-777164.6</v>
      </c>
      <c r="BF151" s="542">
        <v>0</v>
      </c>
      <c r="BG151" s="542">
        <v>-3885824</v>
      </c>
      <c r="BH151" s="542">
        <v>-1886600</v>
      </c>
      <c r="BI151" s="542">
        <v>-1131961</v>
      </c>
      <c r="BJ151" s="542">
        <v>-754641</v>
      </c>
      <c r="BK151" s="542">
        <v>0</v>
      </c>
      <c r="BL151" s="542">
        <v>-3773202</v>
      </c>
      <c r="BM151" s="542">
        <v>1438926</v>
      </c>
      <c r="BN151" s="542">
        <v>863356</v>
      </c>
      <c r="BO151" s="542">
        <v>575571</v>
      </c>
      <c r="BP151" s="542">
        <v>0</v>
      </c>
      <c r="BQ151" s="542">
        <v>2877853</v>
      </c>
      <c r="BR151" s="542">
        <v>-1150452</v>
      </c>
      <c r="BS151" s="542">
        <v>-690271</v>
      </c>
      <c r="BT151" s="542">
        <v>-460181</v>
      </c>
      <c r="BU151" s="542">
        <v>0</v>
      </c>
      <c r="BV151" s="542">
        <v>-2300904</v>
      </c>
      <c r="BW151" s="542">
        <v>-1598126</v>
      </c>
      <c r="BX151" s="542">
        <v>-958876</v>
      </c>
      <c r="BY151" s="542">
        <v>-639251</v>
      </c>
      <c r="BZ151" s="542">
        <v>0</v>
      </c>
      <c r="CA151" s="542">
        <v>-3196253</v>
      </c>
    </row>
    <row r="152" spans="1:79" ht="12.75" x14ac:dyDescent="0.2">
      <c r="A152" s="93">
        <v>146</v>
      </c>
      <c r="B152" s="145" t="s">
        <v>170</v>
      </c>
      <c r="C152" s="141" t="s">
        <v>873</v>
      </c>
      <c r="D152" s="142" t="s">
        <v>874</v>
      </c>
      <c r="E152" s="149" t="s">
        <v>169</v>
      </c>
      <c r="F152" s="543">
        <v>0.5</v>
      </c>
      <c r="G152" s="543">
        <v>0.49</v>
      </c>
      <c r="H152" s="543">
        <v>0</v>
      </c>
      <c r="I152" s="543">
        <v>0.01</v>
      </c>
      <c r="J152" s="543">
        <v>1</v>
      </c>
      <c r="K152" s="542">
        <v>50068216</v>
      </c>
      <c r="L152" s="542">
        <v>49066852</v>
      </c>
      <c r="M152" s="542">
        <v>0</v>
      </c>
      <c r="N152" s="542">
        <v>1001364</v>
      </c>
      <c r="O152" s="542">
        <v>100136432</v>
      </c>
      <c r="P152" s="542">
        <v>0</v>
      </c>
      <c r="Q152" s="542">
        <v>0</v>
      </c>
      <c r="R152" s="542">
        <v>50068216</v>
      </c>
      <c r="S152" s="542">
        <v>613307</v>
      </c>
      <c r="T152" s="542">
        <v>613307</v>
      </c>
      <c r="U152" s="542">
        <v>0</v>
      </c>
      <c r="V152" s="542">
        <v>0</v>
      </c>
      <c r="W152" s="542">
        <v>0</v>
      </c>
      <c r="X152" s="542">
        <v>0</v>
      </c>
      <c r="Y152" s="542">
        <v>0</v>
      </c>
      <c r="Z152" s="542">
        <v>0</v>
      </c>
      <c r="AA152" s="542">
        <v>0</v>
      </c>
      <c r="AB152" s="542">
        <v>0</v>
      </c>
      <c r="AC152" s="542">
        <v>0</v>
      </c>
      <c r="AD152" s="542">
        <v>2757101</v>
      </c>
      <c r="AE152" s="542">
        <v>2701958</v>
      </c>
      <c r="AF152" s="542">
        <v>0</v>
      </c>
      <c r="AG152" s="542">
        <v>55142</v>
      </c>
      <c r="AH152" s="542">
        <v>5514201</v>
      </c>
      <c r="AI152" s="542">
        <v>-470486</v>
      </c>
      <c r="AJ152" s="542">
        <v>-461077</v>
      </c>
      <c r="AK152" s="542">
        <v>0</v>
      </c>
      <c r="AL152" s="542">
        <v>-9410</v>
      </c>
      <c r="AM152" s="542">
        <v>-940973</v>
      </c>
      <c r="AN152" s="542">
        <v>-1724108</v>
      </c>
      <c r="AO152" s="542">
        <v>-1689626</v>
      </c>
      <c r="AP152" s="542">
        <v>0</v>
      </c>
      <c r="AQ152" s="542">
        <v>-34482</v>
      </c>
      <c r="AR152" s="542">
        <v>-3448216</v>
      </c>
      <c r="AS152" s="542">
        <v>1023682</v>
      </c>
      <c r="AT152" s="542">
        <v>1003209</v>
      </c>
      <c r="AU152" s="542">
        <v>0</v>
      </c>
      <c r="AV152" s="542">
        <v>20474</v>
      </c>
      <c r="AW152" s="542">
        <v>2047365</v>
      </c>
      <c r="AX152" s="542">
        <v>-901196</v>
      </c>
      <c r="AY152" s="542">
        <v>-883172</v>
      </c>
      <c r="AZ152" s="542">
        <v>0</v>
      </c>
      <c r="BA152" s="542">
        <v>-18024</v>
      </c>
      <c r="BB152" s="542">
        <v>-1802392</v>
      </c>
      <c r="BC152" s="542">
        <v>-1601622</v>
      </c>
      <c r="BD152" s="542">
        <v>-1569589</v>
      </c>
      <c r="BE152" s="542">
        <v>0</v>
      </c>
      <c r="BF152" s="542">
        <v>-32032</v>
      </c>
      <c r="BG152" s="542">
        <v>-3203243</v>
      </c>
      <c r="BH152" s="542">
        <v>-3662067</v>
      </c>
      <c r="BI152" s="542">
        <v>-3588825</v>
      </c>
      <c r="BJ152" s="542">
        <v>0</v>
      </c>
      <c r="BK152" s="542">
        <v>-73241</v>
      </c>
      <c r="BL152" s="542">
        <v>-7324133</v>
      </c>
      <c r="BM152" s="542">
        <v>0</v>
      </c>
      <c r="BN152" s="542">
        <v>0</v>
      </c>
      <c r="BO152" s="542">
        <v>0</v>
      </c>
      <c r="BP152" s="542">
        <v>0</v>
      </c>
      <c r="BQ152" s="542">
        <v>0</v>
      </c>
      <c r="BR152" s="542">
        <v>-138434</v>
      </c>
      <c r="BS152" s="542">
        <v>-135665</v>
      </c>
      <c r="BT152" s="542">
        <v>0</v>
      </c>
      <c r="BU152" s="542">
        <v>-2769</v>
      </c>
      <c r="BV152" s="542">
        <v>-276868</v>
      </c>
      <c r="BW152" s="542">
        <v>-3800501</v>
      </c>
      <c r="BX152" s="542">
        <v>-3724490</v>
      </c>
      <c r="BY152" s="542">
        <v>0</v>
      </c>
      <c r="BZ152" s="542">
        <v>-76010</v>
      </c>
      <c r="CA152" s="542">
        <v>-7601001</v>
      </c>
    </row>
    <row r="153" spans="1:79" ht="12.75" x14ac:dyDescent="0.2">
      <c r="A153" s="93">
        <v>147</v>
      </c>
      <c r="B153" s="145" t="s">
        <v>172</v>
      </c>
      <c r="C153" s="141" t="s">
        <v>873</v>
      </c>
      <c r="D153" s="142" t="s">
        <v>868</v>
      </c>
      <c r="E153" s="149" t="s">
        <v>171</v>
      </c>
      <c r="F153" s="543">
        <v>0.5</v>
      </c>
      <c r="G153" s="543">
        <v>0.49</v>
      </c>
      <c r="H153" s="543">
        <v>0</v>
      </c>
      <c r="I153" s="543">
        <v>0.01</v>
      </c>
      <c r="J153" s="543">
        <v>1</v>
      </c>
      <c r="K153" s="542">
        <v>20430633</v>
      </c>
      <c r="L153" s="542">
        <v>20022021</v>
      </c>
      <c r="M153" s="542">
        <v>0</v>
      </c>
      <c r="N153" s="542">
        <v>408613</v>
      </c>
      <c r="O153" s="542">
        <v>40861267</v>
      </c>
      <c r="P153" s="542">
        <v>0</v>
      </c>
      <c r="Q153" s="542">
        <v>0</v>
      </c>
      <c r="R153" s="542">
        <v>20430633</v>
      </c>
      <c r="S153" s="542">
        <v>139232</v>
      </c>
      <c r="T153" s="542">
        <v>139232</v>
      </c>
      <c r="U153" s="542">
        <v>0</v>
      </c>
      <c r="V153" s="542">
        <v>0</v>
      </c>
      <c r="W153" s="542">
        <v>0</v>
      </c>
      <c r="X153" s="542">
        <v>0</v>
      </c>
      <c r="Y153" s="542">
        <v>0</v>
      </c>
      <c r="Z153" s="542">
        <v>0</v>
      </c>
      <c r="AA153" s="542">
        <v>0</v>
      </c>
      <c r="AB153" s="542">
        <v>0</v>
      </c>
      <c r="AC153" s="542">
        <v>0</v>
      </c>
      <c r="AD153" s="542">
        <v>1960522</v>
      </c>
      <c r="AE153" s="542">
        <v>1921312</v>
      </c>
      <c r="AF153" s="542">
        <v>0</v>
      </c>
      <c r="AG153" s="542">
        <v>39210</v>
      </c>
      <c r="AH153" s="542">
        <v>3921044</v>
      </c>
      <c r="AI153" s="542">
        <v>-604221</v>
      </c>
      <c r="AJ153" s="542">
        <v>-592136</v>
      </c>
      <c r="AK153" s="542">
        <v>0</v>
      </c>
      <c r="AL153" s="542">
        <v>-12084</v>
      </c>
      <c r="AM153" s="542">
        <v>-1208441</v>
      </c>
      <c r="AN153" s="542">
        <v>-479286</v>
      </c>
      <c r="AO153" s="542">
        <v>-469700</v>
      </c>
      <c r="AP153" s="542">
        <v>0</v>
      </c>
      <c r="AQ153" s="542">
        <v>-9586</v>
      </c>
      <c r="AR153" s="542">
        <v>-958572</v>
      </c>
      <c r="AS153" s="542">
        <v>23687</v>
      </c>
      <c r="AT153" s="542">
        <v>23214</v>
      </c>
      <c r="AU153" s="542">
        <v>0</v>
      </c>
      <c r="AV153" s="542">
        <v>474</v>
      </c>
      <c r="AW153" s="542">
        <v>47375</v>
      </c>
      <c r="AX153" s="542">
        <v>-112722</v>
      </c>
      <c r="AY153" s="542">
        <v>-110468</v>
      </c>
      <c r="AZ153" s="542">
        <v>0</v>
      </c>
      <c r="BA153" s="542">
        <v>-2254</v>
      </c>
      <c r="BB153" s="542">
        <v>-225444</v>
      </c>
      <c r="BC153" s="542">
        <v>-568321</v>
      </c>
      <c r="BD153" s="542">
        <v>-556954</v>
      </c>
      <c r="BE153" s="542">
        <v>0</v>
      </c>
      <c r="BF153" s="542">
        <v>-11366</v>
      </c>
      <c r="BG153" s="542">
        <v>-1136641</v>
      </c>
      <c r="BH153" s="542">
        <v>-6521948.5</v>
      </c>
      <c r="BI153" s="542">
        <v>-6391510</v>
      </c>
      <c r="BJ153" s="542">
        <v>0</v>
      </c>
      <c r="BK153" s="542">
        <v>-130439</v>
      </c>
      <c r="BL153" s="542">
        <v>-13043897</v>
      </c>
      <c r="BM153" s="542">
        <v>2151431</v>
      </c>
      <c r="BN153" s="542">
        <v>2108403</v>
      </c>
      <c r="BO153" s="542">
        <v>0</v>
      </c>
      <c r="BP153" s="542">
        <v>43029</v>
      </c>
      <c r="BQ153" s="542">
        <v>4302863</v>
      </c>
      <c r="BR153" s="542">
        <v>-852670</v>
      </c>
      <c r="BS153" s="542">
        <v>-835617</v>
      </c>
      <c r="BT153" s="542">
        <v>0</v>
      </c>
      <c r="BU153" s="542">
        <v>-17053</v>
      </c>
      <c r="BV153" s="542">
        <v>-1705340</v>
      </c>
      <c r="BW153" s="542">
        <v>-5223187.5</v>
      </c>
      <c r="BX153" s="542">
        <v>-5118724</v>
      </c>
      <c r="BY153" s="542">
        <v>0</v>
      </c>
      <c r="BZ153" s="542">
        <v>-104463</v>
      </c>
      <c r="CA153" s="542">
        <v>-10446374</v>
      </c>
    </row>
    <row r="154" spans="1:79" ht="12.75" x14ac:dyDescent="0.2">
      <c r="A154" s="93">
        <v>148</v>
      </c>
      <c r="B154" s="145" t="s">
        <v>174</v>
      </c>
      <c r="C154" s="141" t="s">
        <v>877</v>
      </c>
      <c r="D154" s="142" t="s">
        <v>872</v>
      </c>
      <c r="E154" s="149" t="s">
        <v>173</v>
      </c>
      <c r="F154" s="543">
        <v>0.5</v>
      </c>
      <c r="G154" s="543">
        <v>0.3</v>
      </c>
      <c r="H154" s="543">
        <v>0.2</v>
      </c>
      <c r="I154" s="543">
        <v>0</v>
      </c>
      <c r="J154" s="543">
        <v>1</v>
      </c>
      <c r="K154" s="542">
        <v>55806759</v>
      </c>
      <c r="L154" s="542">
        <v>33484055</v>
      </c>
      <c r="M154" s="542">
        <v>22322704</v>
      </c>
      <c r="N154" s="542">
        <v>0</v>
      </c>
      <c r="O154" s="542">
        <v>111613518</v>
      </c>
      <c r="P154" s="542">
        <v>0</v>
      </c>
      <c r="Q154" s="542">
        <v>0</v>
      </c>
      <c r="R154" s="542">
        <v>55806759</v>
      </c>
      <c r="S154" s="542">
        <v>481327</v>
      </c>
      <c r="T154" s="542">
        <v>481327</v>
      </c>
      <c r="U154" s="542">
        <v>0</v>
      </c>
      <c r="V154" s="542">
        <v>0</v>
      </c>
      <c r="W154" s="542">
        <v>0</v>
      </c>
      <c r="X154" s="542">
        <v>0</v>
      </c>
      <c r="Y154" s="542">
        <v>0</v>
      </c>
      <c r="Z154" s="542">
        <v>0</v>
      </c>
      <c r="AA154" s="542">
        <v>0</v>
      </c>
      <c r="AB154" s="542">
        <v>0</v>
      </c>
      <c r="AC154" s="542">
        <v>0</v>
      </c>
      <c r="AD154" s="542">
        <v>2800550</v>
      </c>
      <c r="AE154" s="542">
        <v>1680330</v>
      </c>
      <c r="AF154" s="542">
        <v>1120220</v>
      </c>
      <c r="AG154" s="542">
        <v>0</v>
      </c>
      <c r="AH154" s="542">
        <v>5601100</v>
      </c>
      <c r="AI154" s="542">
        <v>-3746536</v>
      </c>
      <c r="AJ154" s="542">
        <v>-2247922</v>
      </c>
      <c r="AK154" s="542">
        <v>-1498615</v>
      </c>
      <c r="AL154" s="542">
        <v>0</v>
      </c>
      <c r="AM154" s="542">
        <v>-7493073</v>
      </c>
      <c r="AN154" s="542">
        <v>-1763976</v>
      </c>
      <c r="AO154" s="542">
        <v>-1058386</v>
      </c>
      <c r="AP154" s="542">
        <v>-705590</v>
      </c>
      <c r="AQ154" s="542">
        <v>0</v>
      </c>
      <c r="AR154" s="542">
        <v>-3527952</v>
      </c>
      <c r="AS154" s="542">
        <v>371442</v>
      </c>
      <c r="AT154" s="542">
        <v>222866</v>
      </c>
      <c r="AU154" s="542">
        <v>148577</v>
      </c>
      <c r="AV154" s="542">
        <v>0</v>
      </c>
      <c r="AW154" s="542">
        <v>742885</v>
      </c>
      <c r="AX154" s="542">
        <v>-398922</v>
      </c>
      <c r="AY154" s="542">
        <v>-239354</v>
      </c>
      <c r="AZ154" s="542">
        <v>-159569</v>
      </c>
      <c r="BA154" s="542">
        <v>0</v>
      </c>
      <c r="BB154" s="542">
        <v>-797845</v>
      </c>
      <c r="BC154" s="542">
        <v>-1791456</v>
      </c>
      <c r="BD154" s="542">
        <v>-1074874</v>
      </c>
      <c r="BE154" s="542">
        <v>-716582</v>
      </c>
      <c r="BF154" s="542">
        <v>0</v>
      </c>
      <c r="BG154" s="542">
        <v>-3582912</v>
      </c>
      <c r="BH154" s="542">
        <v>-6428737</v>
      </c>
      <c r="BI154" s="542">
        <v>-3857242</v>
      </c>
      <c r="BJ154" s="542">
        <v>-2571494</v>
      </c>
      <c r="BK154" s="542">
        <v>0</v>
      </c>
      <c r="BL154" s="542">
        <v>-12857473</v>
      </c>
      <c r="BM154" s="542">
        <v>1578991</v>
      </c>
      <c r="BN154" s="542">
        <v>947395</v>
      </c>
      <c r="BO154" s="542">
        <v>631596</v>
      </c>
      <c r="BP154" s="542">
        <v>0</v>
      </c>
      <c r="BQ154" s="542">
        <v>3157982</v>
      </c>
      <c r="BR154" s="542">
        <v>-6006102</v>
      </c>
      <c r="BS154" s="542">
        <v>-3603661</v>
      </c>
      <c r="BT154" s="542">
        <v>-2402441</v>
      </c>
      <c r="BU154" s="542">
        <v>0</v>
      </c>
      <c r="BV154" s="542">
        <v>-12012204</v>
      </c>
      <c r="BW154" s="542">
        <v>-10855848</v>
      </c>
      <c r="BX154" s="542">
        <v>-6513508</v>
      </c>
      <c r="BY154" s="542">
        <v>-4342339</v>
      </c>
      <c r="BZ154" s="542">
        <v>0</v>
      </c>
      <c r="CA154" s="542">
        <v>-21711695</v>
      </c>
    </row>
    <row r="155" spans="1:79" ht="12.75" x14ac:dyDescent="0.2">
      <c r="A155" s="93">
        <v>149</v>
      </c>
      <c r="B155" s="145" t="s">
        <v>176</v>
      </c>
      <c r="C155" s="141" t="s">
        <v>866</v>
      </c>
      <c r="D155" s="142" t="s">
        <v>868</v>
      </c>
      <c r="E155" s="149" t="s">
        <v>175</v>
      </c>
      <c r="F155" s="543">
        <v>0.5</v>
      </c>
      <c r="G155" s="543">
        <v>0.4</v>
      </c>
      <c r="H155" s="543">
        <v>0.09</v>
      </c>
      <c r="I155" s="543">
        <v>0.01</v>
      </c>
      <c r="J155" s="543">
        <v>1</v>
      </c>
      <c r="K155" s="542">
        <v>24503376</v>
      </c>
      <c r="L155" s="542">
        <v>19602701</v>
      </c>
      <c r="M155" s="542">
        <v>4410608</v>
      </c>
      <c r="N155" s="542">
        <v>490068</v>
      </c>
      <c r="O155" s="542">
        <v>49006753</v>
      </c>
      <c r="P155" s="542">
        <v>0</v>
      </c>
      <c r="Q155" s="542">
        <v>0</v>
      </c>
      <c r="R155" s="542">
        <v>24503376</v>
      </c>
      <c r="S155" s="542">
        <v>228713</v>
      </c>
      <c r="T155" s="542">
        <v>228713</v>
      </c>
      <c r="U155" s="542">
        <v>0</v>
      </c>
      <c r="V155" s="542">
        <v>0</v>
      </c>
      <c r="W155" s="542">
        <v>661870</v>
      </c>
      <c r="X155" s="542">
        <v>0</v>
      </c>
      <c r="Y155" s="542">
        <v>661870</v>
      </c>
      <c r="Z155" s="542">
        <v>0</v>
      </c>
      <c r="AA155" s="542">
        <v>0</v>
      </c>
      <c r="AB155" s="542">
        <v>0</v>
      </c>
      <c r="AC155" s="542">
        <v>0</v>
      </c>
      <c r="AD155" s="542">
        <v>444019</v>
      </c>
      <c r="AE155" s="542">
        <v>355216</v>
      </c>
      <c r="AF155" s="542">
        <v>79924</v>
      </c>
      <c r="AG155" s="542">
        <v>8880</v>
      </c>
      <c r="AH155" s="542">
        <v>888039</v>
      </c>
      <c r="AI155" s="542">
        <v>-172684</v>
      </c>
      <c r="AJ155" s="542">
        <v>-138148</v>
      </c>
      <c r="AK155" s="542">
        <v>-31083</v>
      </c>
      <c r="AL155" s="542">
        <v>-3454</v>
      </c>
      <c r="AM155" s="542">
        <v>-345369</v>
      </c>
      <c r="AN155" s="542">
        <v>-129235</v>
      </c>
      <c r="AO155" s="542">
        <v>-103388</v>
      </c>
      <c r="AP155" s="542">
        <v>-23262</v>
      </c>
      <c r="AQ155" s="542">
        <v>-2585</v>
      </c>
      <c r="AR155" s="542">
        <v>-258470</v>
      </c>
      <c r="AS155" s="542">
        <v>0</v>
      </c>
      <c r="AT155" s="542">
        <v>0</v>
      </c>
      <c r="AU155" s="542">
        <v>0</v>
      </c>
      <c r="AV155" s="542">
        <v>0</v>
      </c>
      <c r="AW155" s="542">
        <v>0</v>
      </c>
      <c r="AX155" s="542">
        <v>47886</v>
      </c>
      <c r="AY155" s="542">
        <v>38310</v>
      </c>
      <c r="AZ155" s="542">
        <v>8620</v>
      </c>
      <c r="BA155" s="542">
        <v>958</v>
      </c>
      <c r="BB155" s="542">
        <v>95774</v>
      </c>
      <c r="BC155" s="542">
        <v>-81349</v>
      </c>
      <c r="BD155" s="542">
        <v>-65078</v>
      </c>
      <c r="BE155" s="542">
        <v>-14642</v>
      </c>
      <c r="BF155" s="542">
        <v>-1627</v>
      </c>
      <c r="BG155" s="542">
        <v>-162696</v>
      </c>
      <c r="BH155" s="542">
        <v>-4521151</v>
      </c>
      <c r="BI155" s="542">
        <v>-3616920</v>
      </c>
      <c r="BJ155" s="542">
        <v>-813807</v>
      </c>
      <c r="BK155" s="542">
        <v>-90423</v>
      </c>
      <c r="BL155" s="542">
        <v>-9042301</v>
      </c>
      <c r="BM155" s="542">
        <v>0</v>
      </c>
      <c r="BN155" s="542">
        <v>0</v>
      </c>
      <c r="BO155" s="542">
        <v>0</v>
      </c>
      <c r="BP155" s="542">
        <v>0</v>
      </c>
      <c r="BQ155" s="542">
        <v>0</v>
      </c>
      <c r="BR155" s="542">
        <v>-9399059</v>
      </c>
      <c r="BS155" s="542">
        <v>-7519247</v>
      </c>
      <c r="BT155" s="542">
        <v>-1691831</v>
      </c>
      <c r="BU155" s="542">
        <v>-187981</v>
      </c>
      <c r="BV155" s="542">
        <v>-18798118</v>
      </c>
      <c r="BW155" s="542">
        <v>-13920210</v>
      </c>
      <c r="BX155" s="542">
        <v>-11136167</v>
      </c>
      <c r="BY155" s="542">
        <v>-2505638</v>
      </c>
      <c r="BZ155" s="542">
        <v>-278404</v>
      </c>
      <c r="CA155" s="542">
        <v>-27840419</v>
      </c>
    </row>
    <row r="156" spans="1:79" ht="12.75" x14ac:dyDescent="0.2">
      <c r="A156" s="93">
        <v>150</v>
      </c>
      <c r="B156" s="145" t="s">
        <v>178</v>
      </c>
      <c r="C156" s="141" t="s">
        <v>873</v>
      </c>
      <c r="D156" s="142" t="s">
        <v>874</v>
      </c>
      <c r="E156" s="149" t="s">
        <v>177</v>
      </c>
      <c r="F156" s="543">
        <v>0.5</v>
      </c>
      <c r="G156" s="543">
        <v>0.49</v>
      </c>
      <c r="H156" s="543">
        <v>0</v>
      </c>
      <c r="I156" s="543">
        <v>0.01</v>
      </c>
      <c r="J156" s="543">
        <v>1</v>
      </c>
      <c r="K156" s="542">
        <v>165978222</v>
      </c>
      <c r="L156" s="542">
        <v>162658658</v>
      </c>
      <c r="M156" s="542">
        <v>0</v>
      </c>
      <c r="N156" s="542">
        <v>3319564</v>
      </c>
      <c r="O156" s="542">
        <v>331956444</v>
      </c>
      <c r="P156" s="542">
        <v>192498.04</v>
      </c>
      <c r="Q156" s="542">
        <v>192498.04</v>
      </c>
      <c r="R156" s="542">
        <v>165785723</v>
      </c>
      <c r="S156" s="542">
        <v>1235172</v>
      </c>
      <c r="T156" s="542">
        <v>1235172</v>
      </c>
      <c r="U156" s="542">
        <v>0</v>
      </c>
      <c r="V156" s="542">
        <v>0</v>
      </c>
      <c r="W156" s="542">
        <v>0</v>
      </c>
      <c r="X156" s="542">
        <v>0</v>
      </c>
      <c r="Y156" s="542">
        <v>0</v>
      </c>
      <c r="Z156" s="542">
        <v>192498.04</v>
      </c>
      <c r="AA156" s="542">
        <v>0</v>
      </c>
      <c r="AB156" s="542">
        <v>0</v>
      </c>
      <c r="AC156" s="542">
        <v>192498.04</v>
      </c>
      <c r="AD156" s="542">
        <v>8049774</v>
      </c>
      <c r="AE156" s="542">
        <v>7888778</v>
      </c>
      <c r="AF156" s="542">
        <v>0</v>
      </c>
      <c r="AG156" s="542">
        <v>160995</v>
      </c>
      <c r="AH156" s="542">
        <v>16099547</v>
      </c>
      <c r="AI156" s="542">
        <v>-3561981</v>
      </c>
      <c r="AJ156" s="542">
        <v>-3490742</v>
      </c>
      <c r="AK156" s="542">
        <v>0</v>
      </c>
      <c r="AL156" s="542">
        <v>-71240</v>
      </c>
      <c r="AM156" s="542">
        <v>-7123963</v>
      </c>
      <c r="AN156" s="542">
        <v>-2650000</v>
      </c>
      <c r="AO156" s="542">
        <v>-2597000</v>
      </c>
      <c r="AP156" s="542">
        <v>0</v>
      </c>
      <c r="AQ156" s="542">
        <v>-53000</v>
      </c>
      <c r="AR156" s="542">
        <v>-5300000</v>
      </c>
      <c r="AS156" s="542">
        <v>1347998</v>
      </c>
      <c r="AT156" s="542">
        <v>1321038</v>
      </c>
      <c r="AU156" s="542">
        <v>0</v>
      </c>
      <c r="AV156" s="542">
        <v>26960</v>
      </c>
      <c r="AW156" s="542">
        <v>2695996</v>
      </c>
      <c r="AX156" s="542">
        <v>-2182998</v>
      </c>
      <c r="AY156" s="542">
        <v>-2139338</v>
      </c>
      <c r="AZ156" s="542">
        <v>0</v>
      </c>
      <c r="BA156" s="542">
        <v>-43660</v>
      </c>
      <c r="BB156" s="542">
        <v>-4365996</v>
      </c>
      <c r="BC156" s="542">
        <v>-3485000</v>
      </c>
      <c r="BD156" s="542">
        <v>-3415300</v>
      </c>
      <c r="BE156" s="542">
        <v>0</v>
      </c>
      <c r="BF156" s="542">
        <v>-69700</v>
      </c>
      <c r="BG156" s="542">
        <v>-6970000</v>
      </c>
      <c r="BH156" s="542">
        <v>-11547633</v>
      </c>
      <c r="BI156" s="542">
        <v>-11316680</v>
      </c>
      <c r="BJ156" s="542">
        <v>0</v>
      </c>
      <c r="BK156" s="542">
        <v>-230952</v>
      </c>
      <c r="BL156" s="542">
        <v>-23095265</v>
      </c>
      <c r="BM156" s="542">
        <v>11294546</v>
      </c>
      <c r="BN156" s="542">
        <v>11068656</v>
      </c>
      <c r="BO156" s="542">
        <v>0</v>
      </c>
      <c r="BP156" s="542">
        <v>225891</v>
      </c>
      <c r="BQ156" s="542">
        <v>22589093</v>
      </c>
      <c r="BR156" s="542">
        <v>-20483399</v>
      </c>
      <c r="BS156" s="542">
        <v>-20073732</v>
      </c>
      <c r="BT156" s="542">
        <v>0</v>
      </c>
      <c r="BU156" s="542">
        <v>-409668</v>
      </c>
      <c r="BV156" s="542">
        <v>-40966799</v>
      </c>
      <c r="BW156" s="542">
        <v>-20736486</v>
      </c>
      <c r="BX156" s="542">
        <v>-20321756</v>
      </c>
      <c r="BY156" s="542">
        <v>0</v>
      </c>
      <c r="BZ156" s="542">
        <v>-414729</v>
      </c>
      <c r="CA156" s="542">
        <v>-41472971</v>
      </c>
    </row>
    <row r="157" spans="1:79" ht="12.75" x14ac:dyDescent="0.2">
      <c r="A157" s="93">
        <v>151</v>
      </c>
      <c r="B157" s="145" t="s">
        <v>180</v>
      </c>
      <c r="C157" s="141" t="s">
        <v>770</v>
      </c>
      <c r="D157" s="142" t="s">
        <v>869</v>
      </c>
      <c r="E157" s="149" t="s">
        <v>703</v>
      </c>
      <c r="F157" s="543">
        <v>0.5</v>
      </c>
      <c r="G157" s="543">
        <v>0.49</v>
      </c>
      <c r="H157" s="543">
        <v>0</v>
      </c>
      <c r="I157" s="543">
        <v>0.01</v>
      </c>
      <c r="J157" s="543">
        <v>1</v>
      </c>
      <c r="K157" s="542">
        <v>47255853</v>
      </c>
      <c r="L157" s="542">
        <v>46310735</v>
      </c>
      <c r="M157" s="542">
        <v>0</v>
      </c>
      <c r="N157" s="542">
        <v>945117</v>
      </c>
      <c r="O157" s="542">
        <v>94511705</v>
      </c>
      <c r="P157" s="542">
        <v>0</v>
      </c>
      <c r="Q157" s="542">
        <v>0</v>
      </c>
      <c r="R157" s="542">
        <v>47255853</v>
      </c>
      <c r="S157" s="542">
        <v>489707</v>
      </c>
      <c r="T157" s="542">
        <v>489707</v>
      </c>
      <c r="U157" s="542">
        <v>0</v>
      </c>
      <c r="V157" s="542">
        <v>0</v>
      </c>
      <c r="W157" s="542">
        <v>0</v>
      </c>
      <c r="X157" s="542">
        <v>0</v>
      </c>
      <c r="Y157" s="542">
        <v>0</v>
      </c>
      <c r="Z157" s="542">
        <v>0</v>
      </c>
      <c r="AA157" s="542">
        <v>0</v>
      </c>
      <c r="AB157" s="542">
        <v>0</v>
      </c>
      <c r="AC157" s="542">
        <v>0</v>
      </c>
      <c r="AD157" s="542">
        <v>3263049</v>
      </c>
      <c r="AE157" s="542">
        <v>3197788</v>
      </c>
      <c r="AF157" s="542">
        <v>0</v>
      </c>
      <c r="AG157" s="542">
        <v>65261</v>
      </c>
      <c r="AH157" s="542">
        <v>6526098</v>
      </c>
      <c r="AI157" s="542">
        <v>-485003</v>
      </c>
      <c r="AJ157" s="542">
        <v>-475303</v>
      </c>
      <c r="AK157" s="542">
        <v>0</v>
      </c>
      <c r="AL157" s="542">
        <v>-9700</v>
      </c>
      <c r="AM157" s="542">
        <v>-970006</v>
      </c>
      <c r="AN157" s="542">
        <v>-1422142</v>
      </c>
      <c r="AO157" s="542">
        <v>-1393699</v>
      </c>
      <c r="AP157" s="542">
        <v>0</v>
      </c>
      <c r="AQ157" s="542">
        <v>-28442</v>
      </c>
      <c r="AR157" s="542">
        <v>-2844283</v>
      </c>
      <c r="AS157" s="542">
        <v>734455</v>
      </c>
      <c r="AT157" s="542">
        <v>719765</v>
      </c>
      <c r="AU157" s="542">
        <v>0</v>
      </c>
      <c r="AV157" s="542">
        <v>14689</v>
      </c>
      <c r="AW157" s="542">
        <v>1468909</v>
      </c>
      <c r="AX157" s="542">
        <v>-731644</v>
      </c>
      <c r="AY157" s="542">
        <v>-717011</v>
      </c>
      <c r="AZ157" s="542">
        <v>0</v>
      </c>
      <c r="BA157" s="542">
        <v>-14633</v>
      </c>
      <c r="BB157" s="542">
        <v>-1463288</v>
      </c>
      <c r="BC157" s="542">
        <v>-1419331</v>
      </c>
      <c r="BD157" s="542">
        <v>-1390945</v>
      </c>
      <c r="BE157" s="542">
        <v>0</v>
      </c>
      <c r="BF157" s="542">
        <v>-28386</v>
      </c>
      <c r="BG157" s="542">
        <v>-2838662</v>
      </c>
      <c r="BH157" s="542">
        <v>-3625296</v>
      </c>
      <c r="BI157" s="542">
        <v>-3552791</v>
      </c>
      <c r="BJ157" s="542">
        <v>0</v>
      </c>
      <c r="BK157" s="542">
        <v>-72506</v>
      </c>
      <c r="BL157" s="542">
        <v>-7250593</v>
      </c>
      <c r="BM157" s="542">
        <v>1483392</v>
      </c>
      <c r="BN157" s="542">
        <v>1453725</v>
      </c>
      <c r="BO157" s="542">
        <v>0</v>
      </c>
      <c r="BP157" s="542">
        <v>29668</v>
      </c>
      <c r="BQ157" s="542">
        <v>2966785</v>
      </c>
      <c r="BR157" s="542">
        <v>-2671705</v>
      </c>
      <c r="BS157" s="542">
        <v>-2618270</v>
      </c>
      <c r="BT157" s="542">
        <v>0</v>
      </c>
      <c r="BU157" s="542">
        <v>-53434</v>
      </c>
      <c r="BV157" s="542">
        <v>-5343409</v>
      </c>
      <c r="BW157" s="542">
        <v>-4813609</v>
      </c>
      <c r="BX157" s="542">
        <v>-4717336</v>
      </c>
      <c r="BY157" s="542">
        <v>0</v>
      </c>
      <c r="BZ157" s="542">
        <v>-96272</v>
      </c>
      <c r="CA157" s="542">
        <v>-9627217</v>
      </c>
    </row>
    <row r="158" spans="1:79" ht="12.75" x14ac:dyDescent="0.2">
      <c r="A158" s="93">
        <v>152</v>
      </c>
      <c r="B158" s="145" t="s">
        <v>182</v>
      </c>
      <c r="C158" s="141" t="s">
        <v>866</v>
      </c>
      <c r="D158" s="142" t="s">
        <v>867</v>
      </c>
      <c r="E158" s="149" t="s">
        <v>181</v>
      </c>
      <c r="F158" s="543">
        <v>0.5</v>
      </c>
      <c r="G158" s="543">
        <v>0.4</v>
      </c>
      <c r="H158" s="543">
        <v>0.09</v>
      </c>
      <c r="I158" s="543">
        <v>0.01</v>
      </c>
      <c r="J158" s="543">
        <v>1</v>
      </c>
      <c r="K158" s="542">
        <v>11757275</v>
      </c>
      <c r="L158" s="542">
        <v>9405820</v>
      </c>
      <c r="M158" s="542">
        <v>2116310</v>
      </c>
      <c r="N158" s="542">
        <v>235146</v>
      </c>
      <c r="O158" s="542">
        <v>23514551</v>
      </c>
      <c r="P158" s="542">
        <v>0</v>
      </c>
      <c r="Q158" s="542">
        <v>0</v>
      </c>
      <c r="R158" s="542">
        <v>11757275</v>
      </c>
      <c r="S158" s="542">
        <v>128644</v>
      </c>
      <c r="T158" s="542">
        <v>128644</v>
      </c>
      <c r="U158" s="542">
        <v>0</v>
      </c>
      <c r="V158" s="542">
        <v>0</v>
      </c>
      <c r="W158" s="542">
        <v>0</v>
      </c>
      <c r="X158" s="542">
        <v>0</v>
      </c>
      <c r="Y158" s="542">
        <v>0</v>
      </c>
      <c r="Z158" s="542">
        <v>0</v>
      </c>
      <c r="AA158" s="542">
        <v>0</v>
      </c>
      <c r="AB158" s="542">
        <v>0</v>
      </c>
      <c r="AC158" s="542">
        <v>0</v>
      </c>
      <c r="AD158" s="542">
        <v>312753</v>
      </c>
      <c r="AE158" s="542">
        <v>250203</v>
      </c>
      <c r="AF158" s="542">
        <v>56296</v>
      </c>
      <c r="AG158" s="542">
        <v>6255</v>
      </c>
      <c r="AH158" s="542">
        <v>625507</v>
      </c>
      <c r="AI158" s="542">
        <v>-26833</v>
      </c>
      <c r="AJ158" s="542">
        <v>-21466</v>
      </c>
      <c r="AK158" s="542">
        <v>-4830</v>
      </c>
      <c r="AL158" s="542">
        <v>-537</v>
      </c>
      <c r="AM158" s="542">
        <v>-53666</v>
      </c>
      <c r="AN158" s="542">
        <v>-94771</v>
      </c>
      <c r="AO158" s="542">
        <v>-75816</v>
      </c>
      <c r="AP158" s="542">
        <v>-17059</v>
      </c>
      <c r="AQ158" s="542">
        <v>-1895</v>
      </c>
      <c r="AR158" s="542">
        <v>-189541</v>
      </c>
      <c r="AS158" s="542">
        <v>79217</v>
      </c>
      <c r="AT158" s="542">
        <v>63373</v>
      </c>
      <c r="AU158" s="542">
        <v>14259</v>
      </c>
      <c r="AV158" s="542">
        <v>1584</v>
      </c>
      <c r="AW158" s="542">
        <v>158433</v>
      </c>
      <c r="AX158" s="542">
        <v>-56858</v>
      </c>
      <c r="AY158" s="542">
        <v>-45486</v>
      </c>
      <c r="AZ158" s="542">
        <v>-10234</v>
      </c>
      <c r="BA158" s="542">
        <v>-1137</v>
      </c>
      <c r="BB158" s="542">
        <v>-113715</v>
      </c>
      <c r="BC158" s="542">
        <v>-72412</v>
      </c>
      <c r="BD158" s="542">
        <v>-57929</v>
      </c>
      <c r="BE158" s="542">
        <v>-13034</v>
      </c>
      <c r="BF158" s="542">
        <v>-1448</v>
      </c>
      <c r="BG158" s="542">
        <v>-144823</v>
      </c>
      <c r="BH158" s="542">
        <v>-521113</v>
      </c>
      <c r="BI158" s="542">
        <v>-416890</v>
      </c>
      <c r="BJ158" s="542">
        <v>-93800</v>
      </c>
      <c r="BK158" s="542">
        <v>-10422</v>
      </c>
      <c r="BL158" s="542">
        <v>-1042225</v>
      </c>
      <c r="BM158" s="542">
        <v>0</v>
      </c>
      <c r="BN158" s="542">
        <v>0</v>
      </c>
      <c r="BO158" s="542">
        <v>0</v>
      </c>
      <c r="BP158" s="542">
        <v>0</v>
      </c>
      <c r="BQ158" s="542">
        <v>0</v>
      </c>
      <c r="BR158" s="542">
        <v>-302387</v>
      </c>
      <c r="BS158" s="542">
        <v>-241910</v>
      </c>
      <c r="BT158" s="542">
        <v>-54430</v>
      </c>
      <c r="BU158" s="542">
        <v>-6048</v>
      </c>
      <c r="BV158" s="542">
        <v>-604775</v>
      </c>
      <c r="BW158" s="542">
        <v>-823500</v>
      </c>
      <c r="BX158" s="542">
        <v>-658800</v>
      </c>
      <c r="BY158" s="542">
        <v>-148230</v>
      </c>
      <c r="BZ158" s="542">
        <v>-16470</v>
      </c>
      <c r="CA158" s="542">
        <v>-1647000</v>
      </c>
    </row>
    <row r="159" spans="1:79" ht="12.75" x14ac:dyDescent="0.2">
      <c r="A159" s="93">
        <v>153</v>
      </c>
      <c r="B159" s="145" t="s">
        <v>184</v>
      </c>
      <c r="C159" s="141" t="s">
        <v>877</v>
      </c>
      <c r="D159" s="142" t="s">
        <v>872</v>
      </c>
      <c r="E159" s="149" t="s">
        <v>183</v>
      </c>
      <c r="F159" s="543">
        <v>0.5</v>
      </c>
      <c r="G159" s="543">
        <v>0.3</v>
      </c>
      <c r="H159" s="543">
        <v>0.2</v>
      </c>
      <c r="I159" s="543">
        <v>0</v>
      </c>
      <c r="J159" s="543">
        <v>1</v>
      </c>
      <c r="K159" s="542">
        <v>24571504</v>
      </c>
      <c r="L159" s="542">
        <v>14742902</v>
      </c>
      <c r="M159" s="542">
        <v>9828601</v>
      </c>
      <c r="N159" s="542">
        <v>0</v>
      </c>
      <c r="O159" s="542">
        <v>49143007</v>
      </c>
      <c r="P159" s="542">
        <v>0</v>
      </c>
      <c r="Q159" s="542">
        <v>0</v>
      </c>
      <c r="R159" s="542">
        <v>24571504</v>
      </c>
      <c r="S159" s="542">
        <v>306394</v>
      </c>
      <c r="T159" s="542">
        <v>306394</v>
      </c>
      <c r="U159" s="542">
        <v>0</v>
      </c>
      <c r="V159" s="542">
        <v>0</v>
      </c>
      <c r="W159" s="542">
        <v>0</v>
      </c>
      <c r="X159" s="542">
        <v>0</v>
      </c>
      <c r="Y159" s="542">
        <v>0</v>
      </c>
      <c r="Z159" s="542">
        <v>0</v>
      </c>
      <c r="AA159" s="542">
        <v>0</v>
      </c>
      <c r="AB159" s="542">
        <v>0</v>
      </c>
      <c r="AC159" s="542">
        <v>0</v>
      </c>
      <c r="AD159" s="542">
        <v>2403624</v>
      </c>
      <c r="AE159" s="542">
        <v>1442174</v>
      </c>
      <c r="AF159" s="542">
        <v>961449</v>
      </c>
      <c r="AG159" s="542">
        <v>0</v>
      </c>
      <c r="AH159" s="542">
        <v>4807247</v>
      </c>
      <c r="AI159" s="542">
        <v>-2265101</v>
      </c>
      <c r="AJ159" s="542">
        <v>-1359060</v>
      </c>
      <c r="AK159" s="542">
        <v>-906040</v>
      </c>
      <c r="AL159" s="542">
        <v>0</v>
      </c>
      <c r="AM159" s="542">
        <v>-4530201</v>
      </c>
      <c r="AN159" s="542">
        <v>-1277476.5</v>
      </c>
      <c r="AO159" s="542">
        <v>-766487</v>
      </c>
      <c r="AP159" s="542">
        <v>-510991</v>
      </c>
      <c r="AQ159" s="542">
        <v>0</v>
      </c>
      <c r="AR159" s="542">
        <v>-2554954.5</v>
      </c>
      <c r="AS159" s="542">
        <v>267971</v>
      </c>
      <c r="AT159" s="542">
        <v>160783</v>
      </c>
      <c r="AU159" s="542">
        <v>107189</v>
      </c>
      <c r="AV159" s="542">
        <v>0</v>
      </c>
      <c r="AW159" s="542">
        <v>535943</v>
      </c>
      <c r="AX159" s="542">
        <v>-544596</v>
      </c>
      <c r="AY159" s="542">
        <v>-326758</v>
      </c>
      <c r="AZ159" s="542">
        <v>-217838</v>
      </c>
      <c r="BA159" s="542">
        <v>0</v>
      </c>
      <c r="BB159" s="542">
        <v>-1089192</v>
      </c>
      <c r="BC159" s="542">
        <v>-1554101.5</v>
      </c>
      <c r="BD159" s="542">
        <v>-932462</v>
      </c>
      <c r="BE159" s="542">
        <v>-621640</v>
      </c>
      <c r="BF159" s="542">
        <v>0</v>
      </c>
      <c r="BG159" s="542">
        <v>-3108203.5</v>
      </c>
      <c r="BH159" s="542">
        <v>-1124215</v>
      </c>
      <c r="BI159" s="542">
        <v>-674530</v>
      </c>
      <c r="BJ159" s="542">
        <v>-449686</v>
      </c>
      <c r="BK159" s="542">
        <v>0</v>
      </c>
      <c r="BL159" s="542">
        <v>-2248431</v>
      </c>
      <c r="BM159" s="542">
        <v>496204</v>
      </c>
      <c r="BN159" s="542">
        <v>297722</v>
      </c>
      <c r="BO159" s="542">
        <v>198481</v>
      </c>
      <c r="BP159" s="542">
        <v>0</v>
      </c>
      <c r="BQ159" s="542">
        <v>992407</v>
      </c>
      <c r="BR159" s="542">
        <v>-516597</v>
      </c>
      <c r="BS159" s="542">
        <v>-309958</v>
      </c>
      <c r="BT159" s="542">
        <v>-206639</v>
      </c>
      <c r="BU159" s="542">
        <v>0</v>
      </c>
      <c r="BV159" s="542">
        <v>-1033194</v>
      </c>
      <c r="BW159" s="542">
        <v>-1144608</v>
      </c>
      <c r="BX159" s="542">
        <v>-686766</v>
      </c>
      <c r="BY159" s="542">
        <v>-457844</v>
      </c>
      <c r="BZ159" s="542">
        <v>0</v>
      </c>
      <c r="CA159" s="542">
        <v>-2289218</v>
      </c>
    </row>
    <row r="160" spans="1:79" ht="12.75" x14ac:dyDescent="0.2">
      <c r="A160" s="93">
        <v>154</v>
      </c>
      <c r="B160" s="145" t="s">
        <v>186</v>
      </c>
      <c r="C160" s="141" t="s">
        <v>866</v>
      </c>
      <c r="D160" s="142" t="s">
        <v>876</v>
      </c>
      <c r="E160" s="149" t="s">
        <v>185</v>
      </c>
      <c r="F160" s="543">
        <v>0.5</v>
      </c>
      <c r="G160" s="543">
        <v>0.4</v>
      </c>
      <c r="H160" s="543">
        <v>0.09</v>
      </c>
      <c r="I160" s="543">
        <v>0.01</v>
      </c>
      <c r="J160" s="543">
        <v>1</v>
      </c>
      <c r="K160" s="542">
        <v>15110017</v>
      </c>
      <c r="L160" s="542">
        <v>12088014</v>
      </c>
      <c r="M160" s="542">
        <v>2719803</v>
      </c>
      <c r="N160" s="542">
        <v>302200</v>
      </c>
      <c r="O160" s="542">
        <v>30220034</v>
      </c>
      <c r="P160" s="542">
        <v>0</v>
      </c>
      <c r="Q160" s="542">
        <v>0</v>
      </c>
      <c r="R160" s="542">
        <v>15110017</v>
      </c>
      <c r="S160" s="542">
        <v>124697</v>
      </c>
      <c r="T160" s="542">
        <v>124697</v>
      </c>
      <c r="U160" s="542">
        <v>0</v>
      </c>
      <c r="V160" s="542">
        <v>0</v>
      </c>
      <c r="W160" s="542">
        <v>0</v>
      </c>
      <c r="X160" s="542">
        <v>0</v>
      </c>
      <c r="Y160" s="542">
        <v>0</v>
      </c>
      <c r="Z160" s="542">
        <v>0</v>
      </c>
      <c r="AA160" s="542">
        <v>0</v>
      </c>
      <c r="AB160" s="542">
        <v>0</v>
      </c>
      <c r="AC160" s="542">
        <v>0</v>
      </c>
      <c r="AD160" s="542">
        <v>675533</v>
      </c>
      <c r="AE160" s="542">
        <v>540427</v>
      </c>
      <c r="AF160" s="542">
        <v>121596</v>
      </c>
      <c r="AG160" s="542">
        <v>13511</v>
      </c>
      <c r="AH160" s="542">
        <v>1351067</v>
      </c>
      <c r="AI160" s="542">
        <v>-385921</v>
      </c>
      <c r="AJ160" s="542">
        <v>-308737</v>
      </c>
      <c r="AK160" s="542">
        <v>-69466</v>
      </c>
      <c r="AL160" s="542">
        <v>-7718</v>
      </c>
      <c r="AM160" s="542">
        <v>-771842</v>
      </c>
      <c r="AN160" s="542">
        <v>-88527.6</v>
      </c>
      <c r="AO160" s="542">
        <v>-70823</v>
      </c>
      <c r="AP160" s="542">
        <v>-15935</v>
      </c>
      <c r="AQ160" s="542">
        <v>-1771</v>
      </c>
      <c r="AR160" s="542">
        <v>-177056.6</v>
      </c>
      <c r="AS160" s="542">
        <v>34225</v>
      </c>
      <c r="AT160" s="542">
        <v>27380</v>
      </c>
      <c r="AU160" s="542">
        <v>6161</v>
      </c>
      <c r="AV160" s="542">
        <v>685</v>
      </c>
      <c r="AW160" s="542">
        <v>68451</v>
      </c>
      <c r="AX160" s="542">
        <v>-151803</v>
      </c>
      <c r="AY160" s="542">
        <v>-121442</v>
      </c>
      <c r="AZ160" s="542">
        <v>-27325</v>
      </c>
      <c r="BA160" s="542">
        <v>-3036</v>
      </c>
      <c r="BB160" s="542">
        <v>-303606</v>
      </c>
      <c r="BC160" s="542">
        <v>-206105.60000000001</v>
      </c>
      <c r="BD160" s="542">
        <v>-164885</v>
      </c>
      <c r="BE160" s="542">
        <v>-37099</v>
      </c>
      <c r="BF160" s="542">
        <v>-4122</v>
      </c>
      <c r="BG160" s="542">
        <v>-412211.6</v>
      </c>
      <c r="BH160" s="542">
        <v>-802202</v>
      </c>
      <c r="BI160" s="542">
        <v>-641761</v>
      </c>
      <c r="BJ160" s="542">
        <v>-144396</v>
      </c>
      <c r="BK160" s="542">
        <v>-16044</v>
      </c>
      <c r="BL160" s="542">
        <v>-1604403</v>
      </c>
      <c r="BM160" s="542">
        <v>101064</v>
      </c>
      <c r="BN160" s="542">
        <v>80851</v>
      </c>
      <c r="BO160" s="542">
        <v>18191</v>
      </c>
      <c r="BP160" s="542">
        <v>2021</v>
      </c>
      <c r="BQ160" s="542">
        <v>202127</v>
      </c>
      <c r="BR160" s="542">
        <v>-1386041</v>
      </c>
      <c r="BS160" s="542">
        <v>-1108834</v>
      </c>
      <c r="BT160" s="542">
        <v>-249488</v>
      </c>
      <c r="BU160" s="542">
        <v>-27721</v>
      </c>
      <c r="BV160" s="542">
        <v>-2772084</v>
      </c>
      <c r="BW160" s="542">
        <v>-2087179</v>
      </c>
      <c r="BX160" s="542">
        <v>-1669744</v>
      </c>
      <c r="BY160" s="542">
        <v>-375693</v>
      </c>
      <c r="BZ160" s="542">
        <v>-41744</v>
      </c>
      <c r="CA160" s="542">
        <v>-4174360</v>
      </c>
    </row>
    <row r="161" spans="1:79" ht="12.75" x14ac:dyDescent="0.2">
      <c r="A161" s="93">
        <v>155</v>
      </c>
      <c r="B161" s="145" t="s">
        <v>188</v>
      </c>
      <c r="C161" s="141" t="s">
        <v>866</v>
      </c>
      <c r="D161" s="142" t="s">
        <v>869</v>
      </c>
      <c r="E161" s="149" t="s">
        <v>187</v>
      </c>
      <c r="F161" s="543">
        <v>0.5</v>
      </c>
      <c r="G161" s="543">
        <v>0.4</v>
      </c>
      <c r="H161" s="543">
        <v>0.1</v>
      </c>
      <c r="I161" s="543">
        <v>0</v>
      </c>
      <c r="J161" s="543">
        <v>1</v>
      </c>
      <c r="K161" s="542">
        <v>19742711</v>
      </c>
      <c r="L161" s="542">
        <v>15794169</v>
      </c>
      <c r="M161" s="542">
        <v>3948542</v>
      </c>
      <c r="N161" s="542">
        <v>0</v>
      </c>
      <c r="O161" s="542">
        <v>39485422</v>
      </c>
      <c r="P161" s="542">
        <v>0</v>
      </c>
      <c r="Q161" s="542">
        <v>0</v>
      </c>
      <c r="R161" s="542">
        <v>19742711</v>
      </c>
      <c r="S161" s="542">
        <v>150379</v>
      </c>
      <c r="T161" s="542">
        <v>150379</v>
      </c>
      <c r="U161" s="542">
        <v>0</v>
      </c>
      <c r="V161" s="542">
        <v>0</v>
      </c>
      <c r="W161" s="542">
        <v>0</v>
      </c>
      <c r="X161" s="542">
        <v>0</v>
      </c>
      <c r="Y161" s="542">
        <v>0</v>
      </c>
      <c r="Z161" s="542">
        <v>0</v>
      </c>
      <c r="AA161" s="542">
        <v>0</v>
      </c>
      <c r="AB161" s="542">
        <v>0</v>
      </c>
      <c r="AC161" s="542">
        <v>0</v>
      </c>
      <c r="AD161" s="542">
        <v>433603</v>
      </c>
      <c r="AE161" s="542">
        <v>346883</v>
      </c>
      <c r="AF161" s="542">
        <v>86721</v>
      </c>
      <c r="AG161" s="542">
        <v>0</v>
      </c>
      <c r="AH161" s="542">
        <v>867207</v>
      </c>
      <c r="AI161" s="542">
        <v>-947042</v>
      </c>
      <c r="AJ161" s="542">
        <v>-757633</v>
      </c>
      <c r="AK161" s="542">
        <v>-189408</v>
      </c>
      <c r="AL161" s="542">
        <v>0</v>
      </c>
      <c r="AM161" s="542">
        <v>-1894083</v>
      </c>
      <c r="AN161" s="542">
        <v>-195748</v>
      </c>
      <c r="AO161" s="542">
        <v>-156599</v>
      </c>
      <c r="AP161" s="542">
        <v>-39150</v>
      </c>
      <c r="AQ161" s="542">
        <v>0</v>
      </c>
      <c r="AR161" s="542">
        <v>-391497</v>
      </c>
      <c r="AS161" s="542">
        <v>141609</v>
      </c>
      <c r="AT161" s="542">
        <v>113288</v>
      </c>
      <c r="AU161" s="542">
        <v>28322</v>
      </c>
      <c r="AV161" s="542">
        <v>0</v>
      </c>
      <c r="AW161" s="542">
        <v>283219</v>
      </c>
      <c r="AX161" s="542">
        <v>-125863</v>
      </c>
      <c r="AY161" s="542">
        <v>-100690</v>
      </c>
      <c r="AZ161" s="542">
        <v>-25173</v>
      </c>
      <c r="BA161" s="542">
        <v>0</v>
      </c>
      <c r="BB161" s="542">
        <v>-251726</v>
      </c>
      <c r="BC161" s="542">
        <v>-180002</v>
      </c>
      <c r="BD161" s="542">
        <v>-144001</v>
      </c>
      <c r="BE161" s="542">
        <v>-36001</v>
      </c>
      <c r="BF161" s="542">
        <v>0</v>
      </c>
      <c r="BG161" s="542">
        <v>-360004</v>
      </c>
      <c r="BH161" s="542">
        <v>-1138739</v>
      </c>
      <c r="BI161" s="542">
        <v>-910990</v>
      </c>
      <c r="BJ161" s="542">
        <v>-227747</v>
      </c>
      <c r="BK161" s="542">
        <v>0</v>
      </c>
      <c r="BL161" s="542">
        <v>-2277476</v>
      </c>
      <c r="BM161" s="542">
        <v>537271</v>
      </c>
      <c r="BN161" s="542">
        <v>429816</v>
      </c>
      <c r="BO161" s="542">
        <v>107454</v>
      </c>
      <c r="BP161" s="542">
        <v>0</v>
      </c>
      <c r="BQ161" s="542">
        <v>1074541</v>
      </c>
      <c r="BR161" s="542">
        <v>-1392289</v>
      </c>
      <c r="BS161" s="542">
        <v>-1113831</v>
      </c>
      <c r="BT161" s="542">
        <v>-278458</v>
      </c>
      <c r="BU161" s="542">
        <v>0</v>
      </c>
      <c r="BV161" s="542">
        <v>-2784578</v>
      </c>
      <c r="BW161" s="542">
        <v>-1993757</v>
      </c>
      <c r="BX161" s="542">
        <v>-1595005</v>
      </c>
      <c r="BY161" s="542">
        <v>-398751</v>
      </c>
      <c r="BZ161" s="542">
        <v>0</v>
      </c>
      <c r="CA161" s="542">
        <v>-3987513</v>
      </c>
    </row>
    <row r="162" spans="1:79" ht="12.75" x14ac:dyDescent="0.2">
      <c r="A162" s="93">
        <v>156</v>
      </c>
      <c r="B162" s="145" t="s">
        <v>190</v>
      </c>
      <c r="C162" s="141" t="s">
        <v>873</v>
      </c>
      <c r="D162" s="142" t="s">
        <v>868</v>
      </c>
      <c r="E162" s="149" t="s">
        <v>189</v>
      </c>
      <c r="F162" s="543">
        <v>0.5</v>
      </c>
      <c r="G162" s="543">
        <v>0.49</v>
      </c>
      <c r="H162" s="543">
        <v>0</v>
      </c>
      <c r="I162" s="543">
        <v>0.01</v>
      </c>
      <c r="J162" s="543">
        <v>1</v>
      </c>
      <c r="K162" s="542">
        <v>89719219</v>
      </c>
      <c r="L162" s="542">
        <v>87924835</v>
      </c>
      <c r="M162" s="542">
        <v>0</v>
      </c>
      <c r="N162" s="542">
        <v>1794384</v>
      </c>
      <c r="O162" s="542">
        <v>179438438</v>
      </c>
      <c r="P162" s="542">
        <v>258541.77</v>
      </c>
      <c r="Q162" s="542">
        <v>258541.77</v>
      </c>
      <c r="R162" s="542">
        <v>89460677.200000003</v>
      </c>
      <c r="S162" s="542">
        <v>768610</v>
      </c>
      <c r="T162" s="542">
        <v>768610</v>
      </c>
      <c r="U162" s="542">
        <v>0</v>
      </c>
      <c r="V162" s="542">
        <v>0</v>
      </c>
      <c r="W162" s="542">
        <v>0</v>
      </c>
      <c r="X162" s="542">
        <v>0</v>
      </c>
      <c r="Y162" s="542">
        <v>0</v>
      </c>
      <c r="Z162" s="542">
        <v>258541.77</v>
      </c>
      <c r="AA162" s="542">
        <v>0</v>
      </c>
      <c r="AB162" s="542">
        <v>0</v>
      </c>
      <c r="AC162" s="542">
        <v>258541.77</v>
      </c>
      <c r="AD162" s="542">
        <v>33982306</v>
      </c>
      <c r="AE162" s="542">
        <v>33302660</v>
      </c>
      <c r="AF162" s="542">
        <v>0</v>
      </c>
      <c r="AG162" s="542">
        <v>679646</v>
      </c>
      <c r="AH162" s="542">
        <v>67964612</v>
      </c>
      <c r="AI162" s="542">
        <v>-5469128</v>
      </c>
      <c r="AJ162" s="542">
        <v>-5359746</v>
      </c>
      <c r="AK162" s="542">
        <v>0</v>
      </c>
      <c r="AL162" s="542">
        <v>-109383</v>
      </c>
      <c r="AM162" s="542">
        <v>-10938257</v>
      </c>
      <c r="AN162" s="542">
        <v>-24832146</v>
      </c>
      <c r="AO162" s="542">
        <v>-24304843</v>
      </c>
      <c r="AP162" s="542">
        <v>0</v>
      </c>
      <c r="AQ162" s="542">
        <v>-464731</v>
      </c>
      <c r="AR162" s="542">
        <v>-49601720</v>
      </c>
      <c r="AS162" s="542">
        <v>92039</v>
      </c>
      <c r="AT162" s="542">
        <v>90199</v>
      </c>
      <c r="AU162" s="542">
        <v>0</v>
      </c>
      <c r="AV162" s="542">
        <v>1841</v>
      </c>
      <c r="AW162" s="542">
        <v>184079</v>
      </c>
      <c r="AX162" s="542">
        <v>-1172995</v>
      </c>
      <c r="AY162" s="542">
        <v>-1149535</v>
      </c>
      <c r="AZ162" s="542">
        <v>0</v>
      </c>
      <c r="BA162" s="542">
        <v>-23460</v>
      </c>
      <c r="BB162" s="542">
        <v>-2345990</v>
      </c>
      <c r="BC162" s="542">
        <v>-25913102</v>
      </c>
      <c r="BD162" s="542">
        <v>-25364179</v>
      </c>
      <c r="BE162" s="542">
        <v>0</v>
      </c>
      <c r="BF162" s="542">
        <v>-486350</v>
      </c>
      <c r="BG162" s="542">
        <v>-51763631</v>
      </c>
      <c r="BH162" s="542">
        <v>-7582755</v>
      </c>
      <c r="BI162" s="542">
        <v>-7431099</v>
      </c>
      <c r="BJ162" s="542">
        <v>0</v>
      </c>
      <c r="BK162" s="542">
        <v>-151655</v>
      </c>
      <c r="BL162" s="542">
        <v>-15165509</v>
      </c>
      <c r="BM162" s="542">
        <v>8397873</v>
      </c>
      <c r="BN162" s="542">
        <v>8229915</v>
      </c>
      <c r="BO162" s="542">
        <v>0</v>
      </c>
      <c r="BP162" s="542">
        <v>167957</v>
      </c>
      <c r="BQ162" s="542">
        <v>16795745</v>
      </c>
      <c r="BR162" s="542">
        <v>-7866980</v>
      </c>
      <c r="BS162" s="542">
        <v>-7709640</v>
      </c>
      <c r="BT162" s="542">
        <v>0</v>
      </c>
      <c r="BU162" s="542">
        <v>-157340</v>
      </c>
      <c r="BV162" s="542">
        <v>-15733960</v>
      </c>
      <c r="BW162" s="542">
        <v>-7051862</v>
      </c>
      <c r="BX162" s="542">
        <v>-6910824</v>
      </c>
      <c r="BY162" s="542">
        <v>0</v>
      </c>
      <c r="BZ162" s="542">
        <v>-141038</v>
      </c>
      <c r="CA162" s="542">
        <v>-14103724</v>
      </c>
    </row>
    <row r="163" spans="1:79" ht="12.75" x14ac:dyDescent="0.2">
      <c r="A163" s="93">
        <v>157</v>
      </c>
      <c r="B163" s="145" t="s">
        <v>192</v>
      </c>
      <c r="C163" s="141" t="s">
        <v>770</v>
      </c>
      <c r="D163" s="142" t="s">
        <v>870</v>
      </c>
      <c r="E163" s="149" t="s">
        <v>704</v>
      </c>
      <c r="F163" s="543">
        <v>0.5</v>
      </c>
      <c r="G163" s="543">
        <v>0.49</v>
      </c>
      <c r="H163" s="543">
        <v>0</v>
      </c>
      <c r="I163" s="543">
        <v>0.01</v>
      </c>
      <c r="J163" s="543">
        <v>1</v>
      </c>
      <c r="K163" s="542">
        <v>29386914</v>
      </c>
      <c r="L163" s="542">
        <v>28799176</v>
      </c>
      <c r="M163" s="542">
        <v>0</v>
      </c>
      <c r="N163" s="542">
        <v>587738</v>
      </c>
      <c r="O163" s="542">
        <v>58773828</v>
      </c>
      <c r="P163" s="542">
        <v>0</v>
      </c>
      <c r="Q163" s="542">
        <v>0</v>
      </c>
      <c r="R163" s="542">
        <v>29386914</v>
      </c>
      <c r="S163" s="542">
        <v>259109</v>
      </c>
      <c r="T163" s="542">
        <v>259109</v>
      </c>
      <c r="U163" s="542">
        <v>0</v>
      </c>
      <c r="V163" s="542">
        <v>0</v>
      </c>
      <c r="W163" s="542">
        <v>0</v>
      </c>
      <c r="X163" s="542">
        <v>0</v>
      </c>
      <c r="Y163" s="542">
        <v>0</v>
      </c>
      <c r="Z163" s="542">
        <v>0</v>
      </c>
      <c r="AA163" s="542">
        <v>0</v>
      </c>
      <c r="AB163" s="542">
        <v>0</v>
      </c>
      <c r="AC163" s="542">
        <v>0</v>
      </c>
      <c r="AD163" s="542">
        <v>5533466</v>
      </c>
      <c r="AE163" s="542">
        <v>5422796</v>
      </c>
      <c r="AF163" s="542">
        <v>0</v>
      </c>
      <c r="AG163" s="542">
        <v>110669</v>
      </c>
      <c r="AH163" s="542">
        <v>11066931</v>
      </c>
      <c r="AI163" s="542">
        <v>-1032461</v>
      </c>
      <c r="AJ163" s="542">
        <v>-1011812</v>
      </c>
      <c r="AK163" s="542">
        <v>0</v>
      </c>
      <c r="AL163" s="542">
        <v>-20649</v>
      </c>
      <c r="AM163" s="542">
        <v>-2064922</v>
      </c>
      <c r="AN163" s="542">
        <v>3550832</v>
      </c>
      <c r="AO163" s="542">
        <v>3479815</v>
      </c>
      <c r="AP163" s="542">
        <v>0</v>
      </c>
      <c r="AQ163" s="542">
        <v>71017</v>
      </c>
      <c r="AR163" s="542">
        <v>7101663</v>
      </c>
      <c r="AS163" s="542">
        <v>323669</v>
      </c>
      <c r="AT163" s="542">
        <v>317195</v>
      </c>
      <c r="AU163" s="542">
        <v>0</v>
      </c>
      <c r="AV163" s="542">
        <v>6473</v>
      </c>
      <c r="AW163" s="542">
        <v>647337</v>
      </c>
      <c r="AX163" s="542">
        <v>-648669</v>
      </c>
      <c r="AY163" s="542">
        <v>-635695</v>
      </c>
      <c r="AZ163" s="542">
        <v>0</v>
      </c>
      <c r="BA163" s="542">
        <v>-12973</v>
      </c>
      <c r="BB163" s="542">
        <v>-1297337</v>
      </c>
      <c r="BC163" s="542">
        <v>3225832</v>
      </c>
      <c r="BD163" s="542">
        <v>3161315</v>
      </c>
      <c r="BE163" s="542">
        <v>0</v>
      </c>
      <c r="BF163" s="542">
        <v>64517</v>
      </c>
      <c r="BG163" s="542">
        <v>6451663</v>
      </c>
      <c r="BH163" s="542">
        <v>-1934382.8</v>
      </c>
      <c r="BI163" s="542">
        <v>-1895695</v>
      </c>
      <c r="BJ163" s="542">
        <v>0</v>
      </c>
      <c r="BK163" s="542">
        <v>-38688</v>
      </c>
      <c r="BL163" s="542">
        <v>-3868765.8</v>
      </c>
      <c r="BM163" s="542">
        <v>253359</v>
      </c>
      <c r="BN163" s="542">
        <v>248292</v>
      </c>
      <c r="BO163" s="542">
        <v>0</v>
      </c>
      <c r="BP163" s="542">
        <v>5067</v>
      </c>
      <c r="BQ163" s="542">
        <v>506718</v>
      </c>
      <c r="BR163" s="542">
        <v>-3655566</v>
      </c>
      <c r="BS163" s="542">
        <v>-3582454</v>
      </c>
      <c r="BT163" s="542">
        <v>0</v>
      </c>
      <c r="BU163" s="542">
        <v>-73111</v>
      </c>
      <c r="BV163" s="542">
        <v>-7311131</v>
      </c>
      <c r="BW163" s="542">
        <v>-5336589.8</v>
      </c>
      <c r="BX163" s="542">
        <v>-5229857</v>
      </c>
      <c r="BY163" s="542">
        <v>0</v>
      </c>
      <c r="BZ163" s="542">
        <v>-106732</v>
      </c>
      <c r="CA163" s="542">
        <v>-10673178</v>
      </c>
    </row>
    <row r="164" spans="1:79" ht="12.75" x14ac:dyDescent="0.2">
      <c r="A164" s="93">
        <v>158</v>
      </c>
      <c r="B164" s="145" t="s">
        <v>194</v>
      </c>
      <c r="C164" s="141" t="s">
        <v>866</v>
      </c>
      <c r="D164" s="142" t="s">
        <v>867</v>
      </c>
      <c r="E164" s="149" t="s">
        <v>193</v>
      </c>
      <c r="F164" s="543">
        <v>0.5</v>
      </c>
      <c r="G164" s="543">
        <v>0.4</v>
      </c>
      <c r="H164" s="543">
        <v>0.09</v>
      </c>
      <c r="I164" s="543">
        <v>0.01</v>
      </c>
      <c r="J164" s="543">
        <v>1</v>
      </c>
      <c r="K164" s="542">
        <v>28034150</v>
      </c>
      <c r="L164" s="542">
        <v>22427320</v>
      </c>
      <c r="M164" s="542">
        <v>5046147</v>
      </c>
      <c r="N164" s="542">
        <v>560683</v>
      </c>
      <c r="O164" s="542">
        <v>56068300</v>
      </c>
      <c r="P164" s="542">
        <v>0</v>
      </c>
      <c r="Q164" s="542">
        <v>0</v>
      </c>
      <c r="R164" s="542">
        <v>28034150</v>
      </c>
      <c r="S164" s="542">
        <v>208056</v>
      </c>
      <c r="T164" s="542">
        <v>208056</v>
      </c>
      <c r="U164" s="542">
        <v>0</v>
      </c>
      <c r="V164" s="542">
        <v>0</v>
      </c>
      <c r="W164" s="542">
        <v>0</v>
      </c>
      <c r="X164" s="542">
        <v>0</v>
      </c>
      <c r="Y164" s="542">
        <v>0</v>
      </c>
      <c r="Z164" s="542">
        <v>0</v>
      </c>
      <c r="AA164" s="542">
        <v>0</v>
      </c>
      <c r="AB164" s="542">
        <v>0</v>
      </c>
      <c r="AC164" s="542">
        <v>0</v>
      </c>
      <c r="AD164" s="542">
        <v>1786703</v>
      </c>
      <c r="AE164" s="542">
        <v>1429362</v>
      </c>
      <c r="AF164" s="542">
        <v>321606</v>
      </c>
      <c r="AG164" s="542">
        <v>35734</v>
      </c>
      <c r="AH164" s="542">
        <v>3573405</v>
      </c>
      <c r="AI164" s="542">
        <v>-214981</v>
      </c>
      <c r="AJ164" s="542">
        <v>-171984</v>
      </c>
      <c r="AK164" s="542">
        <v>-38696</v>
      </c>
      <c r="AL164" s="542">
        <v>-4300</v>
      </c>
      <c r="AM164" s="542">
        <v>-429961</v>
      </c>
      <c r="AN164" s="542">
        <v>-775040</v>
      </c>
      <c r="AO164" s="542">
        <v>-620032</v>
      </c>
      <c r="AP164" s="542">
        <v>-139507</v>
      </c>
      <c r="AQ164" s="542">
        <v>-15501</v>
      </c>
      <c r="AR164" s="542">
        <v>-1550080</v>
      </c>
      <c r="AS164" s="542">
        <v>172131</v>
      </c>
      <c r="AT164" s="542">
        <v>137706</v>
      </c>
      <c r="AU164" s="542">
        <v>30984</v>
      </c>
      <c r="AV164" s="542">
        <v>3443</v>
      </c>
      <c r="AW164" s="542">
        <v>344264</v>
      </c>
      <c r="AX164" s="542">
        <v>-359250.91</v>
      </c>
      <c r="AY164" s="542">
        <v>-287400</v>
      </c>
      <c r="AZ164" s="542">
        <v>-64665</v>
      </c>
      <c r="BA164" s="542">
        <v>-7185</v>
      </c>
      <c r="BB164" s="542">
        <v>-718500.91</v>
      </c>
      <c r="BC164" s="542">
        <v>-962159.91</v>
      </c>
      <c r="BD164" s="542">
        <v>-769726</v>
      </c>
      <c r="BE164" s="542">
        <v>-173188</v>
      </c>
      <c r="BF164" s="542">
        <v>-19243</v>
      </c>
      <c r="BG164" s="542">
        <v>-1924316.9</v>
      </c>
      <c r="BH164" s="542">
        <v>-1438920</v>
      </c>
      <c r="BI164" s="542">
        <v>-1151136</v>
      </c>
      <c r="BJ164" s="542">
        <v>-259005</v>
      </c>
      <c r="BK164" s="542">
        <v>-28779</v>
      </c>
      <c r="BL164" s="542">
        <v>-2877840</v>
      </c>
      <c r="BM164" s="542">
        <v>1348352</v>
      </c>
      <c r="BN164" s="542">
        <v>1078681</v>
      </c>
      <c r="BO164" s="542">
        <v>242703</v>
      </c>
      <c r="BP164" s="542">
        <v>26967</v>
      </c>
      <c r="BQ164" s="542">
        <v>2696703</v>
      </c>
      <c r="BR164" s="542">
        <v>-1244858</v>
      </c>
      <c r="BS164" s="542">
        <v>-995887</v>
      </c>
      <c r="BT164" s="542">
        <v>-224075</v>
      </c>
      <c r="BU164" s="542">
        <v>-24897</v>
      </c>
      <c r="BV164" s="542">
        <v>-2489717</v>
      </c>
      <c r="BW164" s="542">
        <v>-1335426</v>
      </c>
      <c r="BX164" s="542">
        <v>-1068342</v>
      </c>
      <c r="BY164" s="542">
        <v>-240377</v>
      </c>
      <c r="BZ164" s="542">
        <v>-26709</v>
      </c>
      <c r="CA164" s="542">
        <v>-2670854</v>
      </c>
    </row>
    <row r="165" spans="1:79" ht="12.75" x14ac:dyDescent="0.2">
      <c r="A165" s="93">
        <v>159</v>
      </c>
      <c r="B165" s="145" t="s">
        <v>196</v>
      </c>
      <c r="C165" s="141" t="s">
        <v>866</v>
      </c>
      <c r="D165" s="142" t="s">
        <v>870</v>
      </c>
      <c r="E165" s="149" t="s">
        <v>195</v>
      </c>
      <c r="F165" s="543">
        <v>0.5</v>
      </c>
      <c r="G165" s="543">
        <v>0.4</v>
      </c>
      <c r="H165" s="543">
        <v>0.09</v>
      </c>
      <c r="I165" s="543">
        <v>0.01</v>
      </c>
      <c r="J165" s="543">
        <v>1</v>
      </c>
      <c r="K165" s="542">
        <v>6295874</v>
      </c>
      <c r="L165" s="542">
        <v>5036700</v>
      </c>
      <c r="M165" s="542">
        <v>1133258</v>
      </c>
      <c r="N165" s="542">
        <v>125918</v>
      </c>
      <c r="O165" s="542">
        <v>12591750</v>
      </c>
      <c r="P165" s="542">
        <v>0</v>
      </c>
      <c r="Q165" s="542">
        <v>0</v>
      </c>
      <c r="R165" s="542">
        <v>6295874</v>
      </c>
      <c r="S165" s="542">
        <v>92245</v>
      </c>
      <c r="T165" s="542">
        <v>92245</v>
      </c>
      <c r="U165" s="542">
        <v>0</v>
      </c>
      <c r="V165" s="542">
        <v>0</v>
      </c>
      <c r="W165" s="542">
        <v>400899</v>
      </c>
      <c r="X165" s="542">
        <v>0</v>
      </c>
      <c r="Y165" s="542">
        <v>400899</v>
      </c>
      <c r="Z165" s="542">
        <v>0</v>
      </c>
      <c r="AA165" s="542">
        <v>0</v>
      </c>
      <c r="AB165" s="542">
        <v>0</v>
      </c>
      <c r="AC165" s="542">
        <v>0</v>
      </c>
      <c r="AD165" s="542">
        <v>364376</v>
      </c>
      <c r="AE165" s="542">
        <v>291501</v>
      </c>
      <c r="AF165" s="542">
        <v>65588</v>
      </c>
      <c r="AG165" s="542">
        <v>7288</v>
      </c>
      <c r="AH165" s="542">
        <v>728753</v>
      </c>
      <c r="AI165" s="542">
        <v>-122850</v>
      </c>
      <c r="AJ165" s="542">
        <v>-98280</v>
      </c>
      <c r="AK165" s="542">
        <v>-22113</v>
      </c>
      <c r="AL165" s="542">
        <v>-2457</v>
      </c>
      <c r="AM165" s="542">
        <v>-245700</v>
      </c>
      <c r="AN165" s="542">
        <v>34940</v>
      </c>
      <c r="AO165" s="542">
        <v>27952</v>
      </c>
      <c r="AP165" s="542">
        <v>6289</v>
      </c>
      <c r="AQ165" s="542">
        <v>699</v>
      </c>
      <c r="AR165" s="542">
        <v>69880</v>
      </c>
      <c r="AS165" s="542">
        <v>15603</v>
      </c>
      <c r="AT165" s="542">
        <v>12482</v>
      </c>
      <c r="AU165" s="542">
        <v>2809</v>
      </c>
      <c r="AV165" s="542">
        <v>312</v>
      </c>
      <c r="AW165" s="542">
        <v>31206</v>
      </c>
      <c r="AX165" s="542">
        <v>0</v>
      </c>
      <c r="AY165" s="542">
        <v>0</v>
      </c>
      <c r="AZ165" s="542">
        <v>0</v>
      </c>
      <c r="BA165" s="542">
        <v>0</v>
      </c>
      <c r="BB165" s="542">
        <v>0</v>
      </c>
      <c r="BC165" s="542">
        <v>50543</v>
      </c>
      <c r="BD165" s="542">
        <v>40434</v>
      </c>
      <c r="BE165" s="542">
        <v>9098</v>
      </c>
      <c r="BF165" s="542">
        <v>1011</v>
      </c>
      <c r="BG165" s="542">
        <v>101086</v>
      </c>
      <c r="BH165" s="542">
        <v>-135254</v>
      </c>
      <c r="BI165" s="542">
        <v>-108203</v>
      </c>
      <c r="BJ165" s="542">
        <v>-24345</v>
      </c>
      <c r="BK165" s="542">
        <v>-2705</v>
      </c>
      <c r="BL165" s="542">
        <v>-270507</v>
      </c>
      <c r="BM165" s="542">
        <v>49325</v>
      </c>
      <c r="BN165" s="542">
        <v>39460</v>
      </c>
      <c r="BO165" s="542">
        <v>8878</v>
      </c>
      <c r="BP165" s="542">
        <v>986</v>
      </c>
      <c r="BQ165" s="542">
        <v>98649</v>
      </c>
      <c r="BR165" s="542">
        <v>-350010</v>
      </c>
      <c r="BS165" s="542">
        <v>-280008</v>
      </c>
      <c r="BT165" s="542">
        <v>-63002</v>
      </c>
      <c r="BU165" s="542">
        <v>-7000</v>
      </c>
      <c r="BV165" s="542">
        <v>-700020</v>
      </c>
      <c r="BW165" s="542">
        <v>-435939</v>
      </c>
      <c r="BX165" s="542">
        <v>-348751</v>
      </c>
      <c r="BY165" s="542">
        <v>-78469</v>
      </c>
      <c r="BZ165" s="542">
        <v>-8719</v>
      </c>
      <c r="CA165" s="542">
        <v>-871878</v>
      </c>
    </row>
    <row r="166" spans="1:79" ht="12.75" x14ac:dyDescent="0.2">
      <c r="A166" s="93">
        <v>160</v>
      </c>
      <c r="B166" s="145" t="s">
        <v>198</v>
      </c>
      <c r="C166" s="141" t="s">
        <v>866</v>
      </c>
      <c r="D166" s="142" t="s">
        <v>876</v>
      </c>
      <c r="E166" s="149" t="s">
        <v>885</v>
      </c>
      <c r="F166" s="543">
        <v>0.5</v>
      </c>
      <c r="G166" s="543">
        <v>0.4</v>
      </c>
      <c r="H166" s="543">
        <v>0.09</v>
      </c>
      <c r="I166" s="543">
        <v>0.01</v>
      </c>
      <c r="J166" s="543">
        <v>1</v>
      </c>
      <c r="K166" s="542">
        <v>5482973.54</v>
      </c>
      <c r="L166" s="542">
        <v>4386379</v>
      </c>
      <c r="M166" s="542">
        <v>986935</v>
      </c>
      <c r="N166" s="542">
        <v>109659</v>
      </c>
      <c r="O166" s="542">
        <v>10965946.5</v>
      </c>
      <c r="P166" s="542">
        <v>0</v>
      </c>
      <c r="Q166" s="542">
        <v>0</v>
      </c>
      <c r="R166" s="542">
        <v>5482973.54</v>
      </c>
      <c r="S166" s="542">
        <v>107874</v>
      </c>
      <c r="T166" s="542">
        <v>107874</v>
      </c>
      <c r="U166" s="542">
        <v>0</v>
      </c>
      <c r="V166" s="542">
        <v>0</v>
      </c>
      <c r="W166" s="542">
        <v>0</v>
      </c>
      <c r="X166" s="542">
        <v>0</v>
      </c>
      <c r="Y166" s="542">
        <v>0</v>
      </c>
      <c r="Z166" s="542">
        <v>0</v>
      </c>
      <c r="AA166" s="542">
        <v>0</v>
      </c>
      <c r="AB166" s="542">
        <v>0</v>
      </c>
      <c r="AC166" s="542">
        <v>0</v>
      </c>
      <c r="AD166" s="542">
        <v>214117</v>
      </c>
      <c r="AE166" s="542">
        <v>171294</v>
      </c>
      <c r="AF166" s="542">
        <v>38541</v>
      </c>
      <c r="AG166" s="542">
        <v>4282</v>
      </c>
      <c r="AH166" s="542">
        <v>428234</v>
      </c>
      <c r="AI166" s="542">
        <v>-60933</v>
      </c>
      <c r="AJ166" s="542">
        <v>-48746</v>
      </c>
      <c r="AK166" s="542">
        <v>-10968</v>
      </c>
      <c r="AL166" s="542">
        <v>-1219</v>
      </c>
      <c r="AM166" s="542">
        <v>-121866</v>
      </c>
      <c r="AN166" s="542">
        <v>0</v>
      </c>
      <c r="AO166" s="542">
        <v>0</v>
      </c>
      <c r="AP166" s="542">
        <v>0</v>
      </c>
      <c r="AQ166" s="542">
        <v>0</v>
      </c>
      <c r="AR166" s="542">
        <v>0</v>
      </c>
      <c r="AS166" s="542">
        <v>0</v>
      </c>
      <c r="AT166" s="542">
        <v>0</v>
      </c>
      <c r="AU166" s="542">
        <v>0</v>
      </c>
      <c r="AV166" s="542">
        <v>0</v>
      </c>
      <c r="AW166" s="542">
        <v>0</v>
      </c>
      <c r="AX166" s="542">
        <v>0</v>
      </c>
      <c r="AY166" s="542">
        <v>0</v>
      </c>
      <c r="AZ166" s="542">
        <v>0</v>
      </c>
      <c r="BA166" s="542">
        <v>0</v>
      </c>
      <c r="BB166" s="542">
        <v>0</v>
      </c>
      <c r="BC166" s="542">
        <v>0</v>
      </c>
      <c r="BD166" s="542">
        <v>0</v>
      </c>
      <c r="BE166" s="542">
        <v>0</v>
      </c>
      <c r="BF166" s="542">
        <v>0</v>
      </c>
      <c r="BG166" s="542">
        <v>0</v>
      </c>
      <c r="BH166" s="542">
        <v>-300265</v>
      </c>
      <c r="BI166" s="542">
        <v>-240213</v>
      </c>
      <c r="BJ166" s="542">
        <v>-54048</v>
      </c>
      <c r="BK166" s="542">
        <v>-6005</v>
      </c>
      <c r="BL166" s="542">
        <v>-600531</v>
      </c>
      <c r="BM166" s="542">
        <v>130780</v>
      </c>
      <c r="BN166" s="542">
        <v>104624</v>
      </c>
      <c r="BO166" s="542">
        <v>23540</v>
      </c>
      <c r="BP166" s="542">
        <v>2616</v>
      </c>
      <c r="BQ166" s="542">
        <v>261560</v>
      </c>
      <c r="BR166" s="542">
        <v>-2001153.4</v>
      </c>
      <c r="BS166" s="542">
        <v>-1600922</v>
      </c>
      <c r="BT166" s="542">
        <v>-360207</v>
      </c>
      <c r="BU166" s="542">
        <v>-40023</v>
      </c>
      <c r="BV166" s="542">
        <v>-4002305.4</v>
      </c>
      <c r="BW166" s="542">
        <v>-2170638.4</v>
      </c>
      <c r="BX166" s="542">
        <v>-1736511</v>
      </c>
      <c r="BY166" s="542">
        <v>-390715</v>
      </c>
      <c r="BZ166" s="542">
        <v>-43412</v>
      </c>
      <c r="CA166" s="542">
        <v>-4341276.4000000004</v>
      </c>
    </row>
    <row r="167" spans="1:79" ht="12.75" x14ac:dyDescent="0.2">
      <c r="A167" s="93">
        <v>161</v>
      </c>
      <c r="B167" s="145" t="s">
        <v>200</v>
      </c>
      <c r="C167" s="141" t="s">
        <v>873</v>
      </c>
      <c r="D167" s="142" t="s">
        <v>868</v>
      </c>
      <c r="E167" s="149" t="s">
        <v>199</v>
      </c>
      <c r="F167" s="543">
        <v>0.5</v>
      </c>
      <c r="G167" s="543">
        <v>0.49</v>
      </c>
      <c r="H167" s="543">
        <v>0</v>
      </c>
      <c r="I167" s="543">
        <v>0.01</v>
      </c>
      <c r="J167" s="543">
        <v>1</v>
      </c>
      <c r="K167" s="542">
        <v>145906131</v>
      </c>
      <c r="L167" s="542">
        <v>142988008</v>
      </c>
      <c r="M167" s="542">
        <v>0</v>
      </c>
      <c r="N167" s="542">
        <v>2918123</v>
      </c>
      <c r="O167" s="542">
        <v>291812262</v>
      </c>
      <c r="P167" s="542">
        <v>604380.54</v>
      </c>
      <c r="Q167" s="542">
        <v>604380.54</v>
      </c>
      <c r="R167" s="542">
        <v>145301750</v>
      </c>
      <c r="S167" s="542">
        <v>1109516</v>
      </c>
      <c r="T167" s="542">
        <v>1109516</v>
      </c>
      <c r="U167" s="542">
        <v>0</v>
      </c>
      <c r="V167" s="542">
        <v>0</v>
      </c>
      <c r="W167" s="542">
        <v>0</v>
      </c>
      <c r="X167" s="542">
        <v>0</v>
      </c>
      <c r="Y167" s="542">
        <v>0</v>
      </c>
      <c r="Z167" s="542">
        <v>604380.54</v>
      </c>
      <c r="AA167" s="542">
        <v>0</v>
      </c>
      <c r="AB167" s="542">
        <v>0</v>
      </c>
      <c r="AC167" s="542">
        <v>604380.54</v>
      </c>
      <c r="AD167" s="542">
        <v>11353219</v>
      </c>
      <c r="AE167" s="542">
        <v>11126155</v>
      </c>
      <c r="AF167" s="542">
        <v>0</v>
      </c>
      <c r="AG167" s="542">
        <v>227064</v>
      </c>
      <c r="AH167" s="542">
        <v>22706438</v>
      </c>
      <c r="AI167" s="542">
        <v>-7167936</v>
      </c>
      <c r="AJ167" s="542">
        <v>-7024578</v>
      </c>
      <c r="AK167" s="542">
        <v>0</v>
      </c>
      <c r="AL167" s="542">
        <v>-143359</v>
      </c>
      <c r="AM167" s="542">
        <v>-14335873</v>
      </c>
      <c r="AN167" s="542">
        <v>610872</v>
      </c>
      <c r="AO167" s="542">
        <v>598654</v>
      </c>
      <c r="AP167" s="542">
        <v>0</v>
      </c>
      <c r="AQ167" s="542">
        <v>12217</v>
      </c>
      <c r="AR167" s="542">
        <v>1221743</v>
      </c>
      <c r="AS167" s="542">
        <v>1876557</v>
      </c>
      <c r="AT167" s="542">
        <v>1839026</v>
      </c>
      <c r="AU167" s="542">
        <v>0</v>
      </c>
      <c r="AV167" s="542">
        <v>37531</v>
      </c>
      <c r="AW167" s="542">
        <v>3753114</v>
      </c>
      <c r="AX167" s="542">
        <v>-3211819</v>
      </c>
      <c r="AY167" s="542">
        <v>-3147583</v>
      </c>
      <c r="AZ167" s="542">
        <v>0</v>
      </c>
      <c r="BA167" s="542">
        <v>-64236</v>
      </c>
      <c r="BB167" s="542">
        <v>-6423638</v>
      </c>
      <c r="BC167" s="542">
        <v>-724390</v>
      </c>
      <c r="BD167" s="542">
        <v>-709903</v>
      </c>
      <c r="BE167" s="542">
        <v>0</v>
      </c>
      <c r="BF167" s="542">
        <v>-14488</v>
      </c>
      <c r="BG167" s="542">
        <v>-1448781</v>
      </c>
      <c r="BH167" s="542">
        <v>-55757721</v>
      </c>
      <c r="BI167" s="542">
        <v>-54642566</v>
      </c>
      <c r="BJ167" s="542">
        <v>0</v>
      </c>
      <c r="BK167" s="542">
        <v>-1115155</v>
      </c>
      <c r="BL167" s="542">
        <v>-111515442</v>
      </c>
      <c r="BM167" s="542">
        <v>7715849</v>
      </c>
      <c r="BN167" s="542">
        <v>7561532</v>
      </c>
      <c r="BO167" s="542">
        <v>0</v>
      </c>
      <c r="BP167" s="542">
        <v>154317</v>
      </c>
      <c r="BQ167" s="542">
        <v>15431698</v>
      </c>
      <c r="BR167" s="542">
        <v>-17405218</v>
      </c>
      <c r="BS167" s="542">
        <v>-17057113</v>
      </c>
      <c r="BT167" s="542">
        <v>0</v>
      </c>
      <c r="BU167" s="542">
        <v>-348104</v>
      </c>
      <c r="BV167" s="542">
        <v>-34810435</v>
      </c>
      <c r="BW167" s="542">
        <v>-65447090</v>
      </c>
      <c r="BX167" s="542">
        <v>-64138147</v>
      </c>
      <c r="BY167" s="542">
        <v>0</v>
      </c>
      <c r="BZ167" s="542">
        <v>-1308942</v>
      </c>
      <c r="CA167" s="542">
        <v>-130894179</v>
      </c>
    </row>
    <row r="168" spans="1:79" ht="12.75" x14ac:dyDescent="0.2">
      <c r="A168" s="93">
        <v>162</v>
      </c>
      <c r="B168" s="145" t="s">
        <v>202</v>
      </c>
      <c r="C168" s="141" t="s">
        <v>866</v>
      </c>
      <c r="D168" s="142" t="s">
        <v>869</v>
      </c>
      <c r="E168" s="149" t="s">
        <v>201</v>
      </c>
      <c r="F168" s="543">
        <v>0.5</v>
      </c>
      <c r="G168" s="543">
        <v>0.4</v>
      </c>
      <c r="H168" s="543">
        <v>0.09</v>
      </c>
      <c r="I168" s="543">
        <v>0.01</v>
      </c>
      <c r="J168" s="543">
        <v>1</v>
      </c>
      <c r="K168" s="542">
        <v>12944287</v>
      </c>
      <c r="L168" s="542">
        <v>10355430</v>
      </c>
      <c r="M168" s="542">
        <v>2329972</v>
      </c>
      <c r="N168" s="542">
        <v>258886</v>
      </c>
      <c r="O168" s="542">
        <v>25888575</v>
      </c>
      <c r="P168" s="542">
        <v>0</v>
      </c>
      <c r="Q168" s="542">
        <v>0</v>
      </c>
      <c r="R168" s="542">
        <v>12944287</v>
      </c>
      <c r="S168" s="542">
        <v>128485</v>
      </c>
      <c r="T168" s="542">
        <v>128485</v>
      </c>
      <c r="U168" s="542">
        <v>0</v>
      </c>
      <c r="V168" s="542">
        <v>0</v>
      </c>
      <c r="W168" s="542">
        <v>0</v>
      </c>
      <c r="X168" s="542">
        <v>0</v>
      </c>
      <c r="Y168" s="542">
        <v>0</v>
      </c>
      <c r="Z168" s="542">
        <v>0</v>
      </c>
      <c r="AA168" s="542">
        <v>0</v>
      </c>
      <c r="AB168" s="542">
        <v>0</v>
      </c>
      <c r="AC168" s="542">
        <v>0</v>
      </c>
      <c r="AD168" s="542">
        <v>174521</v>
      </c>
      <c r="AE168" s="542">
        <v>139616</v>
      </c>
      <c r="AF168" s="542">
        <v>31414</v>
      </c>
      <c r="AG168" s="542">
        <v>3490</v>
      </c>
      <c r="AH168" s="542">
        <v>349041</v>
      </c>
      <c r="AI168" s="542">
        <v>-26208</v>
      </c>
      <c r="AJ168" s="542">
        <v>-20966</v>
      </c>
      <c r="AK168" s="542">
        <v>-4717</v>
      </c>
      <c r="AL168" s="542">
        <v>-524</v>
      </c>
      <c r="AM168" s="542">
        <v>-52415</v>
      </c>
      <c r="AN168" s="542">
        <v>-321586</v>
      </c>
      <c r="AO168" s="542">
        <v>-257268</v>
      </c>
      <c r="AP168" s="542">
        <v>-57885</v>
      </c>
      <c r="AQ168" s="542">
        <v>-6431</v>
      </c>
      <c r="AR168" s="542">
        <v>-643170</v>
      </c>
      <c r="AS168" s="542">
        <v>78713</v>
      </c>
      <c r="AT168" s="542">
        <v>62970</v>
      </c>
      <c r="AU168" s="542">
        <v>14168</v>
      </c>
      <c r="AV168" s="542">
        <v>1574</v>
      </c>
      <c r="AW168" s="542">
        <v>157425</v>
      </c>
      <c r="AX168" s="542">
        <v>-152931</v>
      </c>
      <c r="AY168" s="542">
        <v>-122345</v>
      </c>
      <c r="AZ168" s="542">
        <v>-27528</v>
      </c>
      <c r="BA168" s="542">
        <v>-3059</v>
      </c>
      <c r="BB168" s="542">
        <v>-305863</v>
      </c>
      <c r="BC168" s="542">
        <v>-395804</v>
      </c>
      <c r="BD168" s="542">
        <v>-316643</v>
      </c>
      <c r="BE168" s="542">
        <v>-71245</v>
      </c>
      <c r="BF168" s="542">
        <v>-7916</v>
      </c>
      <c r="BG168" s="542">
        <v>-791608</v>
      </c>
      <c r="BH168" s="542">
        <v>-685293</v>
      </c>
      <c r="BI168" s="542">
        <v>-548236</v>
      </c>
      <c r="BJ168" s="542">
        <v>-123353</v>
      </c>
      <c r="BK168" s="542">
        <v>-13706</v>
      </c>
      <c r="BL168" s="542">
        <v>-1370588</v>
      </c>
      <c r="BM168" s="542">
        <v>0</v>
      </c>
      <c r="BN168" s="542">
        <v>0</v>
      </c>
      <c r="BO168" s="542">
        <v>0</v>
      </c>
      <c r="BP168" s="542">
        <v>0</v>
      </c>
      <c r="BQ168" s="542">
        <v>0</v>
      </c>
      <c r="BR168" s="542">
        <v>-463958</v>
      </c>
      <c r="BS168" s="542">
        <v>-371167</v>
      </c>
      <c r="BT168" s="542">
        <v>-83513</v>
      </c>
      <c r="BU168" s="542">
        <v>-9279</v>
      </c>
      <c r="BV168" s="542">
        <v>-927917</v>
      </c>
      <c r="BW168" s="542">
        <v>-1149251</v>
      </c>
      <c r="BX168" s="542">
        <v>-919403</v>
      </c>
      <c r="BY168" s="542">
        <v>-206866</v>
      </c>
      <c r="BZ168" s="542">
        <v>-22985</v>
      </c>
      <c r="CA168" s="542">
        <v>-2298505</v>
      </c>
    </row>
    <row r="169" spans="1:79" ht="12.75" x14ac:dyDescent="0.2">
      <c r="A169" s="93">
        <v>163</v>
      </c>
      <c r="B169" s="145" t="s">
        <v>204</v>
      </c>
      <c r="C169" s="141" t="s">
        <v>770</v>
      </c>
      <c r="D169" s="142" t="s">
        <v>867</v>
      </c>
      <c r="E169" s="149" t="s">
        <v>705</v>
      </c>
      <c r="F169" s="543">
        <v>0.5</v>
      </c>
      <c r="G169" s="543">
        <v>0.49</v>
      </c>
      <c r="H169" s="543">
        <v>0</v>
      </c>
      <c r="I169" s="543">
        <v>0.01</v>
      </c>
      <c r="J169" s="543">
        <v>1</v>
      </c>
      <c r="K169" s="542">
        <v>39287485</v>
      </c>
      <c r="L169" s="542">
        <v>38501735</v>
      </c>
      <c r="M169" s="542">
        <v>0</v>
      </c>
      <c r="N169" s="542">
        <v>785750</v>
      </c>
      <c r="O169" s="542">
        <v>78574970</v>
      </c>
      <c r="P169" s="542">
        <v>0</v>
      </c>
      <c r="Q169" s="542">
        <v>0</v>
      </c>
      <c r="R169" s="542">
        <v>39287485</v>
      </c>
      <c r="S169" s="542">
        <v>288985</v>
      </c>
      <c r="T169" s="542">
        <v>288985</v>
      </c>
      <c r="U169" s="542">
        <v>0</v>
      </c>
      <c r="V169" s="542">
        <v>0</v>
      </c>
      <c r="W169" s="542">
        <v>0</v>
      </c>
      <c r="X169" s="542">
        <v>0</v>
      </c>
      <c r="Y169" s="542">
        <v>0</v>
      </c>
      <c r="Z169" s="542">
        <v>0</v>
      </c>
      <c r="AA169" s="542">
        <v>0</v>
      </c>
      <c r="AB169" s="542">
        <v>0</v>
      </c>
      <c r="AC169" s="542">
        <v>0</v>
      </c>
      <c r="AD169" s="542">
        <v>2364744</v>
      </c>
      <c r="AE169" s="542">
        <v>2317449</v>
      </c>
      <c r="AF169" s="542">
        <v>0</v>
      </c>
      <c r="AG169" s="542">
        <v>47295</v>
      </c>
      <c r="AH169" s="542">
        <v>4729488</v>
      </c>
      <c r="AI169" s="542">
        <v>-1031132</v>
      </c>
      <c r="AJ169" s="542">
        <v>-1010509</v>
      </c>
      <c r="AK169" s="542">
        <v>0</v>
      </c>
      <c r="AL169" s="542">
        <v>-20623</v>
      </c>
      <c r="AM169" s="542">
        <v>-2062264</v>
      </c>
      <c r="AN169" s="542">
        <v>-1266470</v>
      </c>
      <c r="AO169" s="542">
        <v>-1241142</v>
      </c>
      <c r="AP169" s="542">
        <v>0</v>
      </c>
      <c r="AQ169" s="542">
        <v>-25330</v>
      </c>
      <c r="AR169" s="542">
        <v>-2532942</v>
      </c>
      <c r="AS169" s="542">
        <v>533556</v>
      </c>
      <c r="AT169" s="542">
        <v>522885</v>
      </c>
      <c r="AU169" s="542">
        <v>0</v>
      </c>
      <c r="AV169" s="542">
        <v>10671</v>
      </c>
      <c r="AW169" s="542">
        <v>1067112</v>
      </c>
      <c r="AX169" s="542">
        <v>-357642</v>
      </c>
      <c r="AY169" s="542">
        <v>-350489</v>
      </c>
      <c r="AZ169" s="542">
        <v>0</v>
      </c>
      <c r="BA169" s="542">
        <v>-7153</v>
      </c>
      <c r="BB169" s="542">
        <v>-715284</v>
      </c>
      <c r="BC169" s="542">
        <v>-1090556</v>
      </c>
      <c r="BD169" s="542">
        <v>-1068746</v>
      </c>
      <c r="BE169" s="542">
        <v>0</v>
      </c>
      <c r="BF169" s="542">
        <v>-21812</v>
      </c>
      <c r="BG169" s="542">
        <v>-2181114</v>
      </c>
      <c r="BH169" s="542">
        <v>-4618173</v>
      </c>
      <c r="BI169" s="542">
        <v>-4525812</v>
      </c>
      <c r="BJ169" s="542">
        <v>0</v>
      </c>
      <c r="BK169" s="542">
        <v>-92364</v>
      </c>
      <c r="BL169" s="542">
        <v>-9236349</v>
      </c>
      <c r="BM169" s="542">
        <v>0</v>
      </c>
      <c r="BN169" s="542">
        <v>0</v>
      </c>
      <c r="BO169" s="542">
        <v>0</v>
      </c>
      <c r="BP169" s="542">
        <v>0</v>
      </c>
      <c r="BQ169" s="542">
        <v>0</v>
      </c>
      <c r="BR169" s="542">
        <v>-3475443</v>
      </c>
      <c r="BS169" s="542">
        <v>-3405934</v>
      </c>
      <c r="BT169" s="542">
        <v>0</v>
      </c>
      <c r="BU169" s="542">
        <v>-69509</v>
      </c>
      <c r="BV169" s="542">
        <v>-6950886</v>
      </c>
      <c r="BW169" s="542">
        <v>-8093616</v>
      </c>
      <c r="BX169" s="542">
        <v>-7931746</v>
      </c>
      <c r="BY169" s="542">
        <v>0</v>
      </c>
      <c r="BZ169" s="542">
        <v>-161873</v>
      </c>
      <c r="CA169" s="542">
        <v>-16187235</v>
      </c>
    </row>
    <row r="170" spans="1:79" ht="12.75" x14ac:dyDescent="0.2">
      <c r="A170" s="93">
        <v>164</v>
      </c>
      <c r="B170" s="145" t="s">
        <v>206</v>
      </c>
      <c r="C170" s="141" t="s">
        <v>866</v>
      </c>
      <c r="D170" s="142" t="s">
        <v>869</v>
      </c>
      <c r="E170" s="149" t="s">
        <v>205</v>
      </c>
      <c r="F170" s="543">
        <v>0.5</v>
      </c>
      <c r="G170" s="543">
        <v>0.4</v>
      </c>
      <c r="H170" s="543">
        <v>0.09</v>
      </c>
      <c r="I170" s="543">
        <v>0.01</v>
      </c>
      <c r="J170" s="543">
        <v>1</v>
      </c>
      <c r="K170" s="542">
        <v>6397525.2999999998</v>
      </c>
      <c r="L170" s="542">
        <v>5118019</v>
      </c>
      <c r="M170" s="542">
        <v>1151554</v>
      </c>
      <c r="N170" s="542">
        <v>127950</v>
      </c>
      <c r="O170" s="542">
        <v>12795048.300000001</v>
      </c>
      <c r="P170" s="542">
        <v>0</v>
      </c>
      <c r="Q170" s="542">
        <v>0</v>
      </c>
      <c r="R170" s="542">
        <v>6397525.2999999998</v>
      </c>
      <c r="S170" s="542">
        <v>61448</v>
      </c>
      <c r="T170" s="542">
        <v>61448</v>
      </c>
      <c r="U170" s="542">
        <v>0</v>
      </c>
      <c r="V170" s="542">
        <v>0</v>
      </c>
      <c r="W170" s="542">
        <v>0</v>
      </c>
      <c r="X170" s="542">
        <v>0</v>
      </c>
      <c r="Y170" s="542">
        <v>0</v>
      </c>
      <c r="Z170" s="542">
        <v>0</v>
      </c>
      <c r="AA170" s="542">
        <v>0</v>
      </c>
      <c r="AB170" s="542">
        <v>0</v>
      </c>
      <c r="AC170" s="542">
        <v>0</v>
      </c>
      <c r="AD170" s="542">
        <v>382259</v>
      </c>
      <c r="AE170" s="542">
        <v>305807</v>
      </c>
      <c r="AF170" s="542">
        <v>68807</v>
      </c>
      <c r="AG170" s="542">
        <v>7645</v>
      </c>
      <c r="AH170" s="542">
        <v>764518</v>
      </c>
      <c r="AI170" s="542">
        <v>-230025</v>
      </c>
      <c r="AJ170" s="542">
        <v>-184020</v>
      </c>
      <c r="AK170" s="542">
        <v>-41405</v>
      </c>
      <c r="AL170" s="542">
        <v>-4601</v>
      </c>
      <c r="AM170" s="542">
        <v>-460051</v>
      </c>
      <c r="AN170" s="542">
        <v>-80451</v>
      </c>
      <c r="AO170" s="542">
        <v>-64361</v>
      </c>
      <c r="AP170" s="542">
        <v>-14481</v>
      </c>
      <c r="AQ170" s="542">
        <v>-1609</v>
      </c>
      <c r="AR170" s="542">
        <v>-160902</v>
      </c>
      <c r="AS170" s="542">
        <v>37247</v>
      </c>
      <c r="AT170" s="542">
        <v>29798</v>
      </c>
      <c r="AU170" s="542">
        <v>6704</v>
      </c>
      <c r="AV170" s="542">
        <v>745</v>
      </c>
      <c r="AW170" s="542">
        <v>74494</v>
      </c>
      <c r="AX170" s="542">
        <v>-42999.7</v>
      </c>
      <c r="AY170" s="542">
        <v>-34400</v>
      </c>
      <c r="AZ170" s="542">
        <v>-7740</v>
      </c>
      <c r="BA170" s="542">
        <v>-860</v>
      </c>
      <c r="BB170" s="542">
        <v>-85999.7</v>
      </c>
      <c r="BC170" s="542">
        <v>-86203.7</v>
      </c>
      <c r="BD170" s="542">
        <v>-68963</v>
      </c>
      <c r="BE170" s="542">
        <v>-15517</v>
      </c>
      <c r="BF170" s="542">
        <v>-1724</v>
      </c>
      <c r="BG170" s="542">
        <v>-172407.7</v>
      </c>
      <c r="BH170" s="542">
        <v>-195865</v>
      </c>
      <c r="BI170" s="542">
        <v>-156690</v>
      </c>
      <c r="BJ170" s="542">
        <v>-35255</v>
      </c>
      <c r="BK170" s="542">
        <v>-3917</v>
      </c>
      <c r="BL170" s="542">
        <v>-391727</v>
      </c>
      <c r="BM170" s="542">
        <v>146096</v>
      </c>
      <c r="BN170" s="542">
        <v>116876</v>
      </c>
      <c r="BO170" s="542">
        <v>26297</v>
      </c>
      <c r="BP170" s="542">
        <v>2922</v>
      </c>
      <c r="BQ170" s="542">
        <v>292191</v>
      </c>
      <c r="BR170" s="542">
        <v>-222472</v>
      </c>
      <c r="BS170" s="542">
        <v>-177978</v>
      </c>
      <c r="BT170" s="542">
        <v>-40045</v>
      </c>
      <c r="BU170" s="542">
        <v>-4449</v>
      </c>
      <c r="BV170" s="542">
        <v>-444944</v>
      </c>
      <c r="BW170" s="542">
        <v>-272241</v>
      </c>
      <c r="BX170" s="542">
        <v>-217792</v>
      </c>
      <c r="BY170" s="542">
        <v>-49003</v>
      </c>
      <c r="BZ170" s="542">
        <v>-5444</v>
      </c>
      <c r="CA170" s="542">
        <v>-544480</v>
      </c>
    </row>
    <row r="171" spans="1:79" ht="12.75" x14ac:dyDescent="0.2">
      <c r="A171" s="93">
        <v>165</v>
      </c>
      <c r="B171" s="145" t="s">
        <v>208</v>
      </c>
      <c r="C171" s="141" t="s">
        <v>866</v>
      </c>
      <c r="D171" s="142" t="s">
        <v>875</v>
      </c>
      <c r="E171" s="149" t="s">
        <v>207</v>
      </c>
      <c r="F171" s="543">
        <v>0.5</v>
      </c>
      <c r="G171" s="543">
        <v>0.4</v>
      </c>
      <c r="H171" s="543">
        <v>0.09</v>
      </c>
      <c r="I171" s="543">
        <v>0.01</v>
      </c>
      <c r="J171" s="543">
        <v>1</v>
      </c>
      <c r="K171" s="542">
        <v>15925567</v>
      </c>
      <c r="L171" s="542">
        <v>12740454</v>
      </c>
      <c r="M171" s="542">
        <v>2866602</v>
      </c>
      <c r="N171" s="542">
        <v>318511</v>
      </c>
      <c r="O171" s="542">
        <v>31851134</v>
      </c>
      <c r="P171" s="542">
        <v>0</v>
      </c>
      <c r="Q171" s="542">
        <v>0</v>
      </c>
      <c r="R171" s="542">
        <v>15925567</v>
      </c>
      <c r="S171" s="542">
        <v>164793</v>
      </c>
      <c r="T171" s="542">
        <v>164793</v>
      </c>
      <c r="U171" s="542">
        <v>0</v>
      </c>
      <c r="V171" s="542">
        <v>0</v>
      </c>
      <c r="W171" s="542">
        <v>0</v>
      </c>
      <c r="X171" s="542">
        <v>0</v>
      </c>
      <c r="Y171" s="542">
        <v>0</v>
      </c>
      <c r="Z171" s="542">
        <v>0</v>
      </c>
      <c r="AA171" s="542">
        <v>0</v>
      </c>
      <c r="AB171" s="542">
        <v>0</v>
      </c>
      <c r="AC171" s="542">
        <v>0</v>
      </c>
      <c r="AD171" s="542">
        <v>495559</v>
      </c>
      <c r="AE171" s="542">
        <v>396447</v>
      </c>
      <c r="AF171" s="542">
        <v>89201</v>
      </c>
      <c r="AG171" s="542">
        <v>9911</v>
      </c>
      <c r="AH171" s="542">
        <v>991118</v>
      </c>
      <c r="AI171" s="542">
        <v>-225732</v>
      </c>
      <c r="AJ171" s="542">
        <v>-180586</v>
      </c>
      <c r="AK171" s="542">
        <v>-40632</v>
      </c>
      <c r="AL171" s="542">
        <v>-4515</v>
      </c>
      <c r="AM171" s="542">
        <v>-451465</v>
      </c>
      <c r="AN171" s="542">
        <v>-427852</v>
      </c>
      <c r="AO171" s="542">
        <v>-342282</v>
      </c>
      <c r="AP171" s="542">
        <v>-77013</v>
      </c>
      <c r="AQ171" s="542">
        <v>-8557</v>
      </c>
      <c r="AR171" s="542">
        <v>-855704</v>
      </c>
      <c r="AS171" s="542">
        <v>13162</v>
      </c>
      <c r="AT171" s="542">
        <v>10530</v>
      </c>
      <c r="AU171" s="542">
        <v>2369</v>
      </c>
      <c r="AV171" s="542">
        <v>263</v>
      </c>
      <c r="AW171" s="542">
        <v>26324</v>
      </c>
      <c r="AX171" s="542">
        <v>106815</v>
      </c>
      <c r="AY171" s="542">
        <v>85452</v>
      </c>
      <c r="AZ171" s="542">
        <v>19227</v>
      </c>
      <c r="BA171" s="542">
        <v>2136</v>
      </c>
      <c r="BB171" s="542">
        <v>213630</v>
      </c>
      <c r="BC171" s="542">
        <v>-307875</v>
      </c>
      <c r="BD171" s="542">
        <v>-246300</v>
      </c>
      <c r="BE171" s="542">
        <v>-55417</v>
      </c>
      <c r="BF171" s="542">
        <v>-6158</v>
      </c>
      <c r="BG171" s="542">
        <v>-615750</v>
      </c>
      <c r="BH171" s="542">
        <v>-850000</v>
      </c>
      <c r="BI171" s="542">
        <v>-680000</v>
      </c>
      <c r="BJ171" s="542">
        <v>-153000</v>
      </c>
      <c r="BK171" s="542">
        <v>-17000</v>
      </c>
      <c r="BL171" s="542">
        <v>-1700000</v>
      </c>
      <c r="BM171" s="542">
        <v>524925</v>
      </c>
      <c r="BN171" s="542">
        <v>419939</v>
      </c>
      <c r="BO171" s="542">
        <v>94486</v>
      </c>
      <c r="BP171" s="542">
        <v>10498</v>
      </c>
      <c r="BQ171" s="542">
        <v>1049848</v>
      </c>
      <c r="BR171" s="542">
        <v>-844436</v>
      </c>
      <c r="BS171" s="542">
        <v>-675550</v>
      </c>
      <c r="BT171" s="542">
        <v>-151999</v>
      </c>
      <c r="BU171" s="542">
        <v>-16889</v>
      </c>
      <c r="BV171" s="542">
        <v>-1688874</v>
      </c>
      <c r="BW171" s="542">
        <v>-1169511</v>
      </c>
      <c r="BX171" s="542">
        <v>-935611</v>
      </c>
      <c r="BY171" s="542">
        <v>-210513</v>
      </c>
      <c r="BZ171" s="542">
        <v>-23391</v>
      </c>
      <c r="CA171" s="542">
        <v>-2339026</v>
      </c>
    </row>
    <row r="172" spans="1:79" ht="12.75" x14ac:dyDescent="0.2">
      <c r="A172" s="93">
        <v>166</v>
      </c>
      <c r="B172" s="145" t="s">
        <v>210</v>
      </c>
      <c r="C172" s="141" t="s">
        <v>871</v>
      </c>
      <c r="D172" s="142" t="s">
        <v>872</v>
      </c>
      <c r="E172" s="149" t="s">
        <v>209</v>
      </c>
      <c r="F172" s="543">
        <v>0.5</v>
      </c>
      <c r="G172" s="543">
        <v>0.3</v>
      </c>
      <c r="H172" s="543">
        <v>0.2</v>
      </c>
      <c r="I172" s="543">
        <v>0</v>
      </c>
      <c r="J172" s="543">
        <v>1</v>
      </c>
      <c r="K172" s="542">
        <v>39634765</v>
      </c>
      <c r="L172" s="542">
        <v>23780859</v>
      </c>
      <c r="M172" s="542">
        <v>15853906</v>
      </c>
      <c r="N172" s="542">
        <v>0</v>
      </c>
      <c r="O172" s="542">
        <v>79269530</v>
      </c>
      <c r="P172" s="542">
        <v>0</v>
      </c>
      <c r="Q172" s="542">
        <v>0</v>
      </c>
      <c r="R172" s="542">
        <v>39634765</v>
      </c>
      <c r="S172" s="542">
        <v>318855</v>
      </c>
      <c r="T172" s="542">
        <v>318855</v>
      </c>
      <c r="U172" s="542">
        <v>0</v>
      </c>
      <c r="V172" s="542">
        <v>0</v>
      </c>
      <c r="W172" s="542">
        <v>0</v>
      </c>
      <c r="X172" s="542">
        <v>0</v>
      </c>
      <c r="Y172" s="542">
        <v>0</v>
      </c>
      <c r="Z172" s="542">
        <v>0</v>
      </c>
      <c r="AA172" s="542">
        <v>0</v>
      </c>
      <c r="AB172" s="542">
        <v>0</v>
      </c>
      <c r="AC172" s="542">
        <v>0</v>
      </c>
      <c r="AD172" s="542">
        <v>2019343</v>
      </c>
      <c r="AE172" s="542">
        <v>1211606</v>
      </c>
      <c r="AF172" s="542">
        <v>807737</v>
      </c>
      <c r="AG172" s="542">
        <v>0</v>
      </c>
      <c r="AH172" s="542">
        <v>4038685</v>
      </c>
      <c r="AI172" s="542">
        <v>-1643493</v>
      </c>
      <c r="AJ172" s="542">
        <v>-986096</v>
      </c>
      <c r="AK172" s="542">
        <v>-657397</v>
      </c>
      <c r="AL172" s="542">
        <v>0</v>
      </c>
      <c r="AM172" s="542">
        <v>-3286986</v>
      </c>
      <c r="AN172" s="542">
        <v>-1477000</v>
      </c>
      <c r="AO172" s="542">
        <v>-886200</v>
      </c>
      <c r="AP172" s="542">
        <v>-590800</v>
      </c>
      <c r="AQ172" s="542">
        <v>0</v>
      </c>
      <c r="AR172" s="542">
        <v>-2954000</v>
      </c>
      <c r="AS172" s="542">
        <v>394233</v>
      </c>
      <c r="AT172" s="542">
        <v>236540</v>
      </c>
      <c r="AU172" s="542">
        <v>157693</v>
      </c>
      <c r="AV172" s="542">
        <v>0</v>
      </c>
      <c r="AW172" s="542">
        <v>788465</v>
      </c>
      <c r="AX172" s="542">
        <v>-53765</v>
      </c>
      <c r="AY172" s="542">
        <v>-32259</v>
      </c>
      <c r="AZ172" s="542">
        <v>-21506</v>
      </c>
      <c r="BA172" s="542">
        <v>0</v>
      </c>
      <c r="BB172" s="542">
        <v>-107529</v>
      </c>
      <c r="BC172" s="542">
        <v>-1136532</v>
      </c>
      <c r="BD172" s="542">
        <v>-681919</v>
      </c>
      <c r="BE172" s="542">
        <v>-454613</v>
      </c>
      <c r="BF172" s="542">
        <v>0</v>
      </c>
      <c r="BG172" s="542">
        <v>-2273064</v>
      </c>
      <c r="BH172" s="542">
        <v>-2739720</v>
      </c>
      <c r="BI172" s="542">
        <v>-1643832</v>
      </c>
      <c r="BJ172" s="542">
        <v>-1095888</v>
      </c>
      <c r="BK172" s="542">
        <v>0</v>
      </c>
      <c r="BL172" s="542">
        <v>-5479440</v>
      </c>
      <c r="BM172" s="542">
        <v>760406</v>
      </c>
      <c r="BN172" s="542">
        <v>456243</v>
      </c>
      <c r="BO172" s="542">
        <v>304162</v>
      </c>
      <c r="BP172" s="542">
        <v>0</v>
      </c>
      <c r="BQ172" s="542">
        <v>1520811</v>
      </c>
      <c r="BR172" s="542">
        <v>-2570686</v>
      </c>
      <c r="BS172" s="542">
        <v>-1542411</v>
      </c>
      <c r="BT172" s="542">
        <v>-1028274</v>
      </c>
      <c r="BU172" s="542">
        <v>0</v>
      </c>
      <c r="BV172" s="542">
        <v>-5141371</v>
      </c>
      <c r="BW172" s="542">
        <v>-4550000</v>
      </c>
      <c r="BX172" s="542">
        <v>-2730000</v>
      </c>
      <c r="BY172" s="542">
        <v>-1820000</v>
      </c>
      <c r="BZ172" s="542">
        <v>0</v>
      </c>
      <c r="CA172" s="542">
        <v>-9100000</v>
      </c>
    </row>
    <row r="173" spans="1:79" ht="12.75" x14ac:dyDescent="0.2">
      <c r="A173" s="93">
        <v>167</v>
      </c>
      <c r="B173" s="145" t="s">
        <v>212</v>
      </c>
      <c r="C173" s="141" t="s">
        <v>866</v>
      </c>
      <c r="D173" s="142" t="s">
        <v>875</v>
      </c>
      <c r="E173" s="149" t="s">
        <v>211</v>
      </c>
      <c r="F173" s="543">
        <v>0.5</v>
      </c>
      <c r="G173" s="543">
        <v>0.4</v>
      </c>
      <c r="H173" s="543">
        <v>0.09</v>
      </c>
      <c r="I173" s="543">
        <v>0.01</v>
      </c>
      <c r="J173" s="543">
        <v>1</v>
      </c>
      <c r="K173" s="542">
        <v>7226491</v>
      </c>
      <c r="L173" s="542">
        <v>5781192</v>
      </c>
      <c r="M173" s="542">
        <v>1300768</v>
      </c>
      <c r="N173" s="542">
        <v>144530</v>
      </c>
      <c r="O173" s="542">
        <v>14452981</v>
      </c>
      <c r="P173" s="542">
        <v>0</v>
      </c>
      <c r="Q173" s="542">
        <v>0</v>
      </c>
      <c r="R173" s="542">
        <v>7226491</v>
      </c>
      <c r="S173" s="542">
        <v>106197</v>
      </c>
      <c r="T173" s="542">
        <v>106197</v>
      </c>
      <c r="U173" s="542">
        <v>0</v>
      </c>
      <c r="V173" s="542">
        <v>0</v>
      </c>
      <c r="W173" s="542">
        <v>68497</v>
      </c>
      <c r="X173" s="542">
        <v>0</v>
      </c>
      <c r="Y173" s="542">
        <v>68497</v>
      </c>
      <c r="Z173" s="542">
        <v>0</v>
      </c>
      <c r="AA173" s="542">
        <v>0</v>
      </c>
      <c r="AB173" s="542">
        <v>0</v>
      </c>
      <c r="AC173" s="542">
        <v>0</v>
      </c>
      <c r="AD173" s="542">
        <v>246338</v>
      </c>
      <c r="AE173" s="542">
        <v>197070</v>
      </c>
      <c r="AF173" s="542">
        <v>44341</v>
      </c>
      <c r="AG173" s="542">
        <v>4927</v>
      </c>
      <c r="AH173" s="542">
        <v>492676</v>
      </c>
      <c r="AI173" s="542">
        <v>-72974</v>
      </c>
      <c r="AJ173" s="542">
        <v>-58378</v>
      </c>
      <c r="AK173" s="542">
        <v>-13135</v>
      </c>
      <c r="AL173" s="542">
        <v>-1459</v>
      </c>
      <c r="AM173" s="542">
        <v>-145946</v>
      </c>
      <c r="AN173" s="542">
        <v>-94853</v>
      </c>
      <c r="AO173" s="542">
        <v>-75883</v>
      </c>
      <c r="AP173" s="542">
        <v>-17074</v>
      </c>
      <c r="AQ173" s="542">
        <v>-1898</v>
      </c>
      <c r="AR173" s="542">
        <v>-189708</v>
      </c>
      <c r="AS173" s="542">
        <v>0</v>
      </c>
      <c r="AT173" s="542">
        <v>0</v>
      </c>
      <c r="AU173" s="542">
        <v>0</v>
      </c>
      <c r="AV173" s="542">
        <v>0</v>
      </c>
      <c r="AW173" s="542">
        <v>0</v>
      </c>
      <c r="AX173" s="542">
        <v>-6571</v>
      </c>
      <c r="AY173" s="542">
        <v>-5256</v>
      </c>
      <c r="AZ173" s="542">
        <v>-1183</v>
      </c>
      <c r="BA173" s="542">
        <v>-131</v>
      </c>
      <c r="BB173" s="542">
        <v>-13141</v>
      </c>
      <c r="BC173" s="542">
        <v>-101424</v>
      </c>
      <c r="BD173" s="542">
        <v>-81139</v>
      </c>
      <c r="BE173" s="542">
        <v>-18257</v>
      </c>
      <c r="BF173" s="542">
        <v>-2029</v>
      </c>
      <c r="BG173" s="542">
        <v>-202849</v>
      </c>
      <c r="BH173" s="542">
        <v>-7500</v>
      </c>
      <c r="BI173" s="542">
        <v>-6000</v>
      </c>
      <c r="BJ173" s="542">
        <v>-1350</v>
      </c>
      <c r="BK173" s="542">
        <v>-150</v>
      </c>
      <c r="BL173" s="542">
        <v>-15000</v>
      </c>
      <c r="BM173" s="542">
        <v>0</v>
      </c>
      <c r="BN173" s="542">
        <v>0</v>
      </c>
      <c r="BO173" s="542">
        <v>0</v>
      </c>
      <c r="BP173" s="542">
        <v>0</v>
      </c>
      <c r="BQ173" s="542">
        <v>0</v>
      </c>
      <c r="BR173" s="542">
        <v>-175500</v>
      </c>
      <c r="BS173" s="542">
        <v>-140400</v>
      </c>
      <c r="BT173" s="542">
        <v>-31590</v>
      </c>
      <c r="BU173" s="542">
        <v>-3510</v>
      </c>
      <c r="BV173" s="542">
        <v>-351000</v>
      </c>
      <c r="BW173" s="542">
        <v>-183000</v>
      </c>
      <c r="BX173" s="542">
        <v>-146400</v>
      </c>
      <c r="BY173" s="542">
        <v>-32940</v>
      </c>
      <c r="BZ173" s="542">
        <v>-3660</v>
      </c>
      <c r="CA173" s="542">
        <v>-366000</v>
      </c>
    </row>
    <row r="174" spans="1:79" ht="12.75" x14ac:dyDescent="0.2">
      <c r="A174" s="93">
        <v>168</v>
      </c>
      <c r="B174" s="145" t="s">
        <v>214</v>
      </c>
      <c r="C174" s="141" t="s">
        <v>866</v>
      </c>
      <c r="D174" s="142" t="s">
        <v>870</v>
      </c>
      <c r="E174" s="149" t="s">
        <v>213</v>
      </c>
      <c r="F174" s="543">
        <v>0.5</v>
      </c>
      <c r="G174" s="543">
        <v>0.4</v>
      </c>
      <c r="H174" s="543">
        <v>0.1</v>
      </c>
      <c r="I174" s="543">
        <v>0</v>
      </c>
      <c r="J174" s="543">
        <v>1</v>
      </c>
      <c r="K174" s="542">
        <v>10252242</v>
      </c>
      <c r="L174" s="542">
        <v>8201794</v>
      </c>
      <c r="M174" s="542">
        <v>2050449</v>
      </c>
      <c r="N174" s="542">
        <v>0</v>
      </c>
      <c r="O174" s="542">
        <v>20504485</v>
      </c>
      <c r="P174" s="542">
        <v>0</v>
      </c>
      <c r="Q174" s="542">
        <v>0</v>
      </c>
      <c r="R174" s="542">
        <v>10252242</v>
      </c>
      <c r="S174" s="542">
        <v>128904</v>
      </c>
      <c r="T174" s="542">
        <v>128904</v>
      </c>
      <c r="U174" s="542">
        <v>0</v>
      </c>
      <c r="V174" s="542">
        <v>0</v>
      </c>
      <c r="W174" s="542">
        <v>52775</v>
      </c>
      <c r="X174" s="542">
        <v>0</v>
      </c>
      <c r="Y174" s="542">
        <v>52775</v>
      </c>
      <c r="Z174" s="542">
        <v>0</v>
      </c>
      <c r="AA174" s="542">
        <v>0</v>
      </c>
      <c r="AB174" s="542">
        <v>0</v>
      </c>
      <c r="AC174" s="542">
        <v>0</v>
      </c>
      <c r="AD174" s="542">
        <v>478296</v>
      </c>
      <c r="AE174" s="542">
        <v>382637</v>
      </c>
      <c r="AF174" s="542">
        <v>95659</v>
      </c>
      <c r="AG174" s="542">
        <v>0</v>
      </c>
      <c r="AH174" s="542">
        <v>956592</v>
      </c>
      <c r="AI174" s="542">
        <v>-42989</v>
      </c>
      <c r="AJ174" s="542">
        <v>-34391</v>
      </c>
      <c r="AK174" s="542">
        <v>-8598</v>
      </c>
      <c r="AL174" s="542">
        <v>0</v>
      </c>
      <c r="AM174" s="542">
        <v>-85978</v>
      </c>
      <c r="AN174" s="542">
        <v>-135421</v>
      </c>
      <c r="AO174" s="542">
        <v>-108337</v>
      </c>
      <c r="AP174" s="542">
        <v>-27084</v>
      </c>
      <c r="AQ174" s="542">
        <v>0</v>
      </c>
      <c r="AR174" s="542">
        <v>-270842</v>
      </c>
      <c r="AS174" s="542">
        <v>76002</v>
      </c>
      <c r="AT174" s="542">
        <v>60802</v>
      </c>
      <c r="AU174" s="542">
        <v>15200</v>
      </c>
      <c r="AV174" s="542">
        <v>0</v>
      </c>
      <c r="AW174" s="542">
        <v>152004</v>
      </c>
      <c r="AX174" s="542">
        <v>-66022</v>
      </c>
      <c r="AY174" s="542">
        <v>-52817</v>
      </c>
      <c r="AZ174" s="542">
        <v>-13204</v>
      </c>
      <c r="BA174" s="542">
        <v>0</v>
      </c>
      <c r="BB174" s="542">
        <v>-132043</v>
      </c>
      <c r="BC174" s="542">
        <v>-125441</v>
      </c>
      <c r="BD174" s="542">
        <v>-100352</v>
      </c>
      <c r="BE174" s="542">
        <v>-25088</v>
      </c>
      <c r="BF174" s="542">
        <v>0</v>
      </c>
      <c r="BG174" s="542">
        <v>-250881</v>
      </c>
      <c r="BH174" s="542">
        <v>-468009</v>
      </c>
      <c r="BI174" s="542">
        <v>-374407</v>
      </c>
      <c r="BJ174" s="542">
        <v>-93602</v>
      </c>
      <c r="BK174" s="542">
        <v>0</v>
      </c>
      <c r="BL174" s="542">
        <v>-936018</v>
      </c>
      <c r="BM174" s="542">
        <v>155434</v>
      </c>
      <c r="BN174" s="542">
        <v>124347</v>
      </c>
      <c r="BO174" s="542">
        <v>31087</v>
      </c>
      <c r="BP174" s="542">
        <v>0</v>
      </c>
      <c r="BQ174" s="542">
        <v>310868</v>
      </c>
      <c r="BR174" s="542">
        <v>-606942</v>
      </c>
      <c r="BS174" s="542">
        <v>-485554</v>
      </c>
      <c r="BT174" s="542">
        <v>-121389</v>
      </c>
      <c r="BU174" s="542">
        <v>0</v>
      </c>
      <c r="BV174" s="542">
        <v>-1213885</v>
      </c>
      <c r="BW174" s="542">
        <v>-919517</v>
      </c>
      <c r="BX174" s="542">
        <v>-735614</v>
      </c>
      <c r="BY174" s="542">
        <v>-183904</v>
      </c>
      <c r="BZ174" s="542">
        <v>0</v>
      </c>
      <c r="CA174" s="542">
        <v>-1839035</v>
      </c>
    </row>
    <row r="175" spans="1:79" ht="12.75" x14ac:dyDescent="0.2">
      <c r="A175" s="93">
        <v>169</v>
      </c>
      <c r="B175" s="145" t="s">
        <v>216</v>
      </c>
      <c r="C175" s="141" t="s">
        <v>866</v>
      </c>
      <c r="D175" s="142" t="s">
        <v>867</v>
      </c>
      <c r="E175" s="149" t="s">
        <v>215</v>
      </c>
      <c r="F175" s="543">
        <v>0.5</v>
      </c>
      <c r="G175" s="543">
        <v>0.4</v>
      </c>
      <c r="H175" s="543">
        <v>0.1</v>
      </c>
      <c r="I175" s="543">
        <v>0</v>
      </c>
      <c r="J175" s="543">
        <v>1</v>
      </c>
      <c r="K175" s="542">
        <v>20558199</v>
      </c>
      <c r="L175" s="542">
        <v>16446559</v>
      </c>
      <c r="M175" s="542">
        <v>4111640</v>
      </c>
      <c r="N175" s="542">
        <v>0</v>
      </c>
      <c r="O175" s="542">
        <v>41116398</v>
      </c>
      <c r="P175" s="542">
        <v>0</v>
      </c>
      <c r="Q175" s="542">
        <v>0</v>
      </c>
      <c r="R175" s="542">
        <v>20558199</v>
      </c>
      <c r="S175" s="542">
        <v>171742</v>
      </c>
      <c r="T175" s="542">
        <v>171742</v>
      </c>
      <c r="U175" s="542">
        <v>0</v>
      </c>
      <c r="V175" s="542">
        <v>0</v>
      </c>
      <c r="W175" s="542">
        <v>0</v>
      </c>
      <c r="X175" s="542">
        <v>0</v>
      </c>
      <c r="Y175" s="542">
        <v>0</v>
      </c>
      <c r="Z175" s="542">
        <v>0</v>
      </c>
      <c r="AA175" s="542">
        <v>0</v>
      </c>
      <c r="AB175" s="542">
        <v>0</v>
      </c>
      <c r="AC175" s="542">
        <v>0</v>
      </c>
      <c r="AD175" s="542">
        <v>1133914</v>
      </c>
      <c r="AE175" s="542">
        <v>907132</v>
      </c>
      <c r="AF175" s="542">
        <v>226783</v>
      </c>
      <c r="AG175" s="542">
        <v>0</v>
      </c>
      <c r="AH175" s="542">
        <v>2267829</v>
      </c>
      <c r="AI175" s="542">
        <v>-582081</v>
      </c>
      <c r="AJ175" s="542">
        <v>-465665</v>
      </c>
      <c r="AK175" s="542">
        <v>-116416</v>
      </c>
      <c r="AL175" s="542">
        <v>0</v>
      </c>
      <c r="AM175" s="542">
        <v>-1164162</v>
      </c>
      <c r="AN175" s="542">
        <v>-790307</v>
      </c>
      <c r="AO175" s="542">
        <v>-632247</v>
      </c>
      <c r="AP175" s="542">
        <v>-158062</v>
      </c>
      <c r="AQ175" s="542">
        <v>0</v>
      </c>
      <c r="AR175" s="542">
        <v>-1580616</v>
      </c>
      <c r="AS175" s="542">
        <v>145031</v>
      </c>
      <c r="AT175" s="542">
        <v>116024</v>
      </c>
      <c r="AU175" s="542">
        <v>29006</v>
      </c>
      <c r="AV175" s="542">
        <v>0</v>
      </c>
      <c r="AW175" s="542">
        <v>290061</v>
      </c>
      <c r="AX175" s="542">
        <v>-197936</v>
      </c>
      <c r="AY175" s="542">
        <v>-158348</v>
      </c>
      <c r="AZ175" s="542">
        <v>-39587</v>
      </c>
      <c r="BA175" s="542">
        <v>0</v>
      </c>
      <c r="BB175" s="542">
        <v>-395871</v>
      </c>
      <c r="BC175" s="542">
        <v>-843212</v>
      </c>
      <c r="BD175" s="542">
        <v>-674571</v>
      </c>
      <c r="BE175" s="542">
        <v>-168643</v>
      </c>
      <c r="BF175" s="542">
        <v>0</v>
      </c>
      <c r="BG175" s="542">
        <v>-1686426</v>
      </c>
      <c r="BH175" s="542">
        <v>-692395</v>
      </c>
      <c r="BI175" s="542">
        <v>-553916</v>
      </c>
      <c r="BJ175" s="542">
        <v>-138479</v>
      </c>
      <c r="BK175" s="542">
        <v>0</v>
      </c>
      <c r="BL175" s="542">
        <v>-1384790</v>
      </c>
      <c r="BM175" s="542">
        <v>387124</v>
      </c>
      <c r="BN175" s="542">
        <v>309699</v>
      </c>
      <c r="BO175" s="542">
        <v>77425</v>
      </c>
      <c r="BP175" s="542">
        <v>0</v>
      </c>
      <c r="BQ175" s="542">
        <v>774248</v>
      </c>
      <c r="BR175" s="542">
        <v>-580172</v>
      </c>
      <c r="BS175" s="542">
        <v>-464138</v>
      </c>
      <c r="BT175" s="542">
        <v>-116035</v>
      </c>
      <c r="BU175" s="542">
        <v>0</v>
      </c>
      <c r="BV175" s="542">
        <v>-1160345</v>
      </c>
      <c r="BW175" s="542">
        <v>-885443</v>
      </c>
      <c r="BX175" s="542">
        <v>-708355</v>
      </c>
      <c r="BY175" s="542">
        <v>-177089</v>
      </c>
      <c r="BZ175" s="542">
        <v>0</v>
      </c>
      <c r="CA175" s="542">
        <v>-1770887</v>
      </c>
    </row>
    <row r="176" spans="1:79" ht="12.75" x14ac:dyDescent="0.2">
      <c r="A176" s="93">
        <v>170</v>
      </c>
      <c r="B176" s="145" t="s">
        <v>218</v>
      </c>
      <c r="C176" s="141" t="s">
        <v>770</v>
      </c>
      <c r="D176" s="142" t="s">
        <v>878</v>
      </c>
      <c r="E176" s="149" t="s">
        <v>706</v>
      </c>
      <c r="F176" s="543">
        <v>0.5</v>
      </c>
      <c r="G176" s="543">
        <v>0.49</v>
      </c>
      <c r="H176" s="543">
        <v>0</v>
      </c>
      <c r="I176" s="543">
        <v>0.01</v>
      </c>
      <c r="J176" s="543">
        <v>1</v>
      </c>
      <c r="K176" s="542">
        <v>19610133</v>
      </c>
      <c r="L176" s="542">
        <v>19217930</v>
      </c>
      <c r="M176" s="542">
        <v>0</v>
      </c>
      <c r="N176" s="542">
        <v>392203</v>
      </c>
      <c r="O176" s="542">
        <v>39220266</v>
      </c>
      <c r="P176" s="542">
        <v>0</v>
      </c>
      <c r="Q176" s="542">
        <v>0</v>
      </c>
      <c r="R176" s="542">
        <v>19610133</v>
      </c>
      <c r="S176" s="542">
        <v>177799</v>
      </c>
      <c r="T176" s="542">
        <v>177799</v>
      </c>
      <c r="U176" s="542">
        <v>0</v>
      </c>
      <c r="V176" s="542">
        <v>0</v>
      </c>
      <c r="W176" s="542">
        <v>0</v>
      </c>
      <c r="X176" s="542">
        <v>0</v>
      </c>
      <c r="Y176" s="542">
        <v>0</v>
      </c>
      <c r="Z176" s="542">
        <v>0</v>
      </c>
      <c r="AA176" s="542">
        <v>0</v>
      </c>
      <c r="AB176" s="542">
        <v>0</v>
      </c>
      <c r="AC176" s="542">
        <v>0</v>
      </c>
      <c r="AD176" s="542">
        <v>4178901</v>
      </c>
      <c r="AE176" s="542">
        <v>4095323</v>
      </c>
      <c r="AF176" s="542">
        <v>0</v>
      </c>
      <c r="AG176" s="542">
        <v>83578</v>
      </c>
      <c r="AH176" s="542">
        <v>8357802</v>
      </c>
      <c r="AI176" s="542">
        <v>-671449</v>
      </c>
      <c r="AJ176" s="542">
        <v>-658020</v>
      </c>
      <c r="AK176" s="542">
        <v>0</v>
      </c>
      <c r="AL176" s="542">
        <v>-13429</v>
      </c>
      <c r="AM176" s="542">
        <v>-1342898</v>
      </c>
      <c r="AN176" s="542">
        <v>-2312882</v>
      </c>
      <c r="AO176" s="542">
        <v>-2266624</v>
      </c>
      <c r="AP176" s="542">
        <v>0</v>
      </c>
      <c r="AQ176" s="542">
        <v>-46258</v>
      </c>
      <c r="AR176" s="542">
        <v>-4625764</v>
      </c>
      <c r="AS176" s="542">
        <v>0</v>
      </c>
      <c r="AT176" s="542">
        <v>0</v>
      </c>
      <c r="AU176" s="542">
        <v>0</v>
      </c>
      <c r="AV176" s="542">
        <v>0</v>
      </c>
      <c r="AW176" s="542">
        <v>0</v>
      </c>
      <c r="AX176" s="542">
        <v>-296796</v>
      </c>
      <c r="AY176" s="542">
        <v>-290861</v>
      </c>
      <c r="AZ176" s="542">
        <v>0</v>
      </c>
      <c r="BA176" s="542">
        <v>-5936</v>
      </c>
      <c r="BB176" s="542">
        <v>-593593</v>
      </c>
      <c r="BC176" s="542">
        <v>-2609678</v>
      </c>
      <c r="BD176" s="542">
        <v>-2557485</v>
      </c>
      <c r="BE176" s="542">
        <v>0</v>
      </c>
      <c r="BF176" s="542">
        <v>-52194</v>
      </c>
      <c r="BG176" s="542">
        <v>-5219357</v>
      </c>
      <c r="BH176" s="542">
        <v>-2250000</v>
      </c>
      <c r="BI176" s="542">
        <v>-2205000</v>
      </c>
      <c r="BJ176" s="542">
        <v>0</v>
      </c>
      <c r="BK176" s="542">
        <v>-45000</v>
      </c>
      <c r="BL176" s="542">
        <v>-4500000</v>
      </c>
      <c r="BM176" s="542">
        <v>250000</v>
      </c>
      <c r="BN176" s="542">
        <v>245000</v>
      </c>
      <c r="BO176" s="542">
        <v>0</v>
      </c>
      <c r="BP176" s="542">
        <v>5000</v>
      </c>
      <c r="BQ176" s="542">
        <v>500000</v>
      </c>
      <c r="BR176" s="542">
        <v>0</v>
      </c>
      <c r="BS176" s="542">
        <v>0</v>
      </c>
      <c r="BT176" s="542">
        <v>0</v>
      </c>
      <c r="BU176" s="542">
        <v>0</v>
      </c>
      <c r="BV176" s="542">
        <v>0</v>
      </c>
      <c r="BW176" s="542">
        <v>-2000000</v>
      </c>
      <c r="BX176" s="542">
        <v>-1960000</v>
      </c>
      <c r="BY176" s="542">
        <v>0</v>
      </c>
      <c r="BZ176" s="542">
        <v>-40000</v>
      </c>
      <c r="CA176" s="542">
        <v>-4000000</v>
      </c>
    </row>
    <row r="177" spans="1:79" ht="12.75" x14ac:dyDescent="0.2">
      <c r="A177" s="93">
        <v>171</v>
      </c>
      <c r="B177" s="145" t="s">
        <v>220</v>
      </c>
      <c r="C177" s="141" t="s">
        <v>770</v>
      </c>
      <c r="D177" s="142" t="s">
        <v>867</v>
      </c>
      <c r="E177" s="149" t="s">
        <v>707</v>
      </c>
      <c r="F177" s="543">
        <v>0.5</v>
      </c>
      <c r="G177" s="543">
        <v>0.49</v>
      </c>
      <c r="H177" s="543">
        <v>0</v>
      </c>
      <c r="I177" s="543">
        <v>0.01</v>
      </c>
      <c r="J177" s="543">
        <v>1</v>
      </c>
      <c r="K177" s="542">
        <v>71739365</v>
      </c>
      <c r="L177" s="542">
        <v>70304577</v>
      </c>
      <c r="M177" s="542">
        <v>0</v>
      </c>
      <c r="N177" s="542">
        <v>1434787</v>
      </c>
      <c r="O177" s="542">
        <v>143478729</v>
      </c>
      <c r="P177" s="542">
        <v>0</v>
      </c>
      <c r="Q177" s="542">
        <v>0</v>
      </c>
      <c r="R177" s="542">
        <v>71739365</v>
      </c>
      <c r="S177" s="542">
        <v>374347</v>
      </c>
      <c r="T177" s="542">
        <v>374347</v>
      </c>
      <c r="U177" s="542">
        <v>0</v>
      </c>
      <c r="V177" s="542">
        <v>0</v>
      </c>
      <c r="W177" s="542">
        <v>0</v>
      </c>
      <c r="X177" s="542">
        <v>0</v>
      </c>
      <c r="Y177" s="542">
        <v>0</v>
      </c>
      <c r="Z177" s="542">
        <v>0</v>
      </c>
      <c r="AA177" s="542">
        <v>0</v>
      </c>
      <c r="AB177" s="542">
        <v>0</v>
      </c>
      <c r="AC177" s="542">
        <v>0</v>
      </c>
      <c r="AD177" s="542">
        <v>2587640</v>
      </c>
      <c r="AE177" s="542">
        <v>2535887</v>
      </c>
      <c r="AF177" s="542">
        <v>0</v>
      </c>
      <c r="AG177" s="542">
        <v>51753</v>
      </c>
      <c r="AH177" s="542">
        <v>5175280</v>
      </c>
      <c r="AI177" s="542">
        <v>-1448292</v>
      </c>
      <c r="AJ177" s="542">
        <v>-1419326</v>
      </c>
      <c r="AK177" s="542">
        <v>0</v>
      </c>
      <c r="AL177" s="542">
        <v>-28966</v>
      </c>
      <c r="AM177" s="542">
        <v>-2896584</v>
      </c>
      <c r="AN177" s="542">
        <v>-2080000</v>
      </c>
      <c r="AO177" s="542">
        <v>-2038400</v>
      </c>
      <c r="AP177" s="542">
        <v>0</v>
      </c>
      <c r="AQ177" s="542">
        <v>-41600</v>
      </c>
      <c r="AR177" s="542">
        <v>-4160000</v>
      </c>
      <c r="AS177" s="542">
        <v>453641</v>
      </c>
      <c r="AT177" s="542">
        <v>444569</v>
      </c>
      <c r="AU177" s="542">
        <v>0</v>
      </c>
      <c r="AV177" s="542">
        <v>9073</v>
      </c>
      <c r="AW177" s="542">
        <v>907283</v>
      </c>
      <c r="AX177" s="542">
        <v>-738641</v>
      </c>
      <c r="AY177" s="542">
        <v>-723869</v>
      </c>
      <c r="AZ177" s="542">
        <v>0</v>
      </c>
      <c r="BA177" s="542">
        <v>-14773</v>
      </c>
      <c r="BB177" s="542">
        <v>-1477283</v>
      </c>
      <c r="BC177" s="542">
        <v>-2365000</v>
      </c>
      <c r="BD177" s="542">
        <v>-2317700</v>
      </c>
      <c r="BE177" s="542">
        <v>0</v>
      </c>
      <c r="BF177" s="542">
        <v>-47300</v>
      </c>
      <c r="BG177" s="542">
        <v>-4730000</v>
      </c>
      <c r="BH177" s="542">
        <v>-11600000</v>
      </c>
      <c r="BI177" s="542">
        <v>-11368000</v>
      </c>
      <c r="BJ177" s="542">
        <v>0</v>
      </c>
      <c r="BK177" s="542">
        <v>-232000</v>
      </c>
      <c r="BL177" s="542">
        <v>-23200000</v>
      </c>
      <c r="BM177" s="542">
        <v>6468980</v>
      </c>
      <c r="BN177" s="542">
        <v>6339600</v>
      </c>
      <c r="BO177" s="542">
        <v>0</v>
      </c>
      <c r="BP177" s="542">
        <v>129380</v>
      </c>
      <c r="BQ177" s="542">
        <v>12937960</v>
      </c>
      <c r="BR177" s="542">
        <v>-8661916</v>
      </c>
      <c r="BS177" s="542">
        <v>-8488678</v>
      </c>
      <c r="BT177" s="542">
        <v>0</v>
      </c>
      <c r="BU177" s="542">
        <v>-173238</v>
      </c>
      <c r="BV177" s="542">
        <v>-17323832</v>
      </c>
      <c r="BW177" s="542">
        <v>-13792936</v>
      </c>
      <c r="BX177" s="542">
        <v>-13517078</v>
      </c>
      <c r="BY177" s="542">
        <v>0</v>
      </c>
      <c r="BZ177" s="542">
        <v>-275858</v>
      </c>
      <c r="CA177" s="542">
        <v>-27585872</v>
      </c>
    </row>
    <row r="178" spans="1:79" ht="12.75" x14ac:dyDescent="0.2">
      <c r="A178" s="93">
        <v>172</v>
      </c>
      <c r="B178" s="145" t="s">
        <v>222</v>
      </c>
      <c r="C178" s="141" t="s">
        <v>866</v>
      </c>
      <c r="D178" s="142" t="s">
        <v>867</v>
      </c>
      <c r="E178" s="149" t="s">
        <v>221</v>
      </c>
      <c r="F178" s="543">
        <v>0.5</v>
      </c>
      <c r="G178" s="543">
        <v>0.4</v>
      </c>
      <c r="H178" s="543">
        <v>0.1</v>
      </c>
      <c r="I178" s="543">
        <v>0</v>
      </c>
      <c r="J178" s="543">
        <v>1</v>
      </c>
      <c r="K178" s="542">
        <v>17057876</v>
      </c>
      <c r="L178" s="542">
        <v>13646300</v>
      </c>
      <c r="M178" s="542">
        <v>3411575</v>
      </c>
      <c r="N178" s="542">
        <v>0</v>
      </c>
      <c r="O178" s="542">
        <v>34115751</v>
      </c>
      <c r="P178" s="542">
        <v>0</v>
      </c>
      <c r="Q178" s="542">
        <v>0</v>
      </c>
      <c r="R178" s="542">
        <v>17057876</v>
      </c>
      <c r="S178" s="542">
        <v>151470</v>
      </c>
      <c r="T178" s="542">
        <v>151470</v>
      </c>
      <c r="U178" s="542">
        <v>0</v>
      </c>
      <c r="V178" s="542">
        <v>0</v>
      </c>
      <c r="W178" s="542">
        <v>0</v>
      </c>
      <c r="X178" s="542">
        <v>0</v>
      </c>
      <c r="Y178" s="542">
        <v>0</v>
      </c>
      <c r="Z178" s="542">
        <v>0</v>
      </c>
      <c r="AA178" s="542">
        <v>0</v>
      </c>
      <c r="AB178" s="542">
        <v>0</v>
      </c>
      <c r="AC178" s="542">
        <v>0</v>
      </c>
      <c r="AD178" s="542">
        <v>533565</v>
      </c>
      <c r="AE178" s="542">
        <v>426852</v>
      </c>
      <c r="AF178" s="542">
        <v>106713</v>
      </c>
      <c r="AG178" s="542">
        <v>0</v>
      </c>
      <c r="AH178" s="542">
        <v>1067130</v>
      </c>
      <c r="AI178" s="542">
        <v>-386819</v>
      </c>
      <c r="AJ178" s="542">
        <v>-309456</v>
      </c>
      <c r="AK178" s="542">
        <v>-77364</v>
      </c>
      <c r="AL178" s="542">
        <v>0</v>
      </c>
      <c r="AM178" s="542">
        <v>-773639</v>
      </c>
      <c r="AN178" s="542">
        <v>-162500</v>
      </c>
      <c r="AO178" s="542">
        <v>-130000</v>
      </c>
      <c r="AP178" s="542">
        <v>-32500</v>
      </c>
      <c r="AQ178" s="542">
        <v>0</v>
      </c>
      <c r="AR178" s="542">
        <v>-325000</v>
      </c>
      <c r="AS178" s="542">
        <v>25106</v>
      </c>
      <c r="AT178" s="542">
        <v>20085</v>
      </c>
      <c r="AU178" s="542">
        <v>5021</v>
      </c>
      <c r="AV178" s="542">
        <v>0</v>
      </c>
      <c r="AW178" s="542">
        <v>50212</v>
      </c>
      <c r="AX178" s="542">
        <v>-47606</v>
      </c>
      <c r="AY178" s="542">
        <v>-38085</v>
      </c>
      <c r="AZ178" s="542">
        <v>-9521</v>
      </c>
      <c r="BA178" s="542">
        <v>0</v>
      </c>
      <c r="BB178" s="542">
        <v>-95212</v>
      </c>
      <c r="BC178" s="542">
        <v>-185000</v>
      </c>
      <c r="BD178" s="542">
        <v>-148000</v>
      </c>
      <c r="BE178" s="542">
        <v>-37000</v>
      </c>
      <c r="BF178" s="542">
        <v>0</v>
      </c>
      <c r="BG178" s="542">
        <v>-370000</v>
      </c>
      <c r="BH178" s="542">
        <v>-829524</v>
      </c>
      <c r="BI178" s="542">
        <v>-663619</v>
      </c>
      <c r="BJ178" s="542">
        <v>-165904</v>
      </c>
      <c r="BK178" s="542">
        <v>0</v>
      </c>
      <c r="BL178" s="542">
        <v>-1659047</v>
      </c>
      <c r="BM178" s="542">
        <v>215000</v>
      </c>
      <c r="BN178" s="542">
        <v>172000</v>
      </c>
      <c r="BO178" s="542">
        <v>43000</v>
      </c>
      <c r="BP178" s="542">
        <v>0</v>
      </c>
      <c r="BQ178" s="542">
        <v>430000</v>
      </c>
      <c r="BR178" s="542">
        <v>-1546000</v>
      </c>
      <c r="BS178" s="542">
        <v>-1236800</v>
      </c>
      <c r="BT178" s="542">
        <v>-309200</v>
      </c>
      <c r="BU178" s="542">
        <v>0</v>
      </c>
      <c r="BV178" s="542">
        <v>-3092000</v>
      </c>
      <c r="BW178" s="542">
        <v>-2160524</v>
      </c>
      <c r="BX178" s="542">
        <v>-1728419</v>
      </c>
      <c r="BY178" s="542">
        <v>-432104</v>
      </c>
      <c r="BZ178" s="542">
        <v>0</v>
      </c>
      <c r="CA178" s="542">
        <v>-4321047</v>
      </c>
    </row>
    <row r="179" spans="1:79" ht="12.75" x14ac:dyDescent="0.2">
      <c r="A179" s="93">
        <v>173</v>
      </c>
      <c r="B179" s="145" t="s">
        <v>224</v>
      </c>
      <c r="C179" s="141" t="s">
        <v>866</v>
      </c>
      <c r="D179" s="142" t="s">
        <v>867</v>
      </c>
      <c r="E179" s="149" t="s">
        <v>223</v>
      </c>
      <c r="F179" s="543">
        <v>0.5</v>
      </c>
      <c r="G179" s="543">
        <v>0.4</v>
      </c>
      <c r="H179" s="543">
        <v>0.09</v>
      </c>
      <c r="I179" s="543">
        <v>0.01</v>
      </c>
      <c r="J179" s="543">
        <v>1</v>
      </c>
      <c r="K179" s="542">
        <v>30846580</v>
      </c>
      <c r="L179" s="542">
        <v>24677264</v>
      </c>
      <c r="M179" s="542">
        <v>5552384</v>
      </c>
      <c r="N179" s="542">
        <v>616932</v>
      </c>
      <c r="O179" s="542">
        <v>61693160</v>
      </c>
      <c r="P179" s="542">
        <v>0</v>
      </c>
      <c r="Q179" s="542">
        <v>0</v>
      </c>
      <c r="R179" s="542">
        <v>30846580</v>
      </c>
      <c r="S179" s="542">
        <v>285799</v>
      </c>
      <c r="T179" s="542">
        <v>285799</v>
      </c>
      <c r="U179" s="542">
        <v>0</v>
      </c>
      <c r="V179" s="542">
        <v>0</v>
      </c>
      <c r="W179" s="542">
        <v>19336</v>
      </c>
      <c r="X179" s="542">
        <v>0</v>
      </c>
      <c r="Y179" s="542">
        <v>19336</v>
      </c>
      <c r="Z179" s="542">
        <v>0</v>
      </c>
      <c r="AA179" s="542">
        <v>0</v>
      </c>
      <c r="AB179" s="542">
        <v>0</v>
      </c>
      <c r="AC179" s="542">
        <v>0</v>
      </c>
      <c r="AD179" s="542">
        <v>612500</v>
      </c>
      <c r="AE179" s="542">
        <v>490000</v>
      </c>
      <c r="AF179" s="542">
        <v>110250</v>
      </c>
      <c r="AG179" s="542">
        <v>12250</v>
      </c>
      <c r="AH179" s="542">
        <v>1225000</v>
      </c>
      <c r="AI179" s="542">
        <v>-216731</v>
      </c>
      <c r="AJ179" s="542">
        <v>-173386</v>
      </c>
      <c r="AK179" s="542">
        <v>-39012</v>
      </c>
      <c r="AL179" s="542">
        <v>-4335</v>
      </c>
      <c r="AM179" s="542">
        <v>-433464</v>
      </c>
      <c r="AN179" s="542">
        <v>-252780</v>
      </c>
      <c r="AO179" s="542">
        <v>-202224</v>
      </c>
      <c r="AP179" s="542">
        <v>-45500</v>
      </c>
      <c r="AQ179" s="542">
        <v>-5056</v>
      </c>
      <c r="AR179" s="542">
        <v>-505560</v>
      </c>
      <c r="AS179" s="542">
        <v>189414</v>
      </c>
      <c r="AT179" s="542">
        <v>151530</v>
      </c>
      <c r="AU179" s="542">
        <v>34094</v>
      </c>
      <c r="AV179" s="542">
        <v>3788</v>
      </c>
      <c r="AW179" s="542">
        <v>378826</v>
      </c>
      <c r="AX179" s="542">
        <v>-118414</v>
      </c>
      <c r="AY179" s="542">
        <v>-94730</v>
      </c>
      <c r="AZ179" s="542">
        <v>-21314</v>
      </c>
      <c r="BA179" s="542">
        <v>-2368</v>
      </c>
      <c r="BB179" s="542">
        <v>-236826</v>
      </c>
      <c r="BC179" s="542">
        <v>-181780</v>
      </c>
      <c r="BD179" s="542">
        <v>-145424</v>
      </c>
      <c r="BE179" s="542">
        <v>-32720</v>
      </c>
      <c r="BF179" s="542">
        <v>-3636</v>
      </c>
      <c r="BG179" s="542">
        <v>-363560</v>
      </c>
      <c r="BH179" s="542">
        <v>-3574748</v>
      </c>
      <c r="BI179" s="542">
        <v>-2859798</v>
      </c>
      <c r="BJ179" s="542">
        <v>-643454</v>
      </c>
      <c r="BK179" s="542">
        <v>-71495</v>
      </c>
      <c r="BL179" s="542">
        <v>-7149495</v>
      </c>
      <c r="BM179" s="542">
        <v>1117475</v>
      </c>
      <c r="BN179" s="542">
        <v>893980</v>
      </c>
      <c r="BO179" s="542">
        <v>201145</v>
      </c>
      <c r="BP179" s="542">
        <v>22349</v>
      </c>
      <c r="BQ179" s="542">
        <v>2234949</v>
      </c>
      <c r="BR179" s="542">
        <v>-2692726</v>
      </c>
      <c r="BS179" s="542">
        <v>-2154182</v>
      </c>
      <c r="BT179" s="542">
        <v>-484691</v>
      </c>
      <c r="BU179" s="542">
        <v>-53855</v>
      </c>
      <c r="BV179" s="542">
        <v>-5385454</v>
      </c>
      <c r="BW179" s="542">
        <v>-5149999</v>
      </c>
      <c r="BX179" s="542">
        <v>-4120000</v>
      </c>
      <c r="BY179" s="542">
        <v>-927000</v>
      </c>
      <c r="BZ179" s="542">
        <v>-103001</v>
      </c>
      <c r="CA179" s="542">
        <v>-10300000</v>
      </c>
    </row>
    <row r="180" spans="1:79" ht="12.75" x14ac:dyDescent="0.2">
      <c r="A180" s="93">
        <v>174</v>
      </c>
      <c r="B180" s="145" t="s">
        <v>226</v>
      </c>
      <c r="C180" s="141" t="s">
        <v>866</v>
      </c>
      <c r="D180" s="142" t="s">
        <v>869</v>
      </c>
      <c r="E180" s="149" t="s">
        <v>708</v>
      </c>
      <c r="F180" s="543">
        <v>0.5</v>
      </c>
      <c r="G180" s="543">
        <v>0.4</v>
      </c>
      <c r="H180" s="543">
        <v>0.09</v>
      </c>
      <c r="I180" s="543">
        <v>0.01</v>
      </c>
      <c r="J180" s="543">
        <v>1</v>
      </c>
      <c r="K180" s="542">
        <v>18524546</v>
      </c>
      <c r="L180" s="542">
        <v>14819637</v>
      </c>
      <c r="M180" s="542">
        <v>3334418</v>
      </c>
      <c r="N180" s="542">
        <v>370491</v>
      </c>
      <c r="O180" s="542">
        <v>37049092</v>
      </c>
      <c r="P180" s="542">
        <v>0</v>
      </c>
      <c r="Q180" s="542">
        <v>0</v>
      </c>
      <c r="R180" s="542">
        <v>18524546</v>
      </c>
      <c r="S180" s="542">
        <v>164612</v>
      </c>
      <c r="T180" s="542">
        <v>164612</v>
      </c>
      <c r="U180" s="542">
        <v>0</v>
      </c>
      <c r="V180" s="542">
        <v>0</v>
      </c>
      <c r="W180" s="542">
        <v>0</v>
      </c>
      <c r="X180" s="542">
        <v>0</v>
      </c>
      <c r="Y180" s="542">
        <v>0</v>
      </c>
      <c r="Z180" s="542">
        <v>0</v>
      </c>
      <c r="AA180" s="542">
        <v>0</v>
      </c>
      <c r="AB180" s="542">
        <v>0</v>
      </c>
      <c r="AC180" s="542">
        <v>0</v>
      </c>
      <c r="AD180" s="542">
        <v>586974</v>
      </c>
      <c r="AE180" s="542">
        <v>469579</v>
      </c>
      <c r="AF180" s="542">
        <v>105655</v>
      </c>
      <c r="AG180" s="542">
        <v>11739</v>
      </c>
      <c r="AH180" s="542">
        <v>1173947</v>
      </c>
      <c r="AI180" s="542">
        <v>-187633</v>
      </c>
      <c r="AJ180" s="542">
        <v>-150107</v>
      </c>
      <c r="AK180" s="542">
        <v>-33774</v>
      </c>
      <c r="AL180" s="542">
        <v>-3753</v>
      </c>
      <c r="AM180" s="542">
        <v>-375267</v>
      </c>
      <c r="AN180" s="542">
        <v>-224468</v>
      </c>
      <c r="AO180" s="542">
        <v>-179574</v>
      </c>
      <c r="AP180" s="542">
        <v>-40404</v>
      </c>
      <c r="AQ180" s="542">
        <v>-4489</v>
      </c>
      <c r="AR180" s="542">
        <v>-448935</v>
      </c>
      <c r="AS180" s="542">
        <v>188358</v>
      </c>
      <c r="AT180" s="542">
        <v>150687</v>
      </c>
      <c r="AU180" s="542">
        <v>33905</v>
      </c>
      <c r="AV180" s="542">
        <v>3767</v>
      </c>
      <c r="AW180" s="542">
        <v>376717</v>
      </c>
      <c r="AX180" s="542">
        <v>-137666</v>
      </c>
      <c r="AY180" s="542">
        <v>-110133</v>
      </c>
      <c r="AZ180" s="542">
        <v>-24780</v>
      </c>
      <c r="BA180" s="542">
        <v>-2753</v>
      </c>
      <c r="BB180" s="542">
        <v>-275332</v>
      </c>
      <c r="BC180" s="542">
        <v>-173776</v>
      </c>
      <c r="BD180" s="542">
        <v>-139020</v>
      </c>
      <c r="BE180" s="542">
        <v>-31279</v>
      </c>
      <c r="BF180" s="542">
        <v>-3475</v>
      </c>
      <c r="BG180" s="542">
        <v>-347550</v>
      </c>
      <c r="BH180" s="542">
        <v>-833322</v>
      </c>
      <c r="BI180" s="542">
        <v>-666658</v>
      </c>
      <c r="BJ180" s="542">
        <v>-149998</v>
      </c>
      <c r="BK180" s="542">
        <v>-16666</v>
      </c>
      <c r="BL180" s="542">
        <v>-1666644</v>
      </c>
      <c r="BM180" s="542">
        <v>833322</v>
      </c>
      <c r="BN180" s="542">
        <v>666658</v>
      </c>
      <c r="BO180" s="542">
        <v>149998</v>
      </c>
      <c r="BP180" s="542">
        <v>16666</v>
      </c>
      <c r="BQ180" s="542">
        <v>1666644</v>
      </c>
      <c r="BR180" s="542">
        <v>-800000</v>
      </c>
      <c r="BS180" s="542">
        <v>-640000</v>
      </c>
      <c r="BT180" s="542">
        <v>-144000</v>
      </c>
      <c r="BU180" s="542">
        <v>-16000</v>
      </c>
      <c r="BV180" s="542">
        <v>-1600000</v>
      </c>
      <c r="BW180" s="542">
        <v>-800000</v>
      </c>
      <c r="BX180" s="542">
        <v>-640000</v>
      </c>
      <c r="BY180" s="542">
        <v>-144000</v>
      </c>
      <c r="BZ180" s="542">
        <v>-16000</v>
      </c>
      <c r="CA180" s="542">
        <v>-1600000</v>
      </c>
    </row>
    <row r="181" spans="1:79" ht="12.75" x14ac:dyDescent="0.2">
      <c r="A181" s="93">
        <v>175</v>
      </c>
      <c r="B181" s="145" t="s">
        <v>228</v>
      </c>
      <c r="C181" s="141" t="s">
        <v>873</v>
      </c>
      <c r="D181" s="142" t="s">
        <v>878</v>
      </c>
      <c r="E181" s="149" t="s">
        <v>886</v>
      </c>
      <c r="F181" s="543">
        <v>0.5</v>
      </c>
      <c r="G181" s="543">
        <v>0.49</v>
      </c>
      <c r="H181" s="543">
        <v>0</v>
      </c>
      <c r="I181" s="543">
        <v>0.01</v>
      </c>
      <c r="J181" s="543">
        <v>1</v>
      </c>
      <c r="K181" s="542">
        <v>71595458</v>
      </c>
      <c r="L181" s="542">
        <v>70163549</v>
      </c>
      <c r="M181" s="542">
        <v>0</v>
      </c>
      <c r="N181" s="542">
        <v>1431909</v>
      </c>
      <c r="O181" s="542">
        <v>143190916</v>
      </c>
      <c r="P181" s="542">
        <v>0</v>
      </c>
      <c r="Q181" s="542">
        <v>0</v>
      </c>
      <c r="R181" s="542">
        <v>71595458</v>
      </c>
      <c r="S181" s="542">
        <v>464180</v>
      </c>
      <c r="T181" s="542">
        <v>464180</v>
      </c>
      <c r="U181" s="542">
        <v>650878</v>
      </c>
      <c r="V181" s="542">
        <v>650878</v>
      </c>
      <c r="W181" s="542">
        <v>0</v>
      </c>
      <c r="X181" s="542">
        <v>0</v>
      </c>
      <c r="Y181" s="542">
        <v>0</v>
      </c>
      <c r="Z181" s="542">
        <v>0</v>
      </c>
      <c r="AA181" s="542">
        <v>0</v>
      </c>
      <c r="AB181" s="542">
        <v>0</v>
      </c>
      <c r="AC181" s="542">
        <v>0</v>
      </c>
      <c r="AD181" s="542">
        <v>4404293</v>
      </c>
      <c r="AE181" s="542">
        <v>4316208</v>
      </c>
      <c r="AF181" s="542">
        <v>0</v>
      </c>
      <c r="AG181" s="542">
        <v>88086</v>
      </c>
      <c r="AH181" s="542">
        <v>8808587</v>
      </c>
      <c r="AI181" s="542">
        <v>-2460788</v>
      </c>
      <c r="AJ181" s="542">
        <v>-2411572</v>
      </c>
      <c r="AK181" s="542">
        <v>0</v>
      </c>
      <c r="AL181" s="542">
        <v>-49216</v>
      </c>
      <c r="AM181" s="542">
        <v>-4921576</v>
      </c>
      <c r="AN181" s="542">
        <v>-563782</v>
      </c>
      <c r="AO181" s="542">
        <v>-552506</v>
      </c>
      <c r="AP181" s="542">
        <v>0</v>
      </c>
      <c r="AQ181" s="542">
        <v>-11276</v>
      </c>
      <c r="AR181" s="542">
        <v>-1127564</v>
      </c>
      <c r="AS181" s="542">
        <v>225681</v>
      </c>
      <c r="AT181" s="542">
        <v>221167</v>
      </c>
      <c r="AU181" s="542">
        <v>0</v>
      </c>
      <c r="AV181" s="542">
        <v>4514</v>
      </c>
      <c r="AW181" s="542">
        <v>451362</v>
      </c>
      <c r="AX181" s="542">
        <v>-994380</v>
      </c>
      <c r="AY181" s="542">
        <v>-974492</v>
      </c>
      <c r="AZ181" s="542">
        <v>0</v>
      </c>
      <c r="BA181" s="542">
        <v>-19888</v>
      </c>
      <c r="BB181" s="542">
        <v>-1988760</v>
      </c>
      <c r="BC181" s="542">
        <v>-1332481</v>
      </c>
      <c r="BD181" s="542">
        <v>-1305831</v>
      </c>
      <c r="BE181" s="542">
        <v>0</v>
      </c>
      <c r="BF181" s="542">
        <v>-26650</v>
      </c>
      <c r="BG181" s="542">
        <v>-2664962</v>
      </c>
      <c r="BH181" s="542">
        <v>-8298263</v>
      </c>
      <c r="BI181" s="542">
        <v>-8132297</v>
      </c>
      <c r="BJ181" s="542">
        <v>0</v>
      </c>
      <c r="BK181" s="542">
        <v>-165965</v>
      </c>
      <c r="BL181" s="542">
        <v>-16596525</v>
      </c>
      <c r="BM181" s="542">
        <v>0</v>
      </c>
      <c r="BN181" s="542">
        <v>0</v>
      </c>
      <c r="BO181" s="542">
        <v>0</v>
      </c>
      <c r="BP181" s="542">
        <v>0</v>
      </c>
      <c r="BQ181" s="542">
        <v>0</v>
      </c>
      <c r="BR181" s="542">
        <v>1097633</v>
      </c>
      <c r="BS181" s="542">
        <v>1075680</v>
      </c>
      <c r="BT181" s="542">
        <v>0</v>
      </c>
      <c r="BU181" s="542">
        <v>21953</v>
      </c>
      <c r="BV181" s="542">
        <v>2195266</v>
      </c>
      <c r="BW181" s="542">
        <v>-7200630</v>
      </c>
      <c r="BX181" s="542">
        <v>-7056617</v>
      </c>
      <c r="BY181" s="542">
        <v>0</v>
      </c>
      <c r="BZ181" s="542">
        <v>-144012</v>
      </c>
      <c r="CA181" s="542">
        <v>-14401259</v>
      </c>
    </row>
    <row r="182" spans="1:79" ht="12.75" x14ac:dyDescent="0.2">
      <c r="A182" s="93">
        <v>176</v>
      </c>
      <c r="B182" s="145" t="s">
        <v>230</v>
      </c>
      <c r="C182" s="141" t="s">
        <v>866</v>
      </c>
      <c r="D182" s="142" t="s">
        <v>876</v>
      </c>
      <c r="E182" s="149" t="s">
        <v>229</v>
      </c>
      <c r="F182" s="543">
        <v>0.5</v>
      </c>
      <c r="G182" s="543">
        <v>0.4</v>
      </c>
      <c r="H182" s="543">
        <v>0.09</v>
      </c>
      <c r="I182" s="543">
        <v>0.01</v>
      </c>
      <c r="J182" s="543">
        <v>1</v>
      </c>
      <c r="K182" s="542">
        <v>15857686</v>
      </c>
      <c r="L182" s="542">
        <v>12686149</v>
      </c>
      <c r="M182" s="542">
        <v>2854384</v>
      </c>
      <c r="N182" s="542">
        <v>317154</v>
      </c>
      <c r="O182" s="542">
        <v>31715373</v>
      </c>
      <c r="P182" s="542">
        <v>0</v>
      </c>
      <c r="Q182" s="542">
        <v>0</v>
      </c>
      <c r="R182" s="542">
        <v>15857686</v>
      </c>
      <c r="S182" s="542">
        <v>141625</v>
      </c>
      <c r="T182" s="542">
        <v>141625</v>
      </c>
      <c r="U182" s="542">
        <v>0</v>
      </c>
      <c r="V182" s="542">
        <v>0</v>
      </c>
      <c r="W182" s="542">
        <v>0</v>
      </c>
      <c r="X182" s="542">
        <v>0</v>
      </c>
      <c r="Y182" s="542">
        <v>0</v>
      </c>
      <c r="Z182" s="542">
        <v>0</v>
      </c>
      <c r="AA182" s="542">
        <v>0</v>
      </c>
      <c r="AB182" s="542">
        <v>0</v>
      </c>
      <c r="AC182" s="542">
        <v>0</v>
      </c>
      <c r="AD182" s="542">
        <v>1270003</v>
      </c>
      <c r="AE182" s="542">
        <v>1016002</v>
      </c>
      <c r="AF182" s="542">
        <v>228601</v>
      </c>
      <c r="AG182" s="542">
        <v>25400</v>
      </c>
      <c r="AH182" s="542">
        <v>2540006</v>
      </c>
      <c r="AI182" s="542">
        <v>-219414</v>
      </c>
      <c r="AJ182" s="542">
        <v>-175532</v>
      </c>
      <c r="AK182" s="542">
        <v>-39495</v>
      </c>
      <c r="AL182" s="542">
        <v>-4388</v>
      </c>
      <c r="AM182" s="542">
        <v>-438829</v>
      </c>
      <c r="AN182" s="542">
        <v>-466084.5</v>
      </c>
      <c r="AO182" s="542">
        <v>-372867.6</v>
      </c>
      <c r="AP182" s="542">
        <v>-83895.21</v>
      </c>
      <c r="AQ182" s="542">
        <v>-9321.69</v>
      </c>
      <c r="AR182" s="542">
        <v>-932169</v>
      </c>
      <c r="AS182" s="542">
        <v>141099</v>
      </c>
      <c r="AT182" s="542">
        <v>112879</v>
      </c>
      <c r="AU182" s="542">
        <v>25398</v>
      </c>
      <c r="AV182" s="542">
        <v>2822</v>
      </c>
      <c r="AW182" s="542">
        <v>282198</v>
      </c>
      <c r="AX182" s="542">
        <v>-110742</v>
      </c>
      <c r="AY182" s="542">
        <v>-88593</v>
      </c>
      <c r="AZ182" s="542">
        <v>-19933</v>
      </c>
      <c r="BA182" s="542">
        <v>-2215</v>
      </c>
      <c r="BB182" s="542">
        <v>-221483</v>
      </c>
      <c r="BC182" s="542">
        <v>-435727.5</v>
      </c>
      <c r="BD182" s="542">
        <v>-348581.6</v>
      </c>
      <c r="BE182" s="542">
        <v>-78430.210000000006</v>
      </c>
      <c r="BF182" s="542">
        <v>-8714.69</v>
      </c>
      <c r="BG182" s="542">
        <v>-871454</v>
      </c>
      <c r="BH182" s="542">
        <v>-260000</v>
      </c>
      <c r="BI182" s="542">
        <v>-208000</v>
      </c>
      <c r="BJ182" s="542">
        <v>-46800</v>
      </c>
      <c r="BK182" s="542">
        <v>-5200</v>
      </c>
      <c r="BL182" s="542">
        <v>-520000</v>
      </c>
      <c r="BM182" s="542">
        <v>260000</v>
      </c>
      <c r="BN182" s="542">
        <v>208000</v>
      </c>
      <c r="BO182" s="542">
        <v>46800</v>
      </c>
      <c r="BP182" s="542">
        <v>5200</v>
      </c>
      <c r="BQ182" s="542">
        <v>520000</v>
      </c>
      <c r="BR182" s="542">
        <v>-432439</v>
      </c>
      <c r="BS182" s="542">
        <v>-345951</v>
      </c>
      <c r="BT182" s="542">
        <v>-77839</v>
      </c>
      <c r="BU182" s="542">
        <v>-8649</v>
      </c>
      <c r="BV182" s="542">
        <v>-864878</v>
      </c>
      <c r="BW182" s="542">
        <v>-432439</v>
      </c>
      <c r="BX182" s="542">
        <v>-345951</v>
      </c>
      <c r="BY182" s="542">
        <v>-77839</v>
      </c>
      <c r="BZ182" s="542">
        <v>-8649</v>
      </c>
      <c r="CA182" s="542">
        <v>-864878</v>
      </c>
    </row>
    <row r="183" spans="1:79" ht="12.75" x14ac:dyDescent="0.2">
      <c r="A183" s="93">
        <v>177</v>
      </c>
      <c r="B183" s="145" t="s">
        <v>232</v>
      </c>
      <c r="C183" s="141" t="s">
        <v>871</v>
      </c>
      <c r="D183" s="142" t="s">
        <v>872</v>
      </c>
      <c r="E183" s="149" t="s">
        <v>231</v>
      </c>
      <c r="F183" s="543">
        <v>0.5</v>
      </c>
      <c r="G183" s="543">
        <v>0.3</v>
      </c>
      <c r="H183" s="543">
        <v>0.2</v>
      </c>
      <c r="I183" s="543">
        <v>0</v>
      </c>
      <c r="J183" s="543">
        <v>1</v>
      </c>
      <c r="K183" s="542">
        <v>58099791.200000003</v>
      </c>
      <c r="L183" s="542">
        <v>34859875</v>
      </c>
      <c r="M183" s="542">
        <v>23239917</v>
      </c>
      <c r="N183" s="542">
        <v>0</v>
      </c>
      <c r="O183" s="542">
        <v>116199583</v>
      </c>
      <c r="P183" s="542">
        <v>302197.34000000003</v>
      </c>
      <c r="Q183" s="542">
        <v>302197.34000000003</v>
      </c>
      <c r="R183" s="542">
        <v>57797593.899999999</v>
      </c>
      <c r="S183" s="542">
        <v>376969</v>
      </c>
      <c r="T183" s="542">
        <v>376969</v>
      </c>
      <c r="U183" s="542">
        <v>0</v>
      </c>
      <c r="V183" s="542">
        <v>0</v>
      </c>
      <c r="W183" s="542">
        <v>0</v>
      </c>
      <c r="X183" s="542">
        <v>0</v>
      </c>
      <c r="Y183" s="542">
        <v>0</v>
      </c>
      <c r="Z183" s="542">
        <v>302197.34000000003</v>
      </c>
      <c r="AA183" s="542">
        <v>0</v>
      </c>
      <c r="AB183" s="542">
        <v>0</v>
      </c>
      <c r="AC183" s="542">
        <v>302197.34000000003</v>
      </c>
      <c r="AD183" s="542">
        <v>2848181</v>
      </c>
      <c r="AE183" s="542">
        <v>1708908</v>
      </c>
      <c r="AF183" s="542">
        <v>1139272</v>
      </c>
      <c r="AG183" s="542">
        <v>0</v>
      </c>
      <c r="AH183" s="542">
        <v>5696361</v>
      </c>
      <c r="AI183" s="542">
        <v>-3375149</v>
      </c>
      <c r="AJ183" s="542">
        <v>-2025090</v>
      </c>
      <c r="AK183" s="542">
        <v>-1350060</v>
      </c>
      <c r="AL183" s="542">
        <v>0</v>
      </c>
      <c r="AM183" s="542">
        <v>-6750299</v>
      </c>
      <c r="AN183" s="542">
        <v>-1430265</v>
      </c>
      <c r="AO183" s="542">
        <v>-858159</v>
      </c>
      <c r="AP183" s="542">
        <v>-572105</v>
      </c>
      <c r="AQ183" s="542">
        <v>0</v>
      </c>
      <c r="AR183" s="542">
        <v>-2860529</v>
      </c>
      <c r="AS183" s="542">
        <v>1271292</v>
      </c>
      <c r="AT183" s="542">
        <v>762775</v>
      </c>
      <c r="AU183" s="542">
        <v>508517</v>
      </c>
      <c r="AV183" s="542">
        <v>0</v>
      </c>
      <c r="AW183" s="542">
        <v>2542584</v>
      </c>
      <c r="AX183" s="542">
        <v>-943709.41</v>
      </c>
      <c r="AY183" s="542">
        <v>-566226</v>
      </c>
      <c r="AZ183" s="542">
        <v>-377484</v>
      </c>
      <c r="BA183" s="542">
        <v>0</v>
      </c>
      <c r="BB183" s="542">
        <v>-1887419.4</v>
      </c>
      <c r="BC183" s="542">
        <v>-1102682.3999999999</v>
      </c>
      <c r="BD183" s="542">
        <v>-661610</v>
      </c>
      <c r="BE183" s="542">
        <v>-441072</v>
      </c>
      <c r="BF183" s="542">
        <v>0</v>
      </c>
      <c r="BG183" s="542">
        <v>-2205364.4</v>
      </c>
      <c r="BH183" s="542">
        <v>-3134706</v>
      </c>
      <c r="BI183" s="542">
        <v>-1880823</v>
      </c>
      <c r="BJ183" s="542">
        <v>-1253883</v>
      </c>
      <c r="BK183" s="542">
        <v>0</v>
      </c>
      <c r="BL183" s="542">
        <v>-6269412</v>
      </c>
      <c r="BM183" s="542">
        <v>7502020</v>
      </c>
      <c r="BN183" s="542">
        <v>4501212</v>
      </c>
      <c r="BO183" s="542">
        <v>3000808</v>
      </c>
      <c r="BP183" s="542">
        <v>0</v>
      </c>
      <c r="BQ183" s="542">
        <v>15004040</v>
      </c>
      <c r="BR183" s="542">
        <v>-8567429</v>
      </c>
      <c r="BS183" s="542">
        <v>-5140457</v>
      </c>
      <c r="BT183" s="542">
        <v>-3426971</v>
      </c>
      <c r="BU183" s="542">
        <v>0</v>
      </c>
      <c r="BV183" s="542">
        <v>-17134857</v>
      </c>
      <c r="BW183" s="542">
        <v>-4200115</v>
      </c>
      <c r="BX183" s="542">
        <v>-2520068</v>
      </c>
      <c r="BY183" s="542">
        <v>-1680046</v>
      </c>
      <c r="BZ183" s="542">
        <v>0</v>
      </c>
      <c r="CA183" s="542">
        <v>-8400229</v>
      </c>
    </row>
    <row r="184" spans="1:79" ht="12.75" x14ac:dyDescent="0.2">
      <c r="A184" s="93">
        <v>178</v>
      </c>
      <c r="B184" s="145" t="s">
        <v>234</v>
      </c>
      <c r="C184" s="141" t="s">
        <v>866</v>
      </c>
      <c r="D184" s="142" t="s">
        <v>875</v>
      </c>
      <c r="E184" s="149" t="s">
        <v>233</v>
      </c>
      <c r="F184" s="543">
        <v>0.5</v>
      </c>
      <c r="G184" s="543">
        <v>0.4</v>
      </c>
      <c r="H184" s="543">
        <v>0.09</v>
      </c>
      <c r="I184" s="543">
        <v>0.01</v>
      </c>
      <c r="J184" s="543">
        <v>1</v>
      </c>
      <c r="K184" s="542">
        <v>15688402</v>
      </c>
      <c r="L184" s="542">
        <v>12550721</v>
      </c>
      <c r="M184" s="542">
        <v>2823912</v>
      </c>
      <c r="N184" s="542">
        <v>313768</v>
      </c>
      <c r="O184" s="542">
        <v>31376803</v>
      </c>
      <c r="P184" s="542">
        <v>0</v>
      </c>
      <c r="Q184" s="542">
        <v>0</v>
      </c>
      <c r="R184" s="542">
        <v>15688402</v>
      </c>
      <c r="S184" s="542">
        <v>201488</v>
      </c>
      <c r="T184" s="542">
        <v>201488</v>
      </c>
      <c r="U184" s="542">
        <v>0</v>
      </c>
      <c r="V184" s="542">
        <v>0</v>
      </c>
      <c r="W184" s="542">
        <v>22088</v>
      </c>
      <c r="X184" s="542">
        <v>0</v>
      </c>
      <c r="Y184" s="542">
        <v>22088</v>
      </c>
      <c r="Z184" s="542">
        <v>0</v>
      </c>
      <c r="AA184" s="542">
        <v>0</v>
      </c>
      <c r="AB184" s="542">
        <v>0</v>
      </c>
      <c r="AC184" s="542">
        <v>0</v>
      </c>
      <c r="AD184" s="542">
        <v>671683</v>
      </c>
      <c r="AE184" s="542">
        <v>537347</v>
      </c>
      <c r="AF184" s="542">
        <v>120903</v>
      </c>
      <c r="AG184" s="542">
        <v>13434</v>
      </c>
      <c r="AH184" s="542">
        <v>1343367</v>
      </c>
      <c r="AI184" s="542">
        <v>-390249</v>
      </c>
      <c r="AJ184" s="542">
        <v>-312199</v>
      </c>
      <c r="AK184" s="542">
        <v>-70245</v>
      </c>
      <c r="AL184" s="542">
        <v>-7805</v>
      </c>
      <c r="AM184" s="542">
        <v>-780498</v>
      </c>
      <c r="AN184" s="542">
        <v>-378920</v>
      </c>
      <c r="AO184" s="542">
        <v>-303136</v>
      </c>
      <c r="AP184" s="542">
        <v>-68206</v>
      </c>
      <c r="AQ184" s="542">
        <v>-7578</v>
      </c>
      <c r="AR184" s="542">
        <v>-757840</v>
      </c>
      <c r="AS184" s="542">
        <v>156856</v>
      </c>
      <c r="AT184" s="542">
        <v>125485</v>
      </c>
      <c r="AU184" s="542">
        <v>28234</v>
      </c>
      <c r="AV184" s="542">
        <v>3137</v>
      </c>
      <c r="AW184" s="542">
        <v>313712</v>
      </c>
      <c r="AX184" s="542">
        <v>-188629</v>
      </c>
      <c r="AY184" s="542">
        <v>-150904</v>
      </c>
      <c r="AZ184" s="542">
        <v>-33953</v>
      </c>
      <c r="BA184" s="542">
        <v>-3773</v>
      </c>
      <c r="BB184" s="542">
        <v>-377259</v>
      </c>
      <c r="BC184" s="542">
        <v>-410693</v>
      </c>
      <c r="BD184" s="542">
        <v>-328555</v>
      </c>
      <c r="BE184" s="542">
        <v>-73925</v>
      </c>
      <c r="BF184" s="542">
        <v>-8214</v>
      </c>
      <c r="BG184" s="542">
        <v>-821387</v>
      </c>
      <c r="BH184" s="542">
        <v>-430553</v>
      </c>
      <c r="BI184" s="542">
        <v>-344442</v>
      </c>
      <c r="BJ184" s="542">
        <v>-77499</v>
      </c>
      <c r="BK184" s="542">
        <v>-8611</v>
      </c>
      <c r="BL184" s="542">
        <v>-861105</v>
      </c>
      <c r="BM184" s="542">
        <v>415096</v>
      </c>
      <c r="BN184" s="542">
        <v>332076</v>
      </c>
      <c r="BO184" s="542">
        <v>74717</v>
      </c>
      <c r="BP184" s="542">
        <v>8302</v>
      </c>
      <c r="BQ184" s="542">
        <v>830191</v>
      </c>
      <c r="BR184" s="542">
        <v>-479159</v>
      </c>
      <c r="BS184" s="542">
        <v>-383327</v>
      </c>
      <c r="BT184" s="542">
        <v>-86249</v>
      </c>
      <c r="BU184" s="542">
        <v>-9583</v>
      </c>
      <c r="BV184" s="542">
        <v>-958318</v>
      </c>
      <c r="BW184" s="542">
        <v>-494616</v>
      </c>
      <c r="BX184" s="542">
        <v>-395693</v>
      </c>
      <c r="BY184" s="542">
        <v>-89031</v>
      </c>
      <c r="BZ184" s="542">
        <v>-9892</v>
      </c>
      <c r="CA184" s="542">
        <v>-989232</v>
      </c>
    </row>
    <row r="185" spans="1:79" ht="12.75" x14ac:dyDescent="0.2">
      <c r="A185" s="93">
        <v>179</v>
      </c>
      <c r="B185" s="145" t="s">
        <v>236</v>
      </c>
      <c r="C185" s="141" t="s">
        <v>866</v>
      </c>
      <c r="D185" s="142" t="s">
        <v>875</v>
      </c>
      <c r="E185" s="149" t="s">
        <v>235</v>
      </c>
      <c r="F185" s="543">
        <v>0.5</v>
      </c>
      <c r="G185" s="543">
        <v>0.4</v>
      </c>
      <c r="H185" s="543">
        <v>0.09</v>
      </c>
      <c r="I185" s="543">
        <v>0.01</v>
      </c>
      <c r="J185" s="543">
        <v>1</v>
      </c>
      <c r="K185" s="542">
        <v>6393747</v>
      </c>
      <c r="L185" s="542">
        <v>5114998</v>
      </c>
      <c r="M185" s="542">
        <v>1150875</v>
      </c>
      <c r="N185" s="542">
        <v>127875</v>
      </c>
      <c r="O185" s="542">
        <v>12787495</v>
      </c>
      <c r="P185" s="542">
        <v>0</v>
      </c>
      <c r="Q185" s="542">
        <v>0</v>
      </c>
      <c r="R185" s="542">
        <v>6393747</v>
      </c>
      <c r="S185" s="542">
        <v>92308</v>
      </c>
      <c r="T185" s="542">
        <v>92308</v>
      </c>
      <c r="U185" s="542">
        <v>0</v>
      </c>
      <c r="V185" s="542">
        <v>0</v>
      </c>
      <c r="W185" s="542">
        <v>25348</v>
      </c>
      <c r="X185" s="542">
        <v>0</v>
      </c>
      <c r="Y185" s="542">
        <v>25348</v>
      </c>
      <c r="Z185" s="542">
        <v>0</v>
      </c>
      <c r="AA185" s="542">
        <v>0</v>
      </c>
      <c r="AB185" s="542">
        <v>0</v>
      </c>
      <c r="AC185" s="542">
        <v>0</v>
      </c>
      <c r="AD185" s="542">
        <v>698395</v>
      </c>
      <c r="AE185" s="542">
        <v>558716</v>
      </c>
      <c r="AF185" s="542">
        <v>125711</v>
      </c>
      <c r="AG185" s="542">
        <v>13968</v>
      </c>
      <c r="AH185" s="542">
        <v>1396790</v>
      </c>
      <c r="AI185" s="542">
        <v>-582150</v>
      </c>
      <c r="AJ185" s="542">
        <v>-465720</v>
      </c>
      <c r="AK185" s="542">
        <v>-104787</v>
      </c>
      <c r="AL185" s="542">
        <v>-11643</v>
      </c>
      <c r="AM185" s="542">
        <v>-1164300</v>
      </c>
      <c r="AN185" s="542">
        <v>-133914</v>
      </c>
      <c r="AO185" s="542">
        <v>-107131</v>
      </c>
      <c r="AP185" s="542">
        <v>-24105</v>
      </c>
      <c r="AQ185" s="542">
        <v>-2679</v>
      </c>
      <c r="AR185" s="542">
        <v>-267829</v>
      </c>
      <c r="AS185" s="542">
        <v>74024</v>
      </c>
      <c r="AT185" s="542">
        <v>59219</v>
      </c>
      <c r="AU185" s="542">
        <v>13324</v>
      </c>
      <c r="AV185" s="542">
        <v>1480</v>
      </c>
      <c r="AW185" s="542">
        <v>148047</v>
      </c>
      <c r="AX185" s="542">
        <v>-108131</v>
      </c>
      <c r="AY185" s="542">
        <v>-86506</v>
      </c>
      <c r="AZ185" s="542">
        <v>-19464</v>
      </c>
      <c r="BA185" s="542">
        <v>-2163</v>
      </c>
      <c r="BB185" s="542">
        <v>-216264</v>
      </c>
      <c r="BC185" s="542">
        <v>-168021</v>
      </c>
      <c r="BD185" s="542">
        <v>-134418</v>
      </c>
      <c r="BE185" s="542">
        <v>-30245</v>
      </c>
      <c r="BF185" s="542">
        <v>-3362</v>
      </c>
      <c r="BG185" s="542">
        <v>-336046</v>
      </c>
      <c r="BH185" s="542">
        <v>-215732</v>
      </c>
      <c r="BI185" s="542">
        <v>-172586</v>
      </c>
      <c r="BJ185" s="542">
        <v>-38832</v>
      </c>
      <c r="BK185" s="542">
        <v>-4315</v>
      </c>
      <c r="BL185" s="542">
        <v>-431465</v>
      </c>
      <c r="BM185" s="542">
        <v>83931</v>
      </c>
      <c r="BN185" s="542">
        <v>67145</v>
      </c>
      <c r="BO185" s="542">
        <v>15108</v>
      </c>
      <c r="BP185" s="542">
        <v>1679</v>
      </c>
      <c r="BQ185" s="542">
        <v>167863</v>
      </c>
      <c r="BR185" s="542">
        <v>-170997</v>
      </c>
      <c r="BS185" s="542">
        <v>-136797</v>
      </c>
      <c r="BT185" s="542">
        <v>-30779</v>
      </c>
      <c r="BU185" s="542">
        <v>-3420</v>
      </c>
      <c r="BV185" s="542">
        <v>-341993</v>
      </c>
      <c r="BW185" s="542">
        <v>-302798</v>
      </c>
      <c r="BX185" s="542">
        <v>-242238</v>
      </c>
      <c r="BY185" s="542">
        <v>-54503</v>
      </c>
      <c r="BZ185" s="542">
        <v>-6056</v>
      </c>
      <c r="CA185" s="542">
        <v>-605595</v>
      </c>
    </row>
    <row r="186" spans="1:79" ht="12.75" x14ac:dyDescent="0.2">
      <c r="A186" s="93">
        <v>180</v>
      </c>
      <c r="B186" s="145" t="s">
        <v>238</v>
      </c>
      <c r="C186" s="141" t="s">
        <v>866</v>
      </c>
      <c r="D186" s="142" t="s">
        <v>869</v>
      </c>
      <c r="E186" s="149" t="s">
        <v>237</v>
      </c>
      <c r="F186" s="543">
        <v>0.5</v>
      </c>
      <c r="G186" s="543">
        <v>0.4</v>
      </c>
      <c r="H186" s="543">
        <v>0.09</v>
      </c>
      <c r="I186" s="543">
        <v>0.01</v>
      </c>
      <c r="J186" s="543">
        <v>1</v>
      </c>
      <c r="K186" s="542">
        <v>7709576</v>
      </c>
      <c r="L186" s="542">
        <v>6167662</v>
      </c>
      <c r="M186" s="542">
        <v>1387724</v>
      </c>
      <c r="N186" s="542">
        <v>154192</v>
      </c>
      <c r="O186" s="542">
        <v>15419154</v>
      </c>
      <c r="P186" s="542">
        <v>0</v>
      </c>
      <c r="Q186" s="542">
        <v>0</v>
      </c>
      <c r="R186" s="542">
        <v>7709576</v>
      </c>
      <c r="S186" s="542">
        <v>97897</v>
      </c>
      <c r="T186" s="542">
        <v>97897</v>
      </c>
      <c r="U186" s="542">
        <v>0</v>
      </c>
      <c r="V186" s="542">
        <v>0</v>
      </c>
      <c r="W186" s="542">
        <v>0</v>
      </c>
      <c r="X186" s="542">
        <v>0</v>
      </c>
      <c r="Y186" s="542">
        <v>0</v>
      </c>
      <c r="Z186" s="542">
        <v>0</v>
      </c>
      <c r="AA186" s="542">
        <v>0</v>
      </c>
      <c r="AB186" s="542">
        <v>0</v>
      </c>
      <c r="AC186" s="542">
        <v>0</v>
      </c>
      <c r="AD186" s="542">
        <v>246331</v>
      </c>
      <c r="AE186" s="542">
        <v>197065</v>
      </c>
      <c r="AF186" s="542">
        <v>44340</v>
      </c>
      <c r="AG186" s="542">
        <v>4927</v>
      </c>
      <c r="AH186" s="542">
        <v>492663</v>
      </c>
      <c r="AI186" s="542">
        <v>-83058</v>
      </c>
      <c r="AJ186" s="542">
        <v>-66446</v>
      </c>
      <c r="AK186" s="542">
        <v>-14950</v>
      </c>
      <c r="AL186" s="542">
        <v>-1661</v>
      </c>
      <c r="AM186" s="542">
        <v>-166115</v>
      </c>
      <c r="AN186" s="542">
        <v>-68510</v>
      </c>
      <c r="AO186" s="542">
        <v>-54809</v>
      </c>
      <c r="AP186" s="542">
        <v>-12332</v>
      </c>
      <c r="AQ186" s="542">
        <v>-1370</v>
      </c>
      <c r="AR186" s="542">
        <v>-137021</v>
      </c>
      <c r="AS186" s="542">
        <v>63467</v>
      </c>
      <c r="AT186" s="542">
        <v>50773</v>
      </c>
      <c r="AU186" s="542">
        <v>11424</v>
      </c>
      <c r="AV186" s="542">
        <v>1269</v>
      </c>
      <c r="AW186" s="542">
        <v>126933</v>
      </c>
      <c r="AX186" s="542">
        <v>-75022</v>
      </c>
      <c r="AY186" s="542">
        <v>-60017</v>
      </c>
      <c r="AZ186" s="542">
        <v>-13504</v>
      </c>
      <c r="BA186" s="542">
        <v>-1500</v>
      </c>
      <c r="BB186" s="542">
        <v>-150043</v>
      </c>
      <c r="BC186" s="542">
        <v>-80065</v>
      </c>
      <c r="BD186" s="542">
        <v>-64053</v>
      </c>
      <c r="BE186" s="542">
        <v>-14412</v>
      </c>
      <c r="BF186" s="542">
        <v>-1601</v>
      </c>
      <c r="BG186" s="542">
        <v>-160131</v>
      </c>
      <c r="BH186" s="542">
        <v>-389608.24</v>
      </c>
      <c r="BI186" s="542">
        <v>-311686</v>
      </c>
      <c r="BJ186" s="542">
        <v>-70130</v>
      </c>
      <c r="BK186" s="542">
        <v>-7792</v>
      </c>
      <c r="BL186" s="542">
        <v>-779216.24</v>
      </c>
      <c r="BM186" s="542">
        <v>317774</v>
      </c>
      <c r="BN186" s="542">
        <v>254219</v>
      </c>
      <c r="BO186" s="542">
        <v>57199</v>
      </c>
      <c r="BP186" s="542">
        <v>6355</v>
      </c>
      <c r="BQ186" s="542">
        <v>635547</v>
      </c>
      <c r="BR186" s="542">
        <v>-428407</v>
      </c>
      <c r="BS186" s="542">
        <v>-342725</v>
      </c>
      <c r="BT186" s="542">
        <v>-77113</v>
      </c>
      <c r="BU186" s="542">
        <v>-8568</v>
      </c>
      <c r="BV186" s="542">
        <v>-856813</v>
      </c>
      <c r="BW186" s="542">
        <v>-500241.24</v>
      </c>
      <c r="BX186" s="542">
        <v>-400192</v>
      </c>
      <c r="BY186" s="542">
        <v>-90044</v>
      </c>
      <c r="BZ186" s="542">
        <v>-10005</v>
      </c>
      <c r="CA186" s="542">
        <v>-1000482.2</v>
      </c>
    </row>
    <row r="187" spans="1:79" ht="12.75" x14ac:dyDescent="0.2">
      <c r="A187" s="93">
        <v>181</v>
      </c>
      <c r="B187" s="145" t="s">
        <v>240</v>
      </c>
      <c r="C187" s="141" t="s">
        <v>770</v>
      </c>
      <c r="D187" s="142" t="s">
        <v>874</v>
      </c>
      <c r="E187" s="149" t="s">
        <v>709</v>
      </c>
      <c r="F187" s="543">
        <v>0.5</v>
      </c>
      <c r="G187" s="543">
        <v>0.49</v>
      </c>
      <c r="H187" s="543">
        <v>0</v>
      </c>
      <c r="I187" s="543">
        <v>0.01</v>
      </c>
      <c r="J187" s="543">
        <v>1</v>
      </c>
      <c r="K187" s="542">
        <v>25552821</v>
      </c>
      <c r="L187" s="542">
        <v>25041765</v>
      </c>
      <c r="M187" s="542">
        <v>0</v>
      </c>
      <c r="N187" s="542">
        <v>511056</v>
      </c>
      <c r="O187" s="542">
        <v>51105642</v>
      </c>
      <c r="P187" s="542">
        <v>87628.47</v>
      </c>
      <c r="Q187" s="542">
        <v>87628.47</v>
      </c>
      <c r="R187" s="542">
        <v>25465192.5</v>
      </c>
      <c r="S187" s="542">
        <v>239474</v>
      </c>
      <c r="T187" s="542">
        <v>239474</v>
      </c>
      <c r="U187" s="542">
        <v>0</v>
      </c>
      <c r="V187" s="542">
        <v>0</v>
      </c>
      <c r="W187" s="542">
        <v>0</v>
      </c>
      <c r="X187" s="542">
        <v>0</v>
      </c>
      <c r="Y187" s="542">
        <v>0</v>
      </c>
      <c r="Z187" s="542">
        <v>87628.47</v>
      </c>
      <c r="AA187" s="542">
        <v>0</v>
      </c>
      <c r="AB187" s="542">
        <v>0</v>
      </c>
      <c r="AC187" s="542">
        <v>87628.47</v>
      </c>
      <c r="AD187" s="542">
        <v>3221725</v>
      </c>
      <c r="AE187" s="542">
        <v>3157291</v>
      </c>
      <c r="AF187" s="542">
        <v>0</v>
      </c>
      <c r="AG187" s="542">
        <v>64435</v>
      </c>
      <c r="AH187" s="542">
        <v>6443451</v>
      </c>
      <c r="AI187" s="542">
        <v>-586394</v>
      </c>
      <c r="AJ187" s="542">
        <v>-574667</v>
      </c>
      <c r="AK187" s="542">
        <v>0</v>
      </c>
      <c r="AL187" s="542">
        <v>-11728</v>
      </c>
      <c r="AM187" s="542">
        <v>-1172789</v>
      </c>
      <c r="AN187" s="542">
        <v>-1392717</v>
      </c>
      <c r="AO187" s="542">
        <v>-1364862</v>
      </c>
      <c r="AP187" s="542">
        <v>0</v>
      </c>
      <c r="AQ187" s="542">
        <v>-27854</v>
      </c>
      <c r="AR187" s="542">
        <v>-2785433</v>
      </c>
      <c r="AS187" s="542">
        <v>116624</v>
      </c>
      <c r="AT187" s="542">
        <v>114292</v>
      </c>
      <c r="AU187" s="542">
        <v>0</v>
      </c>
      <c r="AV187" s="542">
        <v>2332</v>
      </c>
      <c r="AW187" s="542">
        <v>233248</v>
      </c>
      <c r="AX187" s="542">
        <v>84847</v>
      </c>
      <c r="AY187" s="542">
        <v>83151</v>
      </c>
      <c r="AZ187" s="542">
        <v>0</v>
      </c>
      <c r="BA187" s="542">
        <v>1697</v>
      </c>
      <c r="BB187" s="542">
        <v>169695</v>
      </c>
      <c r="BC187" s="542">
        <v>-1191246</v>
      </c>
      <c r="BD187" s="542">
        <v>-1167419</v>
      </c>
      <c r="BE187" s="542">
        <v>0</v>
      </c>
      <c r="BF187" s="542">
        <v>-23825</v>
      </c>
      <c r="BG187" s="542">
        <v>-2382490</v>
      </c>
      <c r="BH187" s="542">
        <v>-2045817</v>
      </c>
      <c r="BI187" s="542">
        <v>-2004900</v>
      </c>
      <c r="BJ187" s="542">
        <v>0</v>
      </c>
      <c r="BK187" s="542">
        <v>-40917</v>
      </c>
      <c r="BL187" s="542">
        <v>-4091634</v>
      </c>
      <c r="BM187" s="542">
        <v>974724</v>
      </c>
      <c r="BN187" s="542">
        <v>955230</v>
      </c>
      <c r="BO187" s="542">
        <v>0</v>
      </c>
      <c r="BP187" s="542">
        <v>19494</v>
      </c>
      <c r="BQ187" s="542">
        <v>1949448</v>
      </c>
      <c r="BR187" s="542">
        <v>-5781168.9000000004</v>
      </c>
      <c r="BS187" s="542">
        <v>-5665545</v>
      </c>
      <c r="BT187" s="542">
        <v>0</v>
      </c>
      <c r="BU187" s="542">
        <v>-115623</v>
      </c>
      <c r="BV187" s="542">
        <v>-11562336</v>
      </c>
      <c r="BW187" s="542">
        <v>-6852261.9000000004</v>
      </c>
      <c r="BX187" s="542">
        <v>-6715215</v>
      </c>
      <c r="BY187" s="542">
        <v>0</v>
      </c>
      <c r="BZ187" s="542">
        <v>-137046</v>
      </c>
      <c r="CA187" s="542">
        <v>-13704522</v>
      </c>
    </row>
    <row r="188" spans="1:79" ht="12.75" x14ac:dyDescent="0.2">
      <c r="A188" s="93">
        <v>182</v>
      </c>
      <c r="B188" s="145" t="s">
        <v>242</v>
      </c>
      <c r="C188" s="141" t="s">
        <v>866</v>
      </c>
      <c r="D188" s="142" t="s">
        <v>870</v>
      </c>
      <c r="E188" s="149" t="s">
        <v>241</v>
      </c>
      <c r="F188" s="543">
        <v>0.5</v>
      </c>
      <c r="G188" s="543">
        <v>0.4</v>
      </c>
      <c r="H188" s="543">
        <v>0.1</v>
      </c>
      <c r="I188" s="543">
        <v>0</v>
      </c>
      <c r="J188" s="543">
        <v>1</v>
      </c>
      <c r="K188" s="542">
        <v>18202834</v>
      </c>
      <c r="L188" s="542">
        <v>14562267</v>
      </c>
      <c r="M188" s="542">
        <v>3640567</v>
      </c>
      <c r="N188" s="542">
        <v>0</v>
      </c>
      <c r="O188" s="542">
        <v>36405668</v>
      </c>
      <c r="P188" s="542">
        <v>0</v>
      </c>
      <c r="Q188" s="542">
        <v>0</v>
      </c>
      <c r="R188" s="542">
        <v>18202834</v>
      </c>
      <c r="S188" s="542">
        <v>180795</v>
      </c>
      <c r="T188" s="542">
        <v>180795</v>
      </c>
      <c r="U188" s="542">
        <v>0</v>
      </c>
      <c r="V188" s="542">
        <v>0</v>
      </c>
      <c r="W188" s="542">
        <v>0</v>
      </c>
      <c r="X188" s="542">
        <v>0</v>
      </c>
      <c r="Y188" s="542">
        <v>0</v>
      </c>
      <c r="Z188" s="542">
        <v>0</v>
      </c>
      <c r="AA188" s="542">
        <v>0</v>
      </c>
      <c r="AB188" s="542">
        <v>0</v>
      </c>
      <c r="AC188" s="542">
        <v>0</v>
      </c>
      <c r="AD188" s="542">
        <v>1035853</v>
      </c>
      <c r="AE188" s="542">
        <v>828683</v>
      </c>
      <c r="AF188" s="542">
        <v>207171</v>
      </c>
      <c r="AG188" s="542">
        <v>0</v>
      </c>
      <c r="AH188" s="542">
        <v>2071707</v>
      </c>
      <c r="AI188" s="542">
        <v>-267759</v>
      </c>
      <c r="AJ188" s="542">
        <v>-214208</v>
      </c>
      <c r="AK188" s="542">
        <v>-53552</v>
      </c>
      <c r="AL188" s="542">
        <v>0</v>
      </c>
      <c r="AM188" s="542">
        <v>-535519</v>
      </c>
      <c r="AN188" s="542">
        <v>-135246</v>
      </c>
      <c r="AO188" s="542">
        <v>-108197</v>
      </c>
      <c r="AP188" s="542">
        <v>-27049</v>
      </c>
      <c r="AQ188" s="542">
        <v>0</v>
      </c>
      <c r="AR188" s="542">
        <v>-270492</v>
      </c>
      <c r="AS188" s="542">
        <v>217353</v>
      </c>
      <c r="AT188" s="542">
        <v>173882</v>
      </c>
      <c r="AU188" s="542">
        <v>43471</v>
      </c>
      <c r="AV188" s="542">
        <v>0</v>
      </c>
      <c r="AW188" s="542">
        <v>434706</v>
      </c>
      <c r="AX188" s="542">
        <v>-143560</v>
      </c>
      <c r="AY188" s="542">
        <v>-114848</v>
      </c>
      <c r="AZ188" s="542">
        <v>-28712</v>
      </c>
      <c r="BA188" s="542">
        <v>0</v>
      </c>
      <c r="BB188" s="542">
        <v>-287120</v>
      </c>
      <c r="BC188" s="542">
        <v>-61453</v>
      </c>
      <c r="BD188" s="542">
        <v>-49163</v>
      </c>
      <c r="BE188" s="542">
        <v>-12290</v>
      </c>
      <c r="BF188" s="542">
        <v>0</v>
      </c>
      <c r="BG188" s="542">
        <v>-122906</v>
      </c>
      <c r="BH188" s="542">
        <v>-670252</v>
      </c>
      <c r="BI188" s="542">
        <v>-536202</v>
      </c>
      <c r="BJ188" s="542">
        <v>-134050</v>
      </c>
      <c r="BK188" s="542">
        <v>0</v>
      </c>
      <c r="BL188" s="542">
        <v>-1340504</v>
      </c>
      <c r="BM188" s="542">
        <v>596684</v>
      </c>
      <c r="BN188" s="542">
        <v>477347</v>
      </c>
      <c r="BO188" s="542">
        <v>119337</v>
      </c>
      <c r="BP188" s="542">
        <v>0</v>
      </c>
      <c r="BQ188" s="542">
        <v>1193368</v>
      </c>
      <c r="BR188" s="542">
        <v>-1115604</v>
      </c>
      <c r="BS188" s="542">
        <v>-892483</v>
      </c>
      <c r="BT188" s="542">
        <v>-223121</v>
      </c>
      <c r="BU188" s="542">
        <v>0</v>
      </c>
      <c r="BV188" s="542">
        <v>-2231208</v>
      </c>
      <c r="BW188" s="542">
        <v>-1189172</v>
      </c>
      <c r="BX188" s="542">
        <v>-951338</v>
      </c>
      <c r="BY188" s="542">
        <v>-237834</v>
      </c>
      <c r="BZ188" s="542">
        <v>0</v>
      </c>
      <c r="CA188" s="542">
        <v>-2378344</v>
      </c>
    </row>
    <row r="189" spans="1:79" ht="12.75" x14ac:dyDescent="0.2">
      <c r="A189" s="93">
        <v>183</v>
      </c>
      <c r="B189" s="145" t="s">
        <v>244</v>
      </c>
      <c r="C189" s="141" t="s">
        <v>866</v>
      </c>
      <c r="D189" s="142" t="s">
        <v>869</v>
      </c>
      <c r="E189" s="149" t="s">
        <v>243</v>
      </c>
      <c r="F189" s="543">
        <v>0.5</v>
      </c>
      <c r="G189" s="543">
        <v>0.4</v>
      </c>
      <c r="H189" s="543">
        <v>0.1</v>
      </c>
      <c r="I189" s="543">
        <v>0</v>
      </c>
      <c r="J189" s="543">
        <v>1</v>
      </c>
      <c r="K189" s="542">
        <v>10326707</v>
      </c>
      <c r="L189" s="542">
        <v>8261366</v>
      </c>
      <c r="M189" s="542">
        <v>2065341</v>
      </c>
      <c r="N189" s="542">
        <v>0</v>
      </c>
      <c r="O189" s="542">
        <v>20653414</v>
      </c>
      <c r="P189" s="542">
        <v>0</v>
      </c>
      <c r="Q189" s="542">
        <v>0</v>
      </c>
      <c r="R189" s="542">
        <v>10326707</v>
      </c>
      <c r="S189" s="542">
        <v>122926</v>
      </c>
      <c r="T189" s="542">
        <v>122926</v>
      </c>
      <c r="U189" s="542">
        <v>0</v>
      </c>
      <c r="V189" s="542">
        <v>0</v>
      </c>
      <c r="W189" s="542">
        <v>796908</v>
      </c>
      <c r="X189" s="542">
        <v>138925</v>
      </c>
      <c r="Y189" s="542">
        <v>935833</v>
      </c>
      <c r="Z189" s="542">
        <v>0</v>
      </c>
      <c r="AA189" s="542">
        <v>0</v>
      </c>
      <c r="AB189" s="542">
        <v>0</v>
      </c>
      <c r="AC189" s="542">
        <v>0</v>
      </c>
      <c r="AD189" s="542">
        <v>290338</v>
      </c>
      <c r="AE189" s="542">
        <v>232271</v>
      </c>
      <c r="AF189" s="542">
        <v>58068</v>
      </c>
      <c r="AG189" s="542">
        <v>0</v>
      </c>
      <c r="AH189" s="542">
        <v>580677</v>
      </c>
      <c r="AI189" s="542">
        <v>-74087</v>
      </c>
      <c r="AJ189" s="542">
        <v>-59269</v>
      </c>
      <c r="AK189" s="542">
        <v>-14817</v>
      </c>
      <c r="AL189" s="542">
        <v>0</v>
      </c>
      <c r="AM189" s="542">
        <v>-148173</v>
      </c>
      <c r="AN189" s="542">
        <v>-97500</v>
      </c>
      <c r="AO189" s="542">
        <v>-78000</v>
      </c>
      <c r="AP189" s="542">
        <v>-19500</v>
      </c>
      <c r="AQ189" s="542">
        <v>0</v>
      </c>
      <c r="AR189" s="542">
        <v>-195000</v>
      </c>
      <c r="AS189" s="542">
        <v>359</v>
      </c>
      <c r="AT189" s="542">
        <v>288</v>
      </c>
      <c r="AU189" s="542">
        <v>72</v>
      </c>
      <c r="AV189" s="542">
        <v>0</v>
      </c>
      <c r="AW189" s="542">
        <v>719</v>
      </c>
      <c r="AX189" s="542">
        <v>-5359</v>
      </c>
      <c r="AY189" s="542">
        <v>-4288</v>
      </c>
      <c r="AZ189" s="542">
        <v>-1072</v>
      </c>
      <c r="BA189" s="542">
        <v>0</v>
      </c>
      <c r="BB189" s="542">
        <v>-10719</v>
      </c>
      <c r="BC189" s="542">
        <v>-102500</v>
      </c>
      <c r="BD189" s="542">
        <v>-82000</v>
      </c>
      <c r="BE189" s="542">
        <v>-20500</v>
      </c>
      <c r="BF189" s="542">
        <v>0</v>
      </c>
      <c r="BG189" s="542">
        <v>-205000</v>
      </c>
      <c r="BH189" s="542">
        <v>-439526</v>
      </c>
      <c r="BI189" s="542">
        <v>-351621</v>
      </c>
      <c r="BJ189" s="542">
        <v>-87905</v>
      </c>
      <c r="BK189" s="542">
        <v>0</v>
      </c>
      <c r="BL189" s="542">
        <v>-879052</v>
      </c>
      <c r="BM189" s="542">
        <v>439526</v>
      </c>
      <c r="BN189" s="542">
        <v>351621</v>
      </c>
      <c r="BO189" s="542">
        <v>87905</v>
      </c>
      <c r="BP189" s="542">
        <v>0</v>
      </c>
      <c r="BQ189" s="542">
        <v>879052</v>
      </c>
      <c r="BR189" s="542">
        <v>-1003300</v>
      </c>
      <c r="BS189" s="542">
        <v>-802640</v>
      </c>
      <c r="BT189" s="542">
        <v>-200660</v>
      </c>
      <c r="BU189" s="542">
        <v>0</v>
      </c>
      <c r="BV189" s="542">
        <v>-2006600</v>
      </c>
      <c r="BW189" s="542">
        <v>-1003300</v>
      </c>
      <c r="BX189" s="542">
        <v>-802640</v>
      </c>
      <c r="BY189" s="542">
        <v>-200660</v>
      </c>
      <c r="BZ189" s="542">
        <v>0</v>
      </c>
      <c r="CA189" s="542">
        <v>-2006600</v>
      </c>
    </row>
    <row r="190" spans="1:79" ht="12.75" x14ac:dyDescent="0.2">
      <c r="A190" s="93">
        <v>184</v>
      </c>
      <c r="B190" s="145" t="s">
        <v>246</v>
      </c>
      <c r="C190" s="141" t="s">
        <v>770</v>
      </c>
      <c r="D190" s="142" t="s">
        <v>874</v>
      </c>
      <c r="E190" s="149" t="s">
        <v>710</v>
      </c>
      <c r="F190" s="543">
        <v>0.5</v>
      </c>
      <c r="G190" s="543">
        <v>0.49</v>
      </c>
      <c r="H190" s="543">
        <v>0</v>
      </c>
      <c r="I190" s="543">
        <v>0.01</v>
      </c>
      <c r="J190" s="543">
        <v>1</v>
      </c>
      <c r="K190" s="542">
        <v>42460082</v>
      </c>
      <c r="L190" s="542">
        <v>41610881</v>
      </c>
      <c r="M190" s="542">
        <v>0</v>
      </c>
      <c r="N190" s="542">
        <v>849202</v>
      </c>
      <c r="O190" s="542">
        <v>84920165</v>
      </c>
      <c r="P190" s="542">
        <v>0</v>
      </c>
      <c r="Q190" s="542">
        <v>0</v>
      </c>
      <c r="R190" s="542">
        <v>42460082</v>
      </c>
      <c r="S190" s="542">
        <v>252128</v>
      </c>
      <c r="T190" s="542">
        <v>252128</v>
      </c>
      <c r="U190" s="542">
        <v>18287</v>
      </c>
      <c r="V190" s="542">
        <v>18287</v>
      </c>
      <c r="W190" s="542">
        <v>747176</v>
      </c>
      <c r="X190" s="542">
        <v>0</v>
      </c>
      <c r="Y190" s="542">
        <v>747176</v>
      </c>
      <c r="Z190" s="542">
        <v>0</v>
      </c>
      <c r="AA190" s="542">
        <v>0</v>
      </c>
      <c r="AB190" s="542">
        <v>0</v>
      </c>
      <c r="AC190" s="542">
        <v>0</v>
      </c>
      <c r="AD190" s="542">
        <v>2521012</v>
      </c>
      <c r="AE190" s="542">
        <v>2470592</v>
      </c>
      <c r="AF190" s="542">
        <v>0</v>
      </c>
      <c r="AG190" s="542">
        <v>50420</v>
      </c>
      <c r="AH190" s="542">
        <v>5042024</v>
      </c>
      <c r="AI190" s="542">
        <v>-570919</v>
      </c>
      <c r="AJ190" s="542">
        <v>-559500</v>
      </c>
      <c r="AK190" s="542">
        <v>0</v>
      </c>
      <c r="AL190" s="542">
        <v>-11418</v>
      </c>
      <c r="AM190" s="542">
        <v>-1141837</v>
      </c>
      <c r="AN190" s="542">
        <v>-296050</v>
      </c>
      <c r="AO190" s="542">
        <v>-290129</v>
      </c>
      <c r="AP190" s="542">
        <v>0</v>
      </c>
      <c r="AQ190" s="542">
        <v>-5921</v>
      </c>
      <c r="AR190" s="542">
        <v>-592100</v>
      </c>
      <c r="AS190" s="542">
        <v>397526</v>
      </c>
      <c r="AT190" s="542">
        <v>389576</v>
      </c>
      <c r="AU190" s="542">
        <v>0</v>
      </c>
      <c r="AV190" s="542">
        <v>7951</v>
      </c>
      <c r="AW190" s="542">
        <v>795053</v>
      </c>
      <c r="AX190" s="542">
        <v>-530026</v>
      </c>
      <c r="AY190" s="542">
        <v>-519426</v>
      </c>
      <c r="AZ190" s="542">
        <v>0</v>
      </c>
      <c r="BA190" s="542">
        <v>-10601</v>
      </c>
      <c r="BB190" s="542">
        <v>-1060053</v>
      </c>
      <c r="BC190" s="542">
        <v>-428550</v>
      </c>
      <c r="BD190" s="542">
        <v>-419979</v>
      </c>
      <c r="BE190" s="542">
        <v>0</v>
      </c>
      <c r="BF190" s="542">
        <v>-8571</v>
      </c>
      <c r="BG190" s="542">
        <v>-857100</v>
      </c>
      <c r="BH190" s="542">
        <v>-4542036</v>
      </c>
      <c r="BI190" s="542">
        <v>-4451195</v>
      </c>
      <c r="BJ190" s="542">
        <v>0</v>
      </c>
      <c r="BK190" s="542">
        <v>-90840</v>
      </c>
      <c r="BL190" s="542">
        <v>-9084071</v>
      </c>
      <c r="BM190" s="542">
        <v>1155811</v>
      </c>
      <c r="BN190" s="542">
        <v>1132694</v>
      </c>
      <c r="BO190" s="542">
        <v>0</v>
      </c>
      <c r="BP190" s="542">
        <v>23116</v>
      </c>
      <c r="BQ190" s="542">
        <v>2311621</v>
      </c>
      <c r="BR190" s="542">
        <v>-3258520</v>
      </c>
      <c r="BS190" s="542">
        <v>-3193350</v>
      </c>
      <c r="BT190" s="542">
        <v>0</v>
      </c>
      <c r="BU190" s="542">
        <v>-65170</v>
      </c>
      <c r="BV190" s="542">
        <v>-6517040</v>
      </c>
      <c r="BW190" s="542">
        <v>-6644745</v>
      </c>
      <c r="BX190" s="542">
        <v>-6511851</v>
      </c>
      <c r="BY190" s="542">
        <v>0</v>
      </c>
      <c r="BZ190" s="542">
        <v>-132894</v>
      </c>
      <c r="CA190" s="542">
        <v>-13289490</v>
      </c>
    </row>
    <row r="191" spans="1:79" ht="12.75" x14ac:dyDescent="0.2">
      <c r="A191" s="93">
        <v>185</v>
      </c>
      <c r="B191" s="145" t="s">
        <v>248</v>
      </c>
      <c r="C191" s="141" t="s">
        <v>866</v>
      </c>
      <c r="D191" s="142" t="s">
        <v>870</v>
      </c>
      <c r="E191" s="149" t="s">
        <v>247</v>
      </c>
      <c r="F191" s="543">
        <v>0.5</v>
      </c>
      <c r="G191" s="543">
        <v>0.4</v>
      </c>
      <c r="H191" s="543">
        <v>0.1</v>
      </c>
      <c r="I191" s="543">
        <v>0</v>
      </c>
      <c r="J191" s="543">
        <v>1</v>
      </c>
      <c r="K191" s="542">
        <v>11207496</v>
      </c>
      <c r="L191" s="542">
        <v>8965997</v>
      </c>
      <c r="M191" s="542">
        <v>2241499</v>
      </c>
      <c r="N191" s="542">
        <v>0</v>
      </c>
      <c r="O191" s="542">
        <v>22414992</v>
      </c>
      <c r="P191" s="542">
        <v>0</v>
      </c>
      <c r="Q191" s="542">
        <v>0</v>
      </c>
      <c r="R191" s="542">
        <v>11207496</v>
      </c>
      <c r="S191" s="542">
        <v>233476</v>
      </c>
      <c r="T191" s="542">
        <v>233476</v>
      </c>
      <c r="U191" s="542">
        <v>0</v>
      </c>
      <c r="V191" s="542">
        <v>0</v>
      </c>
      <c r="W191" s="542">
        <v>203715</v>
      </c>
      <c r="X191" s="542">
        <v>0</v>
      </c>
      <c r="Y191" s="542">
        <v>203715</v>
      </c>
      <c r="Z191" s="542">
        <v>0</v>
      </c>
      <c r="AA191" s="542">
        <v>0</v>
      </c>
      <c r="AB191" s="542">
        <v>0</v>
      </c>
      <c r="AC191" s="542">
        <v>0</v>
      </c>
      <c r="AD191" s="542">
        <v>152354</v>
      </c>
      <c r="AE191" s="542">
        <v>121883</v>
      </c>
      <c r="AF191" s="542">
        <v>30471</v>
      </c>
      <c r="AG191" s="542">
        <v>0</v>
      </c>
      <c r="AH191" s="542">
        <v>304708</v>
      </c>
      <c r="AI191" s="542">
        <v>-208954</v>
      </c>
      <c r="AJ191" s="542">
        <v>-167164</v>
      </c>
      <c r="AK191" s="542">
        <v>-41791</v>
      </c>
      <c r="AL191" s="542">
        <v>0</v>
      </c>
      <c r="AM191" s="542">
        <v>-417909</v>
      </c>
      <c r="AN191" s="542">
        <v>-100960</v>
      </c>
      <c r="AO191" s="542">
        <v>-80768</v>
      </c>
      <c r="AP191" s="542">
        <v>-20192</v>
      </c>
      <c r="AQ191" s="542">
        <v>0</v>
      </c>
      <c r="AR191" s="542">
        <v>-201920</v>
      </c>
      <c r="AS191" s="542">
        <v>41337</v>
      </c>
      <c r="AT191" s="542">
        <v>33070</v>
      </c>
      <c r="AU191" s="542">
        <v>8268</v>
      </c>
      <c r="AV191" s="542">
        <v>0</v>
      </c>
      <c r="AW191" s="542">
        <v>82675</v>
      </c>
      <c r="AX191" s="542">
        <v>-24358</v>
      </c>
      <c r="AY191" s="542">
        <v>-19487</v>
      </c>
      <c r="AZ191" s="542">
        <v>-4872</v>
      </c>
      <c r="BA191" s="542">
        <v>0</v>
      </c>
      <c r="BB191" s="542">
        <v>-48717</v>
      </c>
      <c r="BC191" s="542">
        <v>-83981</v>
      </c>
      <c r="BD191" s="542">
        <v>-67185</v>
      </c>
      <c r="BE191" s="542">
        <v>-16796</v>
      </c>
      <c r="BF191" s="542">
        <v>0</v>
      </c>
      <c r="BG191" s="542">
        <v>-167962</v>
      </c>
      <c r="BH191" s="542">
        <v>-225053</v>
      </c>
      <c r="BI191" s="542">
        <v>-180041</v>
      </c>
      <c r="BJ191" s="542">
        <v>-45010</v>
      </c>
      <c r="BK191" s="542">
        <v>0</v>
      </c>
      <c r="BL191" s="542">
        <v>-450104</v>
      </c>
      <c r="BM191" s="542">
        <v>198982</v>
      </c>
      <c r="BN191" s="542">
        <v>159186</v>
      </c>
      <c r="BO191" s="542">
        <v>39797</v>
      </c>
      <c r="BP191" s="542">
        <v>0</v>
      </c>
      <c r="BQ191" s="542">
        <v>397965</v>
      </c>
      <c r="BR191" s="542">
        <v>-392573</v>
      </c>
      <c r="BS191" s="542">
        <v>-314059</v>
      </c>
      <c r="BT191" s="542">
        <v>-78515</v>
      </c>
      <c r="BU191" s="542">
        <v>0</v>
      </c>
      <c r="BV191" s="542">
        <v>-785147</v>
      </c>
      <c r="BW191" s="542">
        <v>-418644</v>
      </c>
      <c r="BX191" s="542">
        <v>-334914</v>
      </c>
      <c r="BY191" s="542">
        <v>-83728</v>
      </c>
      <c r="BZ191" s="542">
        <v>0</v>
      </c>
      <c r="CA191" s="542">
        <v>-837286</v>
      </c>
    </row>
    <row r="192" spans="1:79" ht="12.75" x14ac:dyDescent="0.2">
      <c r="A192" s="93">
        <v>186</v>
      </c>
      <c r="B192" s="145" t="s">
        <v>250</v>
      </c>
      <c r="C192" s="141" t="s">
        <v>770</v>
      </c>
      <c r="D192" s="142" t="s">
        <v>875</v>
      </c>
      <c r="E192" s="149" t="s">
        <v>711</v>
      </c>
      <c r="F192" s="543">
        <v>0.5</v>
      </c>
      <c r="G192" s="543">
        <v>0.49</v>
      </c>
      <c r="H192" s="543">
        <v>0</v>
      </c>
      <c r="I192" s="543">
        <v>0.01</v>
      </c>
      <c r="J192" s="543">
        <v>1</v>
      </c>
      <c r="K192" s="542">
        <v>28294583.800000001</v>
      </c>
      <c r="L192" s="542">
        <v>27728693</v>
      </c>
      <c r="M192" s="542">
        <v>0</v>
      </c>
      <c r="N192" s="542">
        <v>565892</v>
      </c>
      <c r="O192" s="542">
        <v>56589168.799999997</v>
      </c>
      <c r="P192" s="542">
        <v>0</v>
      </c>
      <c r="Q192" s="542">
        <v>0</v>
      </c>
      <c r="R192" s="542">
        <v>28294583.800000001</v>
      </c>
      <c r="S192" s="542">
        <v>258158</v>
      </c>
      <c r="T192" s="542">
        <v>258158</v>
      </c>
      <c r="U192" s="542">
        <v>67276</v>
      </c>
      <c r="V192" s="542">
        <v>67276</v>
      </c>
      <c r="W192" s="542">
        <v>12713</v>
      </c>
      <c r="X192" s="542">
        <v>0</v>
      </c>
      <c r="Y192" s="542">
        <v>12713</v>
      </c>
      <c r="Z192" s="542">
        <v>0</v>
      </c>
      <c r="AA192" s="542">
        <v>0</v>
      </c>
      <c r="AB192" s="542">
        <v>0</v>
      </c>
      <c r="AC192" s="542">
        <v>0</v>
      </c>
      <c r="AD192" s="542">
        <v>2490493</v>
      </c>
      <c r="AE192" s="542">
        <v>2440684</v>
      </c>
      <c r="AF192" s="542">
        <v>0</v>
      </c>
      <c r="AG192" s="542">
        <v>49810</v>
      </c>
      <c r="AH192" s="542">
        <v>4980987</v>
      </c>
      <c r="AI192" s="542">
        <v>-760649</v>
      </c>
      <c r="AJ192" s="542">
        <v>-745436</v>
      </c>
      <c r="AK192" s="542">
        <v>0</v>
      </c>
      <c r="AL192" s="542">
        <v>-15213</v>
      </c>
      <c r="AM192" s="542">
        <v>-1521298</v>
      </c>
      <c r="AN192" s="542">
        <v>-1534282.3</v>
      </c>
      <c r="AO192" s="542">
        <v>-1503597</v>
      </c>
      <c r="AP192" s="542">
        <v>0</v>
      </c>
      <c r="AQ192" s="542">
        <v>-30686</v>
      </c>
      <c r="AR192" s="542">
        <v>-3068565.3</v>
      </c>
      <c r="AS192" s="542">
        <v>363010</v>
      </c>
      <c r="AT192" s="542">
        <v>355749</v>
      </c>
      <c r="AU192" s="542">
        <v>0</v>
      </c>
      <c r="AV192" s="542">
        <v>7260</v>
      </c>
      <c r="AW192" s="542">
        <v>726019</v>
      </c>
      <c r="AX192" s="542">
        <v>-186085</v>
      </c>
      <c r="AY192" s="542">
        <v>-182364</v>
      </c>
      <c r="AZ192" s="542">
        <v>0</v>
      </c>
      <c r="BA192" s="542">
        <v>-3722</v>
      </c>
      <c r="BB192" s="542">
        <v>-372171</v>
      </c>
      <c r="BC192" s="542">
        <v>-1357357.3</v>
      </c>
      <c r="BD192" s="542">
        <v>-1330212</v>
      </c>
      <c r="BE192" s="542">
        <v>0</v>
      </c>
      <c r="BF192" s="542">
        <v>-27148</v>
      </c>
      <c r="BG192" s="542">
        <v>-2714717.3</v>
      </c>
      <c r="BH192" s="542">
        <v>-1855757.3</v>
      </c>
      <c r="BI192" s="542">
        <v>-1818642</v>
      </c>
      <c r="BJ192" s="542">
        <v>0</v>
      </c>
      <c r="BK192" s="542">
        <v>-37115</v>
      </c>
      <c r="BL192" s="542">
        <v>-3711514.3</v>
      </c>
      <c r="BM192" s="542">
        <v>787782</v>
      </c>
      <c r="BN192" s="542">
        <v>772027</v>
      </c>
      <c r="BO192" s="542">
        <v>0</v>
      </c>
      <c r="BP192" s="542">
        <v>15756</v>
      </c>
      <c r="BQ192" s="542">
        <v>1575565</v>
      </c>
      <c r="BR192" s="542">
        <v>-713136.13</v>
      </c>
      <c r="BS192" s="542">
        <v>-698874</v>
      </c>
      <c r="BT192" s="542">
        <v>0</v>
      </c>
      <c r="BU192" s="542">
        <v>-14263</v>
      </c>
      <c r="BV192" s="542">
        <v>-1426273.1</v>
      </c>
      <c r="BW192" s="542">
        <v>-1781111.4</v>
      </c>
      <c r="BX192" s="542">
        <v>-1745489</v>
      </c>
      <c r="BY192" s="542">
        <v>0</v>
      </c>
      <c r="BZ192" s="542">
        <v>-35622</v>
      </c>
      <c r="CA192" s="542">
        <v>-3562222.4</v>
      </c>
    </row>
    <row r="193" spans="1:79" ht="12.75" x14ac:dyDescent="0.2">
      <c r="A193" s="93">
        <v>187</v>
      </c>
      <c r="B193" s="145" t="s">
        <v>252</v>
      </c>
      <c r="C193" s="141" t="s">
        <v>873</v>
      </c>
      <c r="D193" s="142" t="s">
        <v>878</v>
      </c>
      <c r="E193" s="149" t="s">
        <v>251</v>
      </c>
      <c r="F193" s="543">
        <v>0.5</v>
      </c>
      <c r="G193" s="543">
        <v>0.49</v>
      </c>
      <c r="H193" s="543">
        <v>0</v>
      </c>
      <c r="I193" s="543">
        <v>0.01</v>
      </c>
      <c r="J193" s="543">
        <v>1</v>
      </c>
      <c r="K193" s="542">
        <v>26236714</v>
      </c>
      <c r="L193" s="542">
        <v>25711980</v>
      </c>
      <c r="M193" s="542">
        <v>0</v>
      </c>
      <c r="N193" s="542">
        <v>524734</v>
      </c>
      <c r="O193" s="542">
        <v>52473428</v>
      </c>
      <c r="P193" s="542">
        <v>141603.43</v>
      </c>
      <c r="Q193" s="542">
        <v>141603.43</v>
      </c>
      <c r="R193" s="542">
        <v>26095110.5</v>
      </c>
      <c r="S193" s="542">
        <v>229556</v>
      </c>
      <c r="T193" s="542">
        <v>229556</v>
      </c>
      <c r="U193" s="542">
        <v>54942</v>
      </c>
      <c r="V193" s="542">
        <v>54942</v>
      </c>
      <c r="W193" s="542">
        <v>0</v>
      </c>
      <c r="X193" s="542">
        <v>0</v>
      </c>
      <c r="Y193" s="542">
        <v>0</v>
      </c>
      <c r="Z193" s="542">
        <v>141603.43</v>
      </c>
      <c r="AA193" s="542">
        <v>0</v>
      </c>
      <c r="AB193" s="542">
        <v>0</v>
      </c>
      <c r="AC193" s="542">
        <v>141603.43</v>
      </c>
      <c r="AD193" s="542">
        <v>2640572</v>
      </c>
      <c r="AE193" s="542">
        <v>2587760</v>
      </c>
      <c r="AF193" s="542">
        <v>0</v>
      </c>
      <c r="AG193" s="542">
        <v>52811</v>
      </c>
      <c r="AH193" s="542">
        <v>5281143</v>
      </c>
      <c r="AI193" s="542">
        <v>-666347</v>
      </c>
      <c r="AJ193" s="542">
        <v>-653020</v>
      </c>
      <c r="AK193" s="542">
        <v>0</v>
      </c>
      <c r="AL193" s="542">
        <v>-13327</v>
      </c>
      <c r="AM193" s="542">
        <v>-1332694</v>
      </c>
      <c r="AN193" s="542">
        <v>-367305</v>
      </c>
      <c r="AO193" s="542">
        <v>-359959</v>
      </c>
      <c r="AP193" s="542">
        <v>0</v>
      </c>
      <c r="AQ193" s="542">
        <v>-7346</v>
      </c>
      <c r="AR193" s="542">
        <v>-734610</v>
      </c>
      <c r="AS193" s="542">
        <v>693056</v>
      </c>
      <c r="AT193" s="542">
        <v>679195</v>
      </c>
      <c r="AU193" s="542">
        <v>0</v>
      </c>
      <c r="AV193" s="542">
        <v>13861</v>
      </c>
      <c r="AW193" s="542">
        <v>1386112</v>
      </c>
      <c r="AX193" s="542">
        <v>-233477</v>
      </c>
      <c r="AY193" s="542">
        <v>-228808</v>
      </c>
      <c r="AZ193" s="542">
        <v>0</v>
      </c>
      <c r="BA193" s="542">
        <v>-4670</v>
      </c>
      <c r="BB193" s="542">
        <v>-466955</v>
      </c>
      <c r="BC193" s="542">
        <v>92274</v>
      </c>
      <c r="BD193" s="542">
        <v>90428</v>
      </c>
      <c r="BE193" s="542">
        <v>0</v>
      </c>
      <c r="BF193" s="542">
        <v>1845</v>
      </c>
      <c r="BG193" s="542">
        <v>184547</v>
      </c>
      <c r="BH193" s="542">
        <v>-1426186</v>
      </c>
      <c r="BI193" s="542">
        <v>-1397663</v>
      </c>
      <c r="BJ193" s="542">
        <v>0</v>
      </c>
      <c r="BK193" s="542">
        <v>-28524</v>
      </c>
      <c r="BL193" s="542">
        <v>-2852373</v>
      </c>
      <c r="BM193" s="542">
        <v>1326186</v>
      </c>
      <c r="BN193" s="542">
        <v>1299663</v>
      </c>
      <c r="BO193" s="542">
        <v>0</v>
      </c>
      <c r="BP193" s="542">
        <v>26524</v>
      </c>
      <c r="BQ193" s="542">
        <v>2652373</v>
      </c>
      <c r="BR193" s="542">
        <v>-626593</v>
      </c>
      <c r="BS193" s="542">
        <v>-614061</v>
      </c>
      <c r="BT193" s="542">
        <v>0</v>
      </c>
      <c r="BU193" s="542">
        <v>-12532</v>
      </c>
      <c r="BV193" s="542">
        <v>-1253186</v>
      </c>
      <c r="BW193" s="542">
        <v>-726593</v>
      </c>
      <c r="BX193" s="542">
        <v>-712061</v>
      </c>
      <c r="BY193" s="542">
        <v>0</v>
      </c>
      <c r="BZ193" s="542">
        <v>-14532</v>
      </c>
      <c r="CA193" s="542">
        <v>-1453186</v>
      </c>
    </row>
    <row r="194" spans="1:79" ht="12.75" x14ac:dyDescent="0.2">
      <c r="A194" s="93">
        <v>188</v>
      </c>
      <c r="B194" s="145" t="s">
        <v>254</v>
      </c>
      <c r="C194" s="141" t="s">
        <v>866</v>
      </c>
      <c r="D194" s="142" t="s">
        <v>876</v>
      </c>
      <c r="E194" s="149" t="s">
        <v>253</v>
      </c>
      <c r="F194" s="543">
        <v>0.5</v>
      </c>
      <c r="G194" s="543">
        <v>0.4</v>
      </c>
      <c r="H194" s="543">
        <v>0.1</v>
      </c>
      <c r="I194" s="543">
        <v>0</v>
      </c>
      <c r="J194" s="543">
        <v>1</v>
      </c>
      <c r="K194" s="542">
        <v>19671369</v>
      </c>
      <c r="L194" s="542">
        <v>15737095</v>
      </c>
      <c r="M194" s="542">
        <v>3934274</v>
      </c>
      <c r="N194" s="542">
        <v>0</v>
      </c>
      <c r="O194" s="542">
        <v>39342738</v>
      </c>
      <c r="P194" s="542">
        <v>0</v>
      </c>
      <c r="Q194" s="542">
        <v>0</v>
      </c>
      <c r="R194" s="542">
        <v>19671369</v>
      </c>
      <c r="S194" s="542">
        <v>109009</v>
      </c>
      <c r="T194" s="542">
        <v>109009</v>
      </c>
      <c r="U194" s="542">
        <v>0</v>
      </c>
      <c r="V194" s="542">
        <v>0</v>
      </c>
      <c r="W194" s="542">
        <v>0</v>
      </c>
      <c r="X194" s="542">
        <v>0</v>
      </c>
      <c r="Y194" s="542">
        <v>0</v>
      </c>
      <c r="Z194" s="542">
        <v>0</v>
      </c>
      <c r="AA194" s="542">
        <v>0</v>
      </c>
      <c r="AB194" s="542">
        <v>0</v>
      </c>
      <c r="AC194" s="542">
        <v>0</v>
      </c>
      <c r="AD194" s="542">
        <v>340851</v>
      </c>
      <c r="AE194" s="542">
        <v>272681</v>
      </c>
      <c r="AF194" s="542">
        <v>68170</v>
      </c>
      <c r="AG194" s="542">
        <v>0</v>
      </c>
      <c r="AH194" s="542">
        <v>681702</v>
      </c>
      <c r="AI194" s="542">
        <v>-160551</v>
      </c>
      <c r="AJ194" s="542">
        <v>-128440</v>
      </c>
      <c r="AK194" s="542">
        <v>-32110</v>
      </c>
      <c r="AL194" s="542">
        <v>0</v>
      </c>
      <c r="AM194" s="542">
        <v>-321101</v>
      </c>
      <c r="AN194" s="542">
        <v>-89443</v>
      </c>
      <c r="AO194" s="542">
        <v>-71555</v>
      </c>
      <c r="AP194" s="542">
        <v>-17889</v>
      </c>
      <c r="AQ194" s="542">
        <v>0</v>
      </c>
      <c r="AR194" s="542">
        <v>-178887</v>
      </c>
      <c r="AS194" s="542">
        <v>49832</v>
      </c>
      <c r="AT194" s="542">
        <v>39866</v>
      </c>
      <c r="AU194" s="542">
        <v>9966</v>
      </c>
      <c r="AV194" s="542">
        <v>0</v>
      </c>
      <c r="AW194" s="542">
        <v>99664</v>
      </c>
      <c r="AX194" s="542">
        <v>-45218</v>
      </c>
      <c r="AY194" s="542">
        <v>-36175</v>
      </c>
      <c r="AZ194" s="542">
        <v>-9044</v>
      </c>
      <c r="BA194" s="542">
        <v>0</v>
      </c>
      <c r="BB194" s="542">
        <v>-90437</v>
      </c>
      <c r="BC194" s="542">
        <v>-84829</v>
      </c>
      <c r="BD194" s="542">
        <v>-67864</v>
      </c>
      <c r="BE194" s="542">
        <v>-16967</v>
      </c>
      <c r="BF194" s="542">
        <v>0</v>
      </c>
      <c r="BG194" s="542">
        <v>-169660</v>
      </c>
      <c r="BH194" s="542">
        <v>-1056030</v>
      </c>
      <c r="BI194" s="542">
        <v>-844824</v>
      </c>
      <c r="BJ194" s="542">
        <v>-211206</v>
      </c>
      <c r="BK194" s="542">
        <v>0</v>
      </c>
      <c r="BL194" s="542">
        <v>-2112060</v>
      </c>
      <c r="BM194" s="542">
        <v>692187</v>
      </c>
      <c r="BN194" s="542">
        <v>553750</v>
      </c>
      <c r="BO194" s="542">
        <v>138438</v>
      </c>
      <c r="BP194" s="542">
        <v>0</v>
      </c>
      <c r="BQ194" s="542">
        <v>1384375</v>
      </c>
      <c r="BR194" s="542">
        <v>-1639540</v>
      </c>
      <c r="BS194" s="542">
        <v>-1311632</v>
      </c>
      <c r="BT194" s="542">
        <v>-327908</v>
      </c>
      <c r="BU194" s="542">
        <v>0</v>
      </c>
      <c r="BV194" s="542">
        <v>-3279080</v>
      </c>
      <c r="BW194" s="542">
        <v>-2003383</v>
      </c>
      <c r="BX194" s="542">
        <v>-1602706</v>
      </c>
      <c r="BY194" s="542">
        <v>-400676</v>
      </c>
      <c r="BZ194" s="542">
        <v>0</v>
      </c>
      <c r="CA194" s="542">
        <v>-4006765</v>
      </c>
    </row>
    <row r="195" spans="1:79" ht="12.75" x14ac:dyDescent="0.2">
      <c r="A195" s="93">
        <v>189</v>
      </c>
      <c r="B195" s="145" t="s">
        <v>256</v>
      </c>
      <c r="C195" s="141" t="s">
        <v>866</v>
      </c>
      <c r="D195" s="142" t="s">
        <v>869</v>
      </c>
      <c r="E195" s="149" t="s">
        <v>255</v>
      </c>
      <c r="F195" s="543">
        <v>0.5</v>
      </c>
      <c r="G195" s="543">
        <v>0.4</v>
      </c>
      <c r="H195" s="543">
        <v>0.09</v>
      </c>
      <c r="I195" s="543">
        <v>0.01</v>
      </c>
      <c r="J195" s="543">
        <v>1</v>
      </c>
      <c r="K195" s="542">
        <v>23203295.800000001</v>
      </c>
      <c r="L195" s="542">
        <v>18562637</v>
      </c>
      <c r="M195" s="542">
        <v>4176593</v>
      </c>
      <c r="N195" s="542">
        <v>464066</v>
      </c>
      <c r="O195" s="542">
        <v>46406591.799999997</v>
      </c>
      <c r="P195" s="542">
        <v>0</v>
      </c>
      <c r="Q195" s="542">
        <v>0</v>
      </c>
      <c r="R195" s="542">
        <v>23203295.800000001</v>
      </c>
      <c r="S195" s="542">
        <v>145240</v>
      </c>
      <c r="T195" s="542">
        <v>145240</v>
      </c>
      <c r="U195" s="542">
        <v>0</v>
      </c>
      <c r="V195" s="542">
        <v>0</v>
      </c>
      <c r="W195" s="542">
        <v>0</v>
      </c>
      <c r="X195" s="542">
        <v>0</v>
      </c>
      <c r="Y195" s="542">
        <v>0</v>
      </c>
      <c r="Z195" s="542">
        <v>0</v>
      </c>
      <c r="AA195" s="542">
        <v>0</v>
      </c>
      <c r="AB195" s="542">
        <v>0</v>
      </c>
      <c r="AC195" s="542">
        <v>0</v>
      </c>
      <c r="AD195" s="542">
        <v>507344</v>
      </c>
      <c r="AE195" s="542">
        <v>405875</v>
      </c>
      <c r="AF195" s="542">
        <v>91322</v>
      </c>
      <c r="AG195" s="542">
        <v>10147</v>
      </c>
      <c r="AH195" s="542">
        <v>1014688</v>
      </c>
      <c r="AI195" s="542">
        <v>-417522</v>
      </c>
      <c r="AJ195" s="542">
        <v>-334017</v>
      </c>
      <c r="AK195" s="542">
        <v>-75154</v>
      </c>
      <c r="AL195" s="542">
        <v>-8350</v>
      </c>
      <c r="AM195" s="542">
        <v>-835043</v>
      </c>
      <c r="AN195" s="542">
        <v>-420353.92</v>
      </c>
      <c r="AO195" s="542">
        <v>-336284</v>
      </c>
      <c r="AP195" s="542">
        <v>-75664</v>
      </c>
      <c r="AQ195" s="542">
        <v>-8408</v>
      </c>
      <c r="AR195" s="542">
        <v>-840709.92</v>
      </c>
      <c r="AS195" s="542">
        <v>189708</v>
      </c>
      <c r="AT195" s="542">
        <v>151767</v>
      </c>
      <c r="AU195" s="542">
        <v>34148</v>
      </c>
      <c r="AV195" s="542">
        <v>3794</v>
      </c>
      <c r="AW195" s="542">
        <v>379417</v>
      </c>
      <c r="AX195" s="542">
        <v>-70501</v>
      </c>
      <c r="AY195" s="542">
        <v>-56401</v>
      </c>
      <c r="AZ195" s="542">
        <v>-12690</v>
      </c>
      <c r="BA195" s="542">
        <v>-1410</v>
      </c>
      <c r="BB195" s="542">
        <v>-141002</v>
      </c>
      <c r="BC195" s="542">
        <v>-301146.92</v>
      </c>
      <c r="BD195" s="542">
        <v>-240918</v>
      </c>
      <c r="BE195" s="542">
        <v>-54206</v>
      </c>
      <c r="BF195" s="542">
        <v>-6024</v>
      </c>
      <c r="BG195" s="542">
        <v>-602294.92000000004</v>
      </c>
      <c r="BH195" s="542">
        <v>-1706333.9</v>
      </c>
      <c r="BI195" s="542">
        <v>-1365068</v>
      </c>
      <c r="BJ195" s="542">
        <v>-307140</v>
      </c>
      <c r="BK195" s="542">
        <v>-34127</v>
      </c>
      <c r="BL195" s="542">
        <v>-3412668.9</v>
      </c>
      <c r="BM195" s="542">
        <v>701076</v>
      </c>
      <c r="BN195" s="542">
        <v>560861</v>
      </c>
      <c r="BO195" s="542">
        <v>126194</v>
      </c>
      <c r="BP195" s="542">
        <v>14022</v>
      </c>
      <c r="BQ195" s="542">
        <v>1402153</v>
      </c>
      <c r="BR195" s="542">
        <v>-2063652.1</v>
      </c>
      <c r="BS195" s="542">
        <v>-1650921</v>
      </c>
      <c r="BT195" s="542">
        <v>-371457</v>
      </c>
      <c r="BU195" s="542">
        <v>-41273</v>
      </c>
      <c r="BV195" s="542">
        <v>-4127303.1</v>
      </c>
      <c r="BW195" s="542">
        <v>-3068910</v>
      </c>
      <c r="BX195" s="542">
        <v>-2455128</v>
      </c>
      <c r="BY195" s="542">
        <v>-552403</v>
      </c>
      <c r="BZ195" s="542">
        <v>-61378</v>
      </c>
      <c r="CA195" s="542">
        <v>-6137819</v>
      </c>
    </row>
    <row r="196" spans="1:79" ht="12.75" x14ac:dyDescent="0.2">
      <c r="A196" s="93">
        <v>190</v>
      </c>
      <c r="B196" s="145" t="s">
        <v>258</v>
      </c>
      <c r="C196" s="141" t="s">
        <v>866</v>
      </c>
      <c r="D196" s="142" t="s">
        <v>869</v>
      </c>
      <c r="E196" s="149" t="s">
        <v>257</v>
      </c>
      <c r="F196" s="543">
        <v>0.5</v>
      </c>
      <c r="G196" s="543">
        <v>0.4</v>
      </c>
      <c r="H196" s="543">
        <v>0.1</v>
      </c>
      <c r="I196" s="543">
        <v>0</v>
      </c>
      <c r="J196" s="543">
        <v>1</v>
      </c>
      <c r="K196" s="542">
        <v>47998252</v>
      </c>
      <c r="L196" s="542">
        <v>38398601</v>
      </c>
      <c r="M196" s="542">
        <v>9599650</v>
      </c>
      <c r="N196" s="542">
        <v>0</v>
      </c>
      <c r="O196" s="542">
        <v>95996503</v>
      </c>
      <c r="P196" s="542">
        <v>2071751.09</v>
      </c>
      <c r="Q196" s="542">
        <v>2071751.09</v>
      </c>
      <c r="R196" s="542">
        <v>45926500.899999999</v>
      </c>
      <c r="S196" s="542">
        <v>299138</v>
      </c>
      <c r="T196" s="542">
        <v>299138</v>
      </c>
      <c r="U196" s="542">
        <v>519041</v>
      </c>
      <c r="V196" s="542">
        <v>519041</v>
      </c>
      <c r="W196" s="542">
        <v>0</v>
      </c>
      <c r="X196" s="542">
        <v>0</v>
      </c>
      <c r="Y196" s="542">
        <v>0</v>
      </c>
      <c r="Z196" s="542">
        <v>2071751.09</v>
      </c>
      <c r="AA196" s="542">
        <v>0</v>
      </c>
      <c r="AB196" s="542">
        <v>0</v>
      </c>
      <c r="AC196" s="542">
        <v>2071751.09</v>
      </c>
      <c r="AD196" s="542">
        <v>714127</v>
      </c>
      <c r="AE196" s="542">
        <v>571302</v>
      </c>
      <c r="AF196" s="542">
        <v>142826</v>
      </c>
      <c r="AG196" s="542">
        <v>0</v>
      </c>
      <c r="AH196" s="542">
        <v>1428255</v>
      </c>
      <c r="AI196" s="542">
        <v>-394012</v>
      </c>
      <c r="AJ196" s="542">
        <v>-315210</v>
      </c>
      <c r="AK196" s="542">
        <v>-78803</v>
      </c>
      <c r="AL196" s="542">
        <v>0</v>
      </c>
      <c r="AM196" s="542">
        <v>-788025</v>
      </c>
      <c r="AN196" s="542">
        <v>-339657.73</v>
      </c>
      <c r="AO196" s="542">
        <v>-271726</v>
      </c>
      <c r="AP196" s="542">
        <v>-67931</v>
      </c>
      <c r="AQ196" s="542">
        <v>0</v>
      </c>
      <c r="AR196" s="542">
        <v>-679314.73</v>
      </c>
      <c r="AS196" s="542">
        <v>215144</v>
      </c>
      <c r="AT196" s="542">
        <v>172115</v>
      </c>
      <c r="AU196" s="542">
        <v>43029</v>
      </c>
      <c r="AV196" s="542">
        <v>0</v>
      </c>
      <c r="AW196" s="542">
        <v>430288</v>
      </c>
      <c r="AX196" s="542">
        <v>-213167</v>
      </c>
      <c r="AY196" s="542">
        <v>-170534</v>
      </c>
      <c r="AZ196" s="542">
        <v>-42633</v>
      </c>
      <c r="BA196" s="542">
        <v>0</v>
      </c>
      <c r="BB196" s="542">
        <v>-426334</v>
      </c>
      <c r="BC196" s="542">
        <v>-337680.73</v>
      </c>
      <c r="BD196" s="542">
        <v>-270145</v>
      </c>
      <c r="BE196" s="542">
        <v>-67535</v>
      </c>
      <c r="BF196" s="542">
        <v>0</v>
      </c>
      <c r="BG196" s="542">
        <v>-675360.73</v>
      </c>
      <c r="BH196" s="542">
        <v>-1484603.4</v>
      </c>
      <c r="BI196" s="542">
        <v>-1187682</v>
      </c>
      <c r="BJ196" s="542">
        <v>-296920</v>
      </c>
      <c r="BK196" s="542">
        <v>0</v>
      </c>
      <c r="BL196" s="542">
        <v>-2969205.4</v>
      </c>
      <c r="BM196" s="542">
        <v>800648</v>
      </c>
      <c r="BN196" s="542">
        <v>640518</v>
      </c>
      <c r="BO196" s="542">
        <v>160130</v>
      </c>
      <c r="BP196" s="542">
        <v>0</v>
      </c>
      <c r="BQ196" s="542">
        <v>1601296</v>
      </c>
      <c r="BR196" s="542">
        <v>-1342732</v>
      </c>
      <c r="BS196" s="542">
        <v>-1074185</v>
      </c>
      <c r="BT196" s="542">
        <v>-268546</v>
      </c>
      <c r="BU196" s="542">
        <v>0</v>
      </c>
      <c r="BV196" s="542">
        <v>-2685463</v>
      </c>
      <c r="BW196" s="542">
        <v>-2026687.4</v>
      </c>
      <c r="BX196" s="542">
        <v>-1621349</v>
      </c>
      <c r="BY196" s="542">
        <v>-405336</v>
      </c>
      <c r="BZ196" s="542">
        <v>0</v>
      </c>
      <c r="CA196" s="542">
        <v>-4053372.4</v>
      </c>
    </row>
    <row r="197" spans="1:79" ht="12.75" x14ac:dyDescent="0.2">
      <c r="A197" s="93">
        <v>191</v>
      </c>
      <c r="B197" s="145" t="s">
        <v>260</v>
      </c>
      <c r="C197" s="141" t="s">
        <v>770</v>
      </c>
      <c r="D197" s="142" t="s">
        <v>878</v>
      </c>
      <c r="E197" s="149" t="s">
        <v>259</v>
      </c>
      <c r="F197" s="543">
        <v>0.5</v>
      </c>
      <c r="G197" s="543">
        <v>0.5</v>
      </c>
      <c r="H197" s="543">
        <v>0</v>
      </c>
      <c r="I197" s="543">
        <v>0</v>
      </c>
      <c r="J197" s="543">
        <v>1</v>
      </c>
      <c r="K197" s="542">
        <v>36259524</v>
      </c>
      <c r="L197" s="542">
        <v>36259524</v>
      </c>
      <c r="M197" s="542">
        <v>0</v>
      </c>
      <c r="N197" s="542">
        <v>0</v>
      </c>
      <c r="O197" s="542">
        <v>72519048</v>
      </c>
      <c r="P197" s="542">
        <v>27173.4352</v>
      </c>
      <c r="Q197" s="542">
        <v>27173.4352</v>
      </c>
      <c r="R197" s="542">
        <v>36232350.5</v>
      </c>
      <c r="S197" s="542">
        <v>471093</v>
      </c>
      <c r="T197" s="542">
        <v>471093</v>
      </c>
      <c r="U197" s="542">
        <v>1003</v>
      </c>
      <c r="V197" s="542">
        <v>1003</v>
      </c>
      <c r="W197" s="542">
        <v>1083699</v>
      </c>
      <c r="X197" s="542">
        <v>0</v>
      </c>
      <c r="Y197" s="542">
        <v>1083699</v>
      </c>
      <c r="Z197" s="542">
        <v>27173.4352</v>
      </c>
      <c r="AA197" s="542">
        <v>0</v>
      </c>
      <c r="AB197" s="542">
        <v>0</v>
      </c>
      <c r="AC197" s="542">
        <v>27173.4352</v>
      </c>
      <c r="AD197" s="542">
        <v>1370646</v>
      </c>
      <c r="AE197" s="542">
        <v>1370646</v>
      </c>
      <c r="AF197" s="542">
        <v>0</v>
      </c>
      <c r="AG197" s="542">
        <v>0</v>
      </c>
      <c r="AH197" s="542">
        <v>2741292</v>
      </c>
      <c r="AI197" s="542">
        <v>-62501</v>
      </c>
      <c r="AJ197" s="542">
        <v>-62502</v>
      </c>
      <c r="AK197" s="542">
        <v>0</v>
      </c>
      <c r="AL197" s="542">
        <v>0</v>
      </c>
      <c r="AM197" s="542">
        <v>-125003</v>
      </c>
      <c r="AN197" s="542">
        <v>-763342.37</v>
      </c>
      <c r="AO197" s="542">
        <v>-763342</v>
      </c>
      <c r="AP197" s="542">
        <v>0</v>
      </c>
      <c r="AQ197" s="542">
        <v>0</v>
      </c>
      <c r="AR197" s="542">
        <v>-1526684.3</v>
      </c>
      <c r="AS197" s="542">
        <v>428800</v>
      </c>
      <c r="AT197" s="542">
        <v>428800</v>
      </c>
      <c r="AU197" s="542">
        <v>0</v>
      </c>
      <c r="AV197" s="542">
        <v>0</v>
      </c>
      <c r="AW197" s="542">
        <v>857600</v>
      </c>
      <c r="AX197" s="542">
        <v>-288993</v>
      </c>
      <c r="AY197" s="542">
        <v>-288993</v>
      </c>
      <c r="AZ197" s="542">
        <v>0</v>
      </c>
      <c r="BA197" s="542">
        <v>0</v>
      </c>
      <c r="BB197" s="542">
        <v>-577986</v>
      </c>
      <c r="BC197" s="542">
        <v>-623535.37</v>
      </c>
      <c r="BD197" s="542">
        <v>-623535</v>
      </c>
      <c r="BE197" s="542">
        <v>0</v>
      </c>
      <c r="BF197" s="542">
        <v>0</v>
      </c>
      <c r="BG197" s="542">
        <v>-1247070.3</v>
      </c>
      <c r="BH197" s="542">
        <v>-2633121</v>
      </c>
      <c r="BI197" s="542">
        <v>-2633122</v>
      </c>
      <c r="BJ197" s="542">
        <v>0</v>
      </c>
      <c r="BK197" s="542">
        <v>0</v>
      </c>
      <c r="BL197" s="542">
        <v>-5266243</v>
      </c>
      <c r="BM197" s="542">
        <v>893079</v>
      </c>
      <c r="BN197" s="542">
        <v>893080</v>
      </c>
      <c r="BO197" s="542">
        <v>0</v>
      </c>
      <c r="BP197" s="542">
        <v>0</v>
      </c>
      <c r="BQ197" s="542">
        <v>1786159</v>
      </c>
      <c r="BR197" s="542">
        <v>-1712153</v>
      </c>
      <c r="BS197" s="542">
        <v>-1712154</v>
      </c>
      <c r="BT197" s="542">
        <v>0</v>
      </c>
      <c r="BU197" s="542">
        <v>0</v>
      </c>
      <c r="BV197" s="542">
        <v>-3424307</v>
      </c>
      <c r="BW197" s="542">
        <v>-3452195</v>
      </c>
      <c r="BX197" s="542">
        <v>-3452196</v>
      </c>
      <c r="BY197" s="542">
        <v>0</v>
      </c>
      <c r="BZ197" s="542">
        <v>0</v>
      </c>
      <c r="CA197" s="542">
        <v>-6904391</v>
      </c>
    </row>
    <row r="198" spans="1:79" ht="12.75" x14ac:dyDescent="0.2">
      <c r="A198" s="93">
        <v>192</v>
      </c>
      <c r="B198" s="145" t="s">
        <v>262</v>
      </c>
      <c r="C198" s="141" t="s">
        <v>866</v>
      </c>
      <c r="D198" s="142" t="s">
        <v>870</v>
      </c>
      <c r="E198" s="149" t="s">
        <v>261</v>
      </c>
      <c r="F198" s="543">
        <v>0.5</v>
      </c>
      <c r="G198" s="543">
        <v>0.4</v>
      </c>
      <c r="H198" s="543">
        <v>0.1</v>
      </c>
      <c r="I198" s="543">
        <v>0</v>
      </c>
      <c r="J198" s="543">
        <v>1</v>
      </c>
      <c r="K198" s="542">
        <v>37143529</v>
      </c>
      <c r="L198" s="542">
        <v>29714824</v>
      </c>
      <c r="M198" s="542">
        <v>7428706</v>
      </c>
      <c r="N198" s="542">
        <v>0</v>
      </c>
      <c r="O198" s="542">
        <v>74287059</v>
      </c>
      <c r="P198" s="542">
        <v>0</v>
      </c>
      <c r="Q198" s="542">
        <v>0</v>
      </c>
      <c r="R198" s="542">
        <v>37143529</v>
      </c>
      <c r="S198" s="542">
        <v>270914</v>
      </c>
      <c r="T198" s="542">
        <v>270914</v>
      </c>
      <c r="U198" s="542">
        <v>0</v>
      </c>
      <c r="V198" s="542">
        <v>0</v>
      </c>
      <c r="W198" s="542">
        <v>0</v>
      </c>
      <c r="X198" s="542">
        <v>0</v>
      </c>
      <c r="Y198" s="542">
        <v>0</v>
      </c>
      <c r="Z198" s="542">
        <v>0</v>
      </c>
      <c r="AA198" s="542">
        <v>0</v>
      </c>
      <c r="AB198" s="542">
        <v>0</v>
      </c>
      <c r="AC198" s="542">
        <v>0</v>
      </c>
      <c r="AD198" s="542">
        <v>1530743</v>
      </c>
      <c r="AE198" s="542">
        <v>1224594</v>
      </c>
      <c r="AF198" s="542">
        <v>306149</v>
      </c>
      <c r="AG198" s="542">
        <v>0</v>
      </c>
      <c r="AH198" s="542">
        <v>3061486</v>
      </c>
      <c r="AI198" s="542">
        <v>-598950</v>
      </c>
      <c r="AJ198" s="542">
        <v>-479160</v>
      </c>
      <c r="AK198" s="542">
        <v>-119790</v>
      </c>
      <c r="AL198" s="542">
        <v>0</v>
      </c>
      <c r="AM198" s="542">
        <v>-1197900</v>
      </c>
      <c r="AN198" s="542">
        <v>-790914</v>
      </c>
      <c r="AO198" s="542">
        <v>-632731.19999999995</v>
      </c>
      <c r="AP198" s="542">
        <v>-158182.79999999999</v>
      </c>
      <c r="AQ198" s="542">
        <v>0</v>
      </c>
      <c r="AR198" s="542">
        <v>-1581828</v>
      </c>
      <c r="AS198" s="542">
        <v>408686</v>
      </c>
      <c r="AT198" s="542">
        <v>326949</v>
      </c>
      <c r="AU198" s="542">
        <v>81737</v>
      </c>
      <c r="AV198" s="542">
        <v>0</v>
      </c>
      <c r="AW198" s="542">
        <v>817372</v>
      </c>
      <c r="AX198" s="542">
        <v>-385898</v>
      </c>
      <c r="AY198" s="542">
        <v>-308719</v>
      </c>
      <c r="AZ198" s="542">
        <v>-77180</v>
      </c>
      <c r="BA198" s="542">
        <v>0</v>
      </c>
      <c r="BB198" s="542">
        <v>-771797</v>
      </c>
      <c r="BC198" s="542">
        <v>-768126</v>
      </c>
      <c r="BD198" s="542">
        <v>-614501.19999999995</v>
      </c>
      <c r="BE198" s="542">
        <v>-153625.79999999999</v>
      </c>
      <c r="BF198" s="542">
        <v>0</v>
      </c>
      <c r="BG198" s="542">
        <v>-1536253</v>
      </c>
      <c r="BH198" s="542">
        <v>-432911</v>
      </c>
      <c r="BI198" s="542">
        <v>-346329</v>
      </c>
      <c r="BJ198" s="542">
        <v>-86583</v>
      </c>
      <c r="BK198" s="542">
        <v>0</v>
      </c>
      <c r="BL198" s="542">
        <v>-865823</v>
      </c>
      <c r="BM198" s="542">
        <v>432912</v>
      </c>
      <c r="BN198" s="542">
        <v>346329</v>
      </c>
      <c r="BO198" s="542">
        <v>86582</v>
      </c>
      <c r="BP198" s="542">
        <v>0</v>
      </c>
      <c r="BQ198" s="542">
        <v>865823</v>
      </c>
      <c r="BR198" s="542">
        <v>-716892</v>
      </c>
      <c r="BS198" s="542">
        <v>-573514</v>
      </c>
      <c r="BT198" s="542">
        <v>-143379</v>
      </c>
      <c r="BU198" s="542">
        <v>0</v>
      </c>
      <c r="BV198" s="542">
        <v>-1433785</v>
      </c>
      <c r="BW198" s="542">
        <v>-716891</v>
      </c>
      <c r="BX198" s="542">
        <v>-573514</v>
      </c>
      <c r="BY198" s="542">
        <v>-143380</v>
      </c>
      <c r="BZ198" s="542">
        <v>0</v>
      </c>
      <c r="CA198" s="542">
        <v>-1433785</v>
      </c>
    </row>
    <row r="199" spans="1:79" ht="12.75" x14ac:dyDescent="0.2">
      <c r="A199" s="93">
        <v>193</v>
      </c>
      <c r="B199" s="145" t="s">
        <v>264</v>
      </c>
      <c r="C199" s="141" t="s">
        <v>770</v>
      </c>
      <c r="D199" s="142" t="s">
        <v>869</v>
      </c>
      <c r="E199" s="149" t="s">
        <v>712</v>
      </c>
      <c r="F199" s="543">
        <v>0.5</v>
      </c>
      <c r="G199" s="543">
        <v>0.49</v>
      </c>
      <c r="H199" s="543">
        <v>0</v>
      </c>
      <c r="I199" s="543">
        <v>0.01</v>
      </c>
      <c r="J199" s="543">
        <v>1</v>
      </c>
      <c r="K199" s="542">
        <v>59748988</v>
      </c>
      <c r="L199" s="542">
        <v>58554009</v>
      </c>
      <c r="M199" s="542">
        <v>0</v>
      </c>
      <c r="N199" s="542">
        <v>1194980</v>
      </c>
      <c r="O199" s="542">
        <v>119497977</v>
      </c>
      <c r="P199" s="542">
        <v>0</v>
      </c>
      <c r="Q199" s="542">
        <v>0</v>
      </c>
      <c r="R199" s="542">
        <v>59748988</v>
      </c>
      <c r="S199" s="542">
        <v>497745</v>
      </c>
      <c r="T199" s="542">
        <v>497745</v>
      </c>
      <c r="U199" s="542">
        <v>59222</v>
      </c>
      <c r="V199" s="542">
        <v>59222</v>
      </c>
      <c r="W199" s="542">
        <v>0</v>
      </c>
      <c r="X199" s="542">
        <v>0</v>
      </c>
      <c r="Y199" s="542">
        <v>0</v>
      </c>
      <c r="Z199" s="542">
        <v>0</v>
      </c>
      <c r="AA199" s="542">
        <v>0</v>
      </c>
      <c r="AB199" s="542">
        <v>0</v>
      </c>
      <c r="AC199" s="542">
        <v>0</v>
      </c>
      <c r="AD199" s="542">
        <v>5478774</v>
      </c>
      <c r="AE199" s="542">
        <v>5369199</v>
      </c>
      <c r="AF199" s="542">
        <v>0</v>
      </c>
      <c r="AG199" s="542">
        <v>109575</v>
      </c>
      <c r="AH199" s="542">
        <v>10957548</v>
      </c>
      <c r="AI199" s="542">
        <v>-1424442</v>
      </c>
      <c r="AJ199" s="542">
        <v>-1395954</v>
      </c>
      <c r="AK199" s="542">
        <v>0</v>
      </c>
      <c r="AL199" s="542">
        <v>-28489</v>
      </c>
      <c r="AM199" s="542">
        <v>-2848885</v>
      </c>
      <c r="AN199" s="542">
        <v>-2868374</v>
      </c>
      <c r="AO199" s="542">
        <v>-2811008</v>
      </c>
      <c r="AP199" s="542">
        <v>0</v>
      </c>
      <c r="AQ199" s="542">
        <v>-57368</v>
      </c>
      <c r="AR199" s="542">
        <v>-5736750</v>
      </c>
      <c r="AS199" s="542">
        <v>768950</v>
      </c>
      <c r="AT199" s="542">
        <v>753571</v>
      </c>
      <c r="AU199" s="542">
        <v>0</v>
      </c>
      <c r="AV199" s="542">
        <v>15379</v>
      </c>
      <c r="AW199" s="542">
        <v>1537900</v>
      </c>
      <c r="AX199" s="542">
        <v>-1009100</v>
      </c>
      <c r="AY199" s="542">
        <v>-988918</v>
      </c>
      <c r="AZ199" s="542">
        <v>0</v>
      </c>
      <c r="BA199" s="542">
        <v>-20182</v>
      </c>
      <c r="BB199" s="542">
        <v>-2018200</v>
      </c>
      <c r="BC199" s="542">
        <v>-3108524</v>
      </c>
      <c r="BD199" s="542">
        <v>-3046355</v>
      </c>
      <c r="BE199" s="542">
        <v>0</v>
      </c>
      <c r="BF199" s="542">
        <v>-62171</v>
      </c>
      <c r="BG199" s="542">
        <v>-6217050</v>
      </c>
      <c r="BH199" s="542">
        <v>-4509038</v>
      </c>
      <c r="BI199" s="542">
        <v>-4418858</v>
      </c>
      <c r="BJ199" s="542">
        <v>0</v>
      </c>
      <c r="BK199" s="542">
        <v>-90181</v>
      </c>
      <c r="BL199" s="542">
        <v>-9018077</v>
      </c>
      <c r="BM199" s="542">
        <v>2657346</v>
      </c>
      <c r="BN199" s="542">
        <v>2604200</v>
      </c>
      <c r="BO199" s="542">
        <v>0</v>
      </c>
      <c r="BP199" s="542">
        <v>53147</v>
      </c>
      <c r="BQ199" s="542">
        <v>5314693</v>
      </c>
      <c r="BR199" s="542">
        <v>-1328408</v>
      </c>
      <c r="BS199" s="542">
        <v>-1301839</v>
      </c>
      <c r="BT199" s="542">
        <v>0</v>
      </c>
      <c r="BU199" s="542">
        <v>-26568</v>
      </c>
      <c r="BV199" s="542">
        <v>-2656815</v>
      </c>
      <c r="BW199" s="542">
        <v>-3180100</v>
      </c>
      <c r="BX199" s="542">
        <v>-3116497</v>
      </c>
      <c r="BY199" s="542">
        <v>0</v>
      </c>
      <c r="BZ199" s="542">
        <v>-63602</v>
      </c>
      <c r="CA199" s="542">
        <v>-6360199</v>
      </c>
    </row>
    <row r="200" spans="1:79" ht="12.75" x14ac:dyDescent="0.2">
      <c r="A200" s="93">
        <v>194</v>
      </c>
      <c r="B200" s="145" t="s">
        <v>266</v>
      </c>
      <c r="C200" s="141" t="s">
        <v>866</v>
      </c>
      <c r="D200" s="142" t="s">
        <v>876</v>
      </c>
      <c r="E200" s="149" t="s">
        <v>713</v>
      </c>
      <c r="F200" s="543">
        <v>0.5</v>
      </c>
      <c r="G200" s="543">
        <v>0.4</v>
      </c>
      <c r="H200" s="543">
        <v>0.1</v>
      </c>
      <c r="I200" s="543">
        <v>0</v>
      </c>
      <c r="J200" s="543">
        <v>1</v>
      </c>
      <c r="K200" s="542">
        <v>16031728</v>
      </c>
      <c r="L200" s="542">
        <v>12825383</v>
      </c>
      <c r="M200" s="542">
        <v>3206346</v>
      </c>
      <c r="N200" s="542">
        <v>0</v>
      </c>
      <c r="O200" s="542">
        <v>32063457</v>
      </c>
      <c r="P200" s="542">
        <v>0</v>
      </c>
      <c r="Q200" s="542">
        <v>0</v>
      </c>
      <c r="R200" s="542">
        <v>16031728</v>
      </c>
      <c r="S200" s="542">
        <v>134756</v>
      </c>
      <c r="T200" s="542">
        <v>134756</v>
      </c>
      <c r="U200" s="542">
        <v>0</v>
      </c>
      <c r="V200" s="542">
        <v>0</v>
      </c>
      <c r="W200" s="542">
        <v>0</v>
      </c>
      <c r="X200" s="542">
        <v>0</v>
      </c>
      <c r="Y200" s="542">
        <v>0</v>
      </c>
      <c r="Z200" s="542">
        <v>0</v>
      </c>
      <c r="AA200" s="542">
        <v>0</v>
      </c>
      <c r="AB200" s="542">
        <v>0</v>
      </c>
      <c r="AC200" s="542">
        <v>0</v>
      </c>
      <c r="AD200" s="542">
        <v>476886</v>
      </c>
      <c r="AE200" s="542">
        <v>381509</v>
      </c>
      <c r="AF200" s="542">
        <v>95377</v>
      </c>
      <c r="AG200" s="542">
        <v>0</v>
      </c>
      <c r="AH200" s="542">
        <v>953772</v>
      </c>
      <c r="AI200" s="542">
        <v>-163807</v>
      </c>
      <c r="AJ200" s="542">
        <v>-131045</v>
      </c>
      <c r="AK200" s="542">
        <v>-32761</v>
      </c>
      <c r="AL200" s="542">
        <v>0</v>
      </c>
      <c r="AM200" s="542">
        <v>-327613</v>
      </c>
      <c r="AN200" s="542">
        <v>-185000</v>
      </c>
      <c r="AO200" s="542">
        <v>-148000</v>
      </c>
      <c r="AP200" s="542">
        <v>-37000</v>
      </c>
      <c r="AQ200" s="542">
        <v>0</v>
      </c>
      <c r="AR200" s="542">
        <v>-370000</v>
      </c>
      <c r="AS200" s="542">
        <v>137788</v>
      </c>
      <c r="AT200" s="542">
        <v>110231</v>
      </c>
      <c r="AU200" s="542">
        <v>27558</v>
      </c>
      <c r="AV200" s="542">
        <v>0</v>
      </c>
      <c r="AW200" s="542">
        <v>275577</v>
      </c>
      <c r="AX200" s="542">
        <v>-129588</v>
      </c>
      <c r="AY200" s="542">
        <v>-103671</v>
      </c>
      <c r="AZ200" s="542">
        <v>-25918</v>
      </c>
      <c r="BA200" s="542">
        <v>0</v>
      </c>
      <c r="BB200" s="542">
        <v>-259177</v>
      </c>
      <c r="BC200" s="542">
        <v>-176800</v>
      </c>
      <c r="BD200" s="542">
        <v>-141440</v>
      </c>
      <c r="BE200" s="542">
        <v>-35360</v>
      </c>
      <c r="BF200" s="542">
        <v>0</v>
      </c>
      <c r="BG200" s="542">
        <v>-353600</v>
      </c>
      <c r="BH200" s="542">
        <v>-779326.5</v>
      </c>
      <c r="BI200" s="542">
        <v>-623462</v>
      </c>
      <c r="BJ200" s="542">
        <v>-155865</v>
      </c>
      <c r="BK200" s="542">
        <v>0</v>
      </c>
      <c r="BL200" s="542">
        <v>-1558653.5</v>
      </c>
      <c r="BM200" s="542">
        <v>419323</v>
      </c>
      <c r="BN200" s="542">
        <v>335459</v>
      </c>
      <c r="BO200" s="542">
        <v>83865</v>
      </c>
      <c r="BP200" s="542">
        <v>0</v>
      </c>
      <c r="BQ200" s="542">
        <v>838647</v>
      </c>
      <c r="BR200" s="542">
        <v>-1309859</v>
      </c>
      <c r="BS200" s="542">
        <v>-1047888</v>
      </c>
      <c r="BT200" s="542">
        <v>-261972</v>
      </c>
      <c r="BU200" s="542">
        <v>0</v>
      </c>
      <c r="BV200" s="542">
        <v>-2619719</v>
      </c>
      <c r="BW200" s="542">
        <v>-1669862.5</v>
      </c>
      <c r="BX200" s="542">
        <v>-1335891</v>
      </c>
      <c r="BY200" s="542">
        <v>-333972</v>
      </c>
      <c r="BZ200" s="542">
        <v>0</v>
      </c>
      <c r="CA200" s="542">
        <v>-3339725.5</v>
      </c>
    </row>
    <row r="201" spans="1:79" ht="12.75" x14ac:dyDescent="0.2">
      <c r="A201" s="93">
        <v>195</v>
      </c>
      <c r="B201" s="145" t="s">
        <v>268</v>
      </c>
      <c r="C201" s="141" t="s">
        <v>866</v>
      </c>
      <c r="D201" s="142" t="s">
        <v>869</v>
      </c>
      <c r="E201" s="149" t="s">
        <v>714</v>
      </c>
      <c r="F201" s="543">
        <v>0.5</v>
      </c>
      <c r="G201" s="543">
        <v>0.4</v>
      </c>
      <c r="H201" s="543">
        <v>0.09</v>
      </c>
      <c r="I201" s="543">
        <v>0.01</v>
      </c>
      <c r="J201" s="543">
        <v>1</v>
      </c>
      <c r="K201" s="542">
        <v>5469142</v>
      </c>
      <c r="L201" s="542">
        <v>4375314</v>
      </c>
      <c r="M201" s="542">
        <v>984446</v>
      </c>
      <c r="N201" s="542">
        <v>109383</v>
      </c>
      <c r="O201" s="542">
        <v>10938285</v>
      </c>
      <c r="P201" s="542">
        <v>0</v>
      </c>
      <c r="Q201" s="542">
        <v>0</v>
      </c>
      <c r="R201" s="542">
        <v>5469142</v>
      </c>
      <c r="S201" s="542">
        <v>56076</v>
      </c>
      <c r="T201" s="542">
        <v>56076</v>
      </c>
      <c r="U201" s="542">
        <v>0</v>
      </c>
      <c r="V201" s="542">
        <v>0</v>
      </c>
      <c r="W201" s="542">
        <v>0</v>
      </c>
      <c r="X201" s="542">
        <v>0</v>
      </c>
      <c r="Y201" s="542">
        <v>0</v>
      </c>
      <c r="Z201" s="542">
        <v>0</v>
      </c>
      <c r="AA201" s="542">
        <v>0</v>
      </c>
      <c r="AB201" s="542">
        <v>0</v>
      </c>
      <c r="AC201" s="542">
        <v>0</v>
      </c>
      <c r="AD201" s="542">
        <v>404483</v>
      </c>
      <c r="AE201" s="542">
        <v>323586</v>
      </c>
      <c r="AF201" s="542">
        <v>72807</v>
      </c>
      <c r="AG201" s="542">
        <v>8090</v>
      </c>
      <c r="AH201" s="542">
        <v>808966</v>
      </c>
      <c r="AI201" s="542">
        <v>-223919</v>
      </c>
      <c r="AJ201" s="542">
        <v>-179135</v>
      </c>
      <c r="AK201" s="542">
        <v>-40305</v>
      </c>
      <c r="AL201" s="542">
        <v>-4478</v>
      </c>
      <c r="AM201" s="542">
        <v>-447837</v>
      </c>
      <c r="AN201" s="542">
        <v>-106417.2</v>
      </c>
      <c r="AO201" s="542">
        <v>-85134</v>
      </c>
      <c r="AP201" s="542">
        <v>-19155</v>
      </c>
      <c r="AQ201" s="542">
        <v>-2129</v>
      </c>
      <c r="AR201" s="542">
        <v>-212835.20000000001</v>
      </c>
      <c r="AS201" s="542">
        <v>13001</v>
      </c>
      <c r="AT201" s="542">
        <v>10400</v>
      </c>
      <c r="AU201" s="542">
        <v>2340</v>
      </c>
      <c r="AV201" s="542">
        <v>260</v>
      </c>
      <c r="AW201" s="542">
        <v>26001</v>
      </c>
      <c r="AX201" s="542">
        <v>-35378</v>
      </c>
      <c r="AY201" s="542">
        <v>-28303</v>
      </c>
      <c r="AZ201" s="542">
        <v>-6368</v>
      </c>
      <c r="BA201" s="542">
        <v>-708</v>
      </c>
      <c r="BB201" s="542">
        <v>-70757</v>
      </c>
      <c r="BC201" s="542">
        <v>-128794.2</v>
      </c>
      <c r="BD201" s="542">
        <v>-103037</v>
      </c>
      <c r="BE201" s="542">
        <v>-23183</v>
      </c>
      <c r="BF201" s="542">
        <v>-2577</v>
      </c>
      <c r="BG201" s="542">
        <v>-257591.2</v>
      </c>
      <c r="BH201" s="542">
        <v>-217016</v>
      </c>
      <c r="BI201" s="542">
        <v>-173612</v>
      </c>
      <c r="BJ201" s="542">
        <v>-39063</v>
      </c>
      <c r="BK201" s="542">
        <v>-4341</v>
      </c>
      <c r="BL201" s="542">
        <v>-434032</v>
      </c>
      <c r="BM201" s="542">
        <v>51991</v>
      </c>
      <c r="BN201" s="542">
        <v>41592</v>
      </c>
      <c r="BO201" s="542">
        <v>9358</v>
      </c>
      <c r="BP201" s="542">
        <v>1040</v>
      </c>
      <c r="BQ201" s="542">
        <v>103981</v>
      </c>
      <c r="BR201" s="542">
        <v>-242523</v>
      </c>
      <c r="BS201" s="542">
        <v>-194018</v>
      </c>
      <c r="BT201" s="542">
        <v>-43654</v>
      </c>
      <c r="BU201" s="542">
        <v>-4850</v>
      </c>
      <c r="BV201" s="542">
        <v>-485045</v>
      </c>
      <c r="BW201" s="542">
        <v>-407548</v>
      </c>
      <c r="BX201" s="542">
        <v>-326038</v>
      </c>
      <c r="BY201" s="542">
        <v>-73359</v>
      </c>
      <c r="BZ201" s="542">
        <v>-8151</v>
      </c>
      <c r="CA201" s="542">
        <v>-815096</v>
      </c>
    </row>
    <row r="202" spans="1:79" ht="12.75" x14ac:dyDescent="0.2">
      <c r="A202" s="93">
        <v>196</v>
      </c>
      <c r="B202" s="145" t="s">
        <v>270</v>
      </c>
      <c r="C202" s="141" t="s">
        <v>873</v>
      </c>
      <c r="D202" s="142" t="s">
        <v>868</v>
      </c>
      <c r="E202" s="149" t="s">
        <v>269</v>
      </c>
      <c r="F202" s="543">
        <v>0.5</v>
      </c>
      <c r="G202" s="543">
        <v>0.49</v>
      </c>
      <c r="H202" s="543">
        <v>0</v>
      </c>
      <c r="I202" s="543">
        <v>0.01</v>
      </c>
      <c r="J202" s="543">
        <v>1</v>
      </c>
      <c r="K202" s="542">
        <v>27376209</v>
      </c>
      <c r="L202" s="542">
        <v>26828685</v>
      </c>
      <c r="M202" s="542">
        <v>0</v>
      </c>
      <c r="N202" s="542">
        <v>547524</v>
      </c>
      <c r="O202" s="542">
        <v>54752418</v>
      </c>
      <c r="P202" s="542">
        <v>0</v>
      </c>
      <c r="Q202" s="542">
        <v>0</v>
      </c>
      <c r="R202" s="542">
        <v>27376209</v>
      </c>
      <c r="S202" s="542">
        <v>310627</v>
      </c>
      <c r="T202" s="542">
        <v>310627</v>
      </c>
      <c r="U202" s="542">
        <v>0</v>
      </c>
      <c r="V202" s="542">
        <v>0</v>
      </c>
      <c r="W202" s="542">
        <v>1402</v>
      </c>
      <c r="X202" s="542">
        <v>0</v>
      </c>
      <c r="Y202" s="542">
        <v>1402</v>
      </c>
      <c r="Z202" s="542">
        <v>0</v>
      </c>
      <c r="AA202" s="542">
        <v>0</v>
      </c>
      <c r="AB202" s="542">
        <v>0</v>
      </c>
      <c r="AC202" s="542">
        <v>0</v>
      </c>
      <c r="AD202" s="542">
        <v>3680495</v>
      </c>
      <c r="AE202" s="542">
        <v>3606885</v>
      </c>
      <c r="AF202" s="542">
        <v>0</v>
      </c>
      <c r="AG202" s="542">
        <v>73610</v>
      </c>
      <c r="AH202" s="542">
        <v>7360990</v>
      </c>
      <c r="AI202" s="542">
        <v>-473167</v>
      </c>
      <c r="AJ202" s="542">
        <v>-463703</v>
      </c>
      <c r="AK202" s="542">
        <v>0</v>
      </c>
      <c r="AL202" s="542">
        <v>-9463</v>
      </c>
      <c r="AM202" s="542">
        <v>-946333</v>
      </c>
      <c r="AN202" s="542">
        <v>-1831913</v>
      </c>
      <c r="AO202" s="542">
        <v>-1795276</v>
      </c>
      <c r="AP202" s="542">
        <v>0</v>
      </c>
      <c r="AQ202" s="542">
        <v>-36639</v>
      </c>
      <c r="AR202" s="542">
        <v>-3663828</v>
      </c>
      <c r="AS202" s="542">
        <v>574521</v>
      </c>
      <c r="AT202" s="542">
        <v>563030</v>
      </c>
      <c r="AU202" s="542">
        <v>0</v>
      </c>
      <c r="AV202" s="542">
        <v>11490</v>
      </c>
      <c r="AW202" s="542">
        <v>1149041</v>
      </c>
      <c r="AX202" s="542">
        <v>-869493</v>
      </c>
      <c r="AY202" s="542">
        <v>-852103</v>
      </c>
      <c r="AZ202" s="542">
        <v>0</v>
      </c>
      <c r="BA202" s="542">
        <v>-17390</v>
      </c>
      <c r="BB202" s="542">
        <v>-1738986</v>
      </c>
      <c r="BC202" s="542">
        <v>-2126885</v>
      </c>
      <c r="BD202" s="542">
        <v>-2084349</v>
      </c>
      <c r="BE202" s="542">
        <v>0</v>
      </c>
      <c r="BF202" s="542">
        <v>-42539</v>
      </c>
      <c r="BG202" s="542">
        <v>-4253773</v>
      </c>
      <c r="BH202" s="542">
        <v>-1866097</v>
      </c>
      <c r="BI202" s="542">
        <v>-1828776</v>
      </c>
      <c r="BJ202" s="542">
        <v>0</v>
      </c>
      <c r="BK202" s="542">
        <v>-37322</v>
      </c>
      <c r="BL202" s="542">
        <v>-3732195</v>
      </c>
      <c r="BM202" s="542">
        <v>480320</v>
      </c>
      <c r="BN202" s="542">
        <v>470713</v>
      </c>
      <c r="BO202" s="542">
        <v>0</v>
      </c>
      <c r="BP202" s="542">
        <v>9606</v>
      </c>
      <c r="BQ202" s="542">
        <v>960639</v>
      </c>
      <c r="BR202" s="542">
        <v>-153877</v>
      </c>
      <c r="BS202" s="542">
        <v>-150799</v>
      </c>
      <c r="BT202" s="542">
        <v>0</v>
      </c>
      <c r="BU202" s="542">
        <v>-3078</v>
      </c>
      <c r="BV202" s="542">
        <v>-307754</v>
      </c>
      <c r="BW202" s="542">
        <v>-1539654</v>
      </c>
      <c r="BX202" s="542">
        <v>-1508862</v>
      </c>
      <c r="BY202" s="542">
        <v>0</v>
      </c>
      <c r="BZ202" s="542">
        <v>-30794</v>
      </c>
      <c r="CA202" s="542">
        <v>-3079310</v>
      </c>
    </row>
    <row r="203" spans="1:79" ht="12.75" x14ac:dyDescent="0.2">
      <c r="A203" s="93">
        <v>197</v>
      </c>
      <c r="B203" s="145" t="s">
        <v>272</v>
      </c>
      <c r="C203" s="141" t="s">
        <v>866</v>
      </c>
      <c r="D203" s="142" t="s">
        <v>867</v>
      </c>
      <c r="E203" s="149" t="s">
        <v>271</v>
      </c>
      <c r="F203" s="543">
        <v>0.5</v>
      </c>
      <c r="G203" s="543">
        <v>0.4</v>
      </c>
      <c r="H203" s="543">
        <v>0.1</v>
      </c>
      <c r="I203" s="543">
        <v>0</v>
      </c>
      <c r="J203" s="543">
        <v>1</v>
      </c>
      <c r="K203" s="542">
        <v>36812508</v>
      </c>
      <c r="L203" s="542">
        <v>29450007</v>
      </c>
      <c r="M203" s="542">
        <v>7362502</v>
      </c>
      <c r="N203" s="542">
        <v>0</v>
      </c>
      <c r="O203" s="542">
        <v>73625017</v>
      </c>
      <c r="P203" s="542">
        <v>0</v>
      </c>
      <c r="Q203" s="542">
        <v>0</v>
      </c>
      <c r="R203" s="542">
        <v>36812508</v>
      </c>
      <c r="S203" s="542">
        <v>217390</v>
      </c>
      <c r="T203" s="542">
        <v>217390</v>
      </c>
      <c r="U203" s="542">
        <v>0</v>
      </c>
      <c r="V203" s="542">
        <v>0</v>
      </c>
      <c r="W203" s="542">
        <v>0</v>
      </c>
      <c r="X203" s="542">
        <v>0</v>
      </c>
      <c r="Y203" s="542">
        <v>0</v>
      </c>
      <c r="Z203" s="542">
        <v>0</v>
      </c>
      <c r="AA203" s="542">
        <v>0</v>
      </c>
      <c r="AB203" s="542">
        <v>0</v>
      </c>
      <c r="AC203" s="542">
        <v>0</v>
      </c>
      <c r="AD203" s="542">
        <v>1119486</v>
      </c>
      <c r="AE203" s="542">
        <v>895589</v>
      </c>
      <c r="AF203" s="542">
        <v>223897</v>
      </c>
      <c r="AG203" s="542">
        <v>0</v>
      </c>
      <c r="AH203" s="542">
        <v>2238972</v>
      </c>
      <c r="AI203" s="542">
        <v>-940882</v>
      </c>
      <c r="AJ203" s="542">
        <v>-752706</v>
      </c>
      <c r="AK203" s="542">
        <v>-188176</v>
      </c>
      <c r="AL203" s="542">
        <v>0</v>
      </c>
      <c r="AM203" s="542">
        <v>-1881764</v>
      </c>
      <c r="AN203" s="542">
        <v>-817205</v>
      </c>
      <c r="AO203" s="542">
        <v>-653764</v>
      </c>
      <c r="AP203" s="542">
        <v>-163441</v>
      </c>
      <c r="AQ203" s="542">
        <v>0</v>
      </c>
      <c r="AR203" s="542">
        <v>-1634410</v>
      </c>
      <c r="AS203" s="542">
        <v>0</v>
      </c>
      <c r="AT203" s="542">
        <v>0</v>
      </c>
      <c r="AU203" s="542">
        <v>0</v>
      </c>
      <c r="AV203" s="542">
        <v>0</v>
      </c>
      <c r="AW203" s="542">
        <v>0</v>
      </c>
      <c r="AX203" s="542">
        <v>317411</v>
      </c>
      <c r="AY203" s="542">
        <v>253929</v>
      </c>
      <c r="AZ203" s="542">
        <v>63482</v>
      </c>
      <c r="BA203" s="542">
        <v>0</v>
      </c>
      <c r="BB203" s="542">
        <v>634822</v>
      </c>
      <c r="BC203" s="542">
        <v>-499794</v>
      </c>
      <c r="BD203" s="542">
        <v>-399835</v>
      </c>
      <c r="BE203" s="542">
        <v>-99959</v>
      </c>
      <c r="BF203" s="542">
        <v>0</v>
      </c>
      <c r="BG203" s="542">
        <v>-999588</v>
      </c>
      <c r="BH203" s="542">
        <v>-2177331</v>
      </c>
      <c r="BI203" s="542">
        <v>-1741865</v>
      </c>
      <c r="BJ203" s="542">
        <v>-435466</v>
      </c>
      <c r="BK203" s="542">
        <v>0</v>
      </c>
      <c r="BL203" s="542">
        <v>-4354662</v>
      </c>
      <c r="BM203" s="542">
        <v>1529513</v>
      </c>
      <c r="BN203" s="542">
        <v>1223610</v>
      </c>
      <c r="BO203" s="542">
        <v>305903</v>
      </c>
      <c r="BP203" s="542">
        <v>0</v>
      </c>
      <c r="BQ203" s="542">
        <v>3059026</v>
      </c>
      <c r="BR203" s="542">
        <v>-6411138</v>
      </c>
      <c r="BS203" s="542">
        <v>-5128910</v>
      </c>
      <c r="BT203" s="542">
        <v>-1282228</v>
      </c>
      <c r="BU203" s="542">
        <v>0</v>
      </c>
      <c r="BV203" s="542">
        <v>-12822276</v>
      </c>
      <c r="BW203" s="542">
        <v>-7058956</v>
      </c>
      <c r="BX203" s="542">
        <v>-5647165</v>
      </c>
      <c r="BY203" s="542">
        <v>-1411791</v>
      </c>
      <c r="BZ203" s="542">
        <v>0</v>
      </c>
      <c r="CA203" s="542">
        <v>-14117912</v>
      </c>
    </row>
    <row r="204" spans="1:79" ht="12.75" x14ac:dyDescent="0.2">
      <c r="A204" s="93">
        <v>198</v>
      </c>
      <c r="B204" s="145" t="s">
        <v>274</v>
      </c>
      <c r="C204" s="141" t="s">
        <v>866</v>
      </c>
      <c r="D204" s="142" t="s">
        <v>868</v>
      </c>
      <c r="E204" s="149" t="s">
        <v>273</v>
      </c>
      <c r="F204" s="543">
        <v>0.5</v>
      </c>
      <c r="G204" s="543">
        <v>0.4</v>
      </c>
      <c r="H204" s="543">
        <v>0.09</v>
      </c>
      <c r="I204" s="543">
        <v>0.01</v>
      </c>
      <c r="J204" s="543">
        <v>1</v>
      </c>
      <c r="K204" s="542">
        <v>9132379</v>
      </c>
      <c r="L204" s="542">
        <v>7305903</v>
      </c>
      <c r="M204" s="542">
        <v>1643828</v>
      </c>
      <c r="N204" s="542">
        <v>182648</v>
      </c>
      <c r="O204" s="542">
        <v>18264758</v>
      </c>
      <c r="P204" s="542">
        <v>0</v>
      </c>
      <c r="Q204" s="542">
        <v>0</v>
      </c>
      <c r="R204" s="542">
        <v>9132379</v>
      </c>
      <c r="S204" s="542">
        <v>136568</v>
      </c>
      <c r="T204" s="542">
        <v>136568</v>
      </c>
      <c r="U204" s="542">
        <v>0</v>
      </c>
      <c r="V204" s="542">
        <v>0</v>
      </c>
      <c r="W204" s="542">
        <v>0</v>
      </c>
      <c r="X204" s="542">
        <v>0</v>
      </c>
      <c r="Y204" s="542">
        <v>0</v>
      </c>
      <c r="Z204" s="542">
        <v>0</v>
      </c>
      <c r="AA204" s="542">
        <v>0</v>
      </c>
      <c r="AB204" s="542">
        <v>0</v>
      </c>
      <c r="AC204" s="542">
        <v>0</v>
      </c>
      <c r="AD204" s="542">
        <v>491772</v>
      </c>
      <c r="AE204" s="542">
        <v>393418</v>
      </c>
      <c r="AF204" s="542">
        <v>88519</v>
      </c>
      <c r="AG204" s="542">
        <v>9835</v>
      </c>
      <c r="AH204" s="542">
        <v>983544</v>
      </c>
      <c r="AI204" s="542">
        <v>-67749</v>
      </c>
      <c r="AJ204" s="542">
        <v>-54200</v>
      </c>
      <c r="AK204" s="542">
        <v>-12195</v>
      </c>
      <c r="AL204" s="542">
        <v>-1355</v>
      </c>
      <c r="AM204" s="542">
        <v>-135499</v>
      </c>
      <c r="AN204" s="542">
        <v>-405000</v>
      </c>
      <c r="AO204" s="542">
        <v>-324000</v>
      </c>
      <c r="AP204" s="542">
        <v>-72900</v>
      </c>
      <c r="AQ204" s="542">
        <v>-8100</v>
      </c>
      <c r="AR204" s="542">
        <v>-810000</v>
      </c>
      <c r="AS204" s="542">
        <v>0</v>
      </c>
      <c r="AT204" s="542">
        <v>0</v>
      </c>
      <c r="AU204" s="542">
        <v>0</v>
      </c>
      <c r="AV204" s="542">
        <v>0</v>
      </c>
      <c r="AW204" s="542">
        <v>0</v>
      </c>
      <c r="AX204" s="542">
        <v>5000</v>
      </c>
      <c r="AY204" s="542">
        <v>4000</v>
      </c>
      <c r="AZ204" s="542">
        <v>900</v>
      </c>
      <c r="BA204" s="542">
        <v>100</v>
      </c>
      <c r="BB204" s="542">
        <v>10000</v>
      </c>
      <c r="BC204" s="542">
        <v>-400000</v>
      </c>
      <c r="BD204" s="542">
        <v>-320000</v>
      </c>
      <c r="BE204" s="542">
        <v>-72000</v>
      </c>
      <c r="BF204" s="542">
        <v>-8000</v>
      </c>
      <c r="BG204" s="542">
        <v>-800000</v>
      </c>
      <c r="BH204" s="542">
        <v>-735081</v>
      </c>
      <c r="BI204" s="542">
        <v>-588066</v>
      </c>
      <c r="BJ204" s="542">
        <v>-132315</v>
      </c>
      <c r="BK204" s="542">
        <v>-14701</v>
      </c>
      <c r="BL204" s="542">
        <v>-1470163</v>
      </c>
      <c r="BM204" s="542">
        <v>48641</v>
      </c>
      <c r="BN204" s="542">
        <v>38913</v>
      </c>
      <c r="BO204" s="542">
        <v>8755</v>
      </c>
      <c r="BP204" s="542">
        <v>973</v>
      </c>
      <c r="BQ204" s="542">
        <v>97282</v>
      </c>
      <c r="BR204" s="542">
        <v>-598559</v>
      </c>
      <c r="BS204" s="542">
        <v>-478848</v>
      </c>
      <c r="BT204" s="542">
        <v>-107741</v>
      </c>
      <c r="BU204" s="542">
        <v>-11971</v>
      </c>
      <c r="BV204" s="542">
        <v>-1197119</v>
      </c>
      <c r="BW204" s="542">
        <v>-1284999</v>
      </c>
      <c r="BX204" s="542">
        <v>-1028001</v>
      </c>
      <c r="BY204" s="542">
        <v>-231301</v>
      </c>
      <c r="BZ204" s="542">
        <v>-25699</v>
      </c>
      <c r="CA204" s="542">
        <v>-2570000</v>
      </c>
    </row>
    <row r="205" spans="1:79" ht="12.75" x14ac:dyDescent="0.2">
      <c r="A205" s="93">
        <v>199</v>
      </c>
      <c r="B205" s="145" t="s">
        <v>276</v>
      </c>
      <c r="C205" s="141" t="s">
        <v>770</v>
      </c>
      <c r="D205" s="142" t="s">
        <v>870</v>
      </c>
      <c r="E205" s="149" t="s">
        <v>715</v>
      </c>
      <c r="F205" s="543">
        <v>0.5</v>
      </c>
      <c r="G205" s="543">
        <v>0.49</v>
      </c>
      <c r="H205" s="543">
        <v>0</v>
      </c>
      <c r="I205" s="543">
        <v>0.01</v>
      </c>
      <c r="J205" s="543">
        <v>1</v>
      </c>
      <c r="K205" s="542">
        <v>46017914</v>
      </c>
      <c r="L205" s="542">
        <v>45097556</v>
      </c>
      <c r="M205" s="542">
        <v>0</v>
      </c>
      <c r="N205" s="542">
        <v>920358</v>
      </c>
      <c r="O205" s="542">
        <v>92035828</v>
      </c>
      <c r="P205" s="542">
        <v>0</v>
      </c>
      <c r="Q205" s="542">
        <v>0</v>
      </c>
      <c r="R205" s="542">
        <v>46017914</v>
      </c>
      <c r="S205" s="542">
        <v>276677</v>
      </c>
      <c r="T205" s="542">
        <v>276677</v>
      </c>
      <c r="U205" s="542">
        <v>0</v>
      </c>
      <c r="V205" s="542">
        <v>0</v>
      </c>
      <c r="W205" s="542">
        <v>0</v>
      </c>
      <c r="X205" s="542">
        <v>0</v>
      </c>
      <c r="Y205" s="542">
        <v>0</v>
      </c>
      <c r="Z205" s="542">
        <v>0</v>
      </c>
      <c r="AA205" s="542">
        <v>0</v>
      </c>
      <c r="AB205" s="542">
        <v>0</v>
      </c>
      <c r="AC205" s="542">
        <v>0</v>
      </c>
      <c r="AD205" s="542">
        <v>4556237</v>
      </c>
      <c r="AE205" s="542">
        <v>4465112</v>
      </c>
      <c r="AF205" s="542">
        <v>0</v>
      </c>
      <c r="AG205" s="542">
        <v>91125</v>
      </c>
      <c r="AH205" s="542">
        <v>9112474</v>
      </c>
      <c r="AI205" s="542">
        <v>-1060978</v>
      </c>
      <c r="AJ205" s="542">
        <v>-1039759</v>
      </c>
      <c r="AK205" s="542">
        <v>0</v>
      </c>
      <c r="AL205" s="542">
        <v>-21220</v>
      </c>
      <c r="AM205" s="542">
        <v>-2121957</v>
      </c>
      <c r="AN205" s="542">
        <v>-476993</v>
      </c>
      <c r="AO205" s="542">
        <v>-467454</v>
      </c>
      <c r="AP205" s="542">
        <v>0</v>
      </c>
      <c r="AQ205" s="542">
        <v>-9540</v>
      </c>
      <c r="AR205" s="542">
        <v>-953987</v>
      </c>
      <c r="AS205" s="542">
        <v>40620</v>
      </c>
      <c r="AT205" s="542">
        <v>39807</v>
      </c>
      <c r="AU205" s="542">
        <v>0</v>
      </c>
      <c r="AV205" s="542">
        <v>812</v>
      </c>
      <c r="AW205" s="542">
        <v>81239</v>
      </c>
      <c r="AX205" s="542">
        <v>-522957</v>
      </c>
      <c r="AY205" s="542">
        <v>-512498</v>
      </c>
      <c r="AZ205" s="542">
        <v>0</v>
      </c>
      <c r="BA205" s="542">
        <v>-10459</v>
      </c>
      <c r="BB205" s="542">
        <v>-1045914</v>
      </c>
      <c r="BC205" s="542">
        <v>-959330</v>
      </c>
      <c r="BD205" s="542">
        <v>-940145</v>
      </c>
      <c r="BE205" s="542">
        <v>0</v>
      </c>
      <c r="BF205" s="542">
        <v>-19187</v>
      </c>
      <c r="BG205" s="542">
        <v>-1918662</v>
      </c>
      <c r="BH205" s="542">
        <v>-4265425</v>
      </c>
      <c r="BI205" s="542">
        <v>-4180115</v>
      </c>
      <c r="BJ205" s="542">
        <v>0</v>
      </c>
      <c r="BK205" s="542">
        <v>-85308</v>
      </c>
      <c r="BL205" s="542">
        <v>-8530848</v>
      </c>
      <c r="BM205" s="542">
        <v>0</v>
      </c>
      <c r="BN205" s="542">
        <v>0</v>
      </c>
      <c r="BO205" s="542">
        <v>0</v>
      </c>
      <c r="BP205" s="542">
        <v>0</v>
      </c>
      <c r="BQ205" s="542">
        <v>0</v>
      </c>
      <c r="BR205" s="542">
        <v>-1082806</v>
      </c>
      <c r="BS205" s="542">
        <v>-1061149</v>
      </c>
      <c r="BT205" s="542">
        <v>0</v>
      </c>
      <c r="BU205" s="542">
        <v>-21656</v>
      </c>
      <c r="BV205" s="542">
        <v>-2165611</v>
      </c>
      <c r="BW205" s="542">
        <v>-5348231</v>
      </c>
      <c r="BX205" s="542">
        <v>-5241264</v>
      </c>
      <c r="BY205" s="542">
        <v>0</v>
      </c>
      <c r="BZ205" s="542">
        <v>-106964</v>
      </c>
      <c r="CA205" s="542">
        <v>-10696459</v>
      </c>
    </row>
    <row r="206" spans="1:79" ht="12.75" x14ac:dyDescent="0.2">
      <c r="A206" s="93">
        <v>200</v>
      </c>
      <c r="B206" s="145" t="s">
        <v>278</v>
      </c>
      <c r="C206" s="141" t="s">
        <v>770</v>
      </c>
      <c r="D206" s="142" t="s">
        <v>875</v>
      </c>
      <c r="E206" s="149" t="s">
        <v>716</v>
      </c>
      <c r="F206" s="543">
        <v>0.5</v>
      </c>
      <c r="G206" s="543">
        <v>0.49</v>
      </c>
      <c r="H206" s="543">
        <v>0</v>
      </c>
      <c r="I206" s="543">
        <v>0.01</v>
      </c>
      <c r="J206" s="543">
        <v>1</v>
      </c>
      <c r="K206" s="542">
        <v>44826474</v>
      </c>
      <c r="L206" s="542">
        <v>43929946</v>
      </c>
      <c r="M206" s="542">
        <v>0</v>
      </c>
      <c r="N206" s="542">
        <v>896530</v>
      </c>
      <c r="O206" s="542">
        <v>89652950</v>
      </c>
      <c r="P206" s="542">
        <v>0</v>
      </c>
      <c r="Q206" s="542">
        <v>0</v>
      </c>
      <c r="R206" s="542">
        <v>44826474</v>
      </c>
      <c r="S206" s="542">
        <v>308695</v>
      </c>
      <c r="T206" s="542">
        <v>308695</v>
      </c>
      <c r="U206" s="542">
        <v>0</v>
      </c>
      <c r="V206" s="542">
        <v>0</v>
      </c>
      <c r="W206" s="542">
        <v>0</v>
      </c>
      <c r="X206" s="542">
        <v>0</v>
      </c>
      <c r="Y206" s="542">
        <v>0</v>
      </c>
      <c r="Z206" s="542">
        <v>0</v>
      </c>
      <c r="AA206" s="542">
        <v>0</v>
      </c>
      <c r="AB206" s="542">
        <v>0</v>
      </c>
      <c r="AC206" s="542">
        <v>0</v>
      </c>
      <c r="AD206" s="542">
        <v>2136221</v>
      </c>
      <c r="AE206" s="542">
        <v>2093496</v>
      </c>
      <c r="AF206" s="542">
        <v>0</v>
      </c>
      <c r="AG206" s="542">
        <v>42724</v>
      </c>
      <c r="AH206" s="542">
        <v>4272441</v>
      </c>
      <c r="AI206" s="542">
        <v>-585945</v>
      </c>
      <c r="AJ206" s="542">
        <v>-574227</v>
      </c>
      <c r="AK206" s="542">
        <v>0</v>
      </c>
      <c r="AL206" s="542">
        <v>-11719</v>
      </c>
      <c r="AM206" s="542">
        <v>-1171891</v>
      </c>
      <c r="AN206" s="542">
        <v>-358563.59</v>
      </c>
      <c r="AO206" s="542">
        <v>-351392</v>
      </c>
      <c r="AP206" s="542">
        <v>0</v>
      </c>
      <c r="AQ206" s="542">
        <v>-7171</v>
      </c>
      <c r="AR206" s="542">
        <v>-717126.59</v>
      </c>
      <c r="AS206" s="542">
        <v>210505</v>
      </c>
      <c r="AT206" s="542">
        <v>206294</v>
      </c>
      <c r="AU206" s="542">
        <v>0</v>
      </c>
      <c r="AV206" s="542">
        <v>4210</v>
      </c>
      <c r="AW206" s="542">
        <v>421009</v>
      </c>
      <c r="AX206" s="542">
        <v>-336902</v>
      </c>
      <c r="AY206" s="542">
        <v>-330163</v>
      </c>
      <c r="AZ206" s="542">
        <v>0</v>
      </c>
      <c r="BA206" s="542">
        <v>-6738</v>
      </c>
      <c r="BB206" s="542">
        <v>-673803</v>
      </c>
      <c r="BC206" s="542">
        <v>-484960.59</v>
      </c>
      <c r="BD206" s="542">
        <v>-475261</v>
      </c>
      <c r="BE206" s="542">
        <v>0</v>
      </c>
      <c r="BF206" s="542">
        <v>-9699</v>
      </c>
      <c r="BG206" s="542">
        <v>-969920.59</v>
      </c>
      <c r="BH206" s="542">
        <v>-690055</v>
      </c>
      <c r="BI206" s="542">
        <v>-676253</v>
      </c>
      <c r="BJ206" s="542">
        <v>0</v>
      </c>
      <c r="BK206" s="542">
        <v>-13801</v>
      </c>
      <c r="BL206" s="542">
        <v>-1380109</v>
      </c>
      <c r="BM206" s="542">
        <v>371004</v>
      </c>
      <c r="BN206" s="542">
        <v>363583</v>
      </c>
      <c r="BO206" s="542">
        <v>0</v>
      </c>
      <c r="BP206" s="542">
        <v>7420</v>
      </c>
      <c r="BQ206" s="542">
        <v>742007</v>
      </c>
      <c r="BR206" s="542">
        <v>-351124</v>
      </c>
      <c r="BS206" s="542">
        <v>-344101</v>
      </c>
      <c r="BT206" s="542">
        <v>0</v>
      </c>
      <c r="BU206" s="542">
        <v>-7022</v>
      </c>
      <c r="BV206" s="542">
        <v>-702247</v>
      </c>
      <c r="BW206" s="542">
        <v>-670175</v>
      </c>
      <c r="BX206" s="542">
        <v>-656771</v>
      </c>
      <c r="BY206" s="542">
        <v>0</v>
      </c>
      <c r="BZ206" s="542">
        <v>-13403</v>
      </c>
      <c r="CA206" s="542">
        <v>-1340349</v>
      </c>
    </row>
    <row r="207" spans="1:79" ht="12.75" x14ac:dyDescent="0.2">
      <c r="A207" s="93">
        <v>201</v>
      </c>
      <c r="B207" s="145" t="s">
        <v>280</v>
      </c>
      <c r="C207" s="141" t="s">
        <v>770</v>
      </c>
      <c r="D207" s="142" t="s">
        <v>875</v>
      </c>
      <c r="E207" s="149" t="s">
        <v>717</v>
      </c>
      <c r="F207" s="543">
        <v>0.5</v>
      </c>
      <c r="G207" s="543">
        <v>0.49</v>
      </c>
      <c r="H207" s="543">
        <v>0</v>
      </c>
      <c r="I207" s="543">
        <v>0.01</v>
      </c>
      <c r="J207" s="543">
        <v>1</v>
      </c>
      <c r="K207" s="542">
        <v>29878151</v>
      </c>
      <c r="L207" s="542">
        <v>29280588</v>
      </c>
      <c r="M207" s="542">
        <v>0</v>
      </c>
      <c r="N207" s="542">
        <v>597563</v>
      </c>
      <c r="O207" s="542">
        <v>59756302</v>
      </c>
      <c r="P207" s="542">
        <v>0</v>
      </c>
      <c r="Q207" s="542">
        <v>0</v>
      </c>
      <c r="R207" s="542">
        <v>29878151</v>
      </c>
      <c r="S207" s="542">
        <v>239436</v>
      </c>
      <c r="T207" s="542">
        <v>239436</v>
      </c>
      <c r="U207" s="542">
        <v>0</v>
      </c>
      <c r="V207" s="542">
        <v>0</v>
      </c>
      <c r="W207" s="542">
        <v>0</v>
      </c>
      <c r="X207" s="542">
        <v>0</v>
      </c>
      <c r="Y207" s="542">
        <v>0</v>
      </c>
      <c r="Z207" s="542">
        <v>0</v>
      </c>
      <c r="AA207" s="542">
        <v>0</v>
      </c>
      <c r="AB207" s="542">
        <v>0</v>
      </c>
      <c r="AC207" s="542">
        <v>0</v>
      </c>
      <c r="AD207" s="542">
        <v>560692</v>
      </c>
      <c r="AE207" s="542">
        <v>549478</v>
      </c>
      <c r="AF207" s="542">
        <v>0</v>
      </c>
      <c r="AG207" s="542">
        <v>11214</v>
      </c>
      <c r="AH207" s="542">
        <v>1121384</v>
      </c>
      <c r="AI207" s="542">
        <v>-530742</v>
      </c>
      <c r="AJ207" s="542">
        <v>-520127</v>
      </c>
      <c r="AK207" s="542">
        <v>0</v>
      </c>
      <c r="AL207" s="542">
        <v>-10615</v>
      </c>
      <c r="AM207" s="542">
        <v>-1061484</v>
      </c>
      <c r="AN207" s="542">
        <v>-201316</v>
      </c>
      <c r="AO207" s="542">
        <v>-197289</v>
      </c>
      <c r="AP207" s="542">
        <v>0</v>
      </c>
      <c r="AQ207" s="542">
        <v>-4027</v>
      </c>
      <c r="AR207" s="542">
        <v>-402632</v>
      </c>
      <c r="AS207" s="542">
        <v>189241</v>
      </c>
      <c r="AT207" s="542">
        <v>185456</v>
      </c>
      <c r="AU207" s="542">
        <v>0</v>
      </c>
      <c r="AV207" s="542">
        <v>3785</v>
      </c>
      <c r="AW207" s="542">
        <v>378482</v>
      </c>
      <c r="AX207" s="542">
        <v>-230680</v>
      </c>
      <c r="AY207" s="542">
        <v>-226066</v>
      </c>
      <c r="AZ207" s="542">
        <v>0</v>
      </c>
      <c r="BA207" s="542">
        <v>-4614</v>
      </c>
      <c r="BB207" s="542">
        <v>-461359</v>
      </c>
      <c r="BC207" s="542">
        <v>-242755</v>
      </c>
      <c r="BD207" s="542">
        <v>-237899</v>
      </c>
      <c r="BE207" s="542">
        <v>0</v>
      </c>
      <c r="BF207" s="542">
        <v>-4856</v>
      </c>
      <c r="BG207" s="542">
        <v>-485509</v>
      </c>
      <c r="BH207" s="542">
        <v>-1592057</v>
      </c>
      <c r="BI207" s="542">
        <v>-1560214</v>
      </c>
      <c r="BJ207" s="542">
        <v>0</v>
      </c>
      <c r="BK207" s="542">
        <v>-31841</v>
      </c>
      <c r="BL207" s="542">
        <v>-3184112</v>
      </c>
      <c r="BM207" s="542">
        <v>1248828</v>
      </c>
      <c r="BN207" s="542">
        <v>1223851</v>
      </c>
      <c r="BO207" s="542">
        <v>0</v>
      </c>
      <c r="BP207" s="542">
        <v>24977</v>
      </c>
      <c r="BQ207" s="542">
        <v>2497655</v>
      </c>
      <c r="BR207" s="542">
        <v>-1169970</v>
      </c>
      <c r="BS207" s="542">
        <v>-1146570</v>
      </c>
      <c r="BT207" s="542">
        <v>0</v>
      </c>
      <c r="BU207" s="542">
        <v>-23399</v>
      </c>
      <c r="BV207" s="542">
        <v>-2339939</v>
      </c>
      <c r="BW207" s="542">
        <v>-1513199</v>
      </c>
      <c r="BX207" s="542">
        <v>-1482933</v>
      </c>
      <c r="BY207" s="542">
        <v>0</v>
      </c>
      <c r="BZ207" s="542">
        <v>-30263</v>
      </c>
      <c r="CA207" s="542">
        <v>-3026396</v>
      </c>
    </row>
    <row r="208" spans="1:79" ht="12.75" x14ac:dyDescent="0.2">
      <c r="A208" s="93">
        <v>202</v>
      </c>
      <c r="B208" s="145" t="s">
        <v>282</v>
      </c>
      <c r="C208" s="141" t="s">
        <v>770</v>
      </c>
      <c r="D208" s="142" t="s">
        <v>867</v>
      </c>
      <c r="E208" s="149" t="s">
        <v>718</v>
      </c>
      <c r="F208" s="543">
        <v>0.5</v>
      </c>
      <c r="G208" s="543">
        <v>0.49</v>
      </c>
      <c r="H208" s="543">
        <v>0</v>
      </c>
      <c r="I208" s="543">
        <v>0.01</v>
      </c>
      <c r="J208" s="543">
        <v>1</v>
      </c>
      <c r="K208" s="542">
        <v>38319710</v>
      </c>
      <c r="L208" s="542">
        <v>37553316</v>
      </c>
      <c r="M208" s="542">
        <v>0</v>
      </c>
      <c r="N208" s="542">
        <v>766394</v>
      </c>
      <c r="O208" s="542">
        <v>76639420</v>
      </c>
      <c r="P208" s="542">
        <v>0</v>
      </c>
      <c r="Q208" s="542">
        <v>0</v>
      </c>
      <c r="R208" s="542">
        <v>38319710</v>
      </c>
      <c r="S208" s="542">
        <v>281877</v>
      </c>
      <c r="T208" s="542">
        <v>281877</v>
      </c>
      <c r="U208" s="542">
        <v>0</v>
      </c>
      <c r="V208" s="542">
        <v>0</v>
      </c>
      <c r="W208" s="542">
        <v>0</v>
      </c>
      <c r="X208" s="542">
        <v>0</v>
      </c>
      <c r="Y208" s="542">
        <v>0</v>
      </c>
      <c r="Z208" s="542">
        <v>0</v>
      </c>
      <c r="AA208" s="542">
        <v>0</v>
      </c>
      <c r="AB208" s="542">
        <v>0</v>
      </c>
      <c r="AC208" s="542">
        <v>0</v>
      </c>
      <c r="AD208" s="542">
        <v>2385248</v>
      </c>
      <c r="AE208" s="542">
        <v>2337543</v>
      </c>
      <c r="AF208" s="542">
        <v>0</v>
      </c>
      <c r="AG208" s="542">
        <v>47705</v>
      </c>
      <c r="AH208" s="542">
        <v>4770496</v>
      </c>
      <c r="AI208" s="542">
        <v>-866276</v>
      </c>
      <c r="AJ208" s="542">
        <v>-848950</v>
      </c>
      <c r="AK208" s="542">
        <v>0</v>
      </c>
      <c r="AL208" s="542">
        <v>-17326</v>
      </c>
      <c r="AM208" s="542">
        <v>-1732552</v>
      </c>
      <c r="AN208" s="542">
        <v>-1615000</v>
      </c>
      <c r="AO208" s="542">
        <v>-1582700</v>
      </c>
      <c r="AP208" s="542">
        <v>0</v>
      </c>
      <c r="AQ208" s="542">
        <v>-32300</v>
      </c>
      <c r="AR208" s="542">
        <v>-3230000</v>
      </c>
      <c r="AS208" s="542">
        <v>424137</v>
      </c>
      <c r="AT208" s="542">
        <v>415654</v>
      </c>
      <c r="AU208" s="542">
        <v>0</v>
      </c>
      <c r="AV208" s="542">
        <v>8483</v>
      </c>
      <c r="AW208" s="542">
        <v>848274</v>
      </c>
      <c r="AX208" s="542">
        <v>-530637</v>
      </c>
      <c r="AY208" s="542">
        <v>-520024</v>
      </c>
      <c r="AZ208" s="542">
        <v>0</v>
      </c>
      <c r="BA208" s="542">
        <v>-10613</v>
      </c>
      <c r="BB208" s="542">
        <v>-1061274</v>
      </c>
      <c r="BC208" s="542">
        <v>-1721500</v>
      </c>
      <c r="BD208" s="542">
        <v>-1687070</v>
      </c>
      <c r="BE208" s="542">
        <v>0</v>
      </c>
      <c r="BF208" s="542">
        <v>-34430</v>
      </c>
      <c r="BG208" s="542">
        <v>-3443000</v>
      </c>
      <c r="BH208" s="542">
        <v>-6932131</v>
      </c>
      <c r="BI208" s="542">
        <v>-6793487</v>
      </c>
      <c r="BJ208" s="542">
        <v>0</v>
      </c>
      <c r="BK208" s="542">
        <v>-138643</v>
      </c>
      <c r="BL208" s="542">
        <v>-13864261</v>
      </c>
      <c r="BM208" s="542">
        <v>2004224</v>
      </c>
      <c r="BN208" s="542">
        <v>1964140</v>
      </c>
      <c r="BO208" s="542">
        <v>0</v>
      </c>
      <c r="BP208" s="542">
        <v>40084</v>
      </c>
      <c r="BQ208" s="542">
        <v>4008448</v>
      </c>
      <c r="BR208" s="542">
        <v>-3045903</v>
      </c>
      <c r="BS208" s="542">
        <v>-2984985</v>
      </c>
      <c r="BT208" s="542">
        <v>0</v>
      </c>
      <c r="BU208" s="542">
        <v>-60918</v>
      </c>
      <c r="BV208" s="542">
        <v>-6091806</v>
      </c>
      <c r="BW208" s="542">
        <v>-7973810</v>
      </c>
      <c r="BX208" s="542">
        <v>-7814332</v>
      </c>
      <c r="BY208" s="542">
        <v>0</v>
      </c>
      <c r="BZ208" s="542">
        <v>-159477</v>
      </c>
      <c r="CA208" s="542">
        <v>-15947619</v>
      </c>
    </row>
    <row r="209" spans="1:79" ht="12.75" x14ac:dyDescent="0.2">
      <c r="A209" s="93">
        <v>203</v>
      </c>
      <c r="B209" s="145" t="s">
        <v>284</v>
      </c>
      <c r="C209" s="141" t="s">
        <v>866</v>
      </c>
      <c r="D209" s="142" t="s">
        <v>868</v>
      </c>
      <c r="E209" s="149" t="s">
        <v>283</v>
      </c>
      <c r="F209" s="543">
        <v>0.5</v>
      </c>
      <c r="G209" s="543">
        <v>0.4</v>
      </c>
      <c r="H209" s="543">
        <v>0.09</v>
      </c>
      <c r="I209" s="543">
        <v>0.01</v>
      </c>
      <c r="J209" s="543">
        <v>1</v>
      </c>
      <c r="K209" s="542">
        <v>31060563</v>
      </c>
      <c r="L209" s="542">
        <v>24848450</v>
      </c>
      <c r="M209" s="542">
        <v>5590901</v>
      </c>
      <c r="N209" s="542">
        <v>621211</v>
      </c>
      <c r="O209" s="542">
        <v>62121125</v>
      </c>
      <c r="P209" s="542">
        <v>0</v>
      </c>
      <c r="Q209" s="542">
        <v>0</v>
      </c>
      <c r="R209" s="542">
        <v>31060563</v>
      </c>
      <c r="S209" s="542">
        <v>239602</v>
      </c>
      <c r="T209" s="542">
        <v>239602</v>
      </c>
      <c r="U209" s="542">
        <v>0</v>
      </c>
      <c r="V209" s="542">
        <v>0</v>
      </c>
      <c r="W209" s="542">
        <v>3842</v>
      </c>
      <c r="X209" s="542">
        <v>0</v>
      </c>
      <c r="Y209" s="542">
        <v>3842</v>
      </c>
      <c r="Z209" s="542">
        <v>0</v>
      </c>
      <c r="AA209" s="542">
        <v>0</v>
      </c>
      <c r="AB209" s="542">
        <v>0</v>
      </c>
      <c r="AC209" s="542">
        <v>0</v>
      </c>
      <c r="AD209" s="542">
        <v>1972649</v>
      </c>
      <c r="AE209" s="542">
        <v>1578120</v>
      </c>
      <c r="AF209" s="542">
        <v>355077</v>
      </c>
      <c r="AG209" s="542">
        <v>39453</v>
      </c>
      <c r="AH209" s="542">
        <v>3945299</v>
      </c>
      <c r="AI209" s="542">
        <v>-464835</v>
      </c>
      <c r="AJ209" s="542">
        <v>-371868</v>
      </c>
      <c r="AK209" s="542">
        <v>-83670</v>
      </c>
      <c r="AL209" s="542">
        <v>-9297</v>
      </c>
      <c r="AM209" s="542">
        <v>-929670</v>
      </c>
      <c r="AN209" s="542">
        <v>-892947.89</v>
      </c>
      <c r="AO209" s="542">
        <v>-714357</v>
      </c>
      <c r="AP209" s="542">
        <v>-160730</v>
      </c>
      <c r="AQ209" s="542">
        <v>-17859</v>
      </c>
      <c r="AR209" s="542">
        <v>-1785893.8</v>
      </c>
      <c r="AS209" s="542">
        <v>217128</v>
      </c>
      <c r="AT209" s="542">
        <v>173703</v>
      </c>
      <c r="AU209" s="542">
        <v>39083</v>
      </c>
      <c r="AV209" s="542">
        <v>4343</v>
      </c>
      <c r="AW209" s="542">
        <v>434257</v>
      </c>
      <c r="AX209" s="542">
        <v>-549336</v>
      </c>
      <c r="AY209" s="542">
        <v>-439469</v>
      </c>
      <c r="AZ209" s="542">
        <v>-98880</v>
      </c>
      <c r="BA209" s="542">
        <v>-10987</v>
      </c>
      <c r="BB209" s="542">
        <v>-1098672</v>
      </c>
      <c r="BC209" s="542">
        <v>-1225155.8</v>
      </c>
      <c r="BD209" s="542">
        <v>-980123</v>
      </c>
      <c r="BE209" s="542">
        <v>-220527</v>
      </c>
      <c r="BF209" s="542">
        <v>-24503</v>
      </c>
      <c r="BG209" s="542">
        <v>-2450308.7999999998</v>
      </c>
      <c r="BH209" s="542">
        <v>-2448255.2000000002</v>
      </c>
      <c r="BI209" s="542">
        <v>-1958605</v>
      </c>
      <c r="BJ209" s="542">
        <v>-440686</v>
      </c>
      <c r="BK209" s="542">
        <v>-48965</v>
      </c>
      <c r="BL209" s="542">
        <v>-4896511.2</v>
      </c>
      <c r="BM209" s="542">
        <v>1604147</v>
      </c>
      <c r="BN209" s="542">
        <v>1283318</v>
      </c>
      <c r="BO209" s="542">
        <v>288747</v>
      </c>
      <c r="BP209" s="542">
        <v>32083</v>
      </c>
      <c r="BQ209" s="542">
        <v>3208295</v>
      </c>
      <c r="BR209" s="542">
        <v>-3422731</v>
      </c>
      <c r="BS209" s="542">
        <v>-2738184</v>
      </c>
      <c r="BT209" s="542">
        <v>-616091</v>
      </c>
      <c r="BU209" s="542">
        <v>-68455</v>
      </c>
      <c r="BV209" s="542">
        <v>-6845461</v>
      </c>
      <c r="BW209" s="542">
        <v>-4266839.2</v>
      </c>
      <c r="BX209" s="542">
        <v>-3413471</v>
      </c>
      <c r="BY209" s="542">
        <v>-768030</v>
      </c>
      <c r="BZ209" s="542">
        <v>-85337</v>
      </c>
      <c r="CA209" s="542">
        <v>-8533677.1999999993</v>
      </c>
    </row>
    <row r="210" spans="1:79" ht="12.75" x14ac:dyDescent="0.2">
      <c r="A210" s="93">
        <v>204</v>
      </c>
      <c r="B210" s="145" t="s">
        <v>286</v>
      </c>
      <c r="C210" s="141" t="s">
        <v>866</v>
      </c>
      <c r="D210" s="142" t="s">
        <v>875</v>
      </c>
      <c r="E210" s="149" t="s">
        <v>285</v>
      </c>
      <c r="F210" s="543">
        <v>0.5</v>
      </c>
      <c r="G210" s="543">
        <v>0.4</v>
      </c>
      <c r="H210" s="543">
        <v>0.09</v>
      </c>
      <c r="I210" s="543">
        <v>0.01</v>
      </c>
      <c r="J210" s="543">
        <v>1</v>
      </c>
      <c r="K210" s="542">
        <v>6235325</v>
      </c>
      <c r="L210" s="542">
        <v>4988260</v>
      </c>
      <c r="M210" s="542">
        <v>1122359</v>
      </c>
      <c r="N210" s="542">
        <v>124707</v>
      </c>
      <c r="O210" s="542">
        <v>12470651</v>
      </c>
      <c r="P210" s="542">
        <v>0</v>
      </c>
      <c r="Q210" s="542">
        <v>0</v>
      </c>
      <c r="R210" s="542">
        <v>6235325</v>
      </c>
      <c r="S210" s="542">
        <v>94366</v>
      </c>
      <c r="T210" s="542">
        <v>94366</v>
      </c>
      <c r="U210" s="542">
        <v>0</v>
      </c>
      <c r="V210" s="542">
        <v>0</v>
      </c>
      <c r="W210" s="542">
        <v>131565</v>
      </c>
      <c r="X210" s="542">
        <v>0</v>
      </c>
      <c r="Y210" s="542">
        <v>131565</v>
      </c>
      <c r="Z210" s="542">
        <v>0</v>
      </c>
      <c r="AA210" s="542">
        <v>0</v>
      </c>
      <c r="AB210" s="542">
        <v>0</v>
      </c>
      <c r="AC210" s="542">
        <v>0</v>
      </c>
      <c r="AD210" s="542">
        <v>353733</v>
      </c>
      <c r="AE210" s="542">
        <v>282987</v>
      </c>
      <c r="AF210" s="542">
        <v>63672</v>
      </c>
      <c r="AG210" s="542">
        <v>7075</v>
      </c>
      <c r="AH210" s="542">
        <v>707467</v>
      </c>
      <c r="AI210" s="542">
        <v>-62209</v>
      </c>
      <c r="AJ210" s="542">
        <v>-49766</v>
      </c>
      <c r="AK210" s="542">
        <v>-11197</v>
      </c>
      <c r="AL210" s="542">
        <v>-1244</v>
      </c>
      <c r="AM210" s="542">
        <v>-124416</v>
      </c>
      <c r="AN210" s="542">
        <v>-48834</v>
      </c>
      <c r="AO210" s="542">
        <v>-39068</v>
      </c>
      <c r="AP210" s="542">
        <v>-8790</v>
      </c>
      <c r="AQ210" s="542">
        <v>-977</v>
      </c>
      <c r="AR210" s="542">
        <v>-97669</v>
      </c>
      <c r="AS210" s="542">
        <v>7576</v>
      </c>
      <c r="AT210" s="542">
        <v>6062</v>
      </c>
      <c r="AU210" s="542">
        <v>1364</v>
      </c>
      <c r="AV210" s="542">
        <v>152</v>
      </c>
      <c r="AW210" s="542">
        <v>15154</v>
      </c>
      <c r="AX210" s="542">
        <v>-40000</v>
      </c>
      <c r="AY210" s="542">
        <v>-32000</v>
      </c>
      <c r="AZ210" s="542">
        <v>-7200</v>
      </c>
      <c r="BA210" s="542">
        <v>-800</v>
      </c>
      <c r="BB210" s="542">
        <v>-80000</v>
      </c>
      <c r="BC210" s="542">
        <v>-81258</v>
      </c>
      <c r="BD210" s="542">
        <v>-65006</v>
      </c>
      <c r="BE210" s="542">
        <v>-14626</v>
      </c>
      <c r="BF210" s="542">
        <v>-1625</v>
      </c>
      <c r="BG210" s="542">
        <v>-162515</v>
      </c>
      <c r="BH210" s="542">
        <v>-242350</v>
      </c>
      <c r="BI210" s="542">
        <v>-193879</v>
      </c>
      <c r="BJ210" s="542">
        <v>-43623</v>
      </c>
      <c r="BK210" s="542">
        <v>-4847</v>
      </c>
      <c r="BL210" s="542">
        <v>-484699</v>
      </c>
      <c r="BM210" s="542">
        <v>0</v>
      </c>
      <c r="BN210" s="542">
        <v>0</v>
      </c>
      <c r="BO210" s="542">
        <v>0</v>
      </c>
      <c r="BP210" s="542">
        <v>0</v>
      </c>
      <c r="BQ210" s="542">
        <v>0</v>
      </c>
      <c r="BR210" s="542">
        <v>-2057651</v>
      </c>
      <c r="BS210" s="542">
        <v>-1646120</v>
      </c>
      <c r="BT210" s="542">
        <v>-370377</v>
      </c>
      <c r="BU210" s="542">
        <v>-41153</v>
      </c>
      <c r="BV210" s="542">
        <v>-4115301</v>
      </c>
      <c r="BW210" s="542">
        <v>-2300001</v>
      </c>
      <c r="BX210" s="542">
        <v>-1839999</v>
      </c>
      <c r="BY210" s="542">
        <v>-414000</v>
      </c>
      <c r="BZ210" s="542">
        <v>-46000</v>
      </c>
      <c r="CA210" s="542">
        <v>-4600000</v>
      </c>
    </row>
    <row r="211" spans="1:79" ht="12.75" x14ac:dyDescent="0.2">
      <c r="A211" s="93">
        <v>205</v>
      </c>
      <c r="B211" s="145" t="s">
        <v>288</v>
      </c>
      <c r="C211" s="141" t="s">
        <v>770</v>
      </c>
      <c r="D211" s="142" t="s">
        <v>867</v>
      </c>
      <c r="E211" s="149" t="s">
        <v>719</v>
      </c>
      <c r="F211" s="543">
        <v>0.5</v>
      </c>
      <c r="G211" s="543">
        <v>0.49</v>
      </c>
      <c r="H211" s="543">
        <v>0</v>
      </c>
      <c r="I211" s="543">
        <v>0.01</v>
      </c>
      <c r="J211" s="543">
        <v>1</v>
      </c>
      <c r="K211" s="542">
        <v>52458020</v>
      </c>
      <c r="L211" s="542">
        <v>51408859</v>
      </c>
      <c r="M211" s="542">
        <v>0</v>
      </c>
      <c r="N211" s="542">
        <v>1049160</v>
      </c>
      <c r="O211" s="542">
        <v>104916039</v>
      </c>
      <c r="P211" s="542">
        <v>0</v>
      </c>
      <c r="Q211" s="542">
        <v>0</v>
      </c>
      <c r="R211" s="542">
        <v>52458020</v>
      </c>
      <c r="S211" s="542">
        <v>271390</v>
      </c>
      <c r="T211" s="542">
        <v>271390</v>
      </c>
      <c r="U211" s="542">
        <v>0</v>
      </c>
      <c r="V211" s="542">
        <v>0</v>
      </c>
      <c r="W211" s="542">
        <v>0</v>
      </c>
      <c r="X211" s="542">
        <v>0</v>
      </c>
      <c r="Y211" s="542">
        <v>0</v>
      </c>
      <c r="Z211" s="542">
        <v>0</v>
      </c>
      <c r="AA211" s="542">
        <v>0</v>
      </c>
      <c r="AB211" s="542">
        <v>0</v>
      </c>
      <c r="AC211" s="542">
        <v>0</v>
      </c>
      <c r="AD211" s="542">
        <v>2910873</v>
      </c>
      <c r="AE211" s="542">
        <v>2852656</v>
      </c>
      <c r="AF211" s="542">
        <v>0</v>
      </c>
      <c r="AG211" s="542">
        <v>58217</v>
      </c>
      <c r="AH211" s="542">
        <v>5821746</v>
      </c>
      <c r="AI211" s="542">
        <v>-1029118</v>
      </c>
      <c r="AJ211" s="542">
        <v>-1008536</v>
      </c>
      <c r="AK211" s="542">
        <v>0</v>
      </c>
      <c r="AL211" s="542">
        <v>-20582</v>
      </c>
      <c r="AM211" s="542">
        <v>-2058236</v>
      </c>
      <c r="AN211" s="542">
        <v>-991035.18</v>
      </c>
      <c r="AO211" s="542">
        <v>-971215</v>
      </c>
      <c r="AP211" s="542">
        <v>0</v>
      </c>
      <c r="AQ211" s="542">
        <v>-19821</v>
      </c>
      <c r="AR211" s="542">
        <v>-1982071.1</v>
      </c>
      <c r="AS211" s="542">
        <v>1383397</v>
      </c>
      <c r="AT211" s="542">
        <v>1355730</v>
      </c>
      <c r="AU211" s="542">
        <v>0</v>
      </c>
      <c r="AV211" s="542">
        <v>27668</v>
      </c>
      <c r="AW211" s="542">
        <v>2766795</v>
      </c>
      <c r="AX211" s="542">
        <v>-1667362</v>
      </c>
      <c r="AY211" s="542">
        <v>-1634014</v>
      </c>
      <c r="AZ211" s="542">
        <v>0</v>
      </c>
      <c r="BA211" s="542">
        <v>-33347</v>
      </c>
      <c r="BB211" s="542">
        <v>-3334723</v>
      </c>
      <c r="BC211" s="542">
        <v>-1275000.1000000001</v>
      </c>
      <c r="BD211" s="542">
        <v>-1249499</v>
      </c>
      <c r="BE211" s="542">
        <v>0</v>
      </c>
      <c r="BF211" s="542">
        <v>-25500</v>
      </c>
      <c r="BG211" s="542">
        <v>-2549999.1</v>
      </c>
      <c r="BH211" s="542">
        <v>-7500000</v>
      </c>
      <c r="BI211" s="542">
        <v>-7350000</v>
      </c>
      <c r="BJ211" s="542">
        <v>0</v>
      </c>
      <c r="BK211" s="542">
        <v>-150000</v>
      </c>
      <c r="BL211" s="542">
        <v>-15000000</v>
      </c>
      <c r="BM211" s="542">
        <v>1935749</v>
      </c>
      <c r="BN211" s="542">
        <v>1897035</v>
      </c>
      <c r="BO211" s="542">
        <v>0</v>
      </c>
      <c r="BP211" s="542">
        <v>38715</v>
      </c>
      <c r="BQ211" s="542">
        <v>3871499</v>
      </c>
      <c r="BR211" s="542">
        <v>-635749</v>
      </c>
      <c r="BS211" s="542">
        <v>-623035</v>
      </c>
      <c r="BT211" s="542">
        <v>0</v>
      </c>
      <c r="BU211" s="542">
        <v>-12715</v>
      </c>
      <c r="BV211" s="542">
        <v>-1271499</v>
      </c>
      <c r="BW211" s="542">
        <v>-6200000</v>
      </c>
      <c r="BX211" s="542">
        <v>-6076000</v>
      </c>
      <c r="BY211" s="542">
        <v>0</v>
      </c>
      <c r="BZ211" s="542">
        <v>-124000</v>
      </c>
      <c r="CA211" s="542">
        <v>-12400000</v>
      </c>
    </row>
    <row r="212" spans="1:79" ht="12.75" x14ac:dyDescent="0.2">
      <c r="A212" s="93">
        <v>206</v>
      </c>
      <c r="B212" s="145" t="s">
        <v>290</v>
      </c>
      <c r="C212" s="141" t="s">
        <v>871</v>
      </c>
      <c r="D212" s="142" t="s">
        <v>872</v>
      </c>
      <c r="E212" s="149" t="s">
        <v>289</v>
      </c>
      <c r="F212" s="543">
        <v>0.5</v>
      </c>
      <c r="G212" s="543">
        <v>0.3</v>
      </c>
      <c r="H212" s="543">
        <v>0.2</v>
      </c>
      <c r="I212" s="543">
        <v>0</v>
      </c>
      <c r="J212" s="543">
        <v>1</v>
      </c>
      <c r="K212" s="542">
        <v>25192759</v>
      </c>
      <c r="L212" s="542">
        <v>15115656</v>
      </c>
      <c r="M212" s="542">
        <v>10077104</v>
      </c>
      <c r="N212" s="542">
        <v>0</v>
      </c>
      <c r="O212" s="542">
        <v>50385519</v>
      </c>
      <c r="P212" s="542">
        <v>0</v>
      </c>
      <c r="Q212" s="542">
        <v>0</v>
      </c>
      <c r="R212" s="542">
        <v>25192759</v>
      </c>
      <c r="S212" s="542">
        <v>279552</v>
      </c>
      <c r="T212" s="542">
        <v>279552</v>
      </c>
      <c r="U212" s="542">
        <v>0</v>
      </c>
      <c r="V212" s="542">
        <v>0</v>
      </c>
      <c r="W212" s="542">
        <v>0</v>
      </c>
      <c r="X212" s="542">
        <v>0</v>
      </c>
      <c r="Y212" s="542">
        <v>0</v>
      </c>
      <c r="Z212" s="542">
        <v>0</v>
      </c>
      <c r="AA212" s="542">
        <v>0</v>
      </c>
      <c r="AB212" s="542">
        <v>0</v>
      </c>
      <c r="AC212" s="542">
        <v>0</v>
      </c>
      <c r="AD212" s="542">
        <v>4354719</v>
      </c>
      <c r="AE212" s="542">
        <v>2612831</v>
      </c>
      <c r="AF212" s="542">
        <v>1741888</v>
      </c>
      <c r="AG212" s="542">
        <v>0</v>
      </c>
      <c r="AH212" s="542">
        <v>8709438</v>
      </c>
      <c r="AI212" s="542">
        <v>-1035207</v>
      </c>
      <c r="AJ212" s="542">
        <v>-621125</v>
      </c>
      <c r="AK212" s="542">
        <v>-414083</v>
      </c>
      <c r="AL212" s="542">
        <v>0</v>
      </c>
      <c r="AM212" s="542">
        <v>-2070415</v>
      </c>
      <c r="AN212" s="542">
        <v>-3630500</v>
      </c>
      <c r="AO212" s="542">
        <v>-2178300</v>
      </c>
      <c r="AP212" s="542">
        <v>-1452200</v>
      </c>
      <c r="AQ212" s="542">
        <v>0</v>
      </c>
      <c r="AR212" s="542">
        <v>-7261000</v>
      </c>
      <c r="AS212" s="542">
        <v>402300</v>
      </c>
      <c r="AT212" s="542">
        <v>241380</v>
      </c>
      <c r="AU212" s="542">
        <v>160920</v>
      </c>
      <c r="AV212" s="542">
        <v>0</v>
      </c>
      <c r="AW212" s="542">
        <v>804600</v>
      </c>
      <c r="AX212" s="542">
        <v>-477500</v>
      </c>
      <c r="AY212" s="542">
        <v>-286500</v>
      </c>
      <c r="AZ212" s="542">
        <v>-191000</v>
      </c>
      <c r="BA212" s="542">
        <v>0</v>
      </c>
      <c r="BB212" s="542">
        <v>-955000</v>
      </c>
      <c r="BC212" s="542">
        <v>-3705700</v>
      </c>
      <c r="BD212" s="542">
        <v>-2223420</v>
      </c>
      <c r="BE212" s="542">
        <v>-1482280</v>
      </c>
      <c r="BF212" s="542">
        <v>0</v>
      </c>
      <c r="BG212" s="542">
        <v>-7411400</v>
      </c>
      <c r="BH212" s="542">
        <v>-400000</v>
      </c>
      <c r="BI212" s="542">
        <v>-240000</v>
      </c>
      <c r="BJ212" s="542">
        <v>-160000</v>
      </c>
      <c r="BK212" s="542">
        <v>0</v>
      </c>
      <c r="BL212" s="542">
        <v>-800000</v>
      </c>
      <c r="BM212" s="542">
        <v>0</v>
      </c>
      <c r="BN212" s="542">
        <v>0</v>
      </c>
      <c r="BO212" s="542">
        <v>0</v>
      </c>
      <c r="BP212" s="542">
        <v>0</v>
      </c>
      <c r="BQ212" s="542">
        <v>0</v>
      </c>
      <c r="BR212" s="542">
        <v>-100000</v>
      </c>
      <c r="BS212" s="542">
        <v>-60000</v>
      </c>
      <c r="BT212" s="542">
        <v>-40000</v>
      </c>
      <c r="BU212" s="542">
        <v>0</v>
      </c>
      <c r="BV212" s="542">
        <v>-200000</v>
      </c>
      <c r="BW212" s="542">
        <v>-500000</v>
      </c>
      <c r="BX212" s="542">
        <v>-300000</v>
      </c>
      <c r="BY212" s="542">
        <v>-200000</v>
      </c>
      <c r="BZ212" s="542">
        <v>0</v>
      </c>
      <c r="CA212" s="542">
        <v>-1000000</v>
      </c>
    </row>
    <row r="213" spans="1:79" ht="12.75" x14ac:dyDescent="0.2">
      <c r="A213" s="93">
        <v>207</v>
      </c>
      <c r="B213" s="145" t="s">
        <v>292</v>
      </c>
      <c r="C213" s="141" t="s">
        <v>770</v>
      </c>
      <c r="D213" s="142" t="s">
        <v>878</v>
      </c>
      <c r="E213" s="149" t="s">
        <v>720</v>
      </c>
      <c r="F213" s="543">
        <v>0.5</v>
      </c>
      <c r="G213" s="543">
        <v>0.49</v>
      </c>
      <c r="H213" s="543">
        <v>0</v>
      </c>
      <c r="I213" s="543">
        <v>0.01</v>
      </c>
      <c r="J213" s="543">
        <v>1</v>
      </c>
      <c r="K213" s="542">
        <v>20370778.600000001</v>
      </c>
      <c r="L213" s="542">
        <v>19963363</v>
      </c>
      <c r="M213" s="542">
        <v>0</v>
      </c>
      <c r="N213" s="542">
        <v>407416</v>
      </c>
      <c r="O213" s="542">
        <v>40741557.600000001</v>
      </c>
      <c r="P213" s="542">
        <v>18510.439999999999</v>
      </c>
      <c r="Q213" s="542">
        <v>18510.439999999999</v>
      </c>
      <c r="R213" s="542">
        <v>20352268.199999999</v>
      </c>
      <c r="S213" s="542">
        <v>173562</v>
      </c>
      <c r="T213" s="542">
        <v>173562</v>
      </c>
      <c r="U213" s="542">
        <v>0</v>
      </c>
      <c r="V213" s="542">
        <v>0</v>
      </c>
      <c r="W213" s="542">
        <v>0</v>
      </c>
      <c r="X213" s="542">
        <v>0</v>
      </c>
      <c r="Y213" s="542">
        <v>0</v>
      </c>
      <c r="Z213" s="542">
        <v>18510.439999999999</v>
      </c>
      <c r="AA213" s="542">
        <v>0</v>
      </c>
      <c r="AB213" s="542">
        <v>0</v>
      </c>
      <c r="AC213" s="542">
        <v>18510.439999999999</v>
      </c>
      <c r="AD213" s="542">
        <v>0</v>
      </c>
      <c r="AE213" s="542">
        <v>0</v>
      </c>
      <c r="AF213" s="542">
        <v>0</v>
      </c>
      <c r="AG213" s="542">
        <v>0</v>
      </c>
      <c r="AH213" s="542">
        <v>0</v>
      </c>
      <c r="AI213" s="542">
        <v>-613358</v>
      </c>
      <c r="AJ213" s="542">
        <v>-601091</v>
      </c>
      <c r="AK213" s="542">
        <v>0</v>
      </c>
      <c r="AL213" s="542">
        <v>-12267</v>
      </c>
      <c r="AM213" s="542">
        <v>-1226716</v>
      </c>
      <c r="AN213" s="542">
        <v>-612545</v>
      </c>
      <c r="AO213" s="542">
        <v>-600295</v>
      </c>
      <c r="AP213" s="542">
        <v>0</v>
      </c>
      <c r="AQ213" s="542">
        <v>-12251</v>
      </c>
      <c r="AR213" s="542">
        <v>-1225091</v>
      </c>
      <c r="AS213" s="542">
        <v>214248</v>
      </c>
      <c r="AT213" s="542">
        <v>209964</v>
      </c>
      <c r="AU213" s="542">
        <v>0</v>
      </c>
      <c r="AV213" s="542">
        <v>4285</v>
      </c>
      <c r="AW213" s="542">
        <v>428497</v>
      </c>
      <c r="AX213" s="542">
        <v>-341335</v>
      </c>
      <c r="AY213" s="542">
        <v>-334509</v>
      </c>
      <c r="AZ213" s="542">
        <v>0</v>
      </c>
      <c r="BA213" s="542">
        <v>-6827</v>
      </c>
      <c r="BB213" s="542">
        <v>-682671</v>
      </c>
      <c r="BC213" s="542">
        <v>-739632</v>
      </c>
      <c r="BD213" s="542">
        <v>-724840</v>
      </c>
      <c r="BE213" s="542">
        <v>0</v>
      </c>
      <c r="BF213" s="542">
        <v>-14793</v>
      </c>
      <c r="BG213" s="542">
        <v>-1479265</v>
      </c>
      <c r="BH213" s="542">
        <v>-2363535</v>
      </c>
      <c r="BI213" s="542">
        <v>-2316266</v>
      </c>
      <c r="BJ213" s="542">
        <v>0</v>
      </c>
      <c r="BK213" s="542">
        <v>-47271</v>
      </c>
      <c r="BL213" s="542">
        <v>-4727072</v>
      </c>
      <c r="BM213" s="542">
        <v>915933</v>
      </c>
      <c r="BN213" s="542">
        <v>897615</v>
      </c>
      <c r="BO213" s="542">
        <v>0</v>
      </c>
      <c r="BP213" s="542">
        <v>18319</v>
      </c>
      <c r="BQ213" s="542">
        <v>1831867</v>
      </c>
      <c r="BR213" s="542">
        <v>-951508.34</v>
      </c>
      <c r="BS213" s="542">
        <v>-932478</v>
      </c>
      <c r="BT213" s="542">
        <v>0</v>
      </c>
      <c r="BU213" s="542">
        <v>-19030</v>
      </c>
      <c r="BV213" s="542">
        <v>-1903016.3</v>
      </c>
      <c r="BW213" s="542">
        <v>-2399110.2999999998</v>
      </c>
      <c r="BX213" s="542">
        <v>-2351129</v>
      </c>
      <c r="BY213" s="542">
        <v>0</v>
      </c>
      <c r="BZ213" s="542">
        <v>-47982</v>
      </c>
      <c r="CA213" s="542">
        <v>-4798221.3</v>
      </c>
    </row>
    <row r="214" spans="1:79" ht="12.75" x14ac:dyDescent="0.2">
      <c r="A214" s="93">
        <v>208</v>
      </c>
      <c r="B214" s="145" t="s">
        <v>294</v>
      </c>
      <c r="C214" s="141" t="s">
        <v>866</v>
      </c>
      <c r="D214" s="142" t="s">
        <v>876</v>
      </c>
      <c r="E214" s="149" t="s">
        <v>293</v>
      </c>
      <c r="F214" s="543">
        <v>0.5</v>
      </c>
      <c r="G214" s="543">
        <v>0.4</v>
      </c>
      <c r="H214" s="543">
        <v>0.09</v>
      </c>
      <c r="I214" s="543">
        <v>0.01</v>
      </c>
      <c r="J214" s="543">
        <v>1</v>
      </c>
      <c r="K214" s="542">
        <v>16634528</v>
      </c>
      <c r="L214" s="542">
        <v>13307623</v>
      </c>
      <c r="M214" s="542">
        <v>2994215</v>
      </c>
      <c r="N214" s="542">
        <v>332691</v>
      </c>
      <c r="O214" s="542">
        <v>33269057</v>
      </c>
      <c r="P214" s="542">
        <v>0</v>
      </c>
      <c r="Q214" s="542">
        <v>0</v>
      </c>
      <c r="R214" s="542">
        <v>16634528</v>
      </c>
      <c r="S214" s="542">
        <v>110669</v>
      </c>
      <c r="T214" s="542">
        <v>110669</v>
      </c>
      <c r="U214" s="542">
        <v>0</v>
      </c>
      <c r="V214" s="542">
        <v>0</v>
      </c>
      <c r="W214" s="542">
        <v>0</v>
      </c>
      <c r="X214" s="542">
        <v>0</v>
      </c>
      <c r="Y214" s="542">
        <v>0</v>
      </c>
      <c r="Z214" s="542">
        <v>0</v>
      </c>
      <c r="AA214" s="542">
        <v>0</v>
      </c>
      <c r="AB214" s="542">
        <v>0</v>
      </c>
      <c r="AC214" s="542">
        <v>0</v>
      </c>
      <c r="AD214" s="542">
        <v>1418402</v>
      </c>
      <c r="AE214" s="542">
        <v>1134722</v>
      </c>
      <c r="AF214" s="542">
        <v>255312</v>
      </c>
      <c r="AG214" s="542">
        <v>28368</v>
      </c>
      <c r="AH214" s="542">
        <v>2836804</v>
      </c>
      <c r="AI214" s="542">
        <v>-502806</v>
      </c>
      <c r="AJ214" s="542">
        <v>-402244</v>
      </c>
      <c r="AK214" s="542">
        <v>-90505</v>
      </c>
      <c r="AL214" s="542">
        <v>-10056</v>
      </c>
      <c r="AM214" s="542">
        <v>-1005611</v>
      </c>
      <c r="AN214" s="542">
        <v>-547712</v>
      </c>
      <c r="AO214" s="542">
        <v>-438169</v>
      </c>
      <c r="AP214" s="542">
        <v>-98588</v>
      </c>
      <c r="AQ214" s="542">
        <v>-10954</v>
      </c>
      <c r="AR214" s="542">
        <v>-1095423</v>
      </c>
      <c r="AS214" s="542">
        <v>45481</v>
      </c>
      <c r="AT214" s="542">
        <v>36386</v>
      </c>
      <c r="AU214" s="542">
        <v>8187</v>
      </c>
      <c r="AV214" s="542">
        <v>910</v>
      </c>
      <c r="AW214" s="542">
        <v>90964</v>
      </c>
      <c r="AX214" s="542">
        <v>-117184</v>
      </c>
      <c r="AY214" s="542">
        <v>-93748</v>
      </c>
      <c r="AZ214" s="542">
        <v>-21093</v>
      </c>
      <c r="BA214" s="542">
        <v>-2344</v>
      </c>
      <c r="BB214" s="542">
        <v>-234369</v>
      </c>
      <c r="BC214" s="542">
        <v>-619415</v>
      </c>
      <c r="BD214" s="542">
        <v>-495531</v>
      </c>
      <c r="BE214" s="542">
        <v>-111494</v>
      </c>
      <c r="BF214" s="542">
        <v>-12388</v>
      </c>
      <c r="BG214" s="542">
        <v>-1238828</v>
      </c>
      <c r="BH214" s="542">
        <v>-564052</v>
      </c>
      <c r="BI214" s="542">
        <v>-451241</v>
      </c>
      <c r="BJ214" s="542">
        <v>-101529</v>
      </c>
      <c r="BK214" s="542">
        <v>-11281</v>
      </c>
      <c r="BL214" s="542">
        <v>-1128103</v>
      </c>
      <c r="BM214" s="542">
        <v>0</v>
      </c>
      <c r="BN214" s="542">
        <v>0</v>
      </c>
      <c r="BO214" s="542">
        <v>0</v>
      </c>
      <c r="BP214" s="542">
        <v>0</v>
      </c>
      <c r="BQ214" s="542">
        <v>0</v>
      </c>
      <c r="BR214" s="542">
        <v>-1229494</v>
      </c>
      <c r="BS214" s="542">
        <v>-983596</v>
      </c>
      <c r="BT214" s="542">
        <v>-221309</v>
      </c>
      <c r="BU214" s="542">
        <v>-24590</v>
      </c>
      <c r="BV214" s="542">
        <v>-2458989</v>
      </c>
      <c r="BW214" s="542">
        <v>-1793546</v>
      </c>
      <c r="BX214" s="542">
        <v>-1434837</v>
      </c>
      <c r="BY214" s="542">
        <v>-322838</v>
      </c>
      <c r="BZ214" s="542">
        <v>-35871</v>
      </c>
      <c r="CA214" s="542">
        <v>-3587092</v>
      </c>
    </row>
    <row r="215" spans="1:79" ht="12.75" x14ac:dyDescent="0.2">
      <c r="A215" s="93">
        <v>209</v>
      </c>
      <c r="B215" s="145" t="s">
        <v>296</v>
      </c>
      <c r="C215" s="141" t="s">
        <v>866</v>
      </c>
      <c r="D215" s="142" t="s">
        <v>867</v>
      </c>
      <c r="E215" s="149" t="s">
        <v>721</v>
      </c>
      <c r="F215" s="543">
        <v>0.5</v>
      </c>
      <c r="G215" s="543">
        <v>0.4</v>
      </c>
      <c r="H215" s="543">
        <v>0.1</v>
      </c>
      <c r="I215" s="543">
        <v>0</v>
      </c>
      <c r="J215" s="543">
        <v>1</v>
      </c>
      <c r="K215" s="542">
        <v>23642920</v>
      </c>
      <c r="L215" s="542">
        <v>18914336</v>
      </c>
      <c r="M215" s="542">
        <v>4728584</v>
      </c>
      <c r="N215" s="542">
        <v>0</v>
      </c>
      <c r="O215" s="542">
        <v>47285840</v>
      </c>
      <c r="P215" s="542">
        <v>0</v>
      </c>
      <c r="Q215" s="542">
        <v>0</v>
      </c>
      <c r="R215" s="542">
        <v>23642920</v>
      </c>
      <c r="S215" s="542">
        <v>177048</v>
      </c>
      <c r="T215" s="542">
        <v>177048</v>
      </c>
      <c r="U215" s="542">
        <v>0</v>
      </c>
      <c r="V215" s="542">
        <v>0</v>
      </c>
      <c r="W215" s="542">
        <v>0</v>
      </c>
      <c r="X215" s="542">
        <v>0</v>
      </c>
      <c r="Y215" s="542">
        <v>0</v>
      </c>
      <c r="Z215" s="542">
        <v>0</v>
      </c>
      <c r="AA215" s="542">
        <v>0</v>
      </c>
      <c r="AB215" s="542">
        <v>0</v>
      </c>
      <c r="AC215" s="542">
        <v>0</v>
      </c>
      <c r="AD215" s="542">
        <v>300725</v>
      </c>
      <c r="AE215" s="542">
        <v>240580</v>
      </c>
      <c r="AF215" s="542">
        <v>60145</v>
      </c>
      <c r="AG215" s="542">
        <v>0</v>
      </c>
      <c r="AH215" s="542">
        <v>601450</v>
      </c>
      <c r="AI215" s="542">
        <v>-663192</v>
      </c>
      <c r="AJ215" s="542">
        <v>-530553</v>
      </c>
      <c r="AK215" s="542">
        <v>-132638</v>
      </c>
      <c r="AL215" s="542">
        <v>0</v>
      </c>
      <c r="AM215" s="542">
        <v>-1326383</v>
      </c>
      <c r="AN215" s="542">
        <v>-64995.1</v>
      </c>
      <c r="AO215" s="542">
        <v>-51996</v>
      </c>
      <c r="AP215" s="542">
        <v>-12999</v>
      </c>
      <c r="AQ215" s="542">
        <v>0</v>
      </c>
      <c r="AR215" s="542">
        <v>-129990.1</v>
      </c>
      <c r="AS215" s="542">
        <v>96769</v>
      </c>
      <c r="AT215" s="542">
        <v>77415</v>
      </c>
      <c r="AU215" s="542">
        <v>19354</v>
      </c>
      <c r="AV215" s="542">
        <v>0</v>
      </c>
      <c r="AW215" s="542">
        <v>193538</v>
      </c>
      <c r="AX215" s="542">
        <v>-87181</v>
      </c>
      <c r="AY215" s="542">
        <v>-69745</v>
      </c>
      <c r="AZ215" s="542">
        <v>-17436</v>
      </c>
      <c r="BA215" s="542">
        <v>0</v>
      </c>
      <c r="BB215" s="542">
        <v>-174362</v>
      </c>
      <c r="BC215" s="542">
        <v>-55407.1</v>
      </c>
      <c r="BD215" s="542">
        <v>-44326</v>
      </c>
      <c r="BE215" s="542">
        <v>-11081</v>
      </c>
      <c r="BF215" s="542">
        <v>0</v>
      </c>
      <c r="BG215" s="542">
        <v>-110814.1</v>
      </c>
      <c r="BH215" s="542">
        <v>-690307</v>
      </c>
      <c r="BI215" s="542">
        <v>-552247</v>
      </c>
      <c r="BJ215" s="542">
        <v>-138062</v>
      </c>
      <c r="BK215" s="542">
        <v>0</v>
      </c>
      <c r="BL215" s="542">
        <v>-1380616</v>
      </c>
      <c r="BM215" s="542">
        <v>549057</v>
      </c>
      <c r="BN215" s="542">
        <v>439245</v>
      </c>
      <c r="BO215" s="542">
        <v>109811</v>
      </c>
      <c r="BP215" s="542">
        <v>0</v>
      </c>
      <c r="BQ215" s="542">
        <v>1098113</v>
      </c>
      <c r="BR215" s="542">
        <v>-994507</v>
      </c>
      <c r="BS215" s="542">
        <v>-795606</v>
      </c>
      <c r="BT215" s="542">
        <v>-198902</v>
      </c>
      <c r="BU215" s="542">
        <v>0</v>
      </c>
      <c r="BV215" s="542">
        <v>-1989015</v>
      </c>
      <c r="BW215" s="542">
        <v>-1135757</v>
      </c>
      <c r="BX215" s="542">
        <v>-908608</v>
      </c>
      <c r="BY215" s="542">
        <v>-227153</v>
      </c>
      <c r="BZ215" s="542">
        <v>0</v>
      </c>
      <c r="CA215" s="542">
        <v>-2271518</v>
      </c>
    </row>
    <row r="216" spans="1:79" ht="12.75" x14ac:dyDescent="0.2">
      <c r="A216" s="93">
        <v>210</v>
      </c>
      <c r="B216" s="145" t="s">
        <v>298</v>
      </c>
      <c r="C216" s="141" t="s">
        <v>866</v>
      </c>
      <c r="D216" s="142" t="s">
        <v>868</v>
      </c>
      <c r="E216" s="149" t="s">
        <v>297</v>
      </c>
      <c r="F216" s="543">
        <v>0.5</v>
      </c>
      <c r="G216" s="543">
        <v>0.4</v>
      </c>
      <c r="H216" s="543">
        <v>0.09</v>
      </c>
      <c r="I216" s="543">
        <v>0.01</v>
      </c>
      <c r="J216" s="543">
        <v>1</v>
      </c>
      <c r="K216" s="542">
        <v>7009445</v>
      </c>
      <c r="L216" s="542">
        <v>5607556</v>
      </c>
      <c r="M216" s="542">
        <v>1261700</v>
      </c>
      <c r="N216" s="542">
        <v>140189</v>
      </c>
      <c r="O216" s="542">
        <v>14018890</v>
      </c>
      <c r="P216" s="542">
        <v>0</v>
      </c>
      <c r="Q216" s="542">
        <v>0</v>
      </c>
      <c r="R216" s="542">
        <v>7009445</v>
      </c>
      <c r="S216" s="542">
        <v>87901</v>
      </c>
      <c r="T216" s="542">
        <v>87901</v>
      </c>
      <c r="U216" s="542">
        <v>10008</v>
      </c>
      <c r="V216" s="542">
        <v>10008</v>
      </c>
      <c r="W216" s="542">
        <v>129</v>
      </c>
      <c r="X216" s="542">
        <v>0</v>
      </c>
      <c r="Y216" s="542">
        <v>129</v>
      </c>
      <c r="Z216" s="542">
        <v>0</v>
      </c>
      <c r="AA216" s="542">
        <v>0</v>
      </c>
      <c r="AB216" s="542">
        <v>0</v>
      </c>
      <c r="AC216" s="542">
        <v>0</v>
      </c>
      <c r="AD216" s="542">
        <v>246313</v>
      </c>
      <c r="AE216" s="542">
        <v>197050</v>
      </c>
      <c r="AF216" s="542">
        <v>44336</v>
      </c>
      <c r="AG216" s="542">
        <v>4926</v>
      </c>
      <c r="AH216" s="542">
        <v>492625</v>
      </c>
      <c r="AI216" s="542">
        <v>-40016</v>
      </c>
      <c r="AJ216" s="542">
        <v>-32013</v>
      </c>
      <c r="AK216" s="542">
        <v>-7203</v>
      </c>
      <c r="AL216" s="542">
        <v>-800</v>
      </c>
      <c r="AM216" s="542">
        <v>-80032</v>
      </c>
      <c r="AN216" s="542">
        <v>-165000</v>
      </c>
      <c r="AO216" s="542">
        <v>-132000</v>
      </c>
      <c r="AP216" s="542">
        <v>-29700</v>
      </c>
      <c r="AQ216" s="542">
        <v>-3300</v>
      </c>
      <c r="AR216" s="542">
        <v>-330000</v>
      </c>
      <c r="AS216" s="542">
        <v>48119</v>
      </c>
      <c r="AT216" s="542">
        <v>38494</v>
      </c>
      <c r="AU216" s="542">
        <v>8661</v>
      </c>
      <c r="AV216" s="542">
        <v>962</v>
      </c>
      <c r="AW216" s="542">
        <v>96236</v>
      </c>
      <c r="AX216" s="542">
        <v>-48119</v>
      </c>
      <c r="AY216" s="542">
        <v>-38494</v>
      </c>
      <c r="AZ216" s="542">
        <v>-8661</v>
      </c>
      <c r="BA216" s="542">
        <v>-962</v>
      </c>
      <c r="BB216" s="542">
        <v>-96236</v>
      </c>
      <c r="BC216" s="542">
        <v>-165000</v>
      </c>
      <c r="BD216" s="542">
        <v>-132000</v>
      </c>
      <c r="BE216" s="542">
        <v>-29700</v>
      </c>
      <c r="BF216" s="542">
        <v>-3300</v>
      </c>
      <c r="BG216" s="542">
        <v>-330000</v>
      </c>
      <c r="BH216" s="542">
        <v>-184000</v>
      </c>
      <c r="BI216" s="542">
        <v>-147200</v>
      </c>
      <c r="BJ216" s="542">
        <v>-33120</v>
      </c>
      <c r="BK216" s="542">
        <v>-3680</v>
      </c>
      <c r="BL216" s="542">
        <v>-368000</v>
      </c>
      <c r="BM216" s="542">
        <v>0</v>
      </c>
      <c r="BN216" s="542">
        <v>0</v>
      </c>
      <c r="BO216" s="542">
        <v>0</v>
      </c>
      <c r="BP216" s="542">
        <v>0</v>
      </c>
      <c r="BQ216" s="542">
        <v>0</v>
      </c>
      <c r="BR216" s="542">
        <v>-49600</v>
      </c>
      <c r="BS216" s="542">
        <v>-39680</v>
      </c>
      <c r="BT216" s="542">
        <v>-8928</v>
      </c>
      <c r="BU216" s="542">
        <v>-992</v>
      </c>
      <c r="BV216" s="542">
        <v>-99200</v>
      </c>
      <c r="BW216" s="542">
        <v>-233600</v>
      </c>
      <c r="BX216" s="542">
        <v>-186880</v>
      </c>
      <c r="BY216" s="542">
        <v>-42048</v>
      </c>
      <c r="BZ216" s="542">
        <v>-4672</v>
      </c>
      <c r="CA216" s="542">
        <v>-467200</v>
      </c>
    </row>
    <row r="217" spans="1:79" ht="12.75" x14ac:dyDescent="0.2">
      <c r="A217" s="93">
        <v>211</v>
      </c>
      <c r="B217" s="145" t="s">
        <v>300</v>
      </c>
      <c r="C217" s="141" t="s">
        <v>871</v>
      </c>
      <c r="D217" s="142" t="s">
        <v>872</v>
      </c>
      <c r="E217" s="149" t="s">
        <v>299</v>
      </c>
      <c r="F217" s="543">
        <v>0.5</v>
      </c>
      <c r="G217" s="543">
        <v>0.3</v>
      </c>
      <c r="H217" s="543">
        <v>0.2</v>
      </c>
      <c r="I217" s="543">
        <v>0</v>
      </c>
      <c r="J217" s="543">
        <v>1</v>
      </c>
      <c r="K217" s="542">
        <v>38761842</v>
      </c>
      <c r="L217" s="542">
        <v>23257105</v>
      </c>
      <c r="M217" s="542">
        <v>15504737</v>
      </c>
      <c r="N217" s="542">
        <v>0</v>
      </c>
      <c r="O217" s="542">
        <v>77523684</v>
      </c>
      <c r="P217" s="542">
        <v>0</v>
      </c>
      <c r="Q217" s="542">
        <v>0</v>
      </c>
      <c r="R217" s="542">
        <v>38761842</v>
      </c>
      <c r="S217" s="542">
        <v>303621</v>
      </c>
      <c r="T217" s="542">
        <v>303621</v>
      </c>
      <c r="U217" s="542">
        <v>0</v>
      </c>
      <c r="V217" s="542">
        <v>0</v>
      </c>
      <c r="W217" s="542">
        <v>0</v>
      </c>
      <c r="X217" s="542">
        <v>0</v>
      </c>
      <c r="Y217" s="542">
        <v>0</v>
      </c>
      <c r="Z217" s="542">
        <v>0</v>
      </c>
      <c r="AA217" s="542">
        <v>0</v>
      </c>
      <c r="AB217" s="542">
        <v>0</v>
      </c>
      <c r="AC217" s="542">
        <v>0</v>
      </c>
      <c r="AD217" s="542">
        <v>2444529</v>
      </c>
      <c r="AE217" s="542">
        <v>1466717</v>
      </c>
      <c r="AF217" s="542">
        <v>977811</v>
      </c>
      <c r="AG217" s="542">
        <v>0</v>
      </c>
      <c r="AH217" s="542">
        <v>4889057</v>
      </c>
      <c r="AI217" s="542">
        <v>-1177002</v>
      </c>
      <c r="AJ217" s="542">
        <v>-706202</v>
      </c>
      <c r="AK217" s="542">
        <v>-470801</v>
      </c>
      <c r="AL217" s="542">
        <v>0</v>
      </c>
      <c r="AM217" s="542">
        <v>-2354005</v>
      </c>
      <c r="AN217" s="542">
        <v>-128032</v>
      </c>
      <c r="AO217" s="542">
        <v>-76819</v>
      </c>
      <c r="AP217" s="542">
        <v>-51213</v>
      </c>
      <c r="AQ217" s="542">
        <v>0</v>
      </c>
      <c r="AR217" s="542">
        <v>-256064</v>
      </c>
      <c r="AS217" s="542">
        <v>4211</v>
      </c>
      <c r="AT217" s="542">
        <v>2527</v>
      </c>
      <c r="AU217" s="542">
        <v>1684</v>
      </c>
      <c r="AV217" s="542">
        <v>0</v>
      </c>
      <c r="AW217" s="542">
        <v>8422</v>
      </c>
      <c r="AX217" s="542">
        <v>-26016</v>
      </c>
      <c r="AY217" s="542">
        <v>-15610</v>
      </c>
      <c r="AZ217" s="542">
        <v>-10406</v>
      </c>
      <c r="BA217" s="542">
        <v>0</v>
      </c>
      <c r="BB217" s="542">
        <v>-52032</v>
      </c>
      <c r="BC217" s="542">
        <v>-149837</v>
      </c>
      <c r="BD217" s="542">
        <v>-89902</v>
      </c>
      <c r="BE217" s="542">
        <v>-59935</v>
      </c>
      <c r="BF217" s="542">
        <v>0</v>
      </c>
      <c r="BG217" s="542">
        <v>-299674</v>
      </c>
      <c r="BH217" s="542">
        <v>-2062501</v>
      </c>
      <c r="BI217" s="542">
        <v>-1237501</v>
      </c>
      <c r="BJ217" s="542">
        <v>-825001</v>
      </c>
      <c r="BK217" s="542">
        <v>0</v>
      </c>
      <c r="BL217" s="542">
        <v>-4125003</v>
      </c>
      <c r="BM217" s="542">
        <v>1542848</v>
      </c>
      <c r="BN217" s="542">
        <v>925709</v>
      </c>
      <c r="BO217" s="542">
        <v>617139</v>
      </c>
      <c r="BP217" s="542">
        <v>0</v>
      </c>
      <c r="BQ217" s="542">
        <v>3085696</v>
      </c>
      <c r="BR217" s="542">
        <v>-2844007</v>
      </c>
      <c r="BS217" s="542">
        <v>-1706405</v>
      </c>
      <c r="BT217" s="542">
        <v>-1137603</v>
      </c>
      <c r="BU217" s="542">
        <v>0</v>
      </c>
      <c r="BV217" s="542">
        <v>-5688015</v>
      </c>
      <c r="BW217" s="542">
        <v>-3363660</v>
      </c>
      <c r="BX217" s="542">
        <v>-2018197</v>
      </c>
      <c r="BY217" s="542">
        <v>-1345465</v>
      </c>
      <c r="BZ217" s="542">
        <v>0</v>
      </c>
      <c r="CA217" s="542">
        <v>-6727322</v>
      </c>
    </row>
    <row r="218" spans="1:79" ht="12.75" x14ac:dyDescent="0.2">
      <c r="A218" s="93">
        <v>212</v>
      </c>
      <c r="B218" s="145" t="s">
        <v>302</v>
      </c>
      <c r="C218" s="141" t="s">
        <v>866</v>
      </c>
      <c r="D218" s="142" t="s">
        <v>874</v>
      </c>
      <c r="E218" s="149" t="s">
        <v>301</v>
      </c>
      <c r="F218" s="543">
        <v>0.5</v>
      </c>
      <c r="G218" s="543">
        <v>0.4</v>
      </c>
      <c r="H218" s="543">
        <v>0.09</v>
      </c>
      <c r="I218" s="543">
        <v>0.01</v>
      </c>
      <c r="J218" s="543">
        <v>1</v>
      </c>
      <c r="K218" s="542">
        <v>4520824</v>
      </c>
      <c r="L218" s="542">
        <v>3616660</v>
      </c>
      <c r="M218" s="542">
        <v>813749</v>
      </c>
      <c r="N218" s="542">
        <v>90417</v>
      </c>
      <c r="O218" s="542">
        <v>9041650</v>
      </c>
      <c r="P218" s="542">
        <v>0</v>
      </c>
      <c r="Q218" s="542">
        <v>0</v>
      </c>
      <c r="R218" s="542">
        <v>4520824</v>
      </c>
      <c r="S218" s="542">
        <v>96960</v>
      </c>
      <c r="T218" s="542">
        <v>96960</v>
      </c>
      <c r="U218" s="542">
        <v>0</v>
      </c>
      <c r="V218" s="542">
        <v>0</v>
      </c>
      <c r="W218" s="542">
        <v>0</v>
      </c>
      <c r="X218" s="542">
        <v>0</v>
      </c>
      <c r="Y218" s="542">
        <v>0</v>
      </c>
      <c r="Z218" s="542">
        <v>0</v>
      </c>
      <c r="AA218" s="542">
        <v>0</v>
      </c>
      <c r="AB218" s="542">
        <v>0</v>
      </c>
      <c r="AC218" s="542">
        <v>0</v>
      </c>
      <c r="AD218" s="542">
        <v>260738</v>
      </c>
      <c r="AE218" s="542">
        <v>208590</v>
      </c>
      <c r="AF218" s="542">
        <v>46933</v>
      </c>
      <c r="AG218" s="542">
        <v>5215</v>
      </c>
      <c r="AH218" s="542">
        <v>521476</v>
      </c>
      <c r="AI218" s="542">
        <v>-2019831</v>
      </c>
      <c r="AJ218" s="542">
        <v>-1615866</v>
      </c>
      <c r="AK218" s="542">
        <v>-363570</v>
      </c>
      <c r="AL218" s="542">
        <v>-40397</v>
      </c>
      <c r="AM218" s="542">
        <v>-4039664</v>
      </c>
      <c r="AN218" s="542">
        <v>-103969</v>
      </c>
      <c r="AO218" s="542">
        <v>-83175</v>
      </c>
      <c r="AP218" s="542">
        <v>-18715</v>
      </c>
      <c r="AQ218" s="542">
        <v>-2079</v>
      </c>
      <c r="AR218" s="542">
        <v>-207938</v>
      </c>
      <c r="AS218" s="542">
        <v>9215</v>
      </c>
      <c r="AT218" s="542">
        <v>7372</v>
      </c>
      <c r="AU218" s="542">
        <v>1659</v>
      </c>
      <c r="AV218" s="542">
        <v>184</v>
      </c>
      <c r="AW218" s="542">
        <v>18430</v>
      </c>
      <c r="AX218" s="542">
        <v>-25097</v>
      </c>
      <c r="AY218" s="542">
        <v>-20077</v>
      </c>
      <c r="AZ218" s="542">
        <v>-4517</v>
      </c>
      <c r="BA218" s="542">
        <v>-502</v>
      </c>
      <c r="BB218" s="542">
        <v>-50193</v>
      </c>
      <c r="BC218" s="542">
        <v>-119851</v>
      </c>
      <c r="BD218" s="542">
        <v>-95880</v>
      </c>
      <c r="BE218" s="542">
        <v>-21573</v>
      </c>
      <c r="BF218" s="542">
        <v>-2397</v>
      </c>
      <c r="BG218" s="542">
        <v>-239701</v>
      </c>
      <c r="BH218" s="542">
        <v>-687500</v>
      </c>
      <c r="BI218" s="542">
        <v>-550000</v>
      </c>
      <c r="BJ218" s="542">
        <v>-123750</v>
      </c>
      <c r="BK218" s="542">
        <v>-13750</v>
      </c>
      <c r="BL218" s="542">
        <v>-1375000</v>
      </c>
      <c r="BM218" s="542">
        <v>2154877</v>
      </c>
      <c r="BN218" s="542">
        <v>1723902</v>
      </c>
      <c r="BO218" s="542">
        <v>387878</v>
      </c>
      <c r="BP218" s="542">
        <v>43098</v>
      </c>
      <c r="BQ218" s="542">
        <v>4309755</v>
      </c>
      <c r="BR218" s="542">
        <v>-1790127</v>
      </c>
      <c r="BS218" s="542">
        <v>-1432102</v>
      </c>
      <c r="BT218" s="542">
        <v>-322223</v>
      </c>
      <c r="BU218" s="542">
        <v>-35803</v>
      </c>
      <c r="BV218" s="542">
        <v>-3580255</v>
      </c>
      <c r="BW218" s="542">
        <v>-322750</v>
      </c>
      <c r="BX218" s="542">
        <v>-258200</v>
      </c>
      <c r="BY218" s="542">
        <v>-58095</v>
      </c>
      <c r="BZ218" s="542">
        <v>-6455</v>
      </c>
      <c r="CA218" s="542">
        <v>-645500</v>
      </c>
    </row>
    <row r="219" spans="1:79" ht="12.75" x14ac:dyDescent="0.2">
      <c r="A219" s="93">
        <v>213</v>
      </c>
      <c r="B219" s="145" t="s">
        <v>304</v>
      </c>
      <c r="C219" s="141" t="s">
        <v>873</v>
      </c>
      <c r="D219" s="142" t="s">
        <v>868</v>
      </c>
      <c r="E219" s="149" t="s">
        <v>303</v>
      </c>
      <c r="F219" s="543">
        <v>0.5</v>
      </c>
      <c r="G219" s="543">
        <v>0.49</v>
      </c>
      <c r="H219" s="543">
        <v>0</v>
      </c>
      <c r="I219" s="543">
        <v>0.01</v>
      </c>
      <c r="J219" s="543">
        <v>1</v>
      </c>
      <c r="K219" s="542">
        <v>27936123</v>
      </c>
      <c r="L219" s="542">
        <v>27377400</v>
      </c>
      <c r="M219" s="542">
        <v>0</v>
      </c>
      <c r="N219" s="542">
        <v>558722</v>
      </c>
      <c r="O219" s="542">
        <v>55872245</v>
      </c>
      <c r="P219" s="542">
        <v>0</v>
      </c>
      <c r="Q219" s="542">
        <v>0</v>
      </c>
      <c r="R219" s="542">
        <v>27936123</v>
      </c>
      <c r="S219" s="542">
        <v>287498</v>
      </c>
      <c r="T219" s="542">
        <v>287498</v>
      </c>
      <c r="U219" s="542">
        <v>0</v>
      </c>
      <c r="V219" s="542">
        <v>0</v>
      </c>
      <c r="W219" s="542">
        <v>0</v>
      </c>
      <c r="X219" s="542">
        <v>0</v>
      </c>
      <c r="Y219" s="542">
        <v>0</v>
      </c>
      <c r="Z219" s="542">
        <v>0</v>
      </c>
      <c r="AA219" s="542">
        <v>0</v>
      </c>
      <c r="AB219" s="542">
        <v>0</v>
      </c>
      <c r="AC219" s="542">
        <v>0</v>
      </c>
      <c r="AD219" s="542">
        <v>1562122</v>
      </c>
      <c r="AE219" s="542">
        <v>1530879</v>
      </c>
      <c r="AF219" s="542">
        <v>0</v>
      </c>
      <c r="AG219" s="542">
        <v>31242</v>
      </c>
      <c r="AH219" s="542">
        <v>3124243</v>
      </c>
      <c r="AI219" s="542">
        <v>-331294</v>
      </c>
      <c r="AJ219" s="542">
        <v>-324668</v>
      </c>
      <c r="AK219" s="542">
        <v>0</v>
      </c>
      <c r="AL219" s="542">
        <v>-6626</v>
      </c>
      <c r="AM219" s="542">
        <v>-662588</v>
      </c>
      <c r="AN219" s="542">
        <v>-831500</v>
      </c>
      <c r="AO219" s="542">
        <v>-814870</v>
      </c>
      <c r="AP219" s="542">
        <v>0</v>
      </c>
      <c r="AQ219" s="542">
        <v>-16630</v>
      </c>
      <c r="AR219" s="542">
        <v>-1663000</v>
      </c>
      <c r="AS219" s="542">
        <v>584878</v>
      </c>
      <c r="AT219" s="542">
        <v>573181</v>
      </c>
      <c r="AU219" s="542">
        <v>0</v>
      </c>
      <c r="AV219" s="542">
        <v>11698</v>
      </c>
      <c r="AW219" s="542">
        <v>1169757</v>
      </c>
      <c r="AX219" s="542">
        <v>-546858</v>
      </c>
      <c r="AY219" s="542">
        <v>-535920</v>
      </c>
      <c r="AZ219" s="542">
        <v>0</v>
      </c>
      <c r="BA219" s="542">
        <v>-10937</v>
      </c>
      <c r="BB219" s="542">
        <v>-1093715</v>
      </c>
      <c r="BC219" s="542">
        <v>-793480</v>
      </c>
      <c r="BD219" s="542">
        <v>-777609</v>
      </c>
      <c r="BE219" s="542">
        <v>0</v>
      </c>
      <c r="BF219" s="542">
        <v>-15869</v>
      </c>
      <c r="BG219" s="542">
        <v>-1586958</v>
      </c>
      <c r="BH219" s="542">
        <v>-1310133</v>
      </c>
      <c r="BI219" s="542">
        <v>-1283931</v>
      </c>
      <c r="BJ219" s="542">
        <v>0</v>
      </c>
      <c r="BK219" s="542">
        <v>-26202</v>
      </c>
      <c r="BL219" s="542">
        <v>-2620266</v>
      </c>
      <c r="BM219" s="542">
        <v>966535</v>
      </c>
      <c r="BN219" s="542">
        <v>947205</v>
      </c>
      <c r="BO219" s="542">
        <v>0</v>
      </c>
      <c r="BP219" s="542">
        <v>19331</v>
      </c>
      <c r="BQ219" s="542">
        <v>1933071</v>
      </c>
      <c r="BR219" s="542">
        <v>-3250435</v>
      </c>
      <c r="BS219" s="542">
        <v>-3185427</v>
      </c>
      <c r="BT219" s="542">
        <v>0</v>
      </c>
      <c r="BU219" s="542">
        <v>-65009</v>
      </c>
      <c r="BV219" s="542">
        <v>-6500871</v>
      </c>
      <c r="BW219" s="542">
        <v>-3594033</v>
      </c>
      <c r="BX219" s="542">
        <v>-3522153</v>
      </c>
      <c r="BY219" s="542">
        <v>0</v>
      </c>
      <c r="BZ219" s="542">
        <v>-71880</v>
      </c>
      <c r="CA219" s="542">
        <v>-7188066</v>
      </c>
    </row>
    <row r="220" spans="1:79" ht="12.75" x14ac:dyDescent="0.2">
      <c r="A220" s="93">
        <v>214</v>
      </c>
      <c r="B220" s="145" t="s">
        <v>306</v>
      </c>
      <c r="C220" s="141" t="s">
        <v>866</v>
      </c>
      <c r="D220" s="142" t="s">
        <v>870</v>
      </c>
      <c r="E220" s="149" t="s">
        <v>305</v>
      </c>
      <c r="F220" s="543">
        <v>0.5</v>
      </c>
      <c r="G220" s="543">
        <v>0.4</v>
      </c>
      <c r="H220" s="543">
        <v>0.09</v>
      </c>
      <c r="I220" s="543">
        <v>0.01</v>
      </c>
      <c r="J220" s="543">
        <v>1</v>
      </c>
      <c r="K220" s="542">
        <v>7714094</v>
      </c>
      <c r="L220" s="542">
        <v>6171276</v>
      </c>
      <c r="M220" s="542">
        <v>1388537</v>
      </c>
      <c r="N220" s="542">
        <v>154282</v>
      </c>
      <c r="O220" s="542">
        <v>15428189</v>
      </c>
      <c r="P220" s="542">
        <v>0</v>
      </c>
      <c r="Q220" s="542">
        <v>0</v>
      </c>
      <c r="R220" s="542">
        <v>7714094</v>
      </c>
      <c r="S220" s="542">
        <v>85477</v>
      </c>
      <c r="T220" s="542">
        <v>85477</v>
      </c>
      <c r="U220" s="542">
        <v>0</v>
      </c>
      <c r="V220" s="542">
        <v>0</v>
      </c>
      <c r="W220" s="542">
        <v>0</v>
      </c>
      <c r="X220" s="542">
        <v>0</v>
      </c>
      <c r="Y220" s="542">
        <v>0</v>
      </c>
      <c r="Z220" s="542">
        <v>0</v>
      </c>
      <c r="AA220" s="542">
        <v>0</v>
      </c>
      <c r="AB220" s="542">
        <v>0</v>
      </c>
      <c r="AC220" s="542">
        <v>0</v>
      </c>
      <c r="AD220" s="542">
        <v>219511</v>
      </c>
      <c r="AE220" s="542">
        <v>175609</v>
      </c>
      <c r="AF220" s="542">
        <v>39512</v>
      </c>
      <c r="AG220" s="542">
        <v>4390</v>
      </c>
      <c r="AH220" s="542">
        <v>439022</v>
      </c>
      <c r="AI220" s="542">
        <v>-9159</v>
      </c>
      <c r="AJ220" s="542">
        <v>-7328</v>
      </c>
      <c r="AK220" s="542">
        <v>-1649</v>
      </c>
      <c r="AL220" s="542">
        <v>-183</v>
      </c>
      <c r="AM220" s="542">
        <v>-18319</v>
      </c>
      <c r="AN220" s="542">
        <v>-135778</v>
      </c>
      <c r="AO220" s="542">
        <v>-108623</v>
      </c>
      <c r="AP220" s="542">
        <v>-24441</v>
      </c>
      <c r="AQ220" s="542">
        <v>-2716</v>
      </c>
      <c r="AR220" s="542">
        <v>-271558</v>
      </c>
      <c r="AS220" s="542">
        <v>0</v>
      </c>
      <c r="AT220" s="542">
        <v>0</v>
      </c>
      <c r="AU220" s="542">
        <v>0</v>
      </c>
      <c r="AV220" s="542">
        <v>0</v>
      </c>
      <c r="AW220" s="542">
        <v>0</v>
      </c>
      <c r="AX220" s="542">
        <v>10792</v>
      </c>
      <c r="AY220" s="542">
        <v>8633</v>
      </c>
      <c r="AZ220" s="542">
        <v>1942</v>
      </c>
      <c r="BA220" s="542">
        <v>216</v>
      </c>
      <c r="BB220" s="542">
        <v>21583</v>
      </c>
      <c r="BC220" s="542">
        <v>-124986</v>
      </c>
      <c r="BD220" s="542">
        <v>-99990</v>
      </c>
      <c r="BE220" s="542">
        <v>-22499</v>
      </c>
      <c r="BF220" s="542">
        <v>-2500</v>
      </c>
      <c r="BG220" s="542">
        <v>-249975</v>
      </c>
      <c r="BH220" s="542">
        <v>-170167</v>
      </c>
      <c r="BI220" s="542">
        <v>-136133</v>
      </c>
      <c r="BJ220" s="542">
        <v>-30630</v>
      </c>
      <c r="BK220" s="542">
        <v>-3404</v>
      </c>
      <c r="BL220" s="542">
        <v>-340334</v>
      </c>
      <c r="BM220" s="542">
        <v>66015</v>
      </c>
      <c r="BN220" s="542">
        <v>52812</v>
      </c>
      <c r="BO220" s="542">
        <v>11883</v>
      </c>
      <c r="BP220" s="542">
        <v>1320</v>
      </c>
      <c r="BQ220" s="542">
        <v>132030</v>
      </c>
      <c r="BR220" s="542">
        <v>-7415</v>
      </c>
      <c r="BS220" s="542">
        <v>-5932</v>
      </c>
      <c r="BT220" s="542">
        <v>-1335</v>
      </c>
      <c r="BU220" s="542">
        <v>-148</v>
      </c>
      <c r="BV220" s="542">
        <v>-14830</v>
      </c>
      <c r="BW220" s="542">
        <v>-111567</v>
      </c>
      <c r="BX220" s="542">
        <v>-89253</v>
      </c>
      <c r="BY220" s="542">
        <v>-20082</v>
      </c>
      <c r="BZ220" s="542">
        <v>-2232</v>
      </c>
      <c r="CA220" s="542">
        <v>-223134</v>
      </c>
    </row>
    <row r="221" spans="1:79" ht="12.75" x14ac:dyDescent="0.2">
      <c r="A221" s="93">
        <v>215</v>
      </c>
      <c r="B221" s="145" t="s">
        <v>308</v>
      </c>
      <c r="C221" s="141" t="s">
        <v>866</v>
      </c>
      <c r="D221" s="142" t="s">
        <v>868</v>
      </c>
      <c r="E221" s="149" t="s">
        <v>307</v>
      </c>
      <c r="F221" s="543">
        <v>0.5</v>
      </c>
      <c r="G221" s="543">
        <v>0.4</v>
      </c>
      <c r="H221" s="543">
        <v>0.09</v>
      </c>
      <c r="I221" s="543">
        <v>0.01</v>
      </c>
      <c r="J221" s="543">
        <v>1</v>
      </c>
      <c r="K221" s="542">
        <v>6494911</v>
      </c>
      <c r="L221" s="542">
        <v>5195928</v>
      </c>
      <c r="M221" s="542">
        <v>1169084</v>
      </c>
      <c r="N221" s="542">
        <v>129898</v>
      </c>
      <c r="O221" s="542">
        <v>12989821</v>
      </c>
      <c r="P221" s="542">
        <v>0</v>
      </c>
      <c r="Q221" s="542">
        <v>0</v>
      </c>
      <c r="R221" s="542">
        <v>6494911</v>
      </c>
      <c r="S221" s="542">
        <v>100612</v>
      </c>
      <c r="T221" s="542">
        <v>100612</v>
      </c>
      <c r="U221" s="542">
        <v>0</v>
      </c>
      <c r="V221" s="542">
        <v>0</v>
      </c>
      <c r="W221" s="542">
        <v>0</v>
      </c>
      <c r="X221" s="542">
        <v>0</v>
      </c>
      <c r="Y221" s="542">
        <v>0</v>
      </c>
      <c r="Z221" s="542">
        <v>0</v>
      </c>
      <c r="AA221" s="542">
        <v>0</v>
      </c>
      <c r="AB221" s="542">
        <v>0</v>
      </c>
      <c r="AC221" s="542">
        <v>0</v>
      </c>
      <c r="AD221" s="542">
        <v>543873</v>
      </c>
      <c r="AE221" s="542">
        <v>435098</v>
      </c>
      <c r="AF221" s="542">
        <v>97897</v>
      </c>
      <c r="AG221" s="542">
        <v>10877</v>
      </c>
      <c r="AH221" s="542">
        <v>1087745</v>
      </c>
      <c r="AI221" s="542">
        <v>0</v>
      </c>
      <c r="AJ221" s="542">
        <v>0</v>
      </c>
      <c r="AK221" s="542">
        <v>0</v>
      </c>
      <c r="AL221" s="542">
        <v>0</v>
      </c>
      <c r="AM221" s="542">
        <v>0</v>
      </c>
      <c r="AN221" s="542">
        <v>-434564</v>
      </c>
      <c r="AO221" s="542">
        <v>-347652</v>
      </c>
      <c r="AP221" s="542">
        <v>-78222</v>
      </c>
      <c r="AQ221" s="542">
        <v>-8691</v>
      </c>
      <c r="AR221" s="542">
        <v>-869129</v>
      </c>
      <c r="AS221" s="542">
        <v>104891</v>
      </c>
      <c r="AT221" s="542">
        <v>83912</v>
      </c>
      <c r="AU221" s="542">
        <v>18880</v>
      </c>
      <c r="AV221" s="542">
        <v>2098</v>
      </c>
      <c r="AW221" s="542">
        <v>209781</v>
      </c>
      <c r="AX221" s="542">
        <v>-82629</v>
      </c>
      <c r="AY221" s="542">
        <v>-66103</v>
      </c>
      <c r="AZ221" s="542">
        <v>-14873</v>
      </c>
      <c r="BA221" s="542">
        <v>-1653</v>
      </c>
      <c r="BB221" s="542">
        <v>-165258</v>
      </c>
      <c r="BC221" s="542">
        <v>-412302</v>
      </c>
      <c r="BD221" s="542">
        <v>-329843</v>
      </c>
      <c r="BE221" s="542">
        <v>-74215</v>
      </c>
      <c r="BF221" s="542">
        <v>-8246</v>
      </c>
      <c r="BG221" s="542">
        <v>-824606</v>
      </c>
      <c r="BH221" s="542">
        <v>-229986</v>
      </c>
      <c r="BI221" s="542">
        <v>-183989</v>
      </c>
      <c r="BJ221" s="542">
        <v>-41397</v>
      </c>
      <c r="BK221" s="542">
        <v>-4599</v>
      </c>
      <c r="BL221" s="542">
        <v>-459971</v>
      </c>
      <c r="BM221" s="542">
        <v>0</v>
      </c>
      <c r="BN221" s="542">
        <v>0</v>
      </c>
      <c r="BO221" s="542">
        <v>0</v>
      </c>
      <c r="BP221" s="542">
        <v>0</v>
      </c>
      <c r="BQ221" s="542">
        <v>0</v>
      </c>
      <c r="BR221" s="542">
        <v>-277124</v>
      </c>
      <c r="BS221" s="542">
        <v>-221699</v>
      </c>
      <c r="BT221" s="542">
        <v>-49882</v>
      </c>
      <c r="BU221" s="542">
        <v>-5542</v>
      </c>
      <c r="BV221" s="542">
        <v>-554247</v>
      </c>
      <c r="BW221" s="542">
        <v>-507110</v>
      </c>
      <c r="BX221" s="542">
        <v>-405688</v>
      </c>
      <c r="BY221" s="542">
        <v>-91279</v>
      </c>
      <c r="BZ221" s="542">
        <v>-10141</v>
      </c>
      <c r="CA221" s="542">
        <v>-1014218</v>
      </c>
    </row>
    <row r="222" spans="1:79" ht="12.75" x14ac:dyDescent="0.2">
      <c r="A222" s="93">
        <v>216</v>
      </c>
      <c r="B222" s="145" t="s">
        <v>310</v>
      </c>
      <c r="C222" s="141" t="s">
        <v>866</v>
      </c>
      <c r="D222" s="142" t="s">
        <v>867</v>
      </c>
      <c r="E222" s="149" t="s">
        <v>309</v>
      </c>
      <c r="F222" s="543">
        <v>0.5</v>
      </c>
      <c r="G222" s="543">
        <v>0.4</v>
      </c>
      <c r="H222" s="543">
        <v>0.09</v>
      </c>
      <c r="I222" s="543">
        <v>0.01</v>
      </c>
      <c r="J222" s="543">
        <v>1</v>
      </c>
      <c r="K222" s="542">
        <v>8041794</v>
      </c>
      <c r="L222" s="542">
        <v>6433436</v>
      </c>
      <c r="M222" s="542">
        <v>1447523</v>
      </c>
      <c r="N222" s="542">
        <v>160836</v>
      </c>
      <c r="O222" s="542">
        <v>16083589</v>
      </c>
      <c r="P222" s="542">
        <v>0</v>
      </c>
      <c r="Q222" s="542">
        <v>0</v>
      </c>
      <c r="R222" s="542">
        <v>8041794</v>
      </c>
      <c r="S222" s="542">
        <v>146250</v>
      </c>
      <c r="T222" s="542">
        <v>146250</v>
      </c>
      <c r="U222" s="542">
        <v>0</v>
      </c>
      <c r="V222" s="542">
        <v>0</v>
      </c>
      <c r="W222" s="542">
        <v>0</v>
      </c>
      <c r="X222" s="542">
        <v>0</v>
      </c>
      <c r="Y222" s="542">
        <v>0</v>
      </c>
      <c r="Z222" s="542">
        <v>0</v>
      </c>
      <c r="AA222" s="542">
        <v>0</v>
      </c>
      <c r="AB222" s="542">
        <v>0</v>
      </c>
      <c r="AC222" s="542">
        <v>0</v>
      </c>
      <c r="AD222" s="542">
        <v>343531</v>
      </c>
      <c r="AE222" s="542">
        <v>274824</v>
      </c>
      <c r="AF222" s="542">
        <v>61835</v>
      </c>
      <c r="AG222" s="542">
        <v>6871</v>
      </c>
      <c r="AH222" s="542">
        <v>687061</v>
      </c>
      <c r="AI222" s="542">
        <v>-111901</v>
      </c>
      <c r="AJ222" s="542">
        <v>-89520</v>
      </c>
      <c r="AK222" s="542">
        <v>-20142</v>
      </c>
      <c r="AL222" s="542">
        <v>-2238</v>
      </c>
      <c r="AM222" s="542">
        <v>-223801</v>
      </c>
      <c r="AN222" s="542">
        <v>-206552.39</v>
      </c>
      <c r="AO222" s="542">
        <v>-165242</v>
      </c>
      <c r="AP222" s="542">
        <v>-37180</v>
      </c>
      <c r="AQ222" s="542">
        <v>-4131</v>
      </c>
      <c r="AR222" s="542">
        <v>-413105.39</v>
      </c>
      <c r="AS222" s="542">
        <v>0</v>
      </c>
      <c r="AT222" s="542">
        <v>0</v>
      </c>
      <c r="AU222" s="542">
        <v>0</v>
      </c>
      <c r="AV222" s="542">
        <v>0</v>
      </c>
      <c r="AW222" s="542">
        <v>0</v>
      </c>
      <c r="AX222" s="542">
        <v>-40930</v>
      </c>
      <c r="AY222" s="542">
        <v>-32745</v>
      </c>
      <c r="AZ222" s="542">
        <v>-7368</v>
      </c>
      <c r="BA222" s="542">
        <v>-819</v>
      </c>
      <c r="BB222" s="542">
        <v>-81862</v>
      </c>
      <c r="BC222" s="542">
        <v>-247482.39</v>
      </c>
      <c r="BD222" s="542">
        <v>-197987</v>
      </c>
      <c r="BE222" s="542">
        <v>-44548</v>
      </c>
      <c r="BF222" s="542">
        <v>-4950</v>
      </c>
      <c r="BG222" s="542">
        <v>-494967.39</v>
      </c>
      <c r="BH222" s="542">
        <v>-513500</v>
      </c>
      <c r="BI222" s="542">
        <v>-410800</v>
      </c>
      <c r="BJ222" s="542">
        <v>-92430</v>
      </c>
      <c r="BK222" s="542">
        <v>-10270</v>
      </c>
      <c r="BL222" s="542">
        <v>-1027000</v>
      </c>
      <c r="BM222" s="542">
        <v>0</v>
      </c>
      <c r="BN222" s="542">
        <v>0</v>
      </c>
      <c r="BO222" s="542">
        <v>0</v>
      </c>
      <c r="BP222" s="542">
        <v>0</v>
      </c>
      <c r="BQ222" s="542">
        <v>0</v>
      </c>
      <c r="BR222" s="542">
        <v>39505</v>
      </c>
      <c r="BS222" s="542">
        <v>31604</v>
      </c>
      <c r="BT222" s="542">
        <v>7111</v>
      </c>
      <c r="BU222" s="542">
        <v>790</v>
      </c>
      <c r="BV222" s="542">
        <v>79010</v>
      </c>
      <c r="BW222" s="542">
        <v>-473995</v>
      </c>
      <c r="BX222" s="542">
        <v>-379196</v>
      </c>
      <c r="BY222" s="542">
        <v>-85319</v>
      </c>
      <c r="BZ222" s="542">
        <v>-9480</v>
      </c>
      <c r="CA222" s="542">
        <v>-947990</v>
      </c>
    </row>
    <row r="223" spans="1:79" ht="12.75" x14ac:dyDescent="0.2">
      <c r="A223" s="93">
        <v>217</v>
      </c>
      <c r="B223" s="145" t="s">
        <v>312</v>
      </c>
      <c r="C223" s="141" t="s">
        <v>873</v>
      </c>
      <c r="D223" s="142" t="s">
        <v>874</v>
      </c>
      <c r="E223" s="149" t="s">
        <v>311</v>
      </c>
      <c r="F223" s="543">
        <v>0.5</v>
      </c>
      <c r="G223" s="543">
        <v>0.49</v>
      </c>
      <c r="H223" s="543">
        <v>0</v>
      </c>
      <c r="I223" s="543">
        <v>0.01</v>
      </c>
      <c r="J223" s="543">
        <v>1</v>
      </c>
      <c r="K223" s="542">
        <v>35851612</v>
      </c>
      <c r="L223" s="542">
        <v>35134580</v>
      </c>
      <c r="M223" s="542">
        <v>0</v>
      </c>
      <c r="N223" s="542">
        <v>717032</v>
      </c>
      <c r="O223" s="542">
        <v>71703224</v>
      </c>
      <c r="P223" s="542">
        <v>153718.69</v>
      </c>
      <c r="Q223" s="542">
        <v>153718.69</v>
      </c>
      <c r="R223" s="542">
        <v>35697893.299999997</v>
      </c>
      <c r="S223" s="542">
        <v>307775</v>
      </c>
      <c r="T223" s="542">
        <v>307775</v>
      </c>
      <c r="U223" s="542">
        <v>0</v>
      </c>
      <c r="V223" s="542">
        <v>0</v>
      </c>
      <c r="W223" s="542">
        <v>151830</v>
      </c>
      <c r="X223" s="542">
        <v>0</v>
      </c>
      <c r="Y223" s="542">
        <v>151830</v>
      </c>
      <c r="Z223" s="542">
        <v>153718.69</v>
      </c>
      <c r="AA223" s="542">
        <v>0</v>
      </c>
      <c r="AB223" s="542">
        <v>0</v>
      </c>
      <c r="AC223" s="542">
        <v>153718.69</v>
      </c>
      <c r="AD223" s="542">
        <v>980997</v>
      </c>
      <c r="AE223" s="542">
        <v>961377</v>
      </c>
      <c r="AF223" s="542">
        <v>0</v>
      </c>
      <c r="AG223" s="542">
        <v>19620</v>
      </c>
      <c r="AH223" s="542">
        <v>1961994</v>
      </c>
      <c r="AI223" s="542">
        <v>-202327</v>
      </c>
      <c r="AJ223" s="542">
        <v>-198280</v>
      </c>
      <c r="AK223" s="542">
        <v>0</v>
      </c>
      <c r="AL223" s="542">
        <v>-4047</v>
      </c>
      <c r="AM223" s="542">
        <v>-404654</v>
      </c>
      <c r="AN223" s="542">
        <v>-485264</v>
      </c>
      <c r="AO223" s="542">
        <v>-475558</v>
      </c>
      <c r="AP223" s="542">
        <v>0</v>
      </c>
      <c r="AQ223" s="542">
        <v>-9705</v>
      </c>
      <c r="AR223" s="542">
        <v>-970527</v>
      </c>
      <c r="AS223" s="542">
        <v>485264</v>
      </c>
      <c r="AT223" s="542">
        <v>475558</v>
      </c>
      <c r="AU223" s="542">
        <v>0</v>
      </c>
      <c r="AV223" s="542">
        <v>9705</v>
      </c>
      <c r="AW223" s="542">
        <v>970527</v>
      </c>
      <c r="AX223" s="542">
        <v>-241478</v>
      </c>
      <c r="AY223" s="542">
        <v>-236649</v>
      </c>
      <c r="AZ223" s="542">
        <v>0</v>
      </c>
      <c r="BA223" s="542">
        <v>-4830</v>
      </c>
      <c r="BB223" s="542">
        <v>-482957</v>
      </c>
      <c r="BC223" s="542">
        <v>-241478</v>
      </c>
      <c r="BD223" s="542">
        <v>-236649</v>
      </c>
      <c r="BE223" s="542">
        <v>0</v>
      </c>
      <c r="BF223" s="542">
        <v>-4830</v>
      </c>
      <c r="BG223" s="542">
        <v>-482957</v>
      </c>
      <c r="BH223" s="542">
        <v>-3485231</v>
      </c>
      <c r="BI223" s="542">
        <v>-3415526</v>
      </c>
      <c r="BJ223" s="542">
        <v>0</v>
      </c>
      <c r="BK223" s="542">
        <v>-69705</v>
      </c>
      <c r="BL223" s="542">
        <v>-6970462</v>
      </c>
      <c r="BM223" s="542">
        <v>1580516</v>
      </c>
      <c r="BN223" s="542">
        <v>1548906</v>
      </c>
      <c r="BO223" s="542">
        <v>0</v>
      </c>
      <c r="BP223" s="542">
        <v>31610</v>
      </c>
      <c r="BQ223" s="542">
        <v>3161032</v>
      </c>
      <c r="BR223" s="542">
        <v>-2047938</v>
      </c>
      <c r="BS223" s="542">
        <v>-2006979</v>
      </c>
      <c r="BT223" s="542">
        <v>0</v>
      </c>
      <c r="BU223" s="542">
        <v>-40959</v>
      </c>
      <c r="BV223" s="542">
        <v>-4095876</v>
      </c>
      <c r="BW223" s="542">
        <v>-3952653</v>
      </c>
      <c r="BX223" s="542">
        <v>-3873599</v>
      </c>
      <c r="BY223" s="542">
        <v>0</v>
      </c>
      <c r="BZ223" s="542">
        <v>-79054</v>
      </c>
      <c r="CA223" s="542">
        <v>-7905306</v>
      </c>
    </row>
    <row r="224" spans="1:79" ht="12.75" x14ac:dyDescent="0.2">
      <c r="A224" s="93">
        <v>218</v>
      </c>
      <c r="B224" s="145" t="s">
        <v>314</v>
      </c>
      <c r="C224" s="141" t="s">
        <v>866</v>
      </c>
      <c r="D224" s="142" t="s">
        <v>876</v>
      </c>
      <c r="E224" s="149" t="s">
        <v>313</v>
      </c>
      <c r="F224" s="543">
        <v>0.5</v>
      </c>
      <c r="G224" s="543">
        <v>0.4</v>
      </c>
      <c r="H224" s="543">
        <v>0.1</v>
      </c>
      <c r="I224" s="543">
        <v>0</v>
      </c>
      <c r="J224" s="543">
        <v>1</v>
      </c>
      <c r="K224" s="542">
        <v>20821187</v>
      </c>
      <c r="L224" s="542">
        <v>16656950</v>
      </c>
      <c r="M224" s="542">
        <v>4164238</v>
      </c>
      <c r="N224" s="542">
        <v>0</v>
      </c>
      <c r="O224" s="542">
        <v>41642375</v>
      </c>
      <c r="P224" s="542">
        <v>0</v>
      </c>
      <c r="Q224" s="542">
        <v>0</v>
      </c>
      <c r="R224" s="542">
        <v>20821187</v>
      </c>
      <c r="S224" s="542">
        <v>135186</v>
      </c>
      <c r="T224" s="542">
        <v>135186</v>
      </c>
      <c r="U224" s="542">
        <v>0</v>
      </c>
      <c r="V224" s="542">
        <v>0</v>
      </c>
      <c r="W224" s="542">
        <v>0</v>
      </c>
      <c r="X224" s="542">
        <v>0</v>
      </c>
      <c r="Y224" s="542">
        <v>0</v>
      </c>
      <c r="Z224" s="542">
        <v>0</v>
      </c>
      <c r="AA224" s="542">
        <v>0</v>
      </c>
      <c r="AB224" s="542">
        <v>0</v>
      </c>
      <c r="AC224" s="542">
        <v>0</v>
      </c>
      <c r="AD224" s="542">
        <v>452749</v>
      </c>
      <c r="AE224" s="542">
        <v>362200</v>
      </c>
      <c r="AF224" s="542">
        <v>90550</v>
      </c>
      <c r="AG224" s="542">
        <v>0</v>
      </c>
      <c r="AH224" s="542">
        <v>905499</v>
      </c>
      <c r="AI224" s="542">
        <v>-214333</v>
      </c>
      <c r="AJ224" s="542">
        <v>-171466</v>
      </c>
      <c r="AK224" s="542">
        <v>-42867</v>
      </c>
      <c r="AL224" s="542">
        <v>0</v>
      </c>
      <c r="AM224" s="542">
        <v>-428666</v>
      </c>
      <c r="AN224" s="542">
        <v>-89196</v>
      </c>
      <c r="AO224" s="542">
        <v>-71358</v>
      </c>
      <c r="AP224" s="542">
        <v>-17839</v>
      </c>
      <c r="AQ224" s="542">
        <v>0</v>
      </c>
      <c r="AR224" s="542">
        <v>-178393</v>
      </c>
      <c r="AS224" s="542">
        <v>56047</v>
      </c>
      <c r="AT224" s="542">
        <v>44837</v>
      </c>
      <c r="AU224" s="542">
        <v>11209</v>
      </c>
      <c r="AV224" s="542">
        <v>0</v>
      </c>
      <c r="AW224" s="542">
        <v>112093</v>
      </c>
      <c r="AX224" s="542">
        <v>-85407</v>
      </c>
      <c r="AY224" s="542">
        <v>-68325</v>
      </c>
      <c r="AZ224" s="542">
        <v>-17081</v>
      </c>
      <c r="BA224" s="542">
        <v>0</v>
      </c>
      <c r="BB224" s="542">
        <v>-170813</v>
      </c>
      <c r="BC224" s="542">
        <v>-118556</v>
      </c>
      <c r="BD224" s="542">
        <v>-94846</v>
      </c>
      <c r="BE224" s="542">
        <v>-23711</v>
      </c>
      <c r="BF224" s="542">
        <v>0</v>
      </c>
      <c r="BG224" s="542">
        <v>-237113</v>
      </c>
      <c r="BH224" s="542">
        <v>-1100711</v>
      </c>
      <c r="BI224" s="542">
        <v>-880569</v>
      </c>
      <c r="BJ224" s="542">
        <v>-220142</v>
      </c>
      <c r="BK224" s="542">
        <v>0</v>
      </c>
      <c r="BL224" s="542">
        <v>-2201422</v>
      </c>
      <c r="BM224" s="542">
        <v>163629</v>
      </c>
      <c r="BN224" s="542">
        <v>130904</v>
      </c>
      <c r="BO224" s="542">
        <v>32726</v>
      </c>
      <c r="BP224" s="542">
        <v>0</v>
      </c>
      <c r="BQ224" s="542">
        <v>327259</v>
      </c>
      <c r="BR224" s="542">
        <v>-163629</v>
      </c>
      <c r="BS224" s="542">
        <v>-130904</v>
      </c>
      <c r="BT224" s="542">
        <v>-32726</v>
      </c>
      <c r="BU224" s="542">
        <v>0</v>
      </c>
      <c r="BV224" s="542">
        <v>-327259</v>
      </c>
      <c r="BW224" s="542">
        <v>-1100711</v>
      </c>
      <c r="BX224" s="542">
        <v>-880569</v>
      </c>
      <c r="BY224" s="542">
        <v>-220142</v>
      </c>
      <c r="BZ224" s="542">
        <v>0</v>
      </c>
      <c r="CA224" s="542">
        <v>-2201422</v>
      </c>
    </row>
    <row r="225" spans="1:79" ht="12.75" x14ac:dyDescent="0.2">
      <c r="A225" s="93">
        <v>219</v>
      </c>
      <c r="B225" s="145" t="s">
        <v>316</v>
      </c>
      <c r="C225" s="141" t="s">
        <v>866</v>
      </c>
      <c r="D225" s="142" t="s">
        <v>867</v>
      </c>
      <c r="E225" s="149" t="s">
        <v>315</v>
      </c>
      <c r="F225" s="543">
        <v>0.5</v>
      </c>
      <c r="G225" s="543">
        <v>0.4</v>
      </c>
      <c r="H225" s="543">
        <v>0.1</v>
      </c>
      <c r="I225" s="543">
        <v>0</v>
      </c>
      <c r="J225" s="543">
        <v>1</v>
      </c>
      <c r="K225" s="542">
        <v>20254839</v>
      </c>
      <c r="L225" s="542">
        <v>16203872</v>
      </c>
      <c r="M225" s="542">
        <v>4050968</v>
      </c>
      <c r="N225" s="542">
        <v>0</v>
      </c>
      <c r="O225" s="542">
        <v>40509679</v>
      </c>
      <c r="P225" s="542">
        <v>0</v>
      </c>
      <c r="Q225" s="542">
        <v>0</v>
      </c>
      <c r="R225" s="542">
        <v>20254839</v>
      </c>
      <c r="S225" s="542">
        <v>127393</v>
      </c>
      <c r="T225" s="542">
        <v>127393</v>
      </c>
      <c r="U225" s="542">
        <v>0</v>
      </c>
      <c r="V225" s="542">
        <v>0</v>
      </c>
      <c r="W225" s="542">
        <v>0</v>
      </c>
      <c r="X225" s="542">
        <v>0</v>
      </c>
      <c r="Y225" s="542">
        <v>0</v>
      </c>
      <c r="Z225" s="542">
        <v>0</v>
      </c>
      <c r="AA225" s="542">
        <v>0</v>
      </c>
      <c r="AB225" s="542">
        <v>0</v>
      </c>
      <c r="AC225" s="542">
        <v>0</v>
      </c>
      <c r="AD225" s="542">
        <v>768655</v>
      </c>
      <c r="AE225" s="542">
        <v>614924</v>
      </c>
      <c r="AF225" s="542">
        <v>153731</v>
      </c>
      <c r="AG225" s="542">
        <v>0</v>
      </c>
      <c r="AH225" s="542">
        <v>1537310</v>
      </c>
      <c r="AI225" s="542">
        <v>-309756</v>
      </c>
      <c r="AJ225" s="542">
        <v>-247804</v>
      </c>
      <c r="AK225" s="542">
        <v>-61951</v>
      </c>
      <c r="AL225" s="542">
        <v>0</v>
      </c>
      <c r="AM225" s="542">
        <v>-619511</v>
      </c>
      <c r="AN225" s="542">
        <v>-364600</v>
      </c>
      <c r="AO225" s="542">
        <v>-291680</v>
      </c>
      <c r="AP225" s="542">
        <v>-72920</v>
      </c>
      <c r="AQ225" s="542">
        <v>0</v>
      </c>
      <c r="AR225" s="542">
        <v>-729200</v>
      </c>
      <c r="AS225" s="542">
        <v>0</v>
      </c>
      <c r="AT225" s="542">
        <v>0</v>
      </c>
      <c r="AU225" s="542">
        <v>0</v>
      </c>
      <c r="AV225" s="542">
        <v>0</v>
      </c>
      <c r="AW225" s="542">
        <v>0</v>
      </c>
      <c r="AX225" s="542">
        <v>-119700</v>
      </c>
      <c r="AY225" s="542">
        <v>-95760</v>
      </c>
      <c r="AZ225" s="542">
        <v>-23940</v>
      </c>
      <c r="BA225" s="542">
        <v>0</v>
      </c>
      <c r="BB225" s="542">
        <v>-239400</v>
      </c>
      <c r="BC225" s="542">
        <v>-484300</v>
      </c>
      <c r="BD225" s="542">
        <v>-387440</v>
      </c>
      <c r="BE225" s="542">
        <v>-96860</v>
      </c>
      <c r="BF225" s="542">
        <v>0</v>
      </c>
      <c r="BG225" s="542">
        <v>-968600</v>
      </c>
      <c r="BH225" s="542">
        <v>-1115376</v>
      </c>
      <c r="BI225" s="542">
        <v>-892302</v>
      </c>
      <c r="BJ225" s="542">
        <v>-223076</v>
      </c>
      <c r="BK225" s="542">
        <v>0</v>
      </c>
      <c r="BL225" s="542">
        <v>-2230754</v>
      </c>
      <c r="BM225" s="542">
        <v>0</v>
      </c>
      <c r="BN225" s="542">
        <v>0</v>
      </c>
      <c r="BO225" s="542">
        <v>0</v>
      </c>
      <c r="BP225" s="542">
        <v>0</v>
      </c>
      <c r="BQ225" s="542">
        <v>0</v>
      </c>
      <c r="BR225" s="542">
        <v>-1011627</v>
      </c>
      <c r="BS225" s="542">
        <v>-809302</v>
      </c>
      <c r="BT225" s="542">
        <v>-202325</v>
      </c>
      <c r="BU225" s="542">
        <v>0</v>
      </c>
      <c r="BV225" s="542">
        <v>-2023254</v>
      </c>
      <c r="BW225" s="542">
        <v>-2127003</v>
      </c>
      <c r="BX225" s="542">
        <v>-1701604</v>
      </c>
      <c r="BY225" s="542">
        <v>-425401</v>
      </c>
      <c r="BZ225" s="542">
        <v>0</v>
      </c>
      <c r="CA225" s="542">
        <v>-4254008</v>
      </c>
    </row>
    <row r="226" spans="1:79" ht="12.75" x14ac:dyDescent="0.2">
      <c r="A226" s="93">
        <v>220</v>
      </c>
      <c r="B226" s="145" t="s">
        <v>318</v>
      </c>
      <c r="C226" s="141" t="s">
        <v>866</v>
      </c>
      <c r="D226" s="142" t="s">
        <v>869</v>
      </c>
      <c r="E226" s="149" t="s">
        <v>317</v>
      </c>
      <c r="F226" s="543">
        <v>0.5</v>
      </c>
      <c r="G226" s="543">
        <v>0.4</v>
      </c>
      <c r="H226" s="543">
        <v>0.09</v>
      </c>
      <c r="I226" s="543">
        <v>0.01</v>
      </c>
      <c r="J226" s="543">
        <v>1</v>
      </c>
      <c r="K226" s="542">
        <v>12363186</v>
      </c>
      <c r="L226" s="542">
        <v>9890548</v>
      </c>
      <c r="M226" s="542">
        <v>2225373</v>
      </c>
      <c r="N226" s="542">
        <v>247264</v>
      </c>
      <c r="O226" s="542">
        <v>24726371</v>
      </c>
      <c r="P226" s="542">
        <v>0</v>
      </c>
      <c r="Q226" s="542">
        <v>0</v>
      </c>
      <c r="R226" s="542">
        <v>12363186</v>
      </c>
      <c r="S226" s="542">
        <v>109949</v>
      </c>
      <c r="T226" s="542">
        <v>109949</v>
      </c>
      <c r="U226" s="542">
        <v>0</v>
      </c>
      <c r="V226" s="542">
        <v>0</v>
      </c>
      <c r="W226" s="542">
        <v>46524</v>
      </c>
      <c r="X226" s="542">
        <v>0</v>
      </c>
      <c r="Y226" s="542">
        <v>46524</v>
      </c>
      <c r="Z226" s="542">
        <v>0</v>
      </c>
      <c r="AA226" s="542">
        <v>0</v>
      </c>
      <c r="AB226" s="542">
        <v>0</v>
      </c>
      <c r="AC226" s="542">
        <v>0</v>
      </c>
      <c r="AD226" s="542">
        <v>256819</v>
      </c>
      <c r="AE226" s="542">
        <v>205456</v>
      </c>
      <c r="AF226" s="542">
        <v>46228</v>
      </c>
      <c r="AG226" s="542">
        <v>5136</v>
      </c>
      <c r="AH226" s="542">
        <v>513639</v>
      </c>
      <c r="AI226" s="542">
        <v>-299264</v>
      </c>
      <c r="AJ226" s="542">
        <v>-239410</v>
      </c>
      <c r="AK226" s="542">
        <v>-53867</v>
      </c>
      <c r="AL226" s="542">
        <v>-5985</v>
      </c>
      <c r="AM226" s="542">
        <v>-598526</v>
      </c>
      <c r="AN226" s="542">
        <v>65800</v>
      </c>
      <c r="AO226" s="542">
        <v>52640</v>
      </c>
      <c r="AP226" s="542">
        <v>11844</v>
      </c>
      <c r="AQ226" s="542">
        <v>1316</v>
      </c>
      <c r="AR226" s="542">
        <v>131600</v>
      </c>
      <c r="AS226" s="542">
        <v>53992</v>
      </c>
      <c r="AT226" s="542">
        <v>43194</v>
      </c>
      <c r="AU226" s="542">
        <v>9719</v>
      </c>
      <c r="AV226" s="542">
        <v>1080</v>
      </c>
      <c r="AW226" s="542">
        <v>107985</v>
      </c>
      <c r="AX226" s="542">
        <v>-400742</v>
      </c>
      <c r="AY226" s="542">
        <v>-320594</v>
      </c>
      <c r="AZ226" s="542">
        <v>-72134</v>
      </c>
      <c r="BA226" s="542">
        <v>-8015</v>
      </c>
      <c r="BB226" s="542">
        <v>-801485</v>
      </c>
      <c r="BC226" s="542">
        <v>-280950</v>
      </c>
      <c r="BD226" s="542">
        <v>-224760</v>
      </c>
      <c r="BE226" s="542">
        <v>-50571</v>
      </c>
      <c r="BF226" s="542">
        <v>-5619</v>
      </c>
      <c r="BG226" s="542">
        <v>-561900</v>
      </c>
      <c r="BH226" s="542">
        <v>-645208</v>
      </c>
      <c r="BI226" s="542">
        <v>-516167</v>
      </c>
      <c r="BJ226" s="542">
        <v>-116138</v>
      </c>
      <c r="BK226" s="542">
        <v>-12904</v>
      </c>
      <c r="BL226" s="542">
        <v>-1290417</v>
      </c>
      <c r="BM226" s="542">
        <v>209577</v>
      </c>
      <c r="BN226" s="542">
        <v>167662</v>
      </c>
      <c r="BO226" s="542">
        <v>37724</v>
      </c>
      <c r="BP226" s="542">
        <v>4192</v>
      </c>
      <c r="BQ226" s="542">
        <v>419155</v>
      </c>
      <c r="BR226" s="542">
        <v>-614577</v>
      </c>
      <c r="BS226" s="542">
        <v>-491662</v>
      </c>
      <c r="BT226" s="542">
        <v>-110624</v>
      </c>
      <c r="BU226" s="542">
        <v>-12292</v>
      </c>
      <c r="BV226" s="542">
        <v>-1229155</v>
      </c>
      <c r="BW226" s="542">
        <v>-1050208</v>
      </c>
      <c r="BX226" s="542">
        <v>-840167</v>
      </c>
      <c r="BY226" s="542">
        <v>-189038</v>
      </c>
      <c r="BZ226" s="542">
        <v>-21004</v>
      </c>
      <c r="CA226" s="542">
        <v>-2100417</v>
      </c>
    </row>
    <row r="227" spans="1:79" ht="12.75" x14ac:dyDescent="0.2">
      <c r="A227" s="93">
        <v>221</v>
      </c>
      <c r="B227" s="145" t="s">
        <v>320</v>
      </c>
      <c r="C227" s="141" t="s">
        <v>866</v>
      </c>
      <c r="D227" s="142" t="s">
        <v>867</v>
      </c>
      <c r="E227" s="149" t="s">
        <v>319</v>
      </c>
      <c r="F227" s="543">
        <v>0.5</v>
      </c>
      <c r="G227" s="543">
        <v>0.4</v>
      </c>
      <c r="H227" s="543">
        <v>0.09</v>
      </c>
      <c r="I227" s="543">
        <v>0.01</v>
      </c>
      <c r="J227" s="543">
        <v>1</v>
      </c>
      <c r="K227" s="542">
        <v>24957885</v>
      </c>
      <c r="L227" s="542">
        <v>19966308</v>
      </c>
      <c r="M227" s="542">
        <v>4492419</v>
      </c>
      <c r="N227" s="542">
        <v>499158</v>
      </c>
      <c r="O227" s="542">
        <v>49915770</v>
      </c>
      <c r="P227" s="542">
        <v>0</v>
      </c>
      <c r="Q227" s="542">
        <v>0</v>
      </c>
      <c r="R227" s="542">
        <v>24957885</v>
      </c>
      <c r="S227" s="542">
        <v>128223</v>
      </c>
      <c r="T227" s="542">
        <v>128223</v>
      </c>
      <c r="U227" s="542">
        <v>0</v>
      </c>
      <c r="V227" s="542">
        <v>0</v>
      </c>
      <c r="W227" s="542">
        <v>0</v>
      </c>
      <c r="X227" s="542">
        <v>0</v>
      </c>
      <c r="Y227" s="542">
        <v>0</v>
      </c>
      <c r="Z227" s="542">
        <v>0</v>
      </c>
      <c r="AA227" s="542">
        <v>0</v>
      </c>
      <c r="AB227" s="542">
        <v>0</v>
      </c>
      <c r="AC227" s="542">
        <v>0</v>
      </c>
      <c r="AD227" s="542">
        <v>930290</v>
      </c>
      <c r="AE227" s="542">
        <v>744232</v>
      </c>
      <c r="AF227" s="542">
        <v>167452</v>
      </c>
      <c r="AG227" s="542">
        <v>18606</v>
      </c>
      <c r="AH227" s="542">
        <v>1860580</v>
      </c>
      <c r="AI227" s="542">
        <v>-889726</v>
      </c>
      <c r="AJ227" s="542">
        <v>-711781</v>
      </c>
      <c r="AK227" s="542">
        <v>-160151</v>
      </c>
      <c r="AL227" s="542">
        <v>-17795</v>
      </c>
      <c r="AM227" s="542">
        <v>-1779453</v>
      </c>
      <c r="AN227" s="542">
        <v>-162177.73000000001</v>
      </c>
      <c r="AO227" s="542">
        <v>-129742</v>
      </c>
      <c r="AP227" s="542">
        <v>-29192</v>
      </c>
      <c r="AQ227" s="542">
        <v>-3244</v>
      </c>
      <c r="AR227" s="542">
        <v>-324355.73</v>
      </c>
      <c r="AS227" s="542">
        <v>73636</v>
      </c>
      <c r="AT227" s="542">
        <v>58909</v>
      </c>
      <c r="AU227" s="542">
        <v>13254</v>
      </c>
      <c r="AV227" s="542">
        <v>1473</v>
      </c>
      <c r="AW227" s="542">
        <v>147272</v>
      </c>
      <c r="AX227" s="542">
        <v>-188024</v>
      </c>
      <c r="AY227" s="542">
        <v>-150420</v>
      </c>
      <c r="AZ227" s="542">
        <v>-33845</v>
      </c>
      <c r="BA227" s="542">
        <v>-3761</v>
      </c>
      <c r="BB227" s="542">
        <v>-376050</v>
      </c>
      <c r="BC227" s="542">
        <v>-276565.73</v>
      </c>
      <c r="BD227" s="542">
        <v>-221253</v>
      </c>
      <c r="BE227" s="542">
        <v>-49783</v>
      </c>
      <c r="BF227" s="542">
        <v>-5532</v>
      </c>
      <c r="BG227" s="542">
        <v>-553133.73</v>
      </c>
      <c r="BH227" s="542">
        <v>-5348065</v>
      </c>
      <c r="BI227" s="542">
        <v>-4278453</v>
      </c>
      <c r="BJ227" s="542">
        <v>-962652</v>
      </c>
      <c r="BK227" s="542">
        <v>-106962</v>
      </c>
      <c r="BL227" s="542">
        <v>-10696132</v>
      </c>
      <c r="BM227" s="542">
        <v>1300270</v>
      </c>
      <c r="BN227" s="542">
        <v>1040216</v>
      </c>
      <c r="BO227" s="542">
        <v>234049</v>
      </c>
      <c r="BP227" s="542">
        <v>26005</v>
      </c>
      <c r="BQ227" s="542">
        <v>2600540</v>
      </c>
      <c r="BR227" s="542">
        <v>1846102</v>
      </c>
      <c r="BS227" s="542">
        <v>1476881</v>
      </c>
      <c r="BT227" s="542">
        <v>332298</v>
      </c>
      <c r="BU227" s="542">
        <v>36922</v>
      </c>
      <c r="BV227" s="542">
        <v>3692203</v>
      </c>
      <c r="BW227" s="542">
        <v>-2201693</v>
      </c>
      <c r="BX227" s="542">
        <v>-1761356</v>
      </c>
      <c r="BY227" s="542">
        <v>-396305</v>
      </c>
      <c r="BZ227" s="542">
        <v>-44035</v>
      </c>
      <c r="CA227" s="542">
        <v>-4403389</v>
      </c>
    </row>
    <row r="228" spans="1:79" ht="12.75" x14ac:dyDescent="0.2">
      <c r="A228" s="93">
        <v>222</v>
      </c>
      <c r="B228" s="145" t="s">
        <v>322</v>
      </c>
      <c r="C228" s="141" t="s">
        <v>770</v>
      </c>
      <c r="D228" s="142" t="s">
        <v>869</v>
      </c>
      <c r="E228" s="149" t="s">
        <v>722</v>
      </c>
      <c r="F228" s="543">
        <v>0.5</v>
      </c>
      <c r="G228" s="543">
        <v>0.49</v>
      </c>
      <c r="H228" s="543">
        <v>0</v>
      </c>
      <c r="I228" s="543">
        <v>0.01</v>
      </c>
      <c r="J228" s="543">
        <v>1</v>
      </c>
      <c r="K228" s="542">
        <v>4974968</v>
      </c>
      <c r="L228" s="542">
        <v>4875469</v>
      </c>
      <c r="M228" s="542">
        <v>0</v>
      </c>
      <c r="N228" s="542">
        <v>99499</v>
      </c>
      <c r="O228" s="542">
        <v>9949936</v>
      </c>
      <c r="P228" s="542">
        <v>0</v>
      </c>
      <c r="Q228" s="542">
        <v>0</v>
      </c>
      <c r="R228" s="542">
        <v>4974968</v>
      </c>
      <c r="S228" s="542">
        <v>53083</v>
      </c>
      <c r="T228" s="542">
        <v>53083</v>
      </c>
      <c r="U228" s="542">
        <v>0</v>
      </c>
      <c r="V228" s="542">
        <v>0</v>
      </c>
      <c r="W228" s="542">
        <v>0</v>
      </c>
      <c r="X228" s="542">
        <v>0</v>
      </c>
      <c r="Y228" s="542">
        <v>0</v>
      </c>
      <c r="Z228" s="542">
        <v>0</v>
      </c>
      <c r="AA228" s="542">
        <v>0</v>
      </c>
      <c r="AB228" s="542">
        <v>0</v>
      </c>
      <c r="AC228" s="542">
        <v>0</v>
      </c>
      <c r="AD228" s="542">
        <v>145522</v>
      </c>
      <c r="AE228" s="542">
        <v>142611</v>
      </c>
      <c r="AF228" s="542">
        <v>0</v>
      </c>
      <c r="AG228" s="542">
        <v>2910</v>
      </c>
      <c r="AH228" s="542">
        <v>291043</v>
      </c>
      <c r="AI228" s="542">
        <v>-42171</v>
      </c>
      <c r="AJ228" s="542">
        <v>-41327</v>
      </c>
      <c r="AK228" s="542">
        <v>0</v>
      </c>
      <c r="AL228" s="542">
        <v>-843</v>
      </c>
      <c r="AM228" s="542">
        <v>-84341</v>
      </c>
      <c r="AN228" s="542">
        <v>-52105</v>
      </c>
      <c r="AO228" s="542">
        <v>-51063</v>
      </c>
      <c r="AP228" s="542">
        <v>0</v>
      </c>
      <c r="AQ228" s="542">
        <v>-1042</v>
      </c>
      <c r="AR228" s="542">
        <v>-104210</v>
      </c>
      <c r="AS228" s="542">
        <v>17567</v>
      </c>
      <c r="AT228" s="542">
        <v>17215</v>
      </c>
      <c r="AU228" s="542">
        <v>0</v>
      </c>
      <c r="AV228" s="542">
        <v>351</v>
      </c>
      <c r="AW228" s="542">
        <v>35133</v>
      </c>
      <c r="AX228" s="542">
        <v>-20166</v>
      </c>
      <c r="AY228" s="542">
        <v>-19763</v>
      </c>
      <c r="AZ228" s="542">
        <v>0</v>
      </c>
      <c r="BA228" s="542">
        <v>-403</v>
      </c>
      <c r="BB228" s="542">
        <v>-40332</v>
      </c>
      <c r="BC228" s="542">
        <v>-54704</v>
      </c>
      <c r="BD228" s="542">
        <v>-53611</v>
      </c>
      <c r="BE228" s="542">
        <v>0</v>
      </c>
      <c r="BF228" s="542">
        <v>-1094</v>
      </c>
      <c r="BG228" s="542">
        <v>-109409</v>
      </c>
      <c r="BH228" s="542">
        <v>-209087.4</v>
      </c>
      <c r="BI228" s="542">
        <v>-204905</v>
      </c>
      <c r="BJ228" s="542">
        <v>0</v>
      </c>
      <c r="BK228" s="542">
        <v>-4181</v>
      </c>
      <c r="BL228" s="542">
        <v>-418173.4</v>
      </c>
      <c r="BM228" s="542">
        <v>22650</v>
      </c>
      <c r="BN228" s="542">
        <v>22197</v>
      </c>
      <c r="BO228" s="542">
        <v>0</v>
      </c>
      <c r="BP228" s="542">
        <v>453</v>
      </c>
      <c r="BQ228" s="542">
        <v>45300</v>
      </c>
      <c r="BR228" s="542">
        <v>-105334</v>
      </c>
      <c r="BS228" s="542">
        <v>-103227</v>
      </c>
      <c r="BT228" s="542">
        <v>0</v>
      </c>
      <c r="BU228" s="542">
        <v>-2107</v>
      </c>
      <c r="BV228" s="542">
        <v>-210668</v>
      </c>
      <c r="BW228" s="542">
        <v>-291771.40000000002</v>
      </c>
      <c r="BX228" s="542">
        <v>-285935</v>
      </c>
      <c r="BY228" s="542">
        <v>0</v>
      </c>
      <c r="BZ228" s="542">
        <v>-5835</v>
      </c>
      <c r="CA228" s="542">
        <v>-583541.4</v>
      </c>
    </row>
    <row r="229" spans="1:79" ht="12.75" x14ac:dyDescent="0.2">
      <c r="A229" s="93">
        <v>223</v>
      </c>
      <c r="B229" s="145" t="s">
        <v>324</v>
      </c>
      <c r="C229" s="141" t="s">
        <v>866</v>
      </c>
      <c r="D229" s="142" t="s">
        <v>874</v>
      </c>
      <c r="E229" s="149" t="s">
        <v>323</v>
      </c>
      <c r="F229" s="543">
        <v>0.5</v>
      </c>
      <c r="G229" s="543">
        <v>0.4</v>
      </c>
      <c r="H229" s="543">
        <v>0.09</v>
      </c>
      <c r="I229" s="543">
        <v>0.01</v>
      </c>
      <c r="J229" s="543">
        <v>1</v>
      </c>
      <c r="K229" s="542">
        <v>8043843</v>
      </c>
      <c r="L229" s="542">
        <v>6435074</v>
      </c>
      <c r="M229" s="542">
        <v>1447892</v>
      </c>
      <c r="N229" s="542">
        <v>160877</v>
      </c>
      <c r="O229" s="542">
        <v>16087686</v>
      </c>
      <c r="P229" s="542">
        <v>0</v>
      </c>
      <c r="Q229" s="542">
        <v>0</v>
      </c>
      <c r="R229" s="542">
        <v>8043843</v>
      </c>
      <c r="S229" s="542">
        <v>111446</v>
      </c>
      <c r="T229" s="542">
        <v>111446</v>
      </c>
      <c r="U229" s="542">
        <v>0</v>
      </c>
      <c r="V229" s="542">
        <v>0</v>
      </c>
      <c r="W229" s="542">
        <v>0</v>
      </c>
      <c r="X229" s="542">
        <v>0</v>
      </c>
      <c r="Y229" s="542">
        <v>0</v>
      </c>
      <c r="Z229" s="542">
        <v>0</v>
      </c>
      <c r="AA229" s="542">
        <v>0</v>
      </c>
      <c r="AB229" s="542">
        <v>0</v>
      </c>
      <c r="AC229" s="542">
        <v>0</v>
      </c>
      <c r="AD229" s="542">
        <v>129992</v>
      </c>
      <c r="AE229" s="542">
        <v>103993</v>
      </c>
      <c r="AF229" s="542">
        <v>23398</v>
      </c>
      <c r="AG229" s="542">
        <v>2600</v>
      </c>
      <c r="AH229" s="542">
        <v>259983</v>
      </c>
      <c r="AI229" s="542">
        <v>-42601</v>
      </c>
      <c r="AJ229" s="542">
        <v>-34080</v>
      </c>
      <c r="AK229" s="542">
        <v>-7668</v>
      </c>
      <c r="AL229" s="542">
        <v>-852</v>
      </c>
      <c r="AM229" s="542">
        <v>-85201</v>
      </c>
      <c r="AN229" s="542">
        <v>-50000</v>
      </c>
      <c r="AO229" s="542">
        <v>-40000</v>
      </c>
      <c r="AP229" s="542">
        <v>-9000</v>
      </c>
      <c r="AQ229" s="542">
        <v>-1000</v>
      </c>
      <c r="AR229" s="542">
        <v>-100000</v>
      </c>
      <c r="AS229" s="542">
        <v>7896</v>
      </c>
      <c r="AT229" s="542">
        <v>6317</v>
      </c>
      <c r="AU229" s="542">
        <v>1421</v>
      </c>
      <c r="AV229" s="542">
        <v>158</v>
      </c>
      <c r="AW229" s="542">
        <v>15792</v>
      </c>
      <c r="AX229" s="542">
        <v>-22896</v>
      </c>
      <c r="AY229" s="542">
        <v>-18317</v>
      </c>
      <c r="AZ229" s="542">
        <v>-4121</v>
      </c>
      <c r="BA229" s="542">
        <v>-458</v>
      </c>
      <c r="BB229" s="542">
        <v>-45792</v>
      </c>
      <c r="BC229" s="542">
        <v>-65000</v>
      </c>
      <c r="BD229" s="542">
        <v>-52000</v>
      </c>
      <c r="BE229" s="542">
        <v>-11700</v>
      </c>
      <c r="BF229" s="542">
        <v>-1300</v>
      </c>
      <c r="BG229" s="542">
        <v>-130000</v>
      </c>
      <c r="BH229" s="542">
        <v>-634500</v>
      </c>
      <c r="BI229" s="542">
        <v>-507600</v>
      </c>
      <c r="BJ229" s="542">
        <v>-114210</v>
      </c>
      <c r="BK229" s="542">
        <v>-12690</v>
      </c>
      <c r="BL229" s="542">
        <v>-1269000</v>
      </c>
      <c r="BM229" s="542">
        <v>685848</v>
      </c>
      <c r="BN229" s="542">
        <v>548678</v>
      </c>
      <c r="BO229" s="542">
        <v>123453</v>
      </c>
      <c r="BP229" s="542">
        <v>13717</v>
      </c>
      <c r="BQ229" s="542">
        <v>1371696</v>
      </c>
      <c r="BR229" s="542">
        <v>-746348</v>
      </c>
      <c r="BS229" s="542">
        <v>-597078</v>
      </c>
      <c r="BT229" s="542">
        <v>-134343</v>
      </c>
      <c r="BU229" s="542">
        <v>-14927</v>
      </c>
      <c r="BV229" s="542">
        <v>-1492696</v>
      </c>
      <c r="BW229" s="542">
        <v>-695000</v>
      </c>
      <c r="BX229" s="542">
        <v>-556000</v>
      </c>
      <c r="BY229" s="542">
        <v>-125100</v>
      </c>
      <c r="BZ229" s="542">
        <v>-13900</v>
      </c>
      <c r="CA229" s="542">
        <v>-1390000</v>
      </c>
    </row>
    <row r="230" spans="1:79" ht="12.75" x14ac:dyDescent="0.2">
      <c r="A230" s="93">
        <v>224</v>
      </c>
      <c r="B230" s="145" t="s">
        <v>326</v>
      </c>
      <c r="C230" s="141" t="s">
        <v>873</v>
      </c>
      <c r="D230" s="142" t="s">
        <v>868</v>
      </c>
      <c r="E230" s="149" t="s">
        <v>325</v>
      </c>
      <c r="F230" s="543">
        <v>0.5</v>
      </c>
      <c r="G230" s="543">
        <v>0.49</v>
      </c>
      <c r="H230" s="543">
        <v>0</v>
      </c>
      <c r="I230" s="543">
        <v>0.01</v>
      </c>
      <c r="J230" s="543">
        <v>1</v>
      </c>
      <c r="K230" s="542">
        <v>43328085</v>
      </c>
      <c r="L230" s="542">
        <v>42461523</v>
      </c>
      <c r="M230" s="542">
        <v>0</v>
      </c>
      <c r="N230" s="542">
        <v>866562</v>
      </c>
      <c r="O230" s="542">
        <v>86656170</v>
      </c>
      <c r="P230" s="542">
        <v>0</v>
      </c>
      <c r="Q230" s="542">
        <v>0</v>
      </c>
      <c r="R230" s="542">
        <v>43328085</v>
      </c>
      <c r="S230" s="542">
        <v>445614</v>
      </c>
      <c r="T230" s="542">
        <v>445614</v>
      </c>
      <c r="U230" s="542">
        <v>0</v>
      </c>
      <c r="V230" s="542">
        <v>0</v>
      </c>
      <c r="W230" s="542">
        <v>0</v>
      </c>
      <c r="X230" s="542">
        <v>0</v>
      </c>
      <c r="Y230" s="542">
        <v>0</v>
      </c>
      <c r="Z230" s="542">
        <v>0</v>
      </c>
      <c r="AA230" s="542">
        <v>0</v>
      </c>
      <c r="AB230" s="542">
        <v>0</v>
      </c>
      <c r="AC230" s="542">
        <v>0</v>
      </c>
      <c r="AD230" s="542">
        <v>12183587</v>
      </c>
      <c r="AE230" s="542">
        <v>11939916</v>
      </c>
      <c r="AF230" s="542">
        <v>0</v>
      </c>
      <c r="AG230" s="542">
        <v>243672</v>
      </c>
      <c r="AH230" s="542">
        <v>24367175</v>
      </c>
      <c r="AI230" s="542">
        <v>-1727568</v>
      </c>
      <c r="AJ230" s="542">
        <v>-1693016</v>
      </c>
      <c r="AK230" s="542">
        <v>0</v>
      </c>
      <c r="AL230" s="542">
        <v>-34551</v>
      </c>
      <c r="AM230" s="542">
        <v>-3455135</v>
      </c>
      <c r="AN230" s="542">
        <v>-4443498</v>
      </c>
      <c r="AO230" s="542">
        <v>-4354629</v>
      </c>
      <c r="AP230" s="542">
        <v>0</v>
      </c>
      <c r="AQ230" s="542">
        <v>-88870</v>
      </c>
      <c r="AR230" s="542">
        <v>-8886997</v>
      </c>
      <c r="AS230" s="542">
        <v>630464</v>
      </c>
      <c r="AT230" s="542">
        <v>617854</v>
      </c>
      <c r="AU230" s="542">
        <v>0</v>
      </c>
      <c r="AV230" s="542">
        <v>12609</v>
      </c>
      <c r="AW230" s="542">
        <v>1260927</v>
      </c>
      <c r="AX230" s="542">
        <v>-2752326</v>
      </c>
      <c r="AY230" s="542">
        <v>-2697280</v>
      </c>
      <c r="AZ230" s="542">
        <v>0</v>
      </c>
      <c r="BA230" s="542">
        <v>-55047</v>
      </c>
      <c r="BB230" s="542">
        <v>-5504653</v>
      </c>
      <c r="BC230" s="542">
        <v>-6565360</v>
      </c>
      <c r="BD230" s="542">
        <v>-6434055</v>
      </c>
      <c r="BE230" s="542">
        <v>0</v>
      </c>
      <c r="BF230" s="542">
        <v>-131308</v>
      </c>
      <c r="BG230" s="542">
        <v>-13130723</v>
      </c>
      <c r="BH230" s="542">
        <v>-3275031</v>
      </c>
      <c r="BI230" s="542">
        <v>-3209532</v>
      </c>
      <c r="BJ230" s="542">
        <v>0</v>
      </c>
      <c r="BK230" s="542">
        <v>-65501</v>
      </c>
      <c r="BL230" s="542">
        <v>-6550064</v>
      </c>
      <c r="BM230" s="542">
        <v>2959187</v>
      </c>
      <c r="BN230" s="542">
        <v>2900003</v>
      </c>
      <c r="BO230" s="542">
        <v>0</v>
      </c>
      <c r="BP230" s="542">
        <v>59184</v>
      </c>
      <c r="BQ230" s="542">
        <v>5918374</v>
      </c>
      <c r="BR230" s="542">
        <v>-4797042</v>
      </c>
      <c r="BS230" s="542">
        <v>-4701102</v>
      </c>
      <c r="BT230" s="542">
        <v>0</v>
      </c>
      <c r="BU230" s="542">
        <v>-95941</v>
      </c>
      <c r="BV230" s="542">
        <v>-9594085</v>
      </c>
      <c r="BW230" s="542">
        <v>-5112886</v>
      </c>
      <c r="BX230" s="542">
        <v>-5010631</v>
      </c>
      <c r="BY230" s="542">
        <v>0</v>
      </c>
      <c r="BZ230" s="542">
        <v>-102258</v>
      </c>
      <c r="CA230" s="542">
        <v>-10225775</v>
      </c>
    </row>
    <row r="231" spans="1:79" ht="12.75" x14ac:dyDescent="0.2">
      <c r="A231" s="93">
        <v>225</v>
      </c>
      <c r="B231" s="145" t="s">
        <v>328</v>
      </c>
      <c r="C231" s="141" t="s">
        <v>873</v>
      </c>
      <c r="D231" s="142" t="s">
        <v>876</v>
      </c>
      <c r="E231" s="149" t="s">
        <v>327</v>
      </c>
      <c r="F231" s="543">
        <v>0.5</v>
      </c>
      <c r="G231" s="543">
        <v>0.49</v>
      </c>
      <c r="H231" s="543">
        <v>0</v>
      </c>
      <c r="I231" s="543">
        <v>0.01</v>
      </c>
      <c r="J231" s="543">
        <v>1</v>
      </c>
      <c r="K231" s="542">
        <v>48686174</v>
      </c>
      <c r="L231" s="542">
        <v>47712452</v>
      </c>
      <c r="M231" s="542">
        <v>0</v>
      </c>
      <c r="N231" s="542">
        <v>973724</v>
      </c>
      <c r="O231" s="542">
        <v>97372350</v>
      </c>
      <c r="P231" s="542">
        <v>0</v>
      </c>
      <c r="Q231" s="542">
        <v>0</v>
      </c>
      <c r="R231" s="542">
        <v>48686174</v>
      </c>
      <c r="S231" s="542">
        <v>444854</v>
      </c>
      <c r="T231" s="542">
        <v>444854</v>
      </c>
      <c r="U231" s="542">
        <v>0</v>
      </c>
      <c r="V231" s="542">
        <v>0</v>
      </c>
      <c r="W231" s="542">
        <v>0</v>
      </c>
      <c r="X231" s="542">
        <v>0</v>
      </c>
      <c r="Y231" s="542">
        <v>0</v>
      </c>
      <c r="Z231" s="542">
        <v>0</v>
      </c>
      <c r="AA231" s="542">
        <v>0</v>
      </c>
      <c r="AB231" s="542">
        <v>0</v>
      </c>
      <c r="AC231" s="542">
        <v>0</v>
      </c>
      <c r="AD231" s="542">
        <v>2588238</v>
      </c>
      <c r="AE231" s="542">
        <v>2536474</v>
      </c>
      <c r="AF231" s="542">
        <v>0</v>
      </c>
      <c r="AG231" s="542">
        <v>51765</v>
      </c>
      <c r="AH231" s="542">
        <v>5176477</v>
      </c>
      <c r="AI231" s="542">
        <v>-299066</v>
      </c>
      <c r="AJ231" s="542">
        <v>-293084</v>
      </c>
      <c r="AK231" s="542">
        <v>0</v>
      </c>
      <c r="AL231" s="542">
        <v>-5981</v>
      </c>
      <c r="AM231" s="542">
        <v>-598131</v>
      </c>
      <c r="AN231" s="542">
        <v>-710857</v>
      </c>
      <c r="AO231" s="542">
        <v>-696640</v>
      </c>
      <c r="AP231" s="542">
        <v>0</v>
      </c>
      <c r="AQ231" s="542">
        <v>-14217</v>
      </c>
      <c r="AR231" s="542">
        <v>-1421714</v>
      </c>
      <c r="AS231" s="542">
        <v>1186733</v>
      </c>
      <c r="AT231" s="542">
        <v>1162998</v>
      </c>
      <c r="AU231" s="542">
        <v>0</v>
      </c>
      <c r="AV231" s="542">
        <v>23735</v>
      </c>
      <c r="AW231" s="542">
        <v>2373466</v>
      </c>
      <c r="AX231" s="542">
        <v>-1250408</v>
      </c>
      <c r="AY231" s="542">
        <v>-1225399</v>
      </c>
      <c r="AZ231" s="542">
        <v>0</v>
      </c>
      <c r="BA231" s="542">
        <v>-25008</v>
      </c>
      <c r="BB231" s="542">
        <v>-2500815</v>
      </c>
      <c r="BC231" s="542">
        <v>-774532</v>
      </c>
      <c r="BD231" s="542">
        <v>-759041</v>
      </c>
      <c r="BE231" s="542">
        <v>0</v>
      </c>
      <c r="BF231" s="542">
        <v>-15490</v>
      </c>
      <c r="BG231" s="542">
        <v>-1549063</v>
      </c>
      <c r="BH231" s="542">
        <v>-1050000</v>
      </c>
      <c r="BI231" s="542">
        <v>-1029000</v>
      </c>
      <c r="BJ231" s="542">
        <v>0</v>
      </c>
      <c r="BK231" s="542">
        <v>-21000</v>
      </c>
      <c r="BL231" s="542">
        <v>-2100000</v>
      </c>
      <c r="BM231" s="542">
        <v>0</v>
      </c>
      <c r="BN231" s="542">
        <v>0</v>
      </c>
      <c r="BO231" s="542">
        <v>0</v>
      </c>
      <c r="BP231" s="542">
        <v>0</v>
      </c>
      <c r="BQ231" s="542">
        <v>0</v>
      </c>
      <c r="BR231" s="542">
        <v>189043</v>
      </c>
      <c r="BS231" s="542">
        <v>185263</v>
      </c>
      <c r="BT231" s="542">
        <v>0</v>
      </c>
      <c r="BU231" s="542">
        <v>3781</v>
      </c>
      <c r="BV231" s="542">
        <v>378087</v>
      </c>
      <c r="BW231" s="542">
        <v>-860957</v>
      </c>
      <c r="BX231" s="542">
        <v>-843737</v>
      </c>
      <c r="BY231" s="542">
        <v>0</v>
      </c>
      <c r="BZ231" s="542">
        <v>-17219</v>
      </c>
      <c r="CA231" s="542">
        <v>-1721913</v>
      </c>
    </row>
    <row r="232" spans="1:79" ht="12.75" x14ac:dyDescent="0.2">
      <c r="A232" s="93">
        <v>226</v>
      </c>
      <c r="B232" s="145" t="s">
        <v>330</v>
      </c>
      <c r="C232" s="141" t="s">
        <v>866</v>
      </c>
      <c r="D232" s="142" t="s">
        <v>874</v>
      </c>
      <c r="E232" s="149" t="s">
        <v>329</v>
      </c>
      <c r="F232" s="543">
        <v>0.5</v>
      </c>
      <c r="G232" s="543">
        <v>0.4</v>
      </c>
      <c r="H232" s="543">
        <v>0.09</v>
      </c>
      <c r="I232" s="543">
        <v>0.01</v>
      </c>
      <c r="J232" s="543">
        <v>1</v>
      </c>
      <c r="K232" s="542">
        <v>16248131</v>
      </c>
      <c r="L232" s="542">
        <v>12998506</v>
      </c>
      <c r="M232" s="542">
        <v>2924664</v>
      </c>
      <c r="N232" s="542">
        <v>324963</v>
      </c>
      <c r="O232" s="542">
        <v>32496264</v>
      </c>
      <c r="P232" s="542">
        <v>0</v>
      </c>
      <c r="Q232" s="542">
        <v>0</v>
      </c>
      <c r="R232" s="542">
        <v>16248131</v>
      </c>
      <c r="S232" s="542">
        <v>250789</v>
      </c>
      <c r="T232" s="542">
        <v>250789</v>
      </c>
      <c r="U232" s="542">
        <v>0</v>
      </c>
      <c r="V232" s="542">
        <v>0</v>
      </c>
      <c r="W232" s="542">
        <v>0</v>
      </c>
      <c r="X232" s="542">
        <v>0</v>
      </c>
      <c r="Y232" s="542">
        <v>0</v>
      </c>
      <c r="Z232" s="542">
        <v>0</v>
      </c>
      <c r="AA232" s="542">
        <v>0</v>
      </c>
      <c r="AB232" s="542">
        <v>0</v>
      </c>
      <c r="AC232" s="542">
        <v>0</v>
      </c>
      <c r="AD232" s="542">
        <v>652730</v>
      </c>
      <c r="AE232" s="542">
        <v>522185</v>
      </c>
      <c r="AF232" s="542">
        <v>117492</v>
      </c>
      <c r="AG232" s="542">
        <v>13055</v>
      </c>
      <c r="AH232" s="542">
        <v>1305462</v>
      </c>
      <c r="AI232" s="542">
        <v>-380620</v>
      </c>
      <c r="AJ232" s="542">
        <v>-304495</v>
      </c>
      <c r="AK232" s="542">
        <v>-68511</v>
      </c>
      <c r="AL232" s="542">
        <v>-7612</v>
      </c>
      <c r="AM232" s="542">
        <v>-761238</v>
      </c>
      <c r="AN232" s="542">
        <v>-304405</v>
      </c>
      <c r="AO232" s="542">
        <v>-243524</v>
      </c>
      <c r="AP232" s="542">
        <v>-54793</v>
      </c>
      <c r="AQ232" s="542">
        <v>-6088</v>
      </c>
      <c r="AR232" s="542">
        <v>-608810</v>
      </c>
      <c r="AS232" s="542">
        <v>153389</v>
      </c>
      <c r="AT232" s="542">
        <v>122711</v>
      </c>
      <c r="AU232" s="542">
        <v>27610</v>
      </c>
      <c r="AV232" s="542">
        <v>3068</v>
      </c>
      <c r="AW232" s="542">
        <v>306778</v>
      </c>
      <c r="AX232" s="542">
        <v>-198862</v>
      </c>
      <c r="AY232" s="542">
        <v>-159090</v>
      </c>
      <c r="AZ232" s="542">
        <v>-35795</v>
      </c>
      <c r="BA232" s="542">
        <v>-3977</v>
      </c>
      <c r="BB232" s="542">
        <v>-397724</v>
      </c>
      <c r="BC232" s="542">
        <v>-349878</v>
      </c>
      <c r="BD232" s="542">
        <v>-279903</v>
      </c>
      <c r="BE232" s="542">
        <v>-62978</v>
      </c>
      <c r="BF232" s="542">
        <v>-6997</v>
      </c>
      <c r="BG232" s="542">
        <v>-699756</v>
      </c>
      <c r="BH232" s="542">
        <v>-1806480</v>
      </c>
      <c r="BI232" s="542">
        <v>-1445186</v>
      </c>
      <c r="BJ232" s="542">
        <v>-325167</v>
      </c>
      <c r="BK232" s="542">
        <v>-36130</v>
      </c>
      <c r="BL232" s="542">
        <v>-3612963</v>
      </c>
      <c r="BM232" s="542">
        <v>1071721</v>
      </c>
      <c r="BN232" s="542">
        <v>857377</v>
      </c>
      <c r="BO232" s="542">
        <v>192910</v>
      </c>
      <c r="BP232" s="542">
        <v>21434</v>
      </c>
      <c r="BQ232" s="542">
        <v>2143442</v>
      </c>
      <c r="BR232" s="542">
        <v>-905484</v>
      </c>
      <c r="BS232" s="542">
        <v>-724388</v>
      </c>
      <c r="BT232" s="542">
        <v>-162987</v>
      </c>
      <c r="BU232" s="542">
        <v>-18110</v>
      </c>
      <c r="BV232" s="542">
        <v>-1810969</v>
      </c>
      <c r="BW232" s="542">
        <v>-1640243</v>
      </c>
      <c r="BX232" s="542">
        <v>-1312197</v>
      </c>
      <c r="BY232" s="542">
        <v>-295244</v>
      </c>
      <c r="BZ232" s="542">
        <v>-32806</v>
      </c>
      <c r="CA232" s="542">
        <v>-3280490</v>
      </c>
    </row>
    <row r="233" spans="1:79" ht="12.75" x14ac:dyDescent="0.2">
      <c r="A233" s="93">
        <v>227</v>
      </c>
      <c r="B233" s="145" t="s">
        <v>332</v>
      </c>
      <c r="C233" s="141" t="s">
        <v>866</v>
      </c>
      <c r="D233" s="142" t="s">
        <v>875</v>
      </c>
      <c r="E233" s="149" t="s">
        <v>331</v>
      </c>
      <c r="F233" s="543">
        <v>0.5</v>
      </c>
      <c r="G233" s="543">
        <v>0.4</v>
      </c>
      <c r="H233" s="543">
        <v>0.09</v>
      </c>
      <c r="I233" s="543">
        <v>0.01</v>
      </c>
      <c r="J233" s="543">
        <v>1</v>
      </c>
      <c r="K233" s="542">
        <v>17805200</v>
      </c>
      <c r="L233" s="542">
        <v>14244160</v>
      </c>
      <c r="M233" s="542">
        <v>3204936</v>
      </c>
      <c r="N233" s="542">
        <v>356104</v>
      </c>
      <c r="O233" s="542">
        <v>35610400</v>
      </c>
      <c r="P233" s="542">
        <v>0</v>
      </c>
      <c r="Q233" s="542">
        <v>0</v>
      </c>
      <c r="R233" s="542">
        <v>17805200</v>
      </c>
      <c r="S233" s="542">
        <v>162192</v>
      </c>
      <c r="T233" s="542">
        <v>162192</v>
      </c>
      <c r="U233" s="542">
        <v>0</v>
      </c>
      <c r="V233" s="542">
        <v>0</v>
      </c>
      <c r="W233" s="542">
        <v>52993</v>
      </c>
      <c r="X233" s="542">
        <v>0</v>
      </c>
      <c r="Y233" s="542">
        <v>52993</v>
      </c>
      <c r="Z233" s="542">
        <v>0</v>
      </c>
      <c r="AA233" s="542">
        <v>0</v>
      </c>
      <c r="AB233" s="542">
        <v>0</v>
      </c>
      <c r="AC233" s="542">
        <v>0</v>
      </c>
      <c r="AD233" s="542">
        <v>770121</v>
      </c>
      <c r="AE233" s="542">
        <v>616096</v>
      </c>
      <c r="AF233" s="542">
        <v>138622</v>
      </c>
      <c r="AG233" s="542">
        <v>15402</v>
      </c>
      <c r="AH233" s="542">
        <v>1540241</v>
      </c>
      <c r="AI233" s="542">
        <v>-338411</v>
      </c>
      <c r="AJ233" s="542">
        <v>-270729</v>
      </c>
      <c r="AK233" s="542">
        <v>-60914</v>
      </c>
      <c r="AL233" s="542">
        <v>-6768</v>
      </c>
      <c r="AM233" s="542">
        <v>-676822</v>
      </c>
      <c r="AN233" s="542">
        <v>-250806</v>
      </c>
      <c r="AO233" s="542">
        <v>-200645</v>
      </c>
      <c r="AP233" s="542">
        <v>-45144</v>
      </c>
      <c r="AQ233" s="542">
        <v>-5016</v>
      </c>
      <c r="AR233" s="542">
        <v>-501611</v>
      </c>
      <c r="AS233" s="542">
        <v>0</v>
      </c>
      <c r="AT233" s="542">
        <v>0</v>
      </c>
      <c r="AU233" s="542">
        <v>0</v>
      </c>
      <c r="AV233" s="542">
        <v>0</v>
      </c>
      <c r="AW233" s="542">
        <v>0</v>
      </c>
      <c r="AX233" s="542">
        <v>-121538</v>
      </c>
      <c r="AY233" s="542">
        <v>-97231</v>
      </c>
      <c r="AZ233" s="542">
        <v>-21877</v>
      </c>
      <c r="BA233" s="542">
        <v>-2431</v>
      </c>
      <c r="BB233" s="542">
        <v>-243077</v>
      </c>
      <c r="BC233" s="542">
        <v>-372344</v>
      </c>
      <c r="BD233" s="542">
        <v>-297876</v>
      </c>
      <c r="BE233" s="542">
        <v>-67021</v>
      </c>
      <c r="BF233" s="542">
        <v>-7447</v>
      </c>
      <c r="BG233" s="542">
        <v>-744688</v>
      </c>
      <c r="BH233" s="542">
        <v>-1534996</v>
      </c>
      <c r="BI233" s="542">
        <v>-1227997</v>
      </c>
      <c r="BJ233" s="542">
        <v>-276299</v>
      </c>
      <c r="BK233" s="542">
        <v>-30700</v>
      </c>
      <c r="BL233" s="542">
        <v>-3069992</v>
      </c>
      <c r="BM233" s="542">
        <v>0</v>
      </c>
      <c r="BN233" s="542">
        <v>0</v>
      </c>
      <c r="BO233" s="542">
        <v>0</v>
      </c>
      <c r="BP233" s="542">
        <v>0</v>
      </c>
      <c r="BQ233" s="542">
        <v>0</v>
      </c>
      <c r="BR233" s="542">
        <v>-579253</v>
      </c>
      <c r="BS233" s="542">
        <v>-463403</v>
      </c>
      <c r="BT233" s="542">
        <v>-104266</v>
      </c>
      <c r="BU233" s="542">
        <v>-11585</v>
      </c>
      <c r="BV233" s="542">
        <v>-1158507</v>
      </c>
      <c r="BW233" s="542">
        <v>-2114249</v>
      </c>
      <c r="BX233" s="542">
        <v>-1691400</v>
      </c>
      <c r="BY233" s="542">
        <v>-380565</v>
      </c>
      <c r="BZ233" s="542">
        <v>-42285</v>
      </c>
      <c r="CA233" s="542">
        <v>-4228499</v>
      </c>
    </row>
    <row r="234" spans="1:79" ht="12.75" x14ac:dyDescent="0.2">
      <c r="A234" s="93">
        <v>228</v>
      </c>
      <c r="B234" s="145" t="s">
        <v>334</v>
      </c>
      <c r="C234" s="141" t="s">
        <v>873</v>
      </c>
      <c r="D234" s="142" t="s">
        <v>868</v>
      </c>
      <c r="E234" s="149" t="s">
        <v>333</v>
      </c>
      <c r="F234" s="543">
        <v>0.5</v>
      </c>
      <c r="G234" s="543">
        <v>0.49</v>
      </c>
      <c r="H234" s="543">
        <v>0</v>
      </c>
      <c r="I234" s="543">
        <v>0.01</v>
      </c>
      <c r="J234" s="543">
        <v>1</v>
      </c>
      <c r="K234" s="542">
        <v>34061033</v>
      </c>
      <c r="L234" s="542">
        <v>33379813</v>
      </c>
      <c r="M234" s="542">
        <v>0</v>
      </c>
      <c r="N234" s="542">
        <v>681221</v>
      </c>
      <c r="O234" s="542">
        <v>68122067</v>
      </c>
      <c r="P234" s="542">
        <v>0</v>
      </c>
      <c r="Q234" s="542">
        <v>0</v>
      </c>
      <c r="R234" s="542">
        <v>34061033</v>
      </c>
      <c r="S234" s="542">
        <v>322496</v>
      </c>
      <c r="T234" s="542">
        <v>322496</v>
      </c>
      <c r="U234" s="542">
        <v>0</v>
      </c>
      <c r="V234" s="542">
        <v>0</v>
      </c>
      <c r="W234" s="542">
        <v>0</v>
      </c>
      <c r="X234" s="542">
        <v>0</v>
      </c>
      <c r="Y234" s="542">
        <v>0</v>
      </c>
      <c r="Z234" s="542">
        <v>0</v>
      </c>
      <c r="AA234" s="542">
        <v>0</v>
      </c>
      <c r="AB234" s="542">
        <v>0</v>
      </c>
      <c r="AC234" s="542">
        <v>0</v>
      </c>
      <c r="AD234" s="542">
        <v>1693980</v>
      </c>
      <c r="AE234" s="542">
        <v>1660101</v>
      </c>
      <c r="AF234" s="542">
        <v>0</v>
      </c>
      <c r="AG234" s="542">
        <v>33880</v>
      </c>
      <c r="AH234" s="542">
        <v>3387961</v>
      </c>
      <c r="AI234" s="542">
        <v>-399951</v>
      </c>
      <c r="AJ234" s="542">
        <v>-391951</v>
      </c>
      <c r="AK234" s="542">
        <v>0</v>
      </c>
      <c r="AL234" s="542">
        <v>-7999</v>
      </c>
      <c r="AM234" s="542">
        <v>-799901</v>
      </c>
      <c r="AN234" s="542">
        <v>-759550</v>
      </c>
      <c r="AO234" s="542">
        <v>-744359</v>
      </c>
      <c r="AP234" s="542">
        <v>0</v>
      </c>
      <c r="AQ234" s="542">
        <v>-15191</v>
      </c>
      <c r="AR234" s="542">
        <v>-1519100</v>
      </c>
      <c r="AS234" s="542">
        <v>330074</v>
      </c>
      <c r="AT234" s="542">
        <v>323474</v>
      </c>
      <c r="AU234" s="542">
        <v>0</v>
      </c>
      <c r="AV234" s="542">
        <v>6602</v>
      </c>
      <c r="AW234" s="542">
        <v>660150</v>
      </c>
      <c r="AX234" s="542">
        <v>-350074</v>
      </c>
      <c r="AY234" s="542">
        <v>-343074</v>
      </c>
      <c r="AZ234" s="542">
        <v>0</v>
      </c>
      <c r="BA234" s="542">
        <v>-7002</v>
      </c>
      <c r="BB234" s="542">
        <v>-700150</v>
      </c>
      <c r="BC234" s="542">
        <v>-779550</v>
      </c>
      <c r="BD234" s="542">
        <v>-763959</v>
      </c>
      <c r="BE234" s="542">
        <v>0</v>
      </c>
      <c r="BF234" s="542">
        <v>-15591</v>
      </c>
      <c r="BG234" s="542">
        <v>-1559100</v>
      </c>
      <c r="BH234" s="542">
        <v>-2317800</v>
      </c>
      <c r="BI234" s="542">
        <v>-2271444</v>
      </c>
      <c r="BJ234" s="542">
        <v>0</v>
      </c>
      <c r="BK234" s="542">
        <v>-46356</v>
      </c>
      <c r="BL234" s="542">
        <v>-4635600</v>
      </c>
      <c r="BM234" s="542">
        <v>1048793</v>
      </c>
      <c r="BN234" s="542">
        <v>1027818</v>
      </c>
      <c r="BO234" s="542">
        <v>0</v>
      </c>
      <c r="BP234" s="542">
        <v>20976</v>
      </c>
      <c r="BQ234" s="542">
        <v>2097587</v>
      </c>
      <c r="BR234" s="542">
        <v>-3794293</v>
      </c>
      <c r="BS234" s="542">
        <v>-3718408</v>
      </c>
      <c r="BT234" s="542">
        <v>0</v>
      </c>
      <c r="BU234" s="542">
        <v>-75886</v>
      </c>
      <c r="BV234" s="542">
        <v>-7588587</v>
      </c>
      <c r="BW234" s="542">
        <v>-5063300</v>
      </c>
      <c r="BX234" s="542">
        <v>-4962034</v>
      </c>
      <c r="BY234" s="542">
        <v>0</v>
      </c>
      <c r="BZ234" s="542">
        <v>-101266</v>
      </c>
      <c r="CA234" s="542">
        <v>-10126600</v>
      </c>
    </row>
    <row r="235" spans="1:79" ht="12.75" x14ac:dyDescent="0.2">
      <c r="A235" s="93">
        <v>229</v>
      </c>
      <c r="B235" s="145" t="s">
        <v>336</v>
      </c>
      <c r="C235" s="141" t="s">
        <v>866</v>
      </c>
      <c r="D235" s="142" t="s">
        <v>874</v>
      </c>
      <c r="E235" s="149" t="s">
        <v>335</v>
      </c>
      <c r="F235" s="543">
        <v>0.5</v>
      </c>
      <c r="G235" s="543">
        <v>0.4</v>
      </c>
      <c r="H235" s="543">
        <v>0.09</v>
      </c>
      <c r="I235" s="543">
        <v>0.01</v>
      </c>
      <c r="J235" s="543">
        <v>1</v>
      </c>
      <c r="K235" s="542">
        <v>19354654</v>
      </c>
      <c r="L235" s="542">
        <v>15483723</v>
      </c>
      <c r="M235" s="542">
        <v>3483838</v>
      </c>
      <c r="N235" s="542">
        <v>387093</v>
      </c>
      <c r="O235" s="542">
        <v>38709308</v>
      </c>
      <c r="P235" s="542">
        <v>0</v>
      </c>
      <c r="Q235" s="542">
        <v>0</v>
      </c>
      <c r="R235" s="542">
        <v>19354654</v>
      </c>
      <c r="S235" s="542">
        <v>117702</v>
      </c>
      <c r="T235" s="542">
        <v>117702</v>
      </c>
      <c r="U235" s="542">
        <v>0</v>
      </c>
      <c r="V235" s="542">
        <v>0</v>
      </c>
      <c r="W235" s="542">
        <v>5206551</v>
      </c>
      <c r="X235" s="542">
        <v>0</v>
      </c>
      <c r="Y235" s="542">
        <v>5206551</v>
      </c>
      <c r="Z235" s="542">
        <v>0</v>
      </c>
      <c r="AA235" s="542">
        <v>0</v>
      </c>
      <c r="AB235" s="542">
        <v>0</v>
      </c>
      <c r="AC235" s="542">
        <v>0</v>
      </c>
      <c r="AD235" s="542">
        <v>1040408</v>
      </c>
      <c r="AE235" s="542">
        <v>832326</v>
      </c>
      <c r="AF235" s="542">
        <v>187273</v>
      </c>
      <c r="AG235" s="542">
        <v>20808</v>
      </c>
      <c r="AH235" s="542">
        <v>2080815</v>
      </c>
      <c r="AI235" s="542">
        <v>-121124</v>
      </c>
      <c r="AJ235" s="542">
        <v>-96898</v>
      </c>
      <c r="AK235" s="542">
        <v>-21802</v>
      </c>
      <c r="AL235" s="542">
        <v>-2422</v>
      </c>
      <c r="AM235" s="542">
        <v>-242246</v>
      </c>
      <c r="AN235" s="542">
        <v>-412998</v>
      </c>
      <c r="AO235" s="542">
        <v>-330399</v>
      </c>
      <c r="AP235" s="542">
        <v>-74340</v>
      </c>
      <c r="AQ235" s="542">
        <v>-8260</v>
      </c>
      <c r="AR235" s="542">
        <v>-825997</v>
      </c>
      <c r="AS235" s="542">
        <v>94202</v>
      </c>
      <c r="AT235" s="542">
        <v>75362</v>
      </c>
      <c r="AU235" s="542">
        <v>16956</v>
      </c>
      <c r="AV235" s="542">
        <v>1884</v>
      </c>
      <c r="AW235" s="542">
        <v>188404</v>
      </c>
      <c r="AX235" s="542">
        <v>-29619</v>
      </c>
      <c r="AY235" s="542">
        <v>-23695</v>
      </c>
      <c r="AZ235" s="542">
        <v>-5331</v>
      </c>
      <c r="BA235" s="542">
        <v>-592</v>
      </c>
      <c r="BB235" s="542">
        <v>-59237</v>
      </c>
      <c r="BC235" s="542">
        <v>-348415</v>
      </c>
      <c r="BD235" s="542">
        <v>-278732</v>
      </c>
      <c r="BE235" s="542">
        <v>-62715</v>
      </c>
      <c r="BF235" s="542">
        <v>-6968</v>
      </c>
      <c r="BG235" s="542">
        <v>-696830</v>
      </c>
      <c r="BH235" s="542">
        <v>-642647</v>
      </c>
      <c r="BI235" s="542">
        <v>-514118</v>
      </c>
      <c r="BJ235" s="542">
        <v>-115676</v>
      </c>
      <c r="BK235" s="542">
        <v>-12853</v>
      </c>
      <c r="BL235" s="542">
        <v>-1285294</v>
      </c>
      <c r="BM235" s="542">
        <v>110624</v>
      </c>
      <c r="BN235" s="542">
        <v>88499</v>
      </c>
      <c r="BO235" s="542">
        <v>19912</v>
      </c>
      <c r="BP235" s="542">
        <v>2212</v>
      </c>
      <c r="BQ235" s="542">
        <v>221247</v>
      </c>
      <c r="BR235" s="542">
        <v>4591</v>
      </c>
      <c r="BS235" s="542">
        <v>3674</v>
      </c>
      <c r="BT235" s="542">
        <v>827</v>
      </c>
      <c r="BU235" s="542">
        <v>92</v>
      </c>
      <c r="BV235" s="542">
        <v>9184</v>
      </c>
      <c r="BW235" s="542">
        <v>-527432</v>
      </c>
      <c r="BX235" s="542">
        <v>-421945</v>
      </c>
      <c r="BY235" s="542">
        <v>-94937</v>
      </c>
      <c r="BZ235" s="542">
        <v>-10549</v>
      </c>
      <c r="CA235" s="542">
        <v>-1054863</v>
      </c>
    </row>
    <row r="236" spans="1:79" ht="12.75" x14ac:dyDescent="0.2">
      <c r="A236" s="93">
        <v>230</v>
      </c>
      <c r="B236" s="145" t="s">
        <v>338</v>
      </c>
      <c r="C236" s="141" t="s">
        <v>866</v>
      </c>
      <c r="D236" s="142" t="s">
        <v>867</v>
      </c>
      <c r="E236" s="149" t="s">
        <v>337</v>
      </c>
      <c r="F236" s="543">
        <v>0.5</v>
      </c>
      <c r="G236" s="543">
        <v>0.4</v>
      </c>
      <c r="H236" s="543">
        <v>0.09</v>
      </c>
      <c r="I236" s="543">
        <v>0.01</v>
      </c>
      <c r="J236" s="543">
        <v>1</v>
      </c>
      <c r="K236" s="542">
        <v>16342155</v>
      </c>
      <c r="L236" s="542">
        <v>13073724</v>
      </c>
      <c r="M236" s="542">
        <v>2941588</v>
      </c>
      <c r="N236" s="542">
        <v>326843</v>
      </c>
      <c r="O236" s="542">
        <v>32684310</v>
      </c>
      <c r="P236" s="542">
        <v>0</v>
      </c>
      <c r="Q236" s="542">
        <v>0</v>
      </c>
      <c r="R236" s="542">
        <v>16342155</v>
      </c>
      <c r="S236" s="542">
        <v>169927</v>
      </c>
      <c r="T236" s="542">
        <v>169927</v>
      </c>
      <c r="U236" s="542">
        <v>0</v>
      </c>
      <c r="V236" s="542">
        <v>0</v>
      </c>
      <c r="W236" s="542">
        <v>0</v>
      </c>
      <c r="X236" s="542">
        <v>0</v>
      </c>
      <c r="Y236" s="542">
        <v>0</v>
      </c>
      <c r="Z236" s="542">
        <v>0</v>
      </c>
      <c r="AA236" s="542">
        <v>0</v>
      </c>
      <c r="AB236" s="542">
        <v>0</v>
      </c>
      <c r="AC236" s="542">
        <v>0</v>
      </c>
      <c r="AD236" s="542">
        <v>1004109</v>
      </c>
      <c r="AE236" s="542">
        <v>803286</v>
      </c>
      <c r="AF236" s="542">
        <v>180739</v>
      </c>
      <c r="AG236" s="542">
        <v>20082</v>
      </c>
      <c r="AH236" s="542">
        <v>2008216</v>
      </c>
      <c r="AI236" s="542">
        <v>-649865</v>
      </c>
      <c r="AJ236" s="542">
        <v>-519892</v>
      </c>
      <c r="AK236" s="542">
        <v>-116976</v>
      </c>
      <c r="AL236" s="542">
        <v>-12997</v>
      </c>
      <c r="AM236" s="542">
        <v>-1299730</v>
      </c>
      <c r="AN236" s="542">
        <v>-438650</v>
      </c>
      <c r="AO236" s="542">
        <v>-350920</v>
      </c>
      <c r="AP236" s="542">
        <v>-78957</v>
      </c>
      <c r="AQ236" s="542">
        <v>-8773</v>
      </c>
      <c r="AR236" s="542">
        <v>-877300</v>
      </c>
      <c r="AS236" s="542">
        <v>217811</v>
      </c>
      <c r="AT236" s="542">
        <v>174248</v>
      </c>
      <c r="AU236" s="542">
        <v>39206</v>
      </c>
      <c r="AV236" s="542">
        <v>4356</v>
      </c>
      <c r="AW236" s="542">
        <v>435621</v>
      </c>
      <c r="AX236" s="542">
        <v>-231061</v>
      </c>
      <c r="AY236" s="542">
        <v>-184848</v>
      </c>
      <c r="AZ236" s="542">
        <v>-41591</v>
      </c>
      <c r="BA236" s="542">
        <v>-4621</v>
      </c>
      <c r="BB236" s="542">
        <v>-462121</v>
      </c>
      <c r="BC236" s="542">
        <v>-451900</v>
      </c>
      <c r="BD236" s="542">
        <v>-361520</v>
      </c>
      <c r="BE236" s="542">
        <v>-81342</v>
      </c>
      <c r="BF236" s="542">
        <v>-9038</v>
      </c>
      <c r="BG236" s="542">
        <v>-903800</v>
      </c>
      <c r="BH236" s="542">
        <v>-1133598</v>
      </c>
      <c r="BI236" s="542">
        <v>-906879</v>
      </c>
      <c r="BJ236" s="542">
        <v>-204048</v>
      </c>
      <c r="BK236" s="542">
        <v>-22672</v>
      </c>
      <c r="BL236" s="542">
        <v>-2267197</v>
      </c>
      <c r="BM236" s="542">
        <v>355928</v>
      </c>
      <c r="BN236" s="542">
        <v>284743</v>
      </c>
      <c r="BO236" s="542">
        <v>64067</v>
      </c>
      <c r="BP236" s="542">
        <v>7119</v>
      </c>
      <c r="BQ236" s="542">
        <v>711857</v>
      </c>
      <c r="BR236" s="542">
        <v>-1477183</v>
      </c>
      <c r="BS236" s="542">
        <v>-1181746</v>
      </c>
      <c r="BT236" s="542">
        <v>-265893</v>
      </c>
      <c r="BU236" s="542">
        <v>-29544</v>
      </c>
      <c r="BV236" s="542">
        <v>-2954366</v>
      </c>
      <c r="BW236" s="542">
        <v>-2254853</v>
      </c>
      <c r="BX236" s="542">
        <v>-1803882</v>
      </c>
      <c r="BY236" s="542">
        <v>-405874</v>
      </c>
      <c r="BZ236" s="542">
        <v>-45097</v>
      </c>
      <c r="CA236" s="542">
        <v>-4509706</v>
      </c>
    </row>
    <row r="237" spans="1:79" ht="12.75" x14ac:dyDescent="0.2">
      <c r="A237" s="93">
        <v>231</v>
      </c>
      <c r="B237" s="145" t="s">
        <v>340</v>
      </c>
      <c r="C237" s="141" t="s">
        <v>873</v>
      </c>
      <c r="D237" s="142" t="s">
        <v>874</v>
      </c>
      <c r="E237" s="149" t="s">
        <v>339</v>
      </c>
      <c r="F237" s="543">
        <v>0.5</v>
      </c>
      <c r="G237" s="543">
        <v>0.49</v>
      </c>
      <c r="H237" s="543">
        <v>0</v>
      </c>
      <c r="I237" s="543">
        <v>0.01</v>
      </c>
      <c r="J237" s="543">
        <v>1</v>
      </c>
      <c r="K237" s="542">
        <v>101719826</v>
      </c>
      <c r="L237" s="542">
        <v>99685429</v>
      </c>
      <c r="M237" s="542">
        <v>0</v>
      </c>
      <c r="N237" s="542">
        <v>2034397</v>
      </c>
      <c r="O237" s="542">
        <v>203439652</v>
      </c>
      <c r="P237" s="542">
        <v>55583.86</v>
      </c>
      <c r="Q237" s="542">
        <v>55583.86</v>
      </c>
      <c r="R237" s="542">
        <v>101664242</v>
      </c>
      <c r="S237" s="542">
        <v>777513</v>
      </c>
      <c r="T237" s="542">
        <v>777513</v>
      </c>
      <c r="U237" s="542">
        <v>367820</v>
      </c>
      <c r="V237" s="542">
        <v>367820</v>
      </c>
      <c r="W237" s="542">
        <v>0</v>
      </c>
      <c r="X237" s="542">
        <v>0</v>
      </c>
      <c r="Y237" s="542">
        <v>0</v>
      </c>
      <c r="Z237" s="542">
        <v>55583.86</v>
      </c>
      <c r="AA237" s="542">
        <v>0</v>
      </c>
      <c r="AB237" s="542">
        <v>0</v>
      </c>
      <c r="AC237" s="542">
        <v>55583.86</v>
      </c>
      <c r="AD237" s="542">
        <v>5527954</v>
      </c>
      <c r="AE237" s="542">
        <v>5417394</v>
      </c>
      <c r="AF237" s="542">
        <v>0</v>
      </c>
      <c r="AG237" s="542">
        <v>110559</v>
      </c>
      <c r="AH237" s="542">
        <v>11055907</v>
      </c>
      <c r="AI237" s="542">
        <v>-956373</v>
      </c>
      <c r="AJ237" s="542">
        <v>-937246</v>
      </c>
      <c r="AK237" s="542">
        <v>0</v>
      </c>
      <c r="AL237" s="542">
        <v>-19127</v>
      </c>
      <c r="AM237" s="542">
        <v>-1912746</v>
      </c>
      <c r="AN237" s="542">
        <v>-5275500</v>
      </c>
      <c r="AO237" s="542">
        <v>-5169990</v>
      </c>
      <c r="AP237" s="542">
        <v>0</v>
      </c>
      <c r="AQ237" s="542">
        <v>-105510</v>
      </c>
      <c r="AR237" s="542">
        <v>-10551000</v>
      </c>
      <c r="AS237" s="542">
        <v>2919056</v>
      </c>
      <c r="AT237" s="542">
        <v>2860675</v>
      </c>
      <c r="AU237" s="542">
        <v>0</v>
      </c>
      <c r="AV237" s="542">
        <v>58381</v>
      </c>
      <c r="AW237" s="542">
        <v>5838112</v>
      </c>
      <c r="AX237" s="542">
        <v>-1722056</v>
      </c>
      <c r="AY237" s="542">
        <v>-1687615</v>
      </c>
      <c r="AZ237" s="542">
        <v>0</v>
      </c>
      <c r="BA237" s="542">
        <v>-34441</v>
      </c>
      <c r="BB237" s="542">
        <v>-3444112</v>
      </c>
      <c r="BC237" s="542">
        <v>-4078500</v>
      </c>
      <c r="BD237" s="542">
        <v>-3996930</v>
      </c>
      <c r="BE237" s="542">
        <v>0</v>
      </c>
      <c r="BF237" s="542">
        <v>-81570</v>
      </c>
      <c r="BG237" s="542">
        <v>-8157000</v>
      </c>
      <c r="BH237" s="542">
        <v>-6800000</v>
      </c>
      <c r="BI237" s="542">
        <v>-6664000</v>
      </c>
      <c r="BJ237" s="542">
        <v>0</v>
      </c>
      <c r="BK237" s="542">
        <v>-136000</v>
      </c>
      <c r="BL237" s="542">
        <v>-13600000</v>
      </c>
      <c r="BM237" s="542">
        <v>3434642</v>
      </c>
      <c r="BN237" s="542">
        <v>3365949</v>
      </c>
      <c r="BO237" s="542">
        <v>0</v>
      </c>
      <c r="BP237" s="542">
        <v>68693</v>
      </c>
      <c r="BQ237" s="542">
        <v>6869284</v>
      </c>
      <c r="BR237" s="542">
        <v>-3484642</v>
      </c>
      <c r="BS237" s="542">
        <v>-3414949</v>
      </c>
      <c r="BT237" s="542">
        <v>0</v>
      </c>
      <c r="BU237" s="542">
        <v>-69693</v>
      </c>
      <c r="BV237" s="542">
        <v>-6969284</v>
      </c>
      <c r="BW237" s="542">
        <v>-6850000</v>
      </c>
      <c r="BX237" s="542">
        <v>-6713000</v>
      </c>
      <c r="BY237" s="542">
        <v>0</v>
      </c>
      <c r="BZ237" s="542">
        <v>-137000</v>
      </c>
      <c r="CA237" s="542">
        <v>-13700000</v>
      </c>
    </row>
    <row r="238" spans="1:79" ht="12.75" x14ac:dyDescent="0.2">
      <c r="A238" s="93">
        <v>232</v>
      </c>
      <c r="B238" s="145" t="s">
        <v>342</v>
      </c>
      <c r="C238" s="141" t="s">
        <v>866</v>
      </c>
      <c r="D238" s="142" t="s">
        <v>867</v>
      </c>
      <c r="E238" s="149" t="s">
        <v>341</v>
      </c>
      <c r="F238" s="543">
        <v>0.5</v>
      </c>
      <c r="G238" s="543">
        <v>0.4</v>
      </c>
      <c r="H238" s="543">
        <v>0.09</v>
      </c>
      <c r="I238" s="543">
        <v>0.01</v>
      </c>
      <c r="J238" s="543">
        <v>1</v>
      </c>
      <c r="K238" s="542">
        <v>13384425</v>
      </c>
      <c r="L238" s="542">
        <v>10707541</v>
      </c>
      <c r="M238" s="542">
        <v>2409197</v>
      </c>
      <c r="N238" s="542">
        <v>267689</v>
      </c>
      <c r="O238" s="542">
        <v>26768852</v>
      </c>
      <c r="P238" s="542">
        <v>0</v>
      </c>
      <c r="Q238" s="542">
        <v>0</v>
      </c>
      <c r="R238" s="542">
        <v>13384425</v>
      </c>
      <c r="S238" s="542">
        <v>151655</v>
      </c>
      <c r="T238" s="542">
        <v>151655</v>
      </c>
      <c r="U238" s="542">
        <v>0</v>
      </c>
      <c r="V238" s="542">
        <v>0</v>
      </c>
      <c r="W238" s="542">
        <v>0</v>
      </c>
      <c r="X238" s="542">
        <v>0</v>
      </c>
      <c r="Y238" s="542">
        <v>0</v>
      </c>
      <c r="Z238" s="542">
        <v>0</v>
      </c>
      <c r="AA238" s="542">
        <v>0</v>
      </c>
      <c r="AB238" s="542">
        <v>0</v>
      </c>
      <c r="AC238" s="542">
        <v>0</v>
      </c>
      <c r="AD238" s="542">
        <v>541874</v>
      </c>
      <c r="AE238" s="542">
        <v>433499</v>
      </c>
      <c r="AF238" s="542">
        <v>97537</v>
      </c>
      <c r="AG238" s="542">
        <v>10837</v>
      </c>
      <c r="AH238" s="542">
        <v>1083747</v>
      </c>
      <c r="AI238" s="542">
        <v>-204219</v>
      </c>
      <c r="AJ238" s="542">
        <v>-163374</v>
      </c>
      <c r="AK238" s="542">
        <v>-36759</v>
      </c>
      <c r="AL238" s="542">
        <v>-4084</v>
      </c>
      <c r="AM238" s="542">
        <v>-408436</v>
      </c>
      <c r="AN238" s="542">
        <v>-176183</v>
      </c>
      <c r="AO238" s="542">
        <v>-140946</v>
      </c>
      <c r="AP238" s="542">
        <v>-31713</v>
      </c>
      <c r="AQ238" s="542">
        <v>-3523</v>
      </c>
      <c r="AR238" s="542">
        <v>-352365</v>
      </c>
      <c r="AS238" s="542">
        <v>159229</v>
      </c>
      <c r="AT238" s="542">
        <v>127383</v>
      </c>
      <c r="AU238" s="542">
        <v>28661</v>
      </c>
      <c r="AV238" s="542">
        <v>3185</v>
      </c>
      <c r="AW238" s="542">
        <v>318458</v>
      </c>
      <c r="AX238" s="542">
        <v>-175791</v>
      </c>
      <c r="AY238" s="542">
        <v>-140632</v>
      </c>
      <c r="AZ238" s="542">
        <v>-31642</v>
      </c>
      <c r="BA238" s="542">
        <v>-3516</v>
      </c>
      <c r="BB238" s="542">
        <v>-351581</v>
      </c>
      <c r="BC238" s="542">
        <v>-192745</v>
      </c>
      <c r="BD238" s="542">
        <v>-154195</v>
      </c>
      <c r="BE238" s="542">
        <v>-34694</v>
      </c>
      <c r="BF238" s="542">
        <v>-3854</v>
      </c>
      <c r="BG238" s="542">
        <v>-385488</v>
      </c>
      <c r="BH238" s="542">
        <v>-743562</v>
      </c>
      <c r="BI238" s="542">
        <v>-594850</v>
      </c>
      <c r="BJ238" s="542">
        <v>-133841</v>
      </c>
      <c r="BK238" s="542">
        <v>-14871</v>
      </c>
      <c r="BL238" s="542">
        <v>-1487124</v>
      </c>
      <c r="BM238" s="542">
        <v>223962</v>
      </c>
      <c r="BN238" s="542">
        <v>179169</v>
      </c>
      <c r="BO238" s="542">
        <v>40313</v>
      </c>
      <c r="BP238" s="542">
        <v>4479</v>
      </c>
      <c r="BQ238" s="542">
        <v>447923</v>
      </c>
      <c r="BR238" s="542">
        <v>-785125</v>
      </c>
      <c r="BS238" s="542">
        <v>-628100</v>
      </c>
      <c r="BT238" s="542">
        <v>-141323</v>
      </c>
      <c r="BU238" s="542">
        <v>-15703</v>
      </c>
      <c r="BV238" s="542">
        <v>-1570251</v>
      </c>
      <c r="BW238" s="542">
        <v>-1304725</v>
      </c>
      <c r="BX238" s="542">
        <v>-1043781</v>
      </c>
      <c r="BY238" s="542">
        <v>-234851</v>
      </c>
      <c r="BZ238" s="542">
        <v>-26095</v>
      </c>
      <c r="CA238" s="542">
        <v>-2609452</v>
      </c>
    </row>
    <row r="239" spans="1:79" ht="12.75" x14ac:dyDescent="0.2">
      <c r="A239" s="93">
        <v>233</v>
      </c>
      <c r="B239" s="145" t="s">
        <v>344</v>
      </c>
      <c r="C239" s="141" t="s">
        <v>770</v>
      </c>
      <c r="D239" s="142" t="s">
        <v>876</v>
      </c>
      <c r="E239" s="149" t="s">
        <v>343</v>
      </c>
      <c r="F239" s="543">
        <v>0.5</v>
      </c>
      <c r="G239" s="543">
        <v>0.49</v>
      </c>
      <c r="H239" s="543">
        <v>0</v>
      </c>
      <c r="I239" s="543">
        <v>0.01</v>
      </c>
      <c r="J239" s="543">
        <v>1</v>
      </c>
      <c r="K239" s="542">
        <v>33670074</v>
      </c>
      <c r="L239" s="542">
        <v>32996673</v>
      </c>
      <c r="M239" s="542">
        <v>0</v>
      </c>
      <c r="N239" s="542">
        <v>673401</v>
      </c>
      <c r="O239" s="542">
        <v>67340148</v>
      </c>
      <c r="P239" s="542">
        <v>0</v>
      </c>
      <c r="Q239" s="542">
        <v>0</v>
      </c>
      <c r="R239" s="542">
        <v>33670074</v>
      </c>
      <c r="S239" s="542">
        <v>464476</v>
      </c>
      <c r="T239" s="542">
        <v>464476</v>
      </c>
      <c r="U239" s="542">
        <v>0</v>
      </c>
      <c r="V239" s="542">
        <v>0</v>
      </c>
      <c r="W239" s="542">
        <v>2184357</v>
      </c>
      <c r="X239" s="542">
        <v>0</v>
      </c>
      <c r="Y239" s="542">
        <v>2184357</v>
      </c>
      <c r="Z239" s="542">
        <v>0</v>
      </c>
      <c r="AA239" s="542">
        <v>0</v>
      </c>
      <c r="AB239" s="542">
        <v>0</v>
      </c>
      <c r="AC239" s="542">
        <v>0</v>
      </c>
      <c r="AD239" s="542">
        <v>1591612</v>
      </c>
      <c r="AE239" s="542">
        <v>1559779</v>
      </c>
      <c r="AF239" s="542">
        <v>0</v>
      </c>
      <c r="AG239" s="542">
        <v>31832</v>
      </c>
      <c r="AH239" s="542">
        <v>3183223</v>
      </c>
      <c r="AI239" s="542">
        <v>-1068310</v>
      </c>
      <c r="AJ239" s="542">
        <v>-1046943</v>
      </c>
      <c r="AK239" s="542">
        <v>0</v>
      </c>
      <c r="AL239" s="542">
        <v>-21366</v>
      </c>
      <c r="AM239" s="542">
        <v>-2136619</v>
      </c>
      <c r="AN239" s="542">
        <v>-773182</v>
      </c>
      <c r="AO239" s="542">
        <v>-757719</v>
      </c>
      <c r="AP239" s="542">
        <v>0</v>
      </c>
      <c r="AQ239" s="542">
        <v>-15463</v>
      </c>
      <c r="AR239" s="542">
        <v>-1546364</v>
      </c>
      <c r="AS239" s="542">
        <v>379837</v>
      </c>
      <c r="AT239" s="542">
        <v>372240</v>
      </c>
      <c r="AU239" s="542">
        <v>0</v>
      </c>
      <c r="AV239" s="542">
        <v>7597</v>
      </c>
      <c r="AW239" s="542">
        <v>759674</v>
      </c>
      <c r="AX239" s="542">
        <v>-351532</v>
      </c>
      <c r="AY239" s="542">
        <v>-344502</v>
      </c>
      <c r="AZ239" s="542">
        <v>0</v>
      </c>
      <c r="BA239" s="542">
        <v>-7031</v>
      </c>
      <c r="BB239" s="542">
        <v>-703065</v>
      </c>
      <c r="BC239" s="542">
        <v>-744877</v>
      </c>
      <c r="BD239" s="542">
        <v>-729981</v>
      </c>
      <c r="BE239" s="542">
        <v>0</v>
      </c>
      <c r="BF239" s="542">
        <v>-14897</v>
      </c>
      <c r="BG239" s="542">
        <v>-1489755</v>
      </c>
      <c r="BH239" s="542">
        <v>-802807</v>
      </c>
      <c r="BI239" s="542">
        <v>-786751</v>
      </c>
      <c r="BJ239" s="542">
        <v>0</v>
      </c>
      <c r="BK239" s="542">
        <v>-16056</v>
      </c>
      <c r="BL239" s="542">
        <v>-1605614</v>
      </c>
      <c r="BM239" s="542">
        <v>996673</v>
      </c>
      <c r="BN239" s="542">
        <v>976740</v>
      </c>
      <c r="BO239" s="542">
        <v>0</v>
      </c>
      <c r="BP239" s="542">
        <v>19933</v>
      </c>
      <c r="BQ239" s="542">
        <v>1993346</v>
      </c>
      <c r="BR239" s="542">
        <v>-4060752</v>
      </c>
      <c r="BS239" s="542">
        <v>-3979536</v>
      </c>
      <c r="BT239" s="542">
        <v>0</v>
      </c>
      <c r="BU239" s="542">
        <v>-81215</v>
      </c>
      <c r="BV239" s="542">
        <v>-8121503</v>
      </c>
      <c r="BW239" s="542">
        <v>-3866886</v>
      </c>
      <c r="BX239" s="542">
        <v>-3789547</v>
      </c>
      <c r="BY239" s="542">
        <v>0</v>
      </c>
      <c r="BZ239" s="542">
        <v>-77338</v>
      </c>
      <c r="CA239" s="542">
        <v>-7733771</v>
      </c>
    </row>
    <row r="240" spans="1:79" ht="12.75" x14ac:dyDescent="0.2">
      <c r="A240" s="93">
        <v>234</v>
      </c>
      <c r="B240" s="145" t="s">
        <v>346</v>
      </c>
      <c r="C240" s="141" t="s">
        <v>770</v>
      </c>
      <c r="D240" s="142" t="s">
        <v>867</v>
      </c>
      <c r="E240" s="149" t="s">
        <v>723</v>
      </c>
      <c r="F240" s="543">
        <v>0.5</v>
      </c>
      <c r="G240" s="543">
        <v>0.49</v>
      </c>
      <c r="H240" s="543">
        <v>0</v>
      </c>
      <c r="I240" s="543">
        <v>0.01</v>
      </c>
      <c r="J240" s="543">
        <v>1</v>
      </c>
      <c r="K240" s="542">
        <v>46023152</v>
      </c>
      <c r="L240" s="542">
        <v>45102689</v>
      </c>
      <c r="M240" s="542">
        <v>0</v>
      </c>
      <c r="N240" s="542">
        <v>920463</v>
      </c>
      <c r="O240" s="542">
        <v>92046304</v>
      </c>
      <c r="P240" s="542">
        <v>0</v>
      </c>
      <c r="Q240" s="542">
        <v>0</v>
      </c>
      <c r="R240" s="542">
        <v>46023152</v>
      </c>
      <c r="S240" s="542">
        <v>207441</v>
      </c>
      <c r="T240" s="542">
        <v>207441</v>
      </c>
      <c r="U240" s="542">
        <v>0</v>
      </c>
      <c r="V240" s="542">
        <v>0</v>
      </c>
      <c r="W240" s="542">
        <v>0</v>
      </c>
      <c r="X240" s="542">
        <v>0</v>
      </c>
      <c r="Y240" s="542">
        <v>0</v>
      </c>
      <c r="Z240" s="542">
        <v>0</v>
      </c>
      <c r="AA240" s="542">
        <v>0</v>
      </c>
      <c r="AB240" s="542">
        <v>0</v>
      </c>
      <c r="AC240" s="542">
        <v>0</v>
      </c>
      <c r="AD240" s="542">
        <v>2788997</v>
      </c>
      <c r="AE240" s="542">
        <v>2733217</v>
      </c>
      <c r="AF240" s="542">
        <v>0</v>
      </c>
      <c r="AG240" s="542">
        <v>55780</v>
      </c>
      <c r="AH240" s="542">
        <v>5577994</v>
      </c>
      <c r="AI240" s="542">
        <v>-194299</v>
      </c>
      <c r="AJ240" s="542">
        <v>-190413</v>
      </c>
      <c r="AK240" s="542">
        <v>0</v>
      </c>
      <c r="AL240" s="542">
        <v>-3886</v>
      </c>
      <c r="AM240" s="542">
        <v>-388598</v>
      </c>
      <c r="AN240" s="542">
        <v>-2024469.9</v>
      </c>
      <c r="AO240" s="542">
        <v>-1983981</v>
      </c>
      <c r="AP240" s="542">
        <v>0</v>
      </c>
      <c r="AQ240" s="542">
        <v>-40489</v>
      </c>
      <c r="AR240" s="542">
        <v>-4048939.9</v>
      </c>
      <c r="AS240" s="542">
        <v>1618821</v>
      </c>
      <c r="AT240" s="542">
        <v>1586444</v>
      </c>
      <c r="AU240" s="542">
        <v>0</v>
      </c>
      <c r="AV240" s="542">
        <v>32376</v>
      </c>
      <c r="AW240" s="542">
        <v>3237641</v>
      </c>
      <c r="AX240" s="542">
        <v>-1125119</v>
      </c>
      <c r="AY240" s="542">
        <v>-1102617</v>
      </c>
      <c r="AZ240" s="542">
        <v>0</v>
      </c>
      <c r="BA240" s="542">
        <v>-22502</v>
      </c>
      <c r="BB240" s="542">
        <v>-2250238</v>
      </c>
      <c r="BC240" s="542">
        <v>-1530767.9</v>
      </c>
      <c r="BD240" s="542">
        <v>-1500154</v>
      </c>
      <c r="BE240" s="542">
        <v>0</v>
      </c>
      <c r="BF240" s="542">
        <v>-30615</v>
      </c>
      <c r="BG240" s="542">
        <v>-3061536.9</v>
      </c>
      <c r="BH240" s="542">
        <v>-883796</v>
      </c>
      <c r="BI240" s="542">
        <v>-866119</v>
      </c>
      <c r="BJ240" s="542">
        <v>0</v>
      </c>
      <c r="BK240" s="542">
        <v>-17676</v>
      </c>
      <c r="BL240" s="542">
        <v>-1767591</v>
      </c>
      <c r="BM240" s="542">
        <v>892615</v>
      </c>
      <c r="BN240" s="542">
        <v>874762</v>
      </c>
      <c r="BO240" s="542">
        <v>0</v>
      </c>
      <c r="BP240" s="542">
        <v>17852</v>
      </c>
      <c r="BQ240" s="542">
        <v>1785229</v>
      </c>
      <c r="BR240" s="542">
        <v>-1253115</v>
      </c>
      <c r="BS240" s="542">
        <v>-1228053</v>
      </c>
      <c r="BT240" s="542">
        <v>0</v>
      </c>
      <c r="BU240" s="542">
        <v>-25062</v>
      </c>
      <c r="BV240" s="542">
        <v>-2506230</v>
      </c>
      <c r="BW240" s="542">
        <v>-1244296</v>
      </c>
      <c r="BX240" s="542">
        <v>-1219410</v>
      </c>
      <c r="BY240" s="542">
        <v>0</v>
      </c>
      <c r="BZ240" s="542">
        <v>-24886</v>
      </c>
      <c r="CA240" s="542">
        <v>-2488592</v>
      </c>
    </row>
    <row r="241" spans="1:79" ht="12.75" x14ac:dyDescent="0.2">
      <c r="A241" s="93">
        <v>235</v>
      </c>
      <c r="B241" s="145" t="s">
        <v>348</v>
      </c>
      <c r="C241" s="141" t="s">
        <v>873</v>
      </c>
      <c r="D241" s="142" t="s">
        <v>876</v>
      </c>
      <c r="E241" s="149" t="s">
        <v>347</v>
      </c>
      <c r="F241" s="543">
        <v>0.5</v>
      </c>
      <c r="G241" s="543">
        <v>0.49</v>
      </c>
      <c r="H241" s="543">
        <v>0</v>
      </c>
      <c r="I241" s="543">
        <v>0.01</v>
      </c>
      <c r="J241" s="543">
        <v>1</v>
      </c>
      <c r="K241" s="542">
        <v>52866357</v>
      </c>
      <c r="L241" s="542">
        <v>51809029</v>
      </c>
      <c r="M241" s="542">
        <v>0</v>
      </c>
      <c r="N241" s="542">
        <v>1057327</v>
      </c>
      <c r="O241" s="542">
        <v>105732713</v>
      </c>
      <c r="P241" s="542">
        <v>0</v>
      </c>
      <c r="Q241" s="542">
        <v>0</v>
      </c>
      <c r="R241" s="542">
        <v>52866357</v>
      </c>
      <c r="S241" s="542">
        <v>242823</v>
      </c>
      <c r="T241" s="542">
        <v>242823</v>
      </c>
      <c r="U241" s="542">
        <v>0</v>
      </c>
      <c r="V241" s="542">
        <v>0</v>
      </c>
      <c r="W241" s="542">
        <v>0</v>
      </c>
      <c r="X241" s="542">
        <v>0</v>
      </c>
      <c r="Y241" s="542">
        <v>0</v>
      </c>
      <c r="Z241" s="542">
        <v>0</v>
      </c>
      <c r="AA241" s="542">
        <v>0</v>
      </c>
      <c r="AB241" s="542">
        <v>0</v>
      </c>
      <c r="AC241" s="542">
        <v>0</v>
      </c>
      <c r="AD241" s="542">
        <v>1142404</v>
      </c>
      <c r="AE241" s="542">
        <v>1119556</v>
      </c>
      <c r="AF241" s="542">
        <v>0</v>
      </c>
      <c r="AG241" s="542">
        <v>22848</v>
      </c>
      <c r="AH241" s="542">
        <v>2284808</v>
      </c>
      <c r="AI241" s="542">
        <v>-1919653</v>
      </c>
      <c r="AJ241" s="542">
        <v>-1881260</v>
      </c>
      <c r="AK241" s="542">
        <v>0</v>
      </c>
      <c r="AL241" s="542">
        <v>-38393</v>
      </c>
      <c r="AM241" s="542">
        <v>-3839306</v>
      </c>
      <c r="AN241" s="542">
        <v>-833585</v>
      </c>
      <c r="AO241" s="542">
        <v>-816913</v>
      </c>
      <c r="AP241" s="542">
        <v>0</v>
      </c>
      <c r="AQ241" s="542">
        <v>-16672</v>
      </c>
      <c r="AR241" s="542">
        <v>-1667170</v>
      </c>
      <c r="AS241" s="542">
        <v>373415</v>
      </c>
      <c r="AT241" s="542">
        <v>365947</v>
      </c>
      <c r="AU241" s="542">
        <v>0</v>
      </c>
      <c r="AV241" s="542">
        <v>7468</v>
      </c>
      <c r="AW241" s="542">
        <v>746830</v>
      </c>
      <c r="AX241" s="542">
        <v>-294411</v>
      </c>
      <c r="AY241" s="542">
        <v>-288523</v>
      </c>
      <c r="AZ241" s="542">
        <v>0</v>
      </c>
      <c r="BA241" s="542">
        <v>-5888</v>
      </c>
      <c r="BB241" s="542">
        <v>-588822</v>
      </c>
      <c r="BC241" s="542">
        <v>-754581</v>
      </c>
      <c r="BD241" s="542">
        <v>-739489</v>
      </c>
      <c r="BE241" s="542">
        <v>0</v>
      </c>
      <c r="BF241" s="542">
        <v>-15092</v>
      </c>
      <c r="BG241" s="542">
        <v>-1509162</v>
      </c>
      <c r="BH241" s="542">
        <v>-1579940</v>
      </c>
      <c r="BI241" s="542">
        <v>-1548341</v>
      </c>
      <c r="BJ241" s="542">
        <v>0</v>
      </c>
      <c r="BK241" s="542">
        <v>-31599</v>
      </c>
      <c r="BL241" s="542">
        <v>-3159880</v>
      </c>
      <c r="BM241" s="542">
        <v>1230961</v>
      </c>
      <c r="BN241" s="542">
        <v>1206341</v>
      </c>
      <c r="BO241" s="542">
        <v>0</v>
      </c>
      <c r="BP241" s="542">
        <v>24619</v>
      </c>
      <c r="BQ241" s="542">
        <v>2461921</v>
      </c>
      <c r="BR241" s="542">
        <v>-3953845</v>
      </c>
      <c r="BS241" s="542">
        <v>-3874769</v>
      </c>
      <c r="BT241" s="542">
        <v>0</v>
      </c>
      <c r="BU241" s="542">
        <v>-79077</v>
      </c>
      <c r="BV241" s="542">
        <v>-7907691</v>
      </c>
      <c r="BW241" s="542">
        <v>-4302824</v>
      </c>
      <c r="BX241" s="542">
        <v>-4216769</v>
      </c>
      <c r="BY241" s="542">
        <v>0</v>
      </c>
      <c r="BZ241" s="542">
        <v>-86057</v>
      </c>
      <c r="CA241" s="542">
        <v>-8605650</v>
      </c>
    </row>
    <row r="242" spans="1:79" ht="12.75" x14ac:dyDescent="0.2">
      <c r="A242" s="93">
        <v>236</v>
      </c>
      <c r="B242" s="145" t="s">
        <v>350</v>
      </c>
      <c r="C242" s="141" t="s">
        <v>866</v>
      </c>
      <c r="D242" s="142" t="s">
        <v>867</v>
      </c>
      <c r="E242" s="149" t="s">
        <v>349</v>
      </c>
      <c r="F242" s="543">
        <v>0.5</v>
      </c>
      <c r="G242" s="543">
        <v>0.4</v>
      </c>
      <c r="H242" s="543">
        <v>0.09</v>
      </c>
      <c r="I242" s="543">
        <v>0.01</v>
      </c>
      <c r="J242" s="543">
        <v>1</v>
      </c>
      <c r="K242" s="542">
        <v>13332731</v>
      </c>
      <c r="L242" s="542">
        <v>10666185</v>
      </c>
      <c r="M242" s="542">
        <v>2399892</v>
      </c>
      <c r="N242" s="542">
        <v>266655</v>
      </c>
      <c r="O242" s="542">
        <v>26665463</v>
      </c>
      <c r="P242" s="542">
        <v>0</v>
      </c>
      <c r="Q242" s="542">
        <v>0</v>
      </c>
      <c r="R242" s="542">
        <v>13332731</v>
      </c>
      <c r="S242" s="542">
        <v>97601</v>
      </c>
      <c r="T242" s="542">
        <v>97601</v>
      </c>
      <c r="U242" s="542">
        <v>0</v>
      </c>
      <c r="V242" s="542">
        <v>0</v>
      </c>
      <c r="W242" s="542">
        <v>0</v>
      </c>
      <c r="X242" s="542">
        <v>0</v>
      </c>
      <c r="Y242" s="542">
        <v>0</v>
      </c>
      <c r="Z242" s="542">
        <v>0</v>
      </c>
      <c r="AA242" s="542">
        <v>0</v>
      </c>
      <c r="AB242" s="542">
        <v>0</v>
      </c>
      <c r="AC242" s="542">
        <v>0</v>
      </c>
      <c r="AD242" s="542">
        <v>629012</v>
      </c>
      <c r="AE242" s="542">
        <v>503209</v>
      </c>
      <c r="AF242" s="542">
        <v>113222</v>
      </c>
      <c r="AG242" s="542">
        <v>12580</v>
      </c>
      <c r="AH242" s="542">
        <v>1258023</v>
      </c>
      <c r="AI242" s="542">
        <v>-267847</v>
      </c>
      <c r="AJ242" s="542">
        <v>-214277</v>
      </c>
      <c r="AK242" s="542">
        <v>-48212</v>
      </c>
      <c r="AL242" s="542">
        <v>-5357</v>
      </c>
      <c r="AM242" s="542">
        <v>-535693</v>
      </c>
      <c r="AN242" s="542">
        <v>-227000</v>
      </c>
      <c r="AO242" s="542">
        <v>-181600</v>
      </c>
      <c r="AP242" s="542">
        <v>-40860</v>
      </c>
      <c r="AQ242" s="542">
        <v>-4540</v>
      </c>
      <c r="AR242" s="542">
        <v>-454000</v>
      </c>
      <c r="AS242" s="542">
        <v>161752</v>
      </c>
      <c r="AT242" s="542">
        <v>129401</v>
      </c>
      <c r="AU242" s="542">
        <v>29115</v>
      </c>
      <c r="AV242" s="542">
        <v>3235</v>
      </c>
      <c r="AW242" s="542">
        <v>323503</v>
      </c>
      <c r="AX242" s="542">
        <v>-106252</v>
      </c>
      <c r="AY242" s="542">
        <v>-85001</v>
      </c>
      <c r="AZ242" s="542">
        <v>-19125</v>
      </c>
      <c r="BA242" s="542">
        <v>-2125</v>
      </c>
      <c r="BB242" s="542">
        <v>-212503</v>
      </c>
      <c r="BC242" s="542">
        <v>-171500</v>
      </c>
      <c r="BD242" s="542">
        <v>-137200</v>
      </c>
      <c r="BE242" s="542">
        <v>-30870</v>
      </c>
      <c r="BF242" s="542">
        <v>-3430</v>
      </c>
      <c r="BG242" s="542">
        <v>-343000</v>
      </c>
      <c r="BH242" s="542">
        <v>-845784</v>
      </c>
      <c r="BI242" s="542">
        <v>-676627</v>
      </c>
      <c r="BJ242" s="542">
        <v>-152241</v>
      </c>
      <c r="BK242" s="542">
        <v>-16915</v>
      </c>
      <c r="BL242" s="542">
        <v>-1691567</v>
      </c>
      <c r="BM242" s="542">
        <v>607544</v>
      </c>
      <c r="BN242" s="542">
        <v>486035</v>
      </c>
      <c r="BO242" s="542">
        <v>109358</v>
      </c>
      <c r="BP242" s="542">
        <v>12151</v>
      </c>
      <c r="BQ242" s="542">
        <v>1215088</v>
      </c>
      <c r="BR242" s="542">
        <v>-2000313</v>
      </c>
      <c r="BS242" s="542">
        <v>-1600250</v>
      </c>
      <c r="BT242" s="542">
        <v>-360056</v>
      </c>
      <c r="BU242" s="542">
        <v>-40006</v>
      </c>
      <c r="BV242" s="542">
        <v>-4000625</v>
      </c>
      <c r="BW242" s="542">
        <v>-2238553</v>
      </c>
      <c r="BX242" s="542">
        <v>-1790842</v>
      </c>
      <c r="BY242" s="542">
        <v>-402939</v>
      </c>
      <c r="BZ242" s="542">
        <v>-44770</v>
      </c>
      <c r="CA242" s="542">
        <v>-4477104</v>
      </c>
    </row>
    <row r="243" spans="1:79" ht="12.75" x14ac:dyDescent="0.2">
      <c r="A243" s="93">
        <v>237</v>
      </c>
      <c r="B243" s="145" t="s">
        <v>352</v>
      </c>
      <c r="C243" s="141" t="s">
        <v>866</v>
      </c>
      <c r="D243" s="142" t="s">
        <v>870</v>
      </c>
      <c r="E243" s="149" t="s">
        <v>351</v>
      </c>
      <c r="F243" s="543">
        <v>0.5</v>
      </c>
      <c r="G243" s="543">
        <v>0.4</v>
      </c>
      <c r="H243" s="543">
        <v>0.09</v>
      </c>
      <c r="I243" s="543">
        <v>0.01</v>
      </c>
      <c r="J243" s="543">
        <v>1</v>
      </c>
      <c r="K243" s="542">
        <v>33670861</v>
      </c>
      <c r="L243" s="542">
        <v>26936688</v>
      </c>
      <c r="M243" s="542">
        <v>6060755</v>
      </c>
      <c r="N243" s="542">
        <v>673417</v>
      </c>
      <c r="O243" s="542">
        <v>67341721</v>
      </c>
      <c r="P243" s="542">
        <v>0</v>
      </c>
      <c r="Q243" s="542">
        <v>0</v>
      </c>
      <c r="R243" s="542">
        <v>33670861</v>
      </c>
      <c r="S243" s="542">
        <v>219672</v>
      </c>
      <c r="T243" s="542">
        <v>219672</v>
      </c>
      <c r="U243" s="542">
        <v>0</v>
      </c>
      <c r="V243" s="542">
        <v>0</v>
      </c>
      <c r="W243" s="542">
        <v>0</v>
      </c>
      <c r="X243" s="542">
        <v>0</v>
      </c>
      <c r="Y243" s="542">
        <v>0</v>
      </c>
      <c r="Z243" s="542">
        <v>0</v>
      </c>
      <c r="AA243" s="542">
        <v>0</v>
      </c>
      <c r="AB243" s="542">
        <v>0</v>
      </c>
      <c r="AC243" s="542">
        <v>0</v>
      </c>
      <c r="AD243" s="542">
        <v>250388</v>
      </c>
      <c r="AE243" s="542">
        <v>200311</v>
      </c>
      <c r="AF243" s="542">
        <v>45070</v>
      </c>
      <c r="AG243" s="542">
        <v>5008</v>
      </c>
      <c r="AH243" s="542">
        <v>500777</v>
      </c>
      <c r="AI243" s="542">
        <v>-474766</v>
      </c>
      <c r="AJ243" s="542">
        <v>-379812</v>
      </c>
      <c r="AK243" s="542">
        <v>-85458</v>
      </c>
      <c r="AL243" s="542">
        <v>-9495</v>
      </c>
      <c r="AM243" s="542">
        <v>-949531</v>
      </c>
      <c r="AN243" s="542">
        <v>-78134</v>
      </c>
      <c r="AO243" s="542">
        <v>-62506</v>
      </c>
      <c r="AP243" s="542">
        <v>-14064</v>
      </c>
      <c r="AQ243" s="542">
        <v>-1563</v>
      </c>
      <c r="AR243" s="542">
        <v>-156267</v>
      </c>
      <c r="AS243" s="542">
        <v>178992</v>
      </c>
      <c r="AT243" s="542">
        <v>143194</v>
      </c>
      <c r="AU243" s="542">
        <v>32219</v>
      </c>
      <c r="AV243" s="542">
        <v>3580</v>
      </c>
      <c r="AW243" s="542">
        <v>357985</v>
      </c>
      <c r="AX243" s="542">
        <v>-139758</v>
      </c>
      <c r="AY243" s="542">
        <v>-111806</v>
      </c>
      <c r="AZ243" s="542">
        <v>-25156</v>
      </c>
      <c r="BA243" s="542">
        <v>-2795</v>
      </c>
      <c r="BB243" s="542">
        <v>-279515</v>
      </c>
      <c r="BC243" s="542">
        <v>-38900</v>
      </c>
      <c r="BD243" s="542">
        <v>-31118</v>
      </c>
      <c r="BE243" s="542">
        <v>-7001</v>
      </c>
      <c r="BF243" s="542">
        <v>-778</v>
      </c>
      <c r="BG243" s="542">
        <v>-77797</v>
      </c>
      <c r="BH243" s="542">
        <v>-2000429</v>
      </c>
      <c r="BI243" s="542">
        <v>-1600345</v>
      </c>
      <c r="BJ243" s="542">
        <v>-360078</v>
      </c>
      <c r="BK243" s="542">
        <v>-40009</v>
      </c>
      <c r="BL243" s="542">
        <v>-4000861</v>
      </c>
      <c r="BM243" s="542">
        <v>1600090</v>
      </c>
      <c r="BN243" s="542">
        <v>1280072</v>
      </c>
      <c r="BO243" s="542">
        <v>288016</v>
      </c>
      <c r="BP243" s="542">
        <v>32002</v>
      </c>
      <c r="BQ243" s="542">
        <v>3200180</v>
      </c>
      <c r="BR243" s="542">
        <v>-1678934</v>
      </c>
      <c r="BS243" s="542">
        <v>-1343148</v>
      </c>
      <c r="BT243" s="542">
        <v>-302208</v>
      </c>
      <c r="BU243" s="542">
        <v>-33579</v>
      </c>
      <c r="BV243" s="542">
        <v>-3357869</v>
      </c>
      <c r="BW243" s="542">
        <v>-2079273</v>
      </c>
      <c r="BX243" s="542">
        <v>-1663421</v>
      </c>
      <c r="BY243" s="542">
        <v>-374270</v>
      </c>
      <c r="BZ243" s="542">
        <v>-41586</v>
      </c>
      <c r="CA243" s="542">
        <v>-4158550</v>
      </c>
    </row>
    <row r="244" spans="1:79" ht="12.75" x14ac:dyDescent="0.2">
      <c r="A244" s="93">
        <v>238</v>
      </c>
      <c r="B244" s="145" t="s">
        <v>354</v>
      </c>
      <c r="C244" s="141" t="s">
        <v>866</v>
      </c>
      <c r="D244" s="142" t="s">
        <v>869</v>
      </c>
      <c r="E244" s="149" t="s">
        <v>353</v>
      </c>
      <c r="F244" s="543">
        <v>0.5</v>
      </c>
      <c r="G244" s="543">
        <v>0.4</v>
      </c>
      <c r="H244" s="543">
        <v>0.09</v>
      </c>
      <c r="I244" s="543">
        <v>0.01</v>
      </c>
      <c r="J244" s="543">
        <v>1</v>
      </c>
      <c r="K244" s="542">
        <v>11306816</v>
      </c>
      <c r="L244" s="542">
        <v>9045453</v>
      </c>
      <c r="M244" s="542">
        <v>2035227</v>
      </c>
      <c r="N244" s="542">
        <v>226136</v>
      </c>
      <c r="O244" s="542">
        <v>22613632</v>
      </c>
      <c r="P244" s="542">
        <v>0</v>
      </c>
      <c r="Q244" s="542">
        <v>0</v>
      </c>
      <c r="R244" s="542">
        <v>11306816</v>
      </c>
      <c r="S244" s="542">
        <v>90918</v>
      </c>
      <c r="T244" s="542">
        <v>90918</v>
      </c>
      <c r="U244" s="542">
        <v>0</v>
      </c>
      <c r="V244" s="542">
        <v>0</v>
      </c>
      <c r="W244" s="542">
        <v>0</v>
      </c>
      <c r="X244" s="542">
        <v>0</v>
      </c>
      <c r="Y244" s="542">
        <v>0</v>
      </c>
      <c r="Z244" s="542">
        <v>0</v>
      </c>
      <c r="AA244" s="542">
        <v>0</v>
      </c>
      <c r="AB244" s="542">
        <v>0</v>
      </c>
      <c r="AC244" s="542">
        <v>0</v>
      </c>
      <c r="AD244" s="542">
        <v>933591</v>
      </c>
      <c r="AE244" s="542">
        <v>746874</v>
      </c>
      <c r="AF244" s="542">
        <v>168047</v>
      </c>
      <c r="AG244" s="542">
        <v>18672</v>
      </c>
      <c r="AH244" s="542">
        <v>1867184</v>
      </c>
      <c r="AI244" s="542">
        <v>-253303</v>
      </c>
      <c r="AJ244" s="542">
        <v>-202643</v>
      </c>
      <c r="AK244" s="542">
        <v>-45595</v>
      </c>
      <c r="AL244" s="542">
        <v>-5066</v>
      </c>
      <c r="AM244" s="542">
        <v>-506607</v>
      </c>
      <c r="AN244" s="542">
        <v>-680409</v>
      </c>
      <c r="AO244" s="542">
        <v>-544327</v>
      </c>
      <c r="AP244" s="542">
        <v>-122474</v>
      </c>
      <c r="AQ244" s="542">
        <v>-13608</v>
      </c>
      <c r="AR244" s="542">
        <v>-1360818</v>
      </c>
      <c r="AS244" s="542">
        <v>53688</v>
      </c>
      <c r="AT244" s="542">
        <v>42950</v>
      </c>
      <c r="AU244" s="542">
        <v>9664</v>
      </c>
      <c r="AV244" s="542">
        <v>1074</v>
      </c>
      <c r="AW244" s="542">
        <v>107376</v>
      </c>
      <c r="AX244" s="542">
        <v>-32225</v>
      </c>
      <c r="AY244" s="542">
        <v>-25781</v>
      </c>
      <c r="AZ244" s="542">
        <v>-5801</v>
      </c>
      <c r="BA244" s="542">
        <v>-645</v>
      </c>
      <c r="BB244" s="542">
        <v>-64452</v>
      </c>
      <c r="BC244" s="542">
        <v>-658946</v>
      </c>
      <c r="BD244" s="542">
        <v>-527158</v>
      </c>
      <c r="BE244" s="542">
        <v>-118611</v>
      </c>
      <c r="BF244" s="542">
        <v>-13179</v>
      </c>
      <c r="BG244" s="542">
        <v>-1317894</v>
      </c>
      <c r="BH244" s="542">
        <v>-313534</v>
      </c>
      <c r="BI244" s="542">
        <v>-250827</v>
      </c>
      <c r="BJ244" s="542">
        <v>-56436</v>
      </c>
      <c r="BK244" s="542">
        <v>-6271</v>
      </c>
      <c r="BL244" s="542">
        <v>-627068</v>
      </c>
      <c r="BM244" s="542">
        <v>147912</v>
      </c>
      <c r="BN244" s="542">
        <v>118330</v>
      </c>
      <c r="BO244" s="542">
        <v>26624</v>
      </c>
      <c r="BP244" s="542">
        <v>2958</v>
      </c>
      <c r="BQ244" s="542">
        <v>295824</v>
      </c>
      <c r="BR244" s="542">
        <v>-175002</v>
      </c>
      <c r="BS244" s="542">
        <v>-140002</v>
      </c>
      <c r="BT244" s="542">
        <v>-31500</v>
      </c>
      <c r="BU244" s="542">
        <v>-3500</v>
      </c>
      <c r="BV244" s="542">
        <v>-350004</v>
      </c>
      <c r="BW244" s="542">
        <v>-340624</v>
      </c>
      <c r="BX244" s="542">
        <v>-272499</v>
      </c>
      <c r="BY244" s="542">
        <v>-61312</v>
      </c>
      <c r="BZ244" s="542">
        <v>-6813</v>
      </c>
      <c r="CA244" s="542">
        <v>-681248</v>
      </c>
    </row>
    <row r="245" spans="1:79" ht="12.75" x14ac:dyDescent="0.2">
      <c r="A245" s="93">
        <v>239</v>
      </c>
      <c r="B245" s="145" t="s">
        <v>356</v>
      </c>
      <c r="C245" s="141" t="s">
        <v>770</v>
      </c>
      <c r="D245" s="142" t="s">
        <v>875</v>
      </c>
      <c r="E245" s="149" t="s">
        <v>724</v>
      </c>
      <c r="F245" s="543">
        <v>0.5</v>
      </c>
      <c r="G245" s="543">
        <v>0.49</v>
      </c>
      <c r="H245" s="543">
        <v>0</v>
      </c>
      <c r="I245" s="543">
        <v>0.01</v>
      </c>
      <c r="J245" s="543">
        <v>1</v>
      </c>
      <c r="K245" s="542">
        <v>61016391</v>
      </c>
      <c r="L245" s="542">
        <v>59796063</v>
      </c>
      <c r="M245" s="542">
        <v>0</v>
      </c>
      <c r="N245" s="542">
        <v>1220328</v>
      </c>
      <c r="O245" s="542">
        <v>122032782</v>
      </c>
      <c r="P245" s="542">
        <v>0</v>
      </c>
      <c r="Q245" s="542">
        <v>0</v>
      </c>
      <c r="R245" s="542">
        <v>61016391</v>
      </c>
      <c r="S245" s="542">
        <v>332372</v>
      </c>
      <c r="T245" s="542">
        <v>332372</v>
      </c>
      <c r="U245" s="542">
        <v>3031485</v>
      </c>
      <c r="V245" s="542">
        <v>3031485</v>
      </c>
      <c r="W245" s="542">
        <v>72977</v>
      </c>
      <c r="X245" s="542">
        <v>0</v>
      </c>
      <c r="Y245" s="542">
        <v>72977</v>
      </c>
      <c r="Z245" s="542">
        <v>0</v>
      </c>
      <c r="AA245" s="542">
        <v>0</v>
      </c>
      <c r="AB245" s="542">
        <v>0</v>
      </c>
      <c r="AC245" s="542">
        <v>0</v>
      </c>
      <c r="AD245" s="542">
        <v>1530381</v>
      </c>
      <c r="AE245" s="542">
        <v>1499773</v>
      </c>
      <c r="AF245" s="542">
        <v>0</v>
      </c>
      <c r="AG245" s="542">
        <v>30608</v>
      </c>
      <c r="AH245" s="542">
        <v>3060762</v>
      </c>
      <c r="AI245" s="542">
        <v>-1582496</v>
      </c>
      <c r="AJ245" s="542">
        <v>-1550847</v>
      </c>
      <c r="AK245" s="542">
        <v>0</v>
      </c>
      <c r="AL245" s="542">
        <v>-31650</v>
      </c>
      <c r="AM245" s="542">
        <v>-3164993</v>
      </c>
      <c r="AN245" s="542">
        <v>-93795</v>
      </c>
      <c r="AO245" s="542">
        <v>-91920</v>
      </c>
      <c r="AP245" s="542">
        <v>0</v>
      </c>
      <c r="AQ245" s="542">
        <v>-1876</v>
      </c>
      <c r="AR245" s="542">
        <v>-187591</v>
      </c>
      <c r="AS245" s="542">
        <v>105181</v>
      </c>
      <c r="AT245" s="542">
        <v>103078</v>
      </c>
      <c r="AU245" s="542">
        <v>0</v>
      </c>
      <c r="AV245" s="542">
        <v>2104</v>
      </c>
      <c r="AW245" s="542">
        <v>210363</v>
      </c>
      <c r="AX245" s="542">
        <v>-173500</v>
      </c>
      <c r="AY245" s="542">
        <v>-170030</v>
      </c>
      <c r="AZ245" s="542">
        <v>0</v>
      </c>
      <c r="BA245" s="542">
        <v>-3470</v>
      </c>
      <c r="BB245" s="542">
        <v>-347000</v>
      </c>
      <c r="BC245" s="542">
        <v>-162114</v>
      </c>
      <c r="BD245" s="542">
        <v>-158872</v>
      </c>
      <c r="BE245" s="542">
        <v>0</v>
      </c>
      <c r="BF245" s="542">
        <v>-3242</v>
      </c>
      <c r="BG245" s="542">
        <v>-324228</v>
      </c>
      <c r="BH245" s="542">
        <v>-3651000</v>
      </c>
      <c r="BI245" s="542">
        <v>-3577980</v>
      </c>
      <c r="BJ245" s="542">
        <v>0</v>
      </c>
      <c r="BK245" s="542">
        <v>-73020</v>
      </c>
      <c r="BL245" s="542">
        <v>-7302000</v>
      </c>
      <c r="BM245" s="542">
        <v>2002204</v>
      </c>
      <c r="BN245" s="542">
        <v>1962159</v>
      </c>
      <c r="BO245" s="542">
        <v>0</v>
      </c>
      <c r="BP245" s="542">
        <v>40044</v>
      </c>
      <c r="BQ245" s="542">
        <v>4004407</v>
      </c>
      <c r="BR245" s="542">
        <v>-5299585</v>
      </c>
      <c r="BS245" s="542">
        <v>-5193593</v>
      </c>
      <c r="BT245" s="542">
        <v>0</v>
      </c>
      <c r="BU245" s="542">
        <v>-105992</v>
      </c>
      <c r="BV245" s="542">
        <v>-10599170</v>
      </c>
      <c r="BW245" s="542">
        <v>-6948381</v>
      </c>
      <c r="BX245" s="542">
        <v>-6809414</v>
      </c>
      <c r="BY245" s="542">
        <v>0</v>
      </c>
      <c r="BZ245" s="542">
        <v>-138968</v>
      </c>
      <c r="CA245" s="542">
        <v>-13896763</v>
      </c>
    </row>
    <row r="246" spans="1:79" ht="12.75" x14ac:dyDescent="0.2">
      <c r="A246" s="93">
        <v>240</v>
      </c>
      <c r="B246" s="145" t="s">
        <v>358</v>
      </c>
      <c r="C246" s="141" t="s">
        <v>866</v>
      </c>
      <c r="D246" s="142" t="s">
        <v>875</v>
      </c>
      <c r="E246" s="149" t="s">
        <v>357</v>
      </c>
      <c r="F246" s="543">
        <v>0.5</v>
      </c>
      <c r="G246" s="543">
        <v>0.4</v>
      </c>
      <c r="H246" s="543">
        <v>0.09</v>
      </c>
      <c r="I246" s="543">
        <v>0.01</v>
      </c>
      <c r="J246" s="543">
        <v>1</v>
      </c>
      <c r="K246" s="542">
        <v>14759723</v>
      </c>
      <c r="L246" s="542">
        <v>11807778</v>
      </c>
      <c r="M246" s="542">
        <v>2656750</v>
      </c>
      <c r="N246" s="542">
        <v>295194</v>
      </c>
      <c r="O246" s="542">
        <v>29519445</v>
      </c>
      <c r="P246" s="542">
        <v>0</v>
      </c>
      <c r="Q246" s="542">
        <v>0</v>
      </c>
      <c r="R246" s="542">
        <v>14759723</v>
      </c>
      <c r="S246" s="542">
        <v>206162</v>
      </c>
      <c r="T246" s="542">
        <v>206162</v>
      </c>
      <c r="U246" s="542">
        <v>0</v>
      </c>
      <c r="V246" s="542">
        <v>0</v>
      </c>
      <c r="W246" s="542">
        <v>0</v>
      </c>
      <c r="X246" s="542">
        <v>0</v>
      </c>
      <c r="Y246" s="542">
        <v>0</v>
      </c>
      <c r="Z246" s="542">
        <v>0</v>
      </c>
      <c r="AA246" s="542">
        <v>0</v>
      </c>
      <c r="AB246" s="542">
        <v>0</v>
      </c>
      <c r="AC246" s="542">
        <v>0</v>
      </c>
      <c r="AD246" s="542">
        <v>831963</v>
      </c>
      <c r="AE246" s="542">
        <v>665570</v>
      </c>
      <c r="AF246" s="542">
        <v>149753</v>
      </c>
      <c r="AG246" s="542">
        <v>16639</v>
      </c>
      <c r="AH246" s="542">
        <v>1663925</v>
      </c>
      <c r="AI246" s="542">
        <v>-324309</v>
      </c>
      <c r="AJ246" s="542">
        <v>-259447</v>
      </c>
      <c r="AK246" s="542">
        <v>-58376</v>
      </c>
      <c r="AL246" s="542">
        <v>-6486</v>
      </c>
      <c r="AM246" s="542">
        <v>-648618</v>
      </c>
      <c r="AN246" s="542">
        <v>-167383</v>
      </c>
      <c r="AO246" s="542">
        <v>-133907</v>
      </c>
      <c r="AP246" s="542">
        <v>-30130</v>
      </c>
      <c r="AQ246" s="542">
        <v>-3348</v>
      </c>
      <c r="AR246" s="542">
        <v>-334768</v>
      </c>
      <c r="AS246" s="542">
        <v>87675</v>
      </c>
      <c r="AT246" s="542">
        <v>70141</v>
      </c>
      <c r="AU246" s="542">
        <v>15782</v>
      </c>
      <c r="AV246" s="542">
        <v>1754</v>
      </c>
      <c r="AW246" s="542">
        <v>175352</v>
      </c>
      <c r="AX246" s="542">
        <v>-140546</v>
      </c>
      <c r="AY246" s="542">
        <v>-112437</v>
      </c>
      <c r="AZ246" s="542">
        <v>-25298</v>
      </c>
      <c r="BA246" s="542">
        <v>-2811</v>
      </c>
      <c r="BB246" s="542">
        <v>-281092</v>
      </c>
      <c r="BC246" s="542">
        <v>-220254</v>
      </c>
      <c r="BD246" s="542">
        <v>-176203</v>
      </c>
      <c r="BE246" s="542">
        <v>-39646</v>
      </c>
      <c r="BF246" s="542">
        <v>-4405</v>
      </c>
      <c r="BG246" s="542">
        <v>-440508</v>
      </c>
      <c r="BH246" s="542">
        <v>-927885</v>
      </c>
      <c r="BI246" s="542">
        <v>-742308</v>
      </c>
      <c r="BJ246" s="542">
        <v>-167019</v>
      </c>
      <c r="BK246" s="542">
        <v>-18558</v>
      </c>
      <c r="BL246" s="542">
        <v>-1855770</v>
      </c>
      <c r="BM246" s="542">
        <v>181464</v>
      </c>
      <c r="BN246" s="542">
        <v>145171</v>
      </c>
      <c r="BO246" s="542">
        <v>32663</v>
      </c>
      <c r="BP246" s="542">
        <v>3629</v>
      </c>
      <c r="BQ246" s="542">
        <v>362927</v>
      </c>
      <c r="BR246" s="542">
        <v>-418159</v>
      </c>
      <c r="BS246" s="542">
        <v>-334527</v>
      </c>
      <c r="BT246" s="542">
        <v>-75269</v>
      </c>
      <c r="BU246" s="542">
        <v>-8363</v>
      </c>
      <c r="BV246" s="542">
        <v>-836318</v>
      </c>
      <c r="BW246" s="542">
        <v>-1164580</v>
      </c>
      <c r="BX246" s="542">
        <v>-931664</v>
      </c>
      <c r="BY246" s="542">
        <v>-209625</v>
      </c>
      <c r="BZ246" s="542">
        <v>-23292</v>
      </c>
      <c r="CA246" s="542">
        <v>-2329161</v>
      </c>
    </row>
    <row r="247" spans="1:79" ht="12.75" x14ac:dyDescent="0.2">
      <c r="A247" s="93">
        <v>241</v>
      </c>
      <c r="B247" s="145" t="s">
        <v>360</v>
      </c>
      <c r="C247" s="141" t="s">
        <v>866</v>
      </c>
      <c r="D247" s="142" t="s">
        <v>869</v>
      </c>
      <c r="E247" s="149" t="s">
        <v>359</v>
      </c>
      <c r="F247" s="543">
        <v>0.5</v>
      </c>
      <c r="G247" s="543">
        <v>0.4</v>
      </c>
      <c r="H247" s="543">
        <v>0.1</v>
      </c>
      <c r="I247" s="543">
        <v>0</v>
      </c>
      <c r="J247" s="543">
        <v>1</v>
      </c>
      <c r="K247" s="542">
        <v>12165852</v>
      </c>
      <c r="L247" s="542">
        <v>9732682</v>
      </c>
      <c r="M247" s="542">
        <v>2433170</v>
      </c>
      <c r="N247" s="542">
        <v>0</v>
      </c>
      <c r="O247" s="542">
        <v>24331704</v>
      </c>
      <c r="P247" s="542">
        <v>0</v>
      </c>
      <c r="Q247" s="542">
        <v>0</v>
      </c>
      <c r="R247" s="542">
        <v>12165852</v>
      </c>
      <c r="S247" s="542">
        <v>113332</v>
      </c>
      <c r="T247" s="542">
        <v>113332</v>
      </c>
      <c r="U247" s="542">
        <v>0</v>
      </c>
      <c r="V247" s="542">
        <v>0</v>
      </c>
      <c r="W247" s="542">
        <v>207260</v>
      </c>
      <c r="X247" s="542">
        <v>0</v>
      </c>
      <c r="Y247" s="542">
        <v>207260</v>
      </c>
      <c r="Z247" s="542">
        <v>0</v>
      </c>
      <c r="AA247" s="542">
        <v>0</v>
      </c>
      <c r="AB247" s="542">
        <v>0</v>
      </c>
      <c r="AC247" s="542">
        <v>0</v>
      </c>
      <c r="AD247" s="542">
        <v>366947</v>
      </c>
      <c r="AE247" s="542">
        <v>293558</v>
      </c>
      <c r="AF247" s="542">
        <v>73389</v>
      </c>
      <c r="AG247" s="542">
        <v>0</v>
      </c>
      <c r="AH247" s="542">
        <v>733894</v>
      </c>
      <c r="AI247" s="542">
        <v>-220907</v>
      </c>
      <c r="AJ247" s="542">
        <v>-176725</v>
      </c>
      <c r="AK247" s="542">
        <v>-44181</v>
      </c>
      <c r="AL247" s="542">
        <v>0</v>
      </c>
      <c r="AM247" s="542">
        <v>-441813</v>
      </c>
      <c r="AN247" s="542">
        <v>-121500</v>
      </c>
      <c r="AO247" s="542">
        <v>-97200</v>
      </c>
      <c r="AP247" s="542">
        <v>-24300</v>
      </c>
      <c r="AQ247" s="542">
        <v>0</v>
      </c>
      <c r="AR247" s="542">
        <v>-243000</v>
      </c>
      <c r="AS247" s="542">
        <v>33392</v>
      </c>
      <c r="AT247" s="542">
        <v>26714</v>
      </c>
      <c r="AU247" s="542">
        <v>6679</v>
      </c>
      <c r="AV247" s="542">
        <v>0</v>
      </c>
      <c r="AW247" s="542">
        <v>66785</v>
      </c>
      <c r="AX247" s="542">
        <v>-63392</v>
      </c>
      <c r="AY247" s="542">
        <v>-50714</v>
      </c>
      <c r="AZ247" s="542">
        <v>-12678</v>
      </c>
      <c r="BA247" s="542">
        <v>0</v>
      </c>
      <c r="BB247" s="542">
        <v>-126784</v>
      </c>
      <c r="BC247" s="542">
        <v>-151500</v>
      </c>
      <c r="BD247" s="542">
        <v>-121200</v>
      </c>
      <c r="BE247" s="542">
        <v>-30299</v>
      </c>
      <c r="BF247" s="542">
        <v>0</v>
      </c>
      <c r="BG247" s="542">
        <v>-302999</v>
      </c>
      <c r="BH247" s="542">
        <v>-1273805</v>
      </c>
      <c r="BI247" s="542">
        <v>-1019045</v>
      </c>
      <c r="BJ247" s="542">
        <v>-254761</v>
      </c>
      <c r="BK247" s="542">
        <v>0</v>
      </c>
      <c r="BL247" s="542">
        <v>-2547611</v>
      </c>
      <c r="BM247" s="542">
        <v>50865</v>
      </c>
      <c r="BN247" s="542">
        <v>40692</v>
      </c>
      <c r="BO247" s="542">
        <v>10173</v>
      </c>
      <c r="BP247" s="542">
        <v>0</v>
      </c>
      <c r="BQ247" s="542">
        <v>101730</v>
      </c>
      <c r="BR247" s="542">
        <v>-916591</v>
      </c>
      <c r="BS247" s="542">
        <v>-733273</v>
      </c>
      <c r="BT247" s="542">
        <v>-183318</v>
      </c>
      <c r="BU247" s="542">
        <v>0</v>
      </c>
      <c r="BV247" s="542">
        <v>-1833182</v>
      </c>
      <c r="BW247" s="542">
        <v>-2139531</v>
      </c>
      <c r="BX247" s="542">
        <v>-1711626</v>
      </c>
      <c r="BY247" s="542">
        <v>-427906</v>
      </c>
      <c r="BZ247" s="542">
        <v>0</v>
      </c>
      <c r="CA247" s="542">
        <v>-4279063</v>
      </c>
    </row>
    <row r="248" spans="1:79" ht="12.75" x14ac:dyDescent="0.2">
      <c r="A248" s="93">
        <v>242</v>
      </c>
      <c r="B248" s="145" t="s">
        <v>362</v>
      </c>
      <c r="C248" s="141" t="s">
        <v>866</v>
      </c>
      <c r="D248" s="142" t="s">
        <v>869</v>
      </c>
      <c r="E248" s="149" t="s">
        <v>361</v>
      </c>
      <c r="F248" s="543">
        <v>0.5</v>
      </c>
      <c r="G248" s="543">
        <v>0.4</v>
      </c>
      <c r="H248" s="543">
        <v>0.1</v>
      </c>
      <c r="I248" s="543">
        <v>0</v>
      </c>
      <c r="J248" s="543">
        <v>1</v>
      </c>
      <c r="K248" s="542">
        <v>18732562</v>
      </c>
      <c r="L248" s="542">
        <v>14986050</v>
      </c>
      <c r="M248" s="542">
        <v>3746512</v>
      </c>
      <c r="N248" s="542">
        <v>0</v>
      </c>
      <c r="O248" s="542">
        <v>37465124</v>
      </c>
      <c r="P248" s="542">
        <v>0</v>
      </c>
      <c r="Q248" s="542">
        <v>0</v>
      </c>
      <c r="R248" s="542">
        <v>18732562</v>
      </c>
      <c r="S248" s="542">
        <v>179909</v>
      </c>
      <c r="T248" s="542">
        <v>179909</v>
      </c>
      <c r="U248" s="542">
        <v>0</v>
      </c>
      <c r="V248" s="542">
        <v>0</v>
      </c>
      <c r="W248" s="542">
        <v>0</v>
      </c>
      <c r="X248" s="542">
        <v>0</v>
      </c>
      <c r="Y248" s="542">
        <v>0</v>
      </c>
      <c r="Z248" s="542">
        <v>0</v>
      </c>
      <c r="AA248" s="542">
        <v>0</v>
      </c>
      <c r="AB248" s="542">
        <v>0</v>
      </c>
      <c r="AC248" s="542">
        <v>0</v>
      </c>
      <c r="AD248" s="542">
        <v>700284</v>
      </c>
      <c r="AE248" s="542">
        <v>560227</v>
      </c>
      <c r="AF248" s="542">
        <v>140057</v>
      </c>
      <c r="AG248" s="542">
        <v>0</v>
      </c>
      <c r="AH248" s="542">
        <v>1400568</v>
      </c>
      <c r="AI248" s="542">
        <v>-680366</v>
      </c>
      <c r="AJ248" s="542">
        <v>-544293</v>
      </c>
      <c r="AK248" s="542">
        <v>-136073</v>
      </c>
      <c r="AL248" s="542">
        <v>0</v>
      </c>
      <c r="AM248" s="542">
        <v>-1360732</v>
      </c>
      <c r="AN248" s="542">
        <v>-287500</v>
      </c>
      <c r="AO248" s="542">
        <v>-230000</v>
      </c>
      <c r="AP248" s="542">
        <v>-57500</v>
      </c>
      <c r="AQ248" s="542">
        <v>0</v>
      </c>
      <c r="AR248" s="542">
        <v>-575000</v>
      </c>
      <c r="AS248" s="542">
        <v>136674</v>
      </c>
      <c r="AT248" s="542">
        <v>109339</v>
      </c>
      <c r="AU248" s="542">
        <v>27335</v>
      </c>
      <c r="AV248" s="542">
        <v>0</v>
      </c>
      <c r="AW248" s="542">
        <v>273348</v>
      </c>
      <c r="AX248" s="542">
        <v>-74174</v>
      </c>
      <c r="AY248" s="542">
        <v>-59339</v>
      </c>
      <c r="AZ248" s="542">
        <v>-14835</v>
      </c>
      <c r="BA248" s="542">
        <v>0</v>
      </c>
      <c r="BB248" s="542">
        <v>-148348</v>
      </c>
      <c r="BC248" s="542">
        <v>-225000</v>
      </c>
      <c r="BD248" s="542">
        <v>-180000</v>
      </c>
      <c r="BE248" s="542">
        <v>-45000</v>
      </c>
      <c r="BF248" s="542">
        <v>0</v>
      </c>
      <c r="BG248" s="542">
        <v>-450000</v>
      </c>
      <c r="BH248" s="542">
        <v>-635640</v>
      </c>
      <c r="BI248" s="542">
        <v>-508512</v>
      </c>
      <c r="BJ248" s="542">
        <v>-127128</v>
      </c>
      <c r="BK248" s="542">
        <v>0</v>
      </c>
      <c r="BL248" s="542">
        <v>-1271280</v>
      </c>
      <c r="BM248" s="542">
        <v>522366</v>
      </c>
      <c r="BN248" s="542">
        <v>417893</v>
      </c>
      <c r="BO248" s="542">
        <v>104473</v>
      </c>
      <c r="BP248" s="542">
        <v>0</v>
      </c>
      <c r="BQ248" s="542">
        <v>1044732</v>
      </c>
      <c r="BR248" s="542">
        <v>-853891</v>
      </c>
      <c r="BS248" s="542">
        <v>-683113</v>
      </c>
      <c r="BT248" s="542">
        <v>-170778</v>
      </c>
      <c r="BU248" s="542">
        <v>0</v>
      </c>
      <c r="BV248" s="542">
        <v>-1707782</v>
      </c>
      <c r="BW248" s="542">
        <v>-967165</v>
      </c>
      <c r="BX248" s="542">
        <v>-773732</v>
      </c>
      <c r="BY248" s="542">
        <v>-193433</v>
      </c>
      <c r="BZ248" s="542">
        <v>0</v>
      </c>
      <c r="CA248" s="542">
        <v>-1934330</v>
      </c>
    </row>
    <row r="249" spans="1:79" ht="12.75" x14ac:dyDescent="0.2">
      <c r="A249" s="93">
        <v>243</v>
      </c>
      <c r="B249" s="145" t="s">
        <v>364</v>
      </c>
      <c r="C249" s="141" t="s">
        <v>866</v>
      </c>
      <c r="D249" s="142" t="s">
        <v>868</v>
      </c>
      <c r="E249" s="149" t="s">
        <v>363</v>
      </c>
      <c r="F249" s="543">
        <v>0.5</v>
      </c>
      <c r="G249" s="543">
        <v>0.4</v>
      </c>
      <c r="H249" s="543">
        <v>0.1</v>
      </c>
      <c r="I249" s="543">
        <v>0</v>
      </c>
      <c r="J249" s="543">
        <v>1</v>
      </c>
      <c r="K249" s="542">
        <v>19663820</v>
      </c>
      <c r="L249" s="542">
        <v>15731056</v>
      </c>
      <c r="M249" s="542">
        <v>3932764</v>
      </c>
      <c r="N249" s="542">
        <v>0</v>
      </c>
      <c r="O249" s="542">
        <v>39327640</v>
      </c>
      <c r="P249" s="542">
        <v>0</v>
      </c>
      <c r="Q249" s="542">
        <v>0</v>
      </c>
      <c r="R249" s="542">
        <v>19663820</v>
      </c>
      <c r="S249" s="542">
        <v>297725</v>
      </c>
      <c r="T249" s="542">
        <v>297725</v>
      </c>
      <c r="U249" s="542">
        <v>0</v>
      </c>
      <c r="V249" s="542">
        <v>0</v>
      </c>
      <c r="W249" s="542">
        <v>0</v>
      </c>
      <c r="X249" s="542">
        <v>0</v>
      </c>
      <c r="Y249" s="542">
        <v>0</v>
      </c>
      <c r="Z249" s="542">
        <v>0</v>
      </c>
      <c r="AA249" s="542">
        <v>0</v>
      </c>
      <c r="AB249" s="542">
        <v>0</v>
      </c>
      <c r="AC249" s="542">
        <v>0</v>
      </c>
      <c r="AD249" s="542">
        <v>730970</v>
      </c>
      <c r="AE249" s="542">
        <v>584776</v>
      </c>
      <c r="AF249" s="542">
        <v>146194</v>
      </c>
      <c r="AG249" s="542">
        <v>0</v>
      </c>
      <c r="AH249" s="542">
        <v>1461940</v>
      </c>
      <c r="AI249" s="542">
        <v>-425417</v>
      </c>
      <c r="AJ249" s="542">
        <v>-340334</v>
      </c>
      <c r="AK249" s="542">
        <v>-85083</v>
      </c>
      <c r="AL249" s="542">
        <v>0</v>
      </c>
      <c r="AM249" s="542">
        <v>-850834</v>
      </c>
      <c r="AN249" s="542">
        <v>-401365.86</v>
      </c>
      <c r="AO249" s="542">
        <v>-321093</v>
      </c>
      <c r="AP249" s="542">
        <v>-80273</v>
      </c>
      <c r="AQ249" s="542">
        <v>0</v>
      </c>
      <c r="AR249" s="542">
        <v>-802731.86</v>
      </c>
      <c r="AS249" s="542">
        <v>108921</v>
      </c>
      <c r="AT249" s="542">
        <v>87136</v>
      </c>
      <c r="AU249" s="542">
        <v>21784</v>
      </c>
      <c r="AV249" s="542">
        <v>0</v>
      </c>
      <c r="AW249" s="542">
        <v>217841</v>
      </c>
      <c r="AX249" s="542">
        <v>-101271</v>
      </c>
      <c r="AY249" s="542">
        <v>-81016</v>
      </c>
      <c r="AZ249" s="542">
        <v>-20254</v>
      </c>
      <c r="BA249" s="542">
        <v>0</v>
      </c>
      <c r="BB249" s="542">
        <v>-202541</v>
      </c>
      <c r="BC249" s="542">
        <v>-393715.86</v>
      </c>
      <c r="BD249" s="542">
        <v>-314973</v>
      </c>
      <c r="BE249" s="542">
        <v>-78743</v>
      </c>
      <c r="BF249" s="542">
        <v>0</v>
      </c>
      <c r="BG249" s="542">
        <v>-787431.86</v>
      </c>
      <c r="BH249" s="542">
        <v>-895000</v>
      </c>
      <c r="BI249" s="542">
        <v>-716000</v>
      </c>
      <c r="BJ249" s="542">
        <v>-179000</v>
      </c>
      <c r="BK249" s="542">
        <v>0</v>
      </c>
      <c r="BL249" s="542">
        <v>-1790000</v>
      </c>
      <c r="BM249" s="542">
        <v>272050</v>
      </c>
      <c r="BN249" s="542">
        <v>217640</v>
      </c>
      <c r="BO249" s="542">
        <v>54410</v>
      </c>
      <c r="BP249" s="542">
        <v>0</v>
      </c>
      <c r="BQ249" s="542">
        <v>544100</v>
      </c>
      <c r="BR249" s="542">
        <v>-440550</v>
      </c>
      <c r="BS249" s="542">
        <v>-352440</v>
      </c>
      <c r="BT249" s="542">
        <v>-88110</v>
      </c>
      <c r="BU249" s="542">
        <v>0</v>
      </c>
      <c r="BV249" s="542">
        <v>-881100</v>
      </c>
      <c r="BW249" s="542">
        <v>-1063500</v>
      </c>
      <c r="BX249" s="542">
        <v>-850800</v>
      </c>
      <c r="BY249" s="542">
        <v>-212700</v>
      </c>
      <c r="BZ249" s="542">
        <v>0</v>
      </c>
      <c r="CA249" s="542">
        <v>-2127000</v>
      </c>
    </row>
    <row r="250" spans="1:79" ht="12.75" x14ac:dyDescent="0.2">
      <c r="A250" s="93">
        <v>244</v>
      </c>
      <c r="B250" s="145" t="s">
        <v>366</v>
      </c>
      <c r="C250" s="141" t="s">
        <v>866</v>
      </c>
      <c r="D250" s="142" t="s">
        <v>870</v>
      </c>
      <c r="E250" s="149" t="s">
        <v>365</v>
      </c>
      <c r="F250" s="543">
        <v>0.5</v>
      </c>
      <c r="G250" s="543">
        <v>0.4</v>
      </c>
      <c r="H250" s="543">
        <v>0.1</v>
      </c>
      <c r="I250" s="543">
        <v>0</v>
      </c>
      <c r="J250" s="543">
        <v>1</v>
      </c>
      <c r="K250" s="542">
        <v>14039002</v>
      </c>
      <c r="L250" s="542">
        <v>11231201</v>
      </c>
      <c r="M250" s="542">
        <v>2807800</v>
      </c>
      <c r="N250" s="542">
        <v>0</v>
      </c>
      <c r="O250" s="542">
        <v>28078003</v>
      </c>
      <c r="P250" s="542">
        <v>0</v>
      </c>
      <c r="Q250" s="542">
        <v>0</v>
      </c>
      <c r="R250" s="542">
        <v>14039002</v>
      </c>
      <c r="S250" s="542">
        <v>152442</v>
      </c>
      <c r="T250" s="542">
        <v>152442</v>
      </c>
      <c r="U250" s="542">
        <v>0</v>
      </c>
      <c r="V250" s="542">
        <v>0</v>
      </c>
      <c r="W250" s="542">
        <v>0</v>
      </c>
      <c r="X250" s="542">
        <v>0</v>
      </c>
      <c r="Y250" s="542">
        <v>0</v>
      </c>
      <c r="Z250" s="542">
        <v>0</v>
      </c>
      <c r="AA250" s="542">
        <v>0</v>
      </c>
      <c r="AB250" s="542">
        <v>0</v>
      </c>
      <c r="AC250" s="542">
        <v>0</v>
      </c>
      <c r="AD250" s="542">
        <v>539989</v>
      </c>
      <c r="AE250" s="542">
        <v>431992</v>
      </c>
      <c r="AF250" s="542">
        <v>107998</v>
      </c>
      <c r="AG250" s="542">
        <v>0</v>
      </c>
      <c r="AH250" s="542">
        <v>1079979</v>
      </c>
      <c r="AI250" s="542">
        <v>-186096</v>
      </c>
      <c r="AJ250" s="542">
        <v>-148877</v>
      </c>
      <c r="AK250" s="542">
        <v>-37219</v>
      </c>
      <c r="AL250" s="542">
        <v>0</v>
      </c>
      <c r="AM250" s="542">
        <v>-372192</v>
      </c>
      <c r="AN250" s="542">
        <v>-171109</v>
      </c>
      <c r="AO250" s="542">
        <v>-136888</v>
      </c>
      <c r="AP250" s="542">
        <v>-34223</v>
      </c>
      <c r="AQ250" s="542">
        <v>0</v>
      </c>
      <c r="AR250" s="542">
        <v>-342220</v>
      </c>
      <c r="AS250" s="542">
        <v>53716</v>
      </c>
      <c r="AT250" s="542">
        <v>42973</v>
      </c>
      <c r="AU250" s="542">
        <v>10743</v>
      </c>
      <c r="AV250" s="542">
        <v>0</v>
      </c>
      <c r="AW250" s="542">
        <v>107432</v>
      </c>
      <c r="AX250" s="542">
        <v>-10843</v>
      </c>
      <c r="AY250" s="542">
        <v>-8675</v>
      </c>
      <c r="AZ250" s="542">
        <v>-2169</v>
      </c>
      <c r="BA250" s="542">
        <v>0</v>
      </c>
      <c r="BB250" s="542">
        <v>-21687</v>
      </c>
      <c r="BC250" s="542">
        <v>-128236</v>
      </c>
      <c r="BD250" s="542">
        <v>-102590</v>
      </c>
      <c r="BE250" s="542">
        <v>-25649</v>
      </c>
      <c r="BF250" s="542">
        <v>0</v>
      </c>
      <c r="BG250" s="542">
        <v>-256475</v>
      </c>
      <c r="BH250" s="542">
        <v>-476904</v>
      </c>
      <c r="BI250" s="542">
        <v>-381523</v>
      </c>
      <c r="BJ250" s="542">
        <v>-95381</v>
      </c>
      <c r="BK250" s="542">
        <v>0</v>
      </c>
      <c r="BL250" s="542">
        <v>-953808</v>
      </c>
      <c r="BM250" s="542">
        <v>0</v>
      </c>
      <c r="BN250" s="542">
        <v>0</v>
      </c>
      <c r="BO250" s="542">
        <v>0</v>
      </c>
      <c r="BP250" s="542">
        <v>0</v>
      </c>
      <c r="BQ250" s="542">
        <v>0</v>
      </c>
      <c r="BR250" s="542">
        <v>217863</v>
      </c>
      <c r="BS250" s="542">
        <v>174290</v>
      </c>
      <c r="BT250" s="542">
        <v>43573</v>
      </c>
      <c r="BU250" s="542">
        <v>0</v>
      </c>
      <c r="BV250" s="542">
        <v>435726</v>
      </c>
      <c r="BW250" s="542">
        <v>-259041</v>
      </c>
      <c r="BX250" s="542">
        <v>-207233</v>
      </c>
      <c r="BY250" s="542">
        <v>-51808</v>
      </c>
      <c r="BZ250" s="542">
        <v>0</v>
      </c>
      <c r="CA250" s="542">
        <v>-518082</v>
      </c>
    </row>
    <row r="251" spans="1:79" ht="12.75" x14ac:dyDescent="0.2">
      <c r="A251" s="93">
        <v>245</v>
      </c>
      <c r="B251" s="145" t="s">
        <v>368</v>
      </c>
      <c r="C251" s="141" t="s">
        <v>866</v>
      </c>
      <c r="D251" s="142" t="s">
        <v>869</v>
      </c>
      <c r="E251" s="149" t="s">
        <v>367</v>
      </c>
      <c r="F251" s="543">
        <v>0.5</v>
      </c>
      <c r="G251" s="543">
        <v>0.4</v>
      </c>
      <c r="H251" s="543">
        <v>0.1</v>
      </c>
      <c r="I251" s="543">
        <v>0</v>
      </c>
      <c r="J251" s="543">
        <v>1</v>
      </c>
      <c r="K251" s="542">
        <v>9010578</v>
      </c>
      <c r="L251" s="542">
        <v>7208462</v>
      </c>
      <c r="M251" s="542">
        <v>1802116</v>
      </c>
      <c r="N251" s="542">
        <v>0</v>
      </c>
      <c r="O251" s="542">
        <v>18021156</v>
      </c>
      <c r="P251" s="542">
        <v>0</v>
      </c>
      <c r="Q251" s="542">
        <v>0</v>
      </c>
      <c r="R251" s="542">
        <v>9010578</v>
      </c>
      <c r="S251" s="542">
        <v>107204</v>
      </c>
      <c r="T251" s="542">
        <v>107204</v>
      </c>
      <c r="U251" s="542">
        <v>0</v>
      </c>
      <c r="V251" s="542">
        <v>0</v>
      </c>
      <c r="W251" s="542">
        <v>78282</v>
      </c>
      <c r="X251" s="542">
        <v>0</v>
      </c>
      <c r="Y251" s="542">
        <v>78282</v>
      </c>
      <c r="Z251" s="542">
        <v>0</v>
      </c>
      <c r="AA251" s="542">
        <v>0</v>
      </c>
      <c r="AB251" s="542">
        <v>0</v>
      </c>
      <c r="AC251" s="542">
        <v>0</v>
      </c>
      <c r="AD251" s="542">
        <v>359098</v>
      </c>
      <c r="AE251" s="542">
        <v>287278</v>
      </c>
      <c r="AF251" s="542">
        <v>71820</v>
      </c>
      <c r="AG251" s="542">
        <v>0</v>
      </c>
      <c r="AH251" s="542">
        <v>718196</v>
      </c>
      <c r="AI251" s="542">
        <v>-78188</v>
      </c>
      <c r="AJ251" s="542">
        <v>-62551</v>
      </c>
      <c r="AK251" s="542">
        <v>-15638</v>
      </c>
      <c r="AL251" s="542">
        <v>0</v>
      </c>
      <c r="AM251" s="542">
        <v>-156377</v>
      </c>
      <c r="AN251" s="542">
        <v>-124523.67</v>
      </c>
      <c r="AO251" s="542">
        <v>-99617</v>
      </c>
      <c r="AP251" s="542">
        <v>-24904</v>
      </c>
      <c r="AQ251" s="542">
        <v>0</v>
      </c>
      <c r="AR251" s="542">
        <v>-249044.67</v>
      </c>
      <c r="AS251" s="542">
        <v>0</v>
      </c>
      <c r="AT251" s="542">
        <v>0</v>
      </c>
      <c r="AU251" s="542">
        <v>0</v>
      </c>
      <c r="AV251" s="542">
        <v>0</v>
      </c>
      <c r="AW251" s="542">
        <v>0</v>
      </c>
      <c r="AX251" s="542">
        <v>-50320</v>
      </c>
      <c r="AY251" s="542">
        <v>-40256</v>
      </c>
      <c r="AZ251" s="542">
        <v>-10064</v>
      </c>
      <c r="BA251" s="542">
        <v>0</v>
      </c>
      <c r="BB251" s="542">
        <v>-100640</v>
      </c>
      <c r="BC251" s="542">
        <v>-174843.67</v>
      </c>
      <c r="BD251" s="542">
        <v>-139873</v>
      </c>
      <c r="BE251" s="542">
        <v>-34968</v>
      </c>
      <c r="BF251" s="542">
        <v>0</v>
      </c>
      <c r="BG251" s="542">
        <v>-349684.67</v>
      </c>
      <c r="BH251" s="542">
        <v>-336578</v>
      </c>
      <c r="BI251" s="542">
        <v>-269262</v>
      </c>
      <c r="BJ251" s="542">
        <v>-67316</v>
      </c>
      <c r="BK251" s="542">
        <v>0</v>
      </c>
      <c r="BL251" s="542">
        <v>-673156</v>
      </c>
      <c r="BM251" s="542">
        <v>0</v>
      </c>
      <c r="BN251" s="542">
        <v>0</v>
      </c>
      <c r="BO251" s="542">
        <v>0</v>
      </c>
      <c r="BP251" s="542">
        <v>0</v>
      </c>
      <c r="BQ251" s="542">
        <v>0</v>
      </c>
      <c r="BR251" s="542">
        <v>-965977</v>
      </c>
      <c r="BS251" s="542">
        <v>-772781</v>
      </c>
      <c r="BT251" s="542">
        <v>-193195</v>
      </c>
      <c r="BU251" s="542">
        <v>0</v>
      </c>
      <c r="BV251" s="542">
        <v>-1931953</v>
      </c>
      <c r="BW251" s="542">
        <v>-1302555</v>
      </c>
      <c r="BX251" s="542">
        <v>-1042043</v>
      </c>
      <c r="BY251" s="542">
        <v>-260511</v>
      </c>
      <c r="BZ251" s="542">
        <v>0</v>
      </c>
      <c r="CA251" s="542">
        <v>-2605109</v>
      </c>
    </row>
    <row r="252" spans="1:79" ht="12.75" x14ac:dyDescent="0.2">
      <c r="A252" s="93">
        <v>246</v>
      </c>
      <c r="B252" s="145" t="s">
        <v>370</v>
      </c>
      <c r="C252" s="141" t="s">
        <v>866</v>
      </c>
      <c r="D252" s="142" t="s">
        <v>867</v>
      </c>
      <c r="E252" s="149" t="s">
        <v>369</v>
      </c>
      <c r="F252" s="543">
        <v>0.5</v>
      </c>
      <c r="G252" s="543">
        <v>0.4</v>
      </c>
      <c r="H252" s="543">
        <v>0.1</v>
      </c>
      <c r="I252" s="543">
        <v>0</v>
      </c>
      <c r="J252" s="543">
        <v>1</v>
      </c>
      <c r="K252" s="542">
        <v>20494751</v>
      </c>
      <c r="L252" s="542">
        <v>16395801</v>
      </c>
      <c r="M252" s="542">
        <v>4098950</v>
      </c>
      <c r="N252" s="542">
        <v>0</v>
      </c>
      <c r="O252" s="542">
        <v>40989502</v>
      </c>
      <c r="P252" s="542">
        <v>0</v>
      </c>
      <c r="Q252" s="542">
        <v>0</v>
      </c>
      <c r="R252" s="542">
        <v>20494751</v>
      </c>
      <c r="S252" s="542">
        <v>189708</v>
      </c>
      <c r="T252" s="542">
        <v>189708</v>
      </c>
      <c r="U252" s="542">
        <v>0</v>
      </c>
      <c r="V252" s="542">
        <v>0</v>
      </c>
      <c r="W252" s="542">
        <v>0</v>
      </c>
      <c r="X252" s="542">
        <v>0</v>
      </c>
      <c r="Y252" s="542">
        <v>0</v>
      </c>
      <c r="Z252" s="542">
        <v>0</v>
      </c>
      <c r="AA252" s="542">
        <v>0</v>
      </c>
      <c r="AB252" s="542">
        <v>0</v>
      </c>
      <c r="AC252" s="542">
        <v>0</v>
      </c>
      <c r="AD252" s="542">
        <v>903215</v>
      </c>
      <c r="AE252" s="542">
        <v>722572</v>
      </c>
      <c r="AF252" s="542">
        <v>180643</v>
      </c>
      <c r="AG252" s="542">
        <v>0</v>
      </c>
      <c r="AH252" s="542">
        <v>1806430</v>
      </c>
      <c r="AI252" s="542">
        <v>-449181</v>
      </c>
      <c r="AJ252" s="542">
        <v>-359344</v>
      </c>
      <c r="AK252" s="542">
        <v>-89836</v>
      </c>
      <c r="AL252" s="542">
        <v>0</v>
      </c>
      <c r="AM252" s="542">
        <v>-898361</v>
      </c>
      <c r="AN252" s="542">
        <v>-418995</v>
      </c>
      <c r="AO252" s="542">
        <v>-335196</v>
      </c>
      <c r="AP252" s="542">
        <v>-83799</v>
      </c>
      <c r="AQ252" s="542">
        <v>0</v>
      </c>
      <c r="AR252" s="542">
        <v>-837990</v>
      </c>
      <c r="AS252" s="542">
        <v>41474</v>
      </c>
      <c r="AT252" s="542">
        <v>33179</v>
      </c>
      <c r="AU252" s="542">
        <v>8295</v>
      </c>
      <c r="AV252" s="542">
        <v>0</v>
      </c>
      <c r="AW252" s="542">
        <v>82948</v>
      </c>
      <c r="AX252" s="542">
        <v>-112374</v>
      </c>
      <c r="AY252" s="542">
        <v>-89899</v>
      </c>
      <c r="AZ252" s="542">
        <v>-22475</v>
      </c>
      <c r="BA252" s="542">
        <v>0</v>
      </c>
      <c r="BB252" s="542">
        <v>-224748</v>
      </c>
      <c r="BC252" s="542">
        <v>-489895</v>
      </c>
      <c r="BD252" s="542">
        <v>-391916</v>
      </c>
      <c r="BE252" s="542">
        <v>-97979</v>
      </c>
      <c r="BF252" s="542">
        <v>0</v>
      </c>
      <c r="BG252" s="542">
        <v>-979790</v>
      </c>
      <c r="BH252" s="542">
        <v>-804259</v>
      </c>
      <c r="BI252" s="542">
        <v>-643408</v>
      </c>
      <c r="BJ252" s="542">
        <v>-160853</v>
      </c>
      <c r="BK252" s="542">
        <v>0</v>
      </c>
      <c r="BL252" s="542">
        <v>-1608520</v>
      </c>
      <c r="BM252" s="542">
        <v>643007</v>
      </c>
      <c r="BN252" s="542">
        <v>514406</v>
      </c>
      <c r="BO252" s="542">
        <v>128601</v>
      </c>
      <c r="BP252" s="542">
        <v>0</v>
      </c>
      <c r="BQ252" s="542">
        <v>1286014</v>
      </c>
      <c r="BR252" s="542">
        <v>-1197212</v>
      </c>
      <c r="BS252" s="542">
        <v>-957770</v>
      </c>
      <c r="BT252" s="542">
        <v>-239442</v>
      </c>
      <c r="BU252" s="542">
        <v>0</v>
      </c>
      <c r="BV252" s="542">
        <v>-2394424</v>
      </c>
      <c r="BW252" s="542">
        <v>-1358464</v>
      </c>
      <c r="BX252" s="542">
        <v>-1086772</v>
      </c>
      <c r="BY252" s="542">
        <v>-271694</v>
      </c>
      <c r="BZ252" s="542">
        <v>0</v>
      </c>
      <c r="CA252" s="542">
        <v>-2716930</v>
      </c>
    </row>
    <row r="253" spans="1:79" ht="12.75" x14ac:dyDescent="0.2">
      <c r="A253" s="93">
        <v>247</v>
      </c>
      <c r="B253" s="145" t="s">
        <v>372</v>
      </c>
      <c r="C253" s="141" t="s">
        <v>866</v>
      </c>
      <c r="D253" s="142" t="s">
        <v>868</v>
      </c>
      <c r="E253" s="149" t="s">
        <v>371</v>
      </c>
      <c r="F253" s="543">
        <v>0.5</v>
      </c>
      <c r="G253" s="543">
        <v>0.4</v>
      </c>
      <c r="H253" s="543">
        <v>0.09</v>
      </c>
      <c r="I253" s="543">
        <v>0.01</v>
      </c>
      <c r="J253" s="543">
        <v>1</v>
      </c>
      <c r="K253" s="542">
        <v>18988689</v>
      </c>
      <c r="L253" s="542">
        <v>15190951</v>
      </c>
      <c r="M253" s="542">
        <v>3417964</v>
      </c>
      <c r="N253" s="542">
        <v>379774</v>
      </c>
      <c r="O253" s="542">
        <v>37977378</v>
      </c>
      <c r="P253" s="542">
        <v>0</v>
      </c>
      <c r="Q253" s="542">
        <v>0</v>
      </c>
      <c r="R253" s="542">
        <v>18988689</v>
      </c>
      <c r="S253" s="542">
        <v>124547</v>
      </c>
      <c r="T253" s="542">
        <v>124547</v>
      </c>
      <c r="U253" s="542">
        <v>0</v>
      </c>
      <c r="V253" s="542">
        <v>0</v>
      </c>
      <c r="W253" s="542">
        <v>0</v>
      </c>
      <c r="X253" s="542">
        <v>0</v>
      </c>
      <c r="Y253" s="542">
        <v>0</v>
      </c>
      <c r="Z253" s="542">
        <v>0</v>
      </c>
      <c r="AA253" s="542">
        <v>0</v>
      </c>
      <c r="AB253" s="542">
        <v>0</v>
      </c>
      <c r="AC253" s="542">
        <v>0</v>
      </c>
      <c r="AD253" s="542">
        <v>562494</v>
      </c>
      <c r="AE253" s="542">
        <v>449996</v>
      </c>
      <c r="AF253" s="542">
        <v>101249</v>
      </c>
      <c r="AG253" s="542">
        <v>11250</v>
      </c>
      <c r="AH253" s="542">
        <v>1124989</v>
      </c>
      <c r="AI253" s="542">
        <v>-371242</v>
      </c>
      <c r="AJ253" s="542">
        <v>-296993</v>
      </c>
      <c r="AK253" s="542">
        <v>-66823</v>
      </c>
      <c r="AL253" s="542">
        <v>-7425</v>
      </c>
      <c r="AM253" s="542">
        <v>-742483</v>
      </c>
      <c r="AN253" s="542">
        <v>-233665</v>
      </c>
      <c r="AO253" s="542">
        <v>-186930</v>
      </c>
      <c r="AP253" s="542">
        <v>-42059</v>
      </c>
      <c r="AQ253" s="542">
        <v>-4673</v>
      </c>
      <c r="AR253" s="542">
        <v>-467327</v>
      </c>
      <c r="AS253" s="542">
        <v>149129</v>
      </c>
      <c r="AT253" s="542">
        <v>119304</v>
      </c>
      <c r="AU253" s="542">
        <v>26843</v>
      </c>
      <c r="AV253" s="542">
        <v>2983</v>
      </c>
      <c r="AW253" s="542">
        <v>298259</v>
      </c>
      <c r="AX253" s="542">
        <v>-152275</v>
      </c>
      <c r="AY253" s="542">
        <v>-121819</v>
      </c>
      <c r="AZ253" s="542">
        <v>-27409</v>
      </c>
      <c r="BA253" s="542">
        <v>-3045</v>
      </c>
      <c r="BB253" s="542">
        <v>-304548</v>
      </c>
      <c r="BC253" s="542">
        <v>-236811</v>
      </c>
      <c r="BD253" s="542">
        <v>-189445</v>
      </c>
      <c r="BE253" s="542">
        <v>-42625</v>
      </c>
      <c r="BF253" s="542">
        <v>-4735</v>
      </c>
      <c r="BG253" s="542">
        <v>-473616</v>
      </c>
      <c r="BH253" s="542">
        <v>-1250000</v>
      </c>
      <c r="BI253" s="542">
        <v>-1000000</v>
      </c>
      <c r="BJ253" s="542">
        <v>-225000</v>
      </c>
      <c r="BK253" s="542">
        <v>-25000</v>
      </c>
      <c r="BL253" s="542">
        <v>-2500000</v>
      </c>
      <c r="BM253" s="542">
        <v>441638</v>
      </c>
      <c r="BN253" s="542">
        <v>353310</v>
      </c>
      <c r="BO253" s="542">
        <v>79495</v>
      </c>
      <c r="BP253" s="542">
        <v>8833</v>
      </c>
      <c r="BQ253" s="542">
        <v>883276</v>
      </c>
      <c r="BR253" s="542">
        <v>0</v>
      </c>
      <c r="BS253" s="542">
        <v>0</v>
      </c>
      <c r="BT253" s="542">
        <v>0</v>
      </c>
      <c r="BU253" s="542">
        <v>0</v>
      </c>
      <c r="BV253" s="542">
        <v>0</v>
      </c>
      <c r="BW253" s="542">
        <v>-808362</v>
      </c>
      <c r="BX253" s="542">
        <v>-646690</v>
      </c>
      <c r="BY253" s="542">
        <v>-145505</v>
      </c>
      <c r="BZ253" s="542">
        <v>-16167</v>
      </c>
      <c r="CA253" s="542">
        <v>-1616724</v>
      </c>
    </row>
    <row r="254" spans="1:79" ht="12.75" x14ac:dyDescent="0.2">
      <c r="A254" s="93">
        <v>248</v>
      </c>
      <c r="B254" s="145" t="s">
        <v>374</v>
      </c>
      <c r="C254" s="141" t="s">
        <v>866</v>
      </c>
      <c r="D254" s="142" t="s">
        <v>875</v>
      </c>
      <c r="E254" s="149" t="s">
        <v>373</v>
      </c>
      <c r="F254" s="543">
        <v>0.5</v>
      </c>
      <c r="G254" s="543">
        <v>0.4</v>
      </c>
      <c r="H254" s="543">
        <v>0.09</v>
      </c>
      <c r="I254" s="543">
        <v>0.01</v>
      </c>
      <c r="J254" s="543">
        <v>1</v>
      </c>
      <c r="K254" s="542">
        <v>20541930.300000001</v>
      </c>
      <c r="L254" s="542">
        <v>16433545</v>
      </c>
      <c r="M254" s="542">
        <v>3697548</v>
      </c>
      <c r="N254" s="542">
        <v>410839</v>
      </c>
      <c r="O254" s="542">
        <v>41083862.299999997</v>
      </c>
      <c r="P254" s="542">
        <v>0</v>
      </c>
      <c r="Q254" s="542">
        <v>0</v>
      </c>
      <c r="R254" s="542">
        <v>20541930.300000001</v>
      </c>
      <c r="S254" s="542">
        <v>224259</v>
      </c>
      <c r="T254" s="542">
        <v>224259</v>
      </c>
      <c r="U254" s="542">
        <v>0</v>
      </c>
      <c r="V254" s="542">
        <v>0</v>
      </c>
      <c r="W254" s="542">
        <v>142864</v>
      </c>
      <c r="X254" s="542">
        <v>0</v>
      </c>
      <c r="Y254" s="542">
        <v>142864</v>
      </c>
      <c r="Z254" s="542">
        <v>0</v>
      </c>
      <c r="AA254" s="542">
        <v>0</v>
      </c>
      <c r="AB254" s="542">
        <v>0</v>
      </c>
      <c r="AC254" s="542">
        <v>0</v>
      </c>
      <c r="AD254" s="542">
        <v>1647031</v>
      </c>
      <c r="AE254" s="542">
        <v>1317626</v>
      </c>
      <c r="AF254" s="542">
        <v>296466</v>
      </c>
      <c r="AG254" s="542">
        <v>32941</v>
      </c>
      <c r="AH254" s="542">
        <v>3294064</v>
      </c>
      <c r="AI254" s="542">
        <v>-343629</v>
      </c>
      <c r="AJ254" s="542">
        <v>-274903</v>
      </c>
      <c r="AK254" s="542">
        <v>-61853</v>
      </c>
      <c r="AL254" s="542">
        <v>-6873</v>
      </c>
      <c r="AM254" s="542">
        <v>-687258</v>
      </c>
      <c r="AN254" s="542">
        <v>-482700</v>
      </c>
      <c r="AO254" s="542">
        <v>-386160</v>
      </c>
      <c r="AP254" s="542">
        <v>-86886</v>
      </c>
      <c r="AQ254" s="542">
        <v>-9654</v>
      </c>
      <c r="AR254" s="542">
        <v>-965400</v>
      </c>
      <c r="AS254" s="542">
        <v>148893</v>
      </c>
      <c r="AT254" s="542">
        <v>119115</v>
      </c>
      <c r="AU254" s="542">
        <v>26801</v>
      </c>
      <c r="AV254" s="542">
        <v>2978</v>
      </c>
      <c r="AW254" s="542">
        <v>297787</v>
      </c>
      <c r="AX254" s="542">
        <v>-196250</v>
      </c>
      <c r="AY254" s="542">
        <v>-157000</v>
      </c>
      <c r="AZ254" s="542">
        <v>-35325</v>
      </c>
      <c r="BA254" s="542">
        <v>-3925</v>
      </c>
      <c r="BB254" s="542">
        <v>-392500</v>
      </c>
      <c r="BC254" s="542">
        <v>-530057</v>
      </c>
      <c r="BD254" s="542">
        <v>-424045</v>
      </c>
      <c r="BE254" s="542">
        <v>-95410</v>
      </c>
      <c r="BF254" s="542">
        <v>-10601</v>
      </c>
      <c r="BG254" s="542">
        <v>-1060113</v>
      </c>
      <c r="BH254" s="542">
        <v>-1188033</v>
      </c>
      <c r="BI254" s="542">
        <v>-950426</v>
      </c>
      <c r="BJ254" s="542">
        <v>-213845</v>
      </c>
      <c r="BK254" s="542">
        <v>-23760</v>
      </c>
      <c r="BL254" s="542">
        <v>-2376064</v>
      </c>
      <c r="BM254" s="542">
        <v>435621</v>
      </c>
      <c r="BN254" s="542">
        <v>348496</v>
      </c>
      <c r="BO254" s="542">
        <v>78412</v>
      </c>
      <c r="BP254" s="542">
        <v>8712</v>
      </c>
      <c r="BQ254" s="542">
        <v>871241</v>
      </c>
      <c r="BR254" s="542">
        <v>-1346122.6</v>
      </c>
      <c r="BS254" s="542">
        <v>-1076898</v>
      </c>
      <c r="BT254" s="542">
        <v>-242302</v>
      </c>
      <c r="BU254" s="542">
        <v>-26922</v>
      </c>
      <c r="BV254" s="542">
        <v>-2692244.6</v>
      </c>
      <c r="BW254" s="542">
        <v>-2098534.6</v>
      </c>
      <c r="BX254" s="542">
        <v>-1678828</v>
      </c>
      <c r="BY254" s="542">
        <v>-377735</v>
      </c>
      <c r="BZ254" s="542">
        <v>-41970</v>
      </c>
      <c r="CA254" s="542">
        <v>-4197067.5999999996</v>
      </c>
    </row>
    <row r="255" spans="1:79" ht="12.75" x14ac:dyDescent="0.2">
      <c r="A255" s="93">
        <v>249</v>
      </c>
      <c r="B255" s="145" t="s">
        <v>376</v>
      </c>
      <c r="C255" s="141" t="s">
        <v>866</v>
      </c>
      <c r="D255" s="142" t="s">
        <v>876</v>
      </c>
      <c r="E255" s="149" t="s">
        <v>375</v>
      </c>
      <c r="F255" s="543">
        <v>0.5</v>
      </c>
      <c r="G255" s="543">
        <v>0.4</v>
      </c>
      <c r="H255" s="543">
        <v>0.09</v>
      </c>
      <c r="I255" s="543">
        <v>0.01</v>
      </c>
      <c r="J255" s="543">
        <v>1</v>
      </c>
      <c r="K255" s="542">
        <v>8435734</v>
      </c>
      <c r="L255" s="542">
        <v>6748587</v>
      </c>
      <c r="M255" s="542">
        <v>1518432</v>
      </c>
      <c r="N255" s="542">
        <v>168715</v>
      </c>
      <c r="O255" s="542">
        <v>16871468</v>
      </c>
      <c r="P255" s="542">
        <v>54608.619899999998</v>
      </c>
      <c r="Q255" s="542">
        <v>54608.619899999998</v>
      </c>
      <c r="R255" s="542">
        <v>8381125.3799999999</v>
      </c>
      <c r="S255" s="542">
        <v>103969</v>
      </c>
      <c r="T255" s="542">
        <v>103969</v>
      </c>
      <c r="U255" s="542">
        <v>1653887</v>
      </c>
      <c r="V255" s="542">
        <v>1653887</v>
      </c>
      <c r="W255" s="542">
        <v>0</v>
      </c>
      <c r="X255" s="542">
        <v>215668</v>
      </c>
      <c r="Y255" s="542">
        <v>215668</v>
      </c>
      <c r="Z255" s="542">
        <v>54608.619899999998</v>
      </c>
      <c r="AA255" s="542">
        <v>0</v>
      </c>
      <c r="AB255" s="542">
        <v>0</v>
      </c>
      <c r="AC255" s="542">
        <v>54608.619899999998</v>
      </c>
      <c r="AD255" s="542">
        <v>444790</v>
      </c>
      <c r="AE255" s="542">
        <v>355832</v>
      </c>
      <c r="AF255" s="542">
        <v>80062</v>
      </c>
      <c r="AG255" s="542">
        <v>8896</v>
      </c>
      <c r="AH255" s="542">
        <v>889580</v>
      </c>
      <c r="AI255" s="542">
        <v>-112482</v>
      </c>
      <c r="AJ255" s="542">
        <v>-89986</v>
      </c>
      <c r="AK255" s="542">
        <v>-20247</v>
      </c>
      <c r="AL255" s="542">
        <v>-2250</v>
      </c>
      <c r="AM255" s="542">
        <v>-224965</v>
      </c>
      <c r="AN255" s="542">
        <v>-220500</v>
      </c>
      <c r="AO255" s="542">
        <v>-176400</v>
      </c>
      <c r="AP255" s="542">
        <v>-39690</v>
      </c>
      <c r="AQ255" s="542">
        <v>-4410</v>
      </c>
      <c r="AR255" s="542">
        <v>-441000</v>
      </c>
      <c r="AS255" s="542">
        <v>90277</v>
      </c>
      <c r="AT255" s="542">
        <v>72222</v>
      </c>
      <c r="AU255" s="542">
        <v>16250</v>
      </c>
      <c r="AV255" s="542">
        <v>1806</v>
      </c>
      <c r="AW255" s="542">
        <v>180555</v>
      </c>
      <c r="AX255" s="542">
        <v>-113277</v>
      </c>
      <c r="AY255" s="542">
        <v>-90622</v>
      </c>
      <c r="AZ255" s="542">
        <v>-20390</v>
      </c>
      <c r="BA255" s="542">
        <v>-2266</v>
      </c>
      <c r="BB255" s="542">
        <v>-226555</v>
      </c>
      <c r="BC255" s="542">
        <v>-243500</v>
      </c>
      <c r="BD255" s="542">
        <v>-194800</v>
      </c>
      <c r="BE255" s="542">
        <v>-43830</v>
      </c>
      <c r="BF255" s="542">
        <v>-4870</v>
      </c>
      <c r="BG255" s="542">
        <v>-487000</v>
      </c>
      <c r="BH255" s="542">
        <v>-636960</v>
      </c>
      <c r="BI255" s="542">
        <v>-509568</v>
      </c>
      <c r="BJ255" s="542">
        <v>-114653</v>
      </c>
      <c r="BK255" s="542">
        <v>-12739</v>
      </c>
      <c r="BL255" s="542">
        <v>-1273920</v>
      </c>
      <c r="BM255" s="542">
        <v>636960</v>
      </c>
      <c r="BN255" s="542">
        <v>509568</v>
      </c>
      <c r="BO255" s="542">
        <v>114653</v>
      </c>
      <c r="BP255" s="542">
        <v>12739</v>
      </c>
      <c r="BQ255" s="542">
        <v>1273920</v>
      </c>
      <c r="BR255" s="542">
        <v>-1370000</v>
      </c>
      <c r="BS255" s="542">
        <v>-1096000</v>
      </c>
      <c r="BT255" s="542">
        <v>-246600</v>
      </c>
      <c r="BU255" s="542">
        <v>-27400</v>
      </c>
      <c r="BV255" s="542">
        <v>-2740000</v>
      </c>
      <c r="BW255" s="542">
        <v>-1370000</v>
      </c>
      <c r="BX255" s="542">
        <v>-1096000</v>
      </c>
      <c r="BY255" s="542">
        <v>-246600</v>
      </c>
      <c r="BZ255" s="542">
        <v>-27400</v>
      </c>
      <c r="CA255" s="542">
        <v>-2740000</v>
      </c>
    </row>
    <row r="256" spans="1:79" ht="12.75" x14ac:dyDescent="0.2">
      <c r="A256" s="93">
        <v>250</v>
      </c>
      <c r="B256" s="145" t="s">
        <v>378</v>
      </c>
      <c r="C256" s="141" t="s">
        <v>873</v>
      </c>
      <c r="D256" s="142" t="s">
        <v>878</v>
      </c>
      <c r="E256" s="149" t="s">
        <v>377</v>
      </c>
      <c r="F256" s="543">
        <v>0.5</v>
      </c>
      <c r="G256" s="543">
        <v>0.49</v>
      </c>
      <c r="H256" s="543">
        <v>0</v>
      </c>
      <c r="I256" s="543">
        <v>0.01</v>
      </c>
      <c r="J256" s="543">
        <v>1</v>
      </c>
      <c r="K256" s="542">
        <v>15107689</v>
      </c>
      <c r="L256" s="542">
        <v>14805535</v>
      </c>
      <c r="M256" s="542">
        <v>0</v>
      </c>
      <c r="N256" s="542">
        <v>302154</v>
      </c>
      <c r="O256" s="542">
        <v>30215378</v>
      </c>
      <c r="P256" s="542">
        <v>0</v>
      </c>
      <c r="Q256" s="542">
        <v>0</v>
      </c>
      <c r="R256" s="542">
        <v>15107689</v>
      </c>
      <c r="S256" s="542">
        <v>150815</v>
      </c>
      <c r="T256" s="542">
        <v>150815</v>
      </c>
      <c r="U256" s="542">
        <v>0</v>
      </c>
      <c r="V256" s="542">
        <v>0</v>
      </c>
      <c r="W256" s="542">
        <v>0</v>
      </c>
      <c r="X256" s="542">
        <v>0</v>
      </c>
      <c r="Y256" s="542">
        <v>0</v>
      </c>
      <c r="Z256" s="542">
        <v>0</v>
      </c>
      <c r="AA256" s="542">
        <v>0</v>
      </c>
      <c r="AB256" s="542">
        <v>0</v>
      </c>
      <c r="AC256" s="542">
        <v>0</v>
      </c>
      <c r="AD256" s="542">
        <v>635913</v>
      </c>
      <c r="AE256" s="542">
        <v>623195</v>
      </c>
      <c r="AF256" s="542">
        <v>0</v>
      </c>
      <c r="AG256" s="542">
        <v>12718</v>
      </c>
      <c r="AH256" s="542">
        <v>1271826</v>
      </c>
      <c r="AI256" s="542">
        <v>-241432</v>
      </c>
      <c r="AJ256" s="542">
        <v>-236604</v>
      </c>
      <c r="AK256" s="542">
        <v>0</v>
      </c>
      <c r="AL256" s="542">
        <v>-4829</v>
      </c>
      <c r="AM256" s="542">
        <v>-482865</v>
      </c>
      <c r="AN256" s="542">
        <v>-281544.93</v>
      </c>
      <c r="AO256" s="542">
        <v>-275914</v>
      </c>
      <c r="AP256" s="542">
        <v>0</v>
      </c>
      <c r="AQ256" s="542">
        <v>-5630</v>
      </c>
      <c r="AR256" s="542">
        <v>-563088.93000000005</v>
      </c>
      <c r="AS256" s="542">
        <v>271453</v>
      </c>
      <c r="AT256" s="542">
        <v>266024</v>
      </c>
      <c r="AU256" s="542">
        <v>0</v>
      </c>
      <c r="AV256" s="542">
        <v>5429</v>
      </c>
      <c r="AW256" s="542">
        <v>542906</v>
      </c>
      <c r="AX256" s="542">
        <v>-277381</v>
      </c>
      <c r="AY256" s="542">
        <v>-271834</v>
      </c>
      <c r="AZ256" s="542">
        <v>0</v>
      </c>
      <c r="BA256" s="542">
        <v>-5548</v>
      </c>
      <c r="BB256" s="542">
        <v>-554763</v>
      </c>
      <c r="BC256" s="542">
        <v>-287472.93</v>
      </c>
      <c r="BD256" s="542">
        <v>-281724</v>
      </c>
      <c r="BE256" s="542">
        <v>0</v>
      </c>
      <c r="BF256" s="542">
        <v>-5749</v>
      </c>
      <c r="BG256" s="542">
        <v>-574945.93000000005</v>
      </c>
      <c r="BH256" s="542">
        <v>-340339</v>
      </c>
      <c r="BI256" s="542">
        <v>-333531</v>
      </c>
      <c r="BJ256" s="542">
        <v>0</v>
      </c>
      <c r="BK256" s="542">
        <v>-6807</v>
      </c>
      <c r="BL256" s="542">
        <v>-680677</v>
      </c>
      <c r="BM256" s="542">
        <v>390522</v>
      </c>
      <c r="BN256" s="542">
        <v>382711</v>
      </c>
      <c r="BO256" s="542">
        <v>0</v>
      </c>
      <c r="BP256" s="542">
        <v>7810</v>
      </c>
      <c r="BQ256" s="542">
        <v>781043</v>
      </c>
      <c r="BR256" s="542">
        <v>-583964</v>
      </c>
      <c r="BS256" s="542">
        <v>-572284</v>
      </c>
      <c r="BT256" s="542">
        <v>0</v>
      </c>
      <c r="BU256" s="542">
        <v>-11679</v>
      </c>
      <c r="BV256" s="542">
        <v>-1167927</v>
      </c>
      <c r="BW256" s="542">
        <v>-533781</v>
      </c>
      <c r="BX256" s="542">
        <v>-523104</v>
      </c>
      <c r="BY256" s="542">
        <v>0</v>
      </c>
      <c r="BZ256" s="542">
        <v>-10676</v>
      </c>
      <c r="CA256" s="542">
        <v>-1067561</v>
      </c>
    </row>
    <row r="257" spans="1:79" ht="12.75" x14ac:dyDescent="0.2">
      <c r="A257" s="93">
        <v>251</v>
      </c>
      <c r="B257" s="145" t="s">
        <v>380</v>
      </c>
      <c r="C257" s="141" t="s">
        <v>770</v>
      </c>
      <c r="D257" s="142" t="s">
        <v>867</v>
      </c>
      <c r="E257" s="149" t="s">
        <v>725</v>
      </c>
      <c r="F257" s="543">
        <v>0.5</v>
      </c>
      <c r="G257" s="543">
        <v>0.49</v>
      </c>
      <c r="H257" s="543">
        <v>0</v>
      </c>
      <c r="I257" s="543">
        <v>0.01</v>
      </c>
      <c r="J257" s="543">
        <v>1</v>
      </c>
      <c r="K257" s="542">
        <v>49461298</v>
      </c>
      <c r="L257" s="542">
        <v>48472073</v>
      </c>
      <c r="M257" s="542">
        <v>0</v>
      </c>
      <c r="N257" s="542">
        <v>989226</v>
      </c>
      <c r="O257" s="542">
        <v>98922597</v>
      </c>
      <c r="P257" s="542">
        <v>0</v>
      </c>
      <c r="Q257" s="542">
        <v>0</v>
      </c>
      <c r="R257" s="542">
        <v>49461298</v>
      </c>
      <c r="S257" s="542">
        <v>317986</v>
      </c>
      <c r="T257" s="542">
        <v>317986</v>
      </c>
      <c r="U257" s="542">
        <v>0</v>
      </c>
      <c r="V257" s="542">
        <v>0</v>
      </c>
      <c r="W257" s="542">
        <v>0</v>
      </c>
      <c r="X257" s="542">
        <v>0</v>
      </c>
      <c r="Y257" s="542">
        <v>0</v>
      </c>
      <c r="Z257" s="542">
        <v>0</v>
      </c>
      <c r="AA257" s="542">
        <v>0</v>
      </c>
      <c r="AB257" s="542">
        <v>0</v>
      </c>
      <c r="AC257" s="542">
        <v>0</v>
      </c>
      <c r="AD257" s="542">
        <v>1867512</v>
      </c>
      <c r="AE257" s="542">
        <v>1830161</v>
      </c>
      <c r="AF257" s="542">
        <v>0</v>
      </c>
      <c r="AG257" s="542">
        <v>37350</v>
      </c>
      <c r="AH257" s="542">
        <v>3735023</v>
      </c>
      <c r="AI257" s="542">
        <v>-1253541</v>
      </c>
      <c r="AJ257" s="542">
        <v>-1228471</v>
      </c>
      <c r="AK257" s="542">
        <v>0</v>
      </c>
      <c r="AL257" s="542">
        <v>-25071</v>
      </c>
      <c r="AM257" s="542">
        <v>-2507083</v>
      </c>
      <c r="AN257" s="542">
        <v>-623827</v>
      </c>
      <c r="AO257" s="542">
        <v>-611350.46</v>
      </c>
      <c r="AP257" s="542">
        <v>0</v>
      </c>
      <c r="AQ257" s="542">
        <v>-12476.54</v>
      </c>
      <c r="AR257" s="542">
        <v>-1247654</v>
      </c>
      <c r="AS257" s="542">
        <v>236333</v>
      </c>
      <c r="AT257" s="542">
        <v>231607</v>
      </c>
      <c r="AU257" s="542">
        <v>0</v>
      </c>
      <c r="AV257" s="542">
        <v>4727</v>
      </c>
      <c r="AW257" s="542">
        <v>472667</v>
      </c>
      <c r="AX257" s="542">
        <v>-346803</v>
      </c>
      <c r="AY257" s="542">
        <v>-339867</v>
      </c>
      <c r="AZ257" s="542">
        <v>0</v>
      </c>
      <c r="BA257" s="542">
        <v>-6936</v>
      </c>
      <c r="BB257" s="542">
        <v>-693606</v>
      </c>
      <c r="BC257" s="542">
        <v>-734297</v>
      </c>
      <c r="BD257" s="542">
        <v>-719610.46</v>
      </c>
      <c r="BE257" s="542">
        <v>0</v>
      </c>
      <c r="BF257" s="542">
        <v>-14685.54</v>
      </c>
      <c r="BG257" s="542">
        <v>-1468593</v>
      </c>
      <c r="BH257" s="542">
        <v>-7572622</v>
      </c>
      <c r="BI257" s="542">
        <v>-7421170</v>
      </c>
      <c r="BJ257" s="542">
        <v>0</v>
      </c>
      <c r="BK257" s="542">
        <v>-151453</v>
      </c>
      <c r="BL257" s="542">
        <v>-15145245</v>
      </c>
      <c r="BM257" s="542">
        <v>2529237</v>
      </c>
      <c r="BN257" s="542">
        <v>2478653</v>
      </c>
      <c r="BO257" s="542">
        <v>0</v>
      </c>
      <c r="BP257" s="542">
        <v>50585</v>
      </c>
      <c r="BQ257" s="542">
        <v>5058475</v>
      </c>
      <c r="BR257" s="542">
        <v>-3737962</v>
      </c>
      <c r="BS257" s="542">
        <v>-3663202</v>
      </c>
      <c r="BT257" s="542">
        <v>0</v>
      </c>
      <c r="BU257" s="542">
        <v>-74759</v>
      </c>
      <c r="BV257" s="542">
        <v>-7475923</v>
      </c>
      <c r="BW257" s="542">
        <v>-8781347</v>
      </c>
      <c r="BX257" s="542">
        <v>-8605719</v>
      </c>
      <c r="BY257" s="542">
        <v>0</v>
      </c>
      <c r="BZ257" s="542">
        <v>-175627</v>
      </c>
      <c r="CA257" s="542">
        <v>-17562693</v>
      </c>
    </row>
    <row r="258" spans="1:79" ht="12.75" x14ac:dyDescent="0.2">
      <c r="A258" s="93">
        <v>252</v>
      </c>
      <c r="B258" s="145" t="s">
        <v>382</v>
      </c>
      <c r="C258" s="141" t="s">
        <v>770</v>
      </c>
      <c r="D258" s="142" t="s">
        <v>870</v>
      </c>
      <c r="E258" s="149" t="s">
        <v>726</v>
      </c>
      <c r="F258" s="543">
        <v>0.5</v>
      </c>
      <c r="G258" s="543">
        <v>0.49</v>
      </c>
      <c r="H258" s="543">
        <v>0</v>
      </c>
      <c r="I258" s="543">
        <v>0.01</v>
      </c>
      <c r="J258" s="543">
        <v>1</v>
      </c>
      <c r="K258" s="542">
        <v>22092097</v>
      </c>
      <c r="L258" s="542">
        <v>21650256</v>
      </c>
      <c r="M258" s="542">
        <v>0</v>
      </c>
      <c r="N258" s="542">
        <v>441842</v>
      </c>
      <c r="O258" s="542">
        <v>44184195</v>
      </c>
      <c r="P258" s="542">
        <v>0</v>
      </c>
      <c r="Q258" s="542">
        <v>0</v>
      </c>
      <c r="R258" s="542">
        <v>22092097</v>
      </c>
      <c r="S258" s="542">
        <v>239791</v>
      </c>
      <c r="T258" s="542">
        <v>239791</v>
      </c>
      <c r="U258" s="542">
        <v>0</v>
      </c>
      <c r="V258" s="542">
        <v>0</v>
      </c>
      <c r="W258" s="542">
        <v>0</v>
      </c>
      <c r="X258" s="542">
        <v>0</v>
      </c>
      <c r="Y258" s="542">
        <v>0</v>
      </c>
      <c r="Z258" s="542">
        <v>0</v>
      </c>
      <c r="AA258" s="542">
        <v>0</v>
      </c>
      <c r="AB258" s="542">
        <v>0</v>
      </c>
      <c r="AC258" s="542">
        <v>0</v>
      </c>
      <c r="AD258" s="542">
        <v>1023101</v>
      </c>
      <c r="AE258" s="542">
        <v>1002639</v>
      </c>
      <c r="AF258" s="542">
        <v>0</v>
      </c>
      <c r="AG258" s="542">
        <v>20462</v>
      </c>
      <c r="AH258" s="542">
        <v>2046202</v>
      </c>
      <c r="AI258" s="542">
        <v>-743571</v>
      </c>
      <c r="AJ258" s="542">
        <v>-728700</v>
      </c>
      <c r="AK258" s="542">
        <v>0</v>
      </c>
      <c r="AL258" s="542">
        <v>-14871</v>
      </c>
      <c r="AM258" s="542">
        <v>-1487142</v>
      </c>
      <c r="AN258" s="542">
        <v>-426311.6</v>
      </c>
      <c r="AO258" s="542">
        <v>-417785</v>
      </c>
      <c r="AP258" s="542">
        <v>0</v>
      </c>
      <c r="AQ258" s="542">
        <v>-8526</v>
      </c>
      <c r="AR258" s="542">
        <v>-852622.6</v>
      </c>
      <c r="AS258" s="542">
        <v>143017</v>
      </c>
      <c r="AT258" s="542">
        <v>140157</v>
      </c>
      <c r="AU258" s="542">
        <v>0</v>
      </c>
      <c r="AV258" s="542">
        <v>2860</v>
      </c>
      <c r="AW258" s="542">
        <v>286034</v>
      </c>
      <c r="AX258" s="542">
        <v>-2570</v>
      </c>
      <c r="AY258" s="542">
        <v>-2519</v>
      </c>
      <c r="AZ258" s="542">
        <v>0</v>
      </c>
      <c r="BA258" s="542">
        <v>-51</v>
      </c>
      <c r="BB258" s="542">
        <v>-5140</v>
      </c>
      <c r="BC258" s="542">
        <v>-285864.59999999998</v>
      </c>
      <c r="BD258" s="542">
        <v>-280147</v>
      </c>
      <c r="BE258" s="542">
        <v>0</v>
      </c>
      <c r="BF258" s="542">
        <v>-5717</v>
      </c>
      <c r="BG258" s="542">
        <v>-571728.6</v>
      </c>
      <c r="BH258" s="542">
        <v>-741765.28</v>
      </c>
      <c r="BI258" s="542">
        <v>-726930</v>
      </c>
      <c r="BJ258" s="542">
        <v>0</v>
      </c>
      <c r="BK258" s="542">
        <v>-14835</v>
      </c>
      <c r="BL258" s="542">
        <v>-1483530.2</v>
      </c>
      <c r="BM258" s="542">
        <v>860396</v>
      </c>
      <c r="BN258" s="542">
        <v>843188</v>
      </c>
      <c r="BO258" s="542">
        <v>0</v>
      </c>
      <c r="BP258" s="542">
        <v>17208</v>
      </c>
      <c r="BQ258" s="542">
        <v>1720792</v>
      </c>
      <c r="BR258" s="542">
        <v>-1405298</v>
      </c>
      <c r="BS258" s="542">
        <v>-1377192</v>
      </c>
      <c r="BT258" s="542">
        <v>0</v>
      </c>
      <c r="BU258" s="542">
        <v>-28106</v>
      </c>
      <c r="BV258" s="542">
        <v>-2810596</v>
      </c>
      <c r="BW258" s="542">
        <v>-1286667.2</v>
      </c>
      <c r="BX258" s="542">
        <v>-1260934</v>
      </c>
      <c r="BY258" s="542">
        <v>0</v>
      </c>
      <c r="BZ258" s="542">
        <v>-25733</v>
      </c>
      <c r="CA258" s="542">
        <v>-2573334.2000000002</v>
      </c>
    </row>
    <row r="259" spans="1:79" ht="12.75" x14ac:dyDescent="0.2">
      <c r="A259" s="93">
        <v>253</v>
      </c>
      <c r="B259" s="145" t="s">
        <v>384</v>
      </c>
      <c r="C259" s="141" t="s">
        <v>877</v>
      </c>
      <c r="D259" s="142" t="s">
        <v>872</v>
      </c>
      <c r="E259" s="149" t="s">
        <v>383</v>
      </c>
      <c r="F259" s="543">
        <v>0.5</v>
      </c>
      <c r="G259" s="543">
        <v>0.3</v>
      </c>
      <c r="H259" s="543">
        <v>0.2</v>
      </c>
      <c r="I259" s="543">
        <v>0</v>
      </c>
      <c r="J259" s="543">
        <v>1</v>
      </c>
      <c r="K259" s="542">
        <v>104423804</v>
      </c>
      <c r="L259" s="542">
        <v>62654283</v>
      </c>
      <c r="M259" s="542">
        <v>41769522</v>
      </c>
      <c r="N259" s="542">
        <v>0</v>
      </c>
      <c r="O259" s="542">
        <v>208847609</v>
      </c>
      <c r="P259" s="542">
        <v>0</v>
      </c>
      <c r="Q259" s="542">
        <v>0</v>
      </c>
      <c r="R259" s="542">
        <v>104423804</v>
      </c>
      <c r="S259" s="542">
        <v>654521</v>
      </c>
      <c r="T259" s="542">
        <v>654521</v>
      </c>
      <c r="U259" s="542">
        <v>0</v>
      </c>
      <c r="V259" s="542">
        <v>0</v>
      </c>
      <c r="W259" s="542">
        <v>0</v>
      </c>
      <c r="X259" s="542">
        <v>0</v>
      </c>
      <c r="Y259" s="542">
        <v>0</v>
      </c>
      <c r="Z259" s="542">
        <v>0</v>
      </c>
      <c r="AA259" s="542">
        <v>0</v>
      </c>
      <c r="AB259" s="542">
        <v>0</v>
      </c>
      <c r="AC259" s="542">
        <v>0</v>
      </c>
      <c r="AD259" s="542">
        <v>4720588</v>
      </c>
      <c r="AE259" s="542">
        <v>2832353</v>
      </c>
      <c r="AF259" s="542">
        <v>1888235</v>
      </c>
      <c r="AG259" s="542">
        <v>0</v>
      </c>
      <c r="AH259" s="542">
        <v>9441176</v>
      </c>
      <c r="AI259" s="542">
        <v>-5881821</v>
      </c>
      <c r="AJ259" s="542">
        <v>-3529093</v>
      </c>
      <c r="AK259" s="542">
        <v>-2352729</v>
      </c>
      <c r="AL259" s="542">
        <v>0</v>
      </c>
      <c r="AM259" s="542">
        <v>-11763643</v>
      </c>
      <c r="AN259" s="542">
        <v>-2059599.3</v>
      </c>
      <c r="AO259" s="542">
        <v>-1235760</v>
      </c>
      <c r="AP259" s="542">
        <v>-823840</v>
      </c>
      <c r="AQ259" s="542">
        <v>0</v>
      </c>
      <c r="AR259" s="542">
        <v>-4119199.3</v>
      </c>
      <c r="AS259" s="542">
        <v>0</v>
      </c>
      <c r="AT259" s="542">
        <v>0</v>
      </c>
      <c r="AU259" s="542">
        <v>0</v>
      </c>
      <c r="AV259" s="542">
        <v>0</v>
      </c>
      <c r="AW259" s="542">
        <v>0</v>
      </c>
      <c r="AX259" s="542">
        <v>-337514</v>
      </c>
      <c r="AY259" s="542">
        <v>-202508</v>
      </c>
      <c r="AZ259" s="542">
        <v>-135006</v>
      </c>
      <c r="BA259" s="542">
        <v>0</v>
      </c>
      <c r="BB259" s="542">
        <v>-675028</v>
      </c>
      <c r="BC259" s="542">
        <v>-2397113.2999999998</v>
      </c>
      <c r="BD259" s="542">
        <v>-1438268</v>
      </c>
      <c r="BE259" s="542">
        <v>-958846</v>
      </c>
      <c r="BF259" s="542">
        <v>0</v>
      </c>
      <c r="BG259" s="542">
        <v>-4794227.3</v>
      </c>
      <c r="BH259" s="542">
        <v>-19469641</v>
      </c>
      <c r="BI259" s="542">
        <v>-11681785</v>
      </c>
      <c r="BJ259" s="542">
        <v>-7787856</v>
      </c>
      <c r="BK259" s="542">
        <v>0</v>
      </c>
      <c r="BL259" s="542">
        <v>-38939282</v>
      </c>
      <c r="BM259" s="542">
        <v>4681544</v>
      </c>
      <c r="BN259" s="542">
        <v>2808926</v>
      </c>
      <c r="BO259" s="542">
        <v>1872617</v>
      </c>
      <c r="BP259" s="542">
        <v>0</v>
      </c>
      <c r="BQ259" s="542">
        <v>9363087</v>
      </c>
      <c r="BR259" s="542">
        <v>-655608</v>
      </c>
      <c r="BS259" s="542">
        <v>-393365</v>
      </c>
      <c r="BT259" s="542">
        <v>-262243</v>
      </c>
      <c r="BU259" s="542">
        <v>0</v>
      </c>
      <c r="BV259" s="542">
        <v>-1311216</v>
      </c>
      <c r="BW259" s="542">
        <v>-15443705</v>
      </c>
      <c r="BX259" s="542">
        <v>-9266224</v>
      </c>
      <c r="BY259" s="542">
        <v>-6177482</v>
      </c>
      <c r="BZ259" s="542">
        <v>0</v>
      </c>
      <c r="CA259" s="542">
        <v>-30887411</v>
      </c>
    </row>
    <row r="260" spans="1:79" ht="12.75" x14ac:dyDescent="0.2">
      <c r="A260" s="93">
        <v>254</v>
      </c>
      <c r="B260" s="145" t="s">
        <v>386</v>
      </c>
      <c r="C260" s="141" t="s">
        <v>866</v>
      </c>
      <c r="D260" s="142" t="s">
        <v>867</v>
      </c>
      <c r="E260" s="149" t="s">
        <v>385</v>
      </c>
      <c r="F260" s="543">
        <v>0.5</v>
      </c>
      <c r="G260" s="543">
        <v>0.4</v>
      </c>
      <c r="H260" s="543">
        <v>0.1</v>
      </c>
      <c r="I260" s="543">
        <v>0</v>
      </c>
      <c r="J260" s="543">
        <v>1</v>
      </c>
      <c r="K260" s="542">
        <v>19824768</v>
      </c>
      <c r="L260" s="542">
        <v>15859814</v>
      </c>
      <c r="M260" s="542">
        <v>3964954</v>
      </c>
      <c r="N260" s="542">
        <v>0</v>
      </c>
      <c r="O260" s="542">
        <v>39649536</v>
      </c>
      <c r="P260" s="542">
        <v>0</v>
      </c>
      <c r="Q260" s="542">
        <v>0</v>
      </c>
      <c r="R260" s="542">
        <v>19824768</v>
      </c>
      <c r="S260" s="542">
        <v>130309</v>
      </c>
      <c r="T260" s="542">
        <v>130309</v>
      </c>
      <c r="U260" s="542">
        <v>0</v>
      </c>
      <c r="V260" s="542">
        <v>0</v>
      </c>
      <c r="W260" s="542">
        <v>0</v>
      </c>
      <c r="X260" s="542">
        <v>0</v>
      </c>
      <c r="Y260" s="542">
        <v>0</v>
      </c>
      <c r="Z260" s="542">
        <v>0</v>
      </c>
      <c r="AA260" s="542">
        <v>0</v>
      </c>
      <c r="AB260" s="542">
        <v>0</v>
      </c>
      <c r="AC260" s="542">
        <v>0</v>
      </c>
      <c r="AD260" s="542">
        <v>543517</v>
      </c>
      <c r="AE260" s="542">
        <v>434813</v>
      </c>
      <c r="AF260" s="542">
        <v>108703</v>
      </c>
      <c r="AG260" s="542">
        <v>0</v>
      </c>
      <c r="AH260" s="542">
        <v>1087033</v>
      </c>
      <c r="AI260" s="542">
        <v>-545057</v>
      </c>
      <c r="AJ260" s="542">
        <v>-436045</v>
      </c>
      <c r="AK260" s="542">
        <v>-109011</v>
      </c>
      <c r="AL260" s="542">
        <v>0</v>
      </c>
      <c r="AM260" s="542">
        <v>-1090113</v>
      </c>
      <c r="AN260" s="542">
        <v>-137450</v>
      </c>
      <c r="AO260" s="542">
        <v>-109960</v>
      </c>
      <c r="AP260" s="542">
        <v>-27490</v>
      </c>
      <c r="AQ260" s="542">
        <v>0</v>
      </c>
      <c r="AR260" s="542">
        <v>-274900</v>
      </c>
      <c r="AS260" s="542">
        <v>53000</v>
      </c>
      <c r="AT260" s="542">
        <v>42400</v>
      </c>
      <c r="AU260" s="542">
        <v>10600</v>
      </c>
      <c r="AV260" s="542">
        <v>0</v>
      </c>
      <c r="AW260" s="542">
        <v>106000</v>
      </c>
      <c r="AX260" s="542">
        <v>29450</v>
      </c>
      <c r="AY260" s="542">
        <v>23560</v>
      </c>
      <c r="AZ260" s="542">
        <v>5890</v>
      </c>
      <c r="BA260" s="542">
        <v>0</v>
      </c>
      <c r="BB260" s="542">
        <v>58900</v>
      </c>
      <c r="BC260" s="542">
        <v>-55000</v>
      </c>
      <c r="BD260" s="542">
        <v>-44000</v>
      </c>
      <c r="BE260" s="542">
        <v>-11000</v>
      </c>
      <c r="BF260" s="542">
        <v>0</v>
      </c>
      <c r="BG260" s="542">
        <v>-110000</v>
      </c>
      <c r="BH260" s="542">
        <v>-1309173</v>
      </c>
      <c r="BI260" s="542">
        <v>-1047338</v>
      </c>
      <c r="BJ260" s="542">
        <v>-261834</v>
      </c>
      <c r="BK260" s="542">
        <v>0</v>
      </c>
      <c r="BL260" s="542">
        <v>-2618345</v>
      </c>
      <c r="BM260" s="542">
        <v>364458</v>
      </c>
      <c r="BN260" s="542">
        <v>291566</v>
      </c>
      <c r="BO260" s="542">
        <v>72892</v>
      </c>
      <c r="BP260" s="542">
        <v>0</v>
      </c>
      <c r="BQ260" s="542">
        <v>728916</v>
      </c>
      <c r="BR260" s="542">
        <v>-1920913</v>
      </c>
      <c r="BS260" s="542">
        <v>-1536730</v>
      </c>
      <c r="BT260" s="542">
        <v>-384183</v>
      </c>
      <c r="BU260" s="542">
        <v>0</v>
      </c>
      <c r="BV260" s="542">
        <v>-3841826</v>
      </c>
      <c r="BW260" s="542">
        <v>-2865628</v>
      </c>
      <c r="BX260" s="542">
        <v>-2292502</v>
      </c>
      <c r="BY260" s="542">
        <v>-573125</v>
      </c>
      <c r="BZ260" s="542">
        <v>0</v>
      </c>
      <c r="CA260" s="542">
        <v>-5731255</v>
      </c>
    </row>
    <row r="261" spans="1:79" ht="12.75" x14ac:dyDescent="0.2">
      <c r="A261" s="93">
        <v>255</v>
      </c>
      <c r="B261" s="145" t="s">
        <v>388</v>
      </c>
      <c r="C261" s="141" t="s">
        <v>866</v>
      </c>
      <c r="D261" s="142" t="s">
        <v>870</v>
      </c>
      <c r="E261" s="149" t="s">
        <v>387</v>
      </c>
      <c r="F261" s="543">
        <v>0.5</v>
      </c>
      <c r="G261" s="543">
        <v>0.4</v>
      </c>
      <c r="H261" s="543">
        <v>0.1</v>
      </c>
      <c r="I261" s="543">
        <v>0</v>
      </c>
      <c r="J261" s="543">
        <v>1</v>
      </c>
      <c r="K261" s="542">
        <v>28456567</v>
      </c>
      <c r="L261" s="542">
        <v>22765254</v>
      </c>
      <c r="M261" s="542">
        <v>5691314</v>
      </c>
      <c r="N261" s="542">
        <v>0</v>
      </c>
      <c r="O261" s="542">
        <v>56913135</v>
      </c>
      <c r="P261" s="542">
        <v>0</v>
      </c>
      <c r="Q261" s="542">
        <v>0</v>
      </c>
      <c r="R261" s="542">
        <v>28456567</v>
      </c>
      <c r="S261" s="542">
        <v>197300</v>
      </c>
      <c r="T261" s="542">
        <v>197300</v>
      </c>
      <c r="U261" s="542">
        <v>0</v>
      </c>
      <c r="V261" s="542">
        <v>0</v>
      </c>
      <c r="W261" s="542">
        <v>0</v>
      </c>
      <c r="X261" s="542">
        <v>0</v>
      </c>
      <c r="Y261" s="542">
        <v>0</v>
      </c>
      <c r="Z261" s="542">
        <v>0</v>
      </c>
      <c r="AA261" s="542">
        <v>0</v>
      </c>
      <c r="AB261" s="542">
        <v>0</v>
      </c>
      <c r="AC261" s="542">
        <v>0</v>
      </c>
      <c r="AD261" s="542">
        <v>1200009</v>
      </c>
      <c r="AE261" s="542">
        <v>960007</v>
      </c>
      <c r="AF261" s="542">
        <v>240002</v>
      </c>
      <c r="AG261" s="542">
        <v>0</v>
      </c>
      <c r="AH261" s="542">
        <v>2400018</v>
      </c>
      <c r="AI261" s="542">
        <v>-568783</v>
      </c>
      <c r="AJ261" s="542">
        <v>-455027</v>
      </c>
      <c r="AK261" s="542">
        <v>-113757</v>
      </c>
      <c r="AL261" s="542">
        <v>0</v>
      </c>
      <c r="AM261" s="542">
        <v>-1137567</v>
      </c>
      <c r="AN261" s="542">
        <v>-107000</v>
      </c>
      <c r="AO261" s="542">
        <v>-85600</v>
      </c>
      <c r="AP261" s="542">
        <v>-21400</v>
      </c>
      <c r="AQ261" s="542">
        <v>0</v>
      </c>
      <c r="AR261" s="542">
        <v>-214000</v>
      </c>
      <c r="AS261" s="542">
        <v>0</v>
      </c>
      <c r="AT261" s="542">
        <v>0</v>
      </c>
      <c r="AU261" s="542">
        <v>0</v>
      </c>
      <c r="AV261" s="542">
        <v>0</v>
      </c>
      <c r="AW261" s="542">
        <v>0</v>
      </c>
      <c r="AX261" s="542">
        <v>-23500</v>
      </c>
      <c r="AY261" s="542">
        <v>-18800</v>
      </c>
      <c r="AZ261" s="542">
        <v>-4700</v>
      </c>
      <c r="BA261" s="542">
        <v>0</v>
      </c>
      <c r="BB261" s="542">
        <v>-47000</v>
      </c>
      <c r="BC261" s="542">
        <v>-130500</v>
      </c>
      <c r="BD261" s="542">
        <v>-104400</v>
      </c>
      <c r="BE261" s="542">
        <v>-26100</v>
      </c>
      <c r="BF261" s="542">
        <v>0</v>
      </c>
      <c r="BG261" s="542">
        <v>-261000</v>
      </c>
      <c r="BH261" s="542">
        <v>-1038014.8</v>
      </c>
      <c r="BI261" s="542">
        <v>-830412</v>
      </c>
      <c r="BJ261" s="542">
        <v>-207604</v>
      </c>
      <c r="BK261" s="542">
        <v>0</v>
      </c>
      <c r="BL261" s="542">
        <v>-2076030.8</v>
      </c>
      <c r="BM261" s="542">
        <v>593658</v>
      </c>
      <c r="BN261" s="542">
        <v>474926</v>
      </c>
      <c r="BO261" s="542">
        <v>118732</v>
      </c>
      <c r="BP261" s="542">
        <v>0</v>
      </c>
      <c r="BQ261" s="542">
        <v>1187316</v>
      </c>
      <c r="BR261" s="542">
        <v>-2686823</v>
      </c>
      <c r="BS261" s="542">
        <v>-2149458</v>
      </c>
      <c r="BT261" s="542">
        <v>-537365</v>
      </c>
      <c r="BU261" s="542">
        <v>0</v>
      </c>
      <c r="BV261" s="542">
        <v>-5373646</v>
      </c>
      <c r="BW261" s="542">
        <v>-3131179.8</v>
      </c>
      <c r="BX261" s="542">
        <v>-2504944</v>
      </c>
      <c r="BY261" s="542">
        <v>-626237</v>
      </c>
      <c r="BZ261" s="542">
        <v>0</v>
      </c>
      <c r="CA261" s="542">
        <v>-6262360.7999999998</v>
      </c>
    </row>
    <row r="262" spans="1:79" ht="12.75" x14ac:dyDescent="0.2">
      <c r="A262" s="93">
        <v>256</v>
      </c>
      <c r="B262" s="145" t="s">
        <v>390</v>
      </c>
      <c r="C262" s="141" t="s">
        <v>866</v>
      </c>
      <c r="D262" s="142" t="s">
        <v>870</v>
      </c>
      <c r="E262" s="149" t="s">
        <v>389</v>
      </c>
      <c r="F262" s="543">
        <v>0.5</v>
      </c>
      <c r="G262" s="543">
        <v>0.4</v>
      </c>
      <c r="H262" s="543">
        <v>0.1</v>
      </c>
      <c r="I262" s="543">
        <v>0</v>
      </c>
      <c r="J262" s="543">
        <v>1</v>
      </c>
      <c r="K262" s="542">
        <v>22791787</v>
      </c>
      <c r="L262" s="542">
        <v>18233429</v>
      </c>
      <c r="M262" s="542">
        <v>4558357</v>
      </c>
      <c r="N262" s="542">
        <v>0</v>
      </c>
      <c r="O262" s="542">
        <v>45583573</v>
      </c>
      <c r="P262" s="542">
        <v>0</v>
      </c>
      <c r="Q262" s="542">
        <v>0</v>
      </c>
      <c r="R262" s="542">
        <v>22791787</v>
      </c>
      <c r="S262" s="542">
        <v>162652</v>
      </c>
      <c r="T262" s="542">
        <v>162652</v>
      </c>
      <c r="U262" s="542">
        <v>0</v>
      </c>
      <c r="V262" s="542">
        <v>0</v>
      </c>
      <c r="W262" s="542">
        <v>254610</v>
      </c>
      <c r="X262" s="542">
        <v>0</v>
      </c>
      <c r="Y262" s="542">
        <v>254610</v>
      </c>
      <c r="Z262" s="542">
        <v>0</v>
      </c>
      <c r="AA262" s="542">
        <v>0</v>
      </c>
      <c r="AB262" s="542">
        <v>0</v>
      </c>
      <c r="AC262" s="542">
        <v>0</v>
      </c>
      <c r="AD262" s="542">
        <v>790202</v>
      </c>
      <c r="AE262" s="542">
        <v>632162</v>
      </c>
      <c r="AF262" s="542">
        <v>158040</v>
      </c>
      <c r="AG262" s="542">
        <v>0</v>
      </c>
      <c r="AH262" s="542">
        <v>1580404</v>
      </c>
      <c r="AI262" s="542">
        <v>-79947</v>
      </c>
      <c r="AJ262" s="542">
        <v>-63957</v>
      </c>
      <c r="AK262" s="542">
        <v>-15989</v>
      </c>
      <c r="AL262" s="542">
        <v>0</v>
      </c>
      <c r="AM262" s="542">
        <v>-159893</v>
      </c>
      <c r="AN262" s="542">
        <v>-198580.45</v>
      </c>
      <c r="AO262" s="542">
        <v>-158865</v>
      </c>
      <c r="AP262" s="542">
        <v>-39716</v>
      </c>
      <c r="AQ262" s="542">
        <v>0</v>
      </c>
      <c r="AR262" s="542">
        <v>-397161.45</v>
      </c>
      <c r="AS262" s="542">
        <v>87063</v>
      </c>
      <c r="AT262" s="542">
        <v>69650</v>
      </c>
      <c r="AU262" s="542">
        <v>17413</v>
      </c>
      <c r="AV262" s="542">
        <v>0</v>
      </c>
      <c r="AW262" s="542">
        <v>174126</v>
      </c>
      <c r="AX262" s="542">
        <v>-101294</v>
      </c>
      <c r="AY262" s="542">
        <v>-81035</v>
      </c>
      <c r="AZ262" s="542">
        <v>-20259</v>
      </c>
      <c r="BA262" s="542">
        <v>0</v>
      </c>
      <c r="BB262" s="542">
        <v>-202588</v>
      </c>
      <c r="BC262" s="542">
        <v>-212811.45</v>
      </c>
      <c r="BD262" s="542">
        <v>-170250</v>
      </c>
      <c r="BE262" s="542">
        <v>-42562</v>
      </c>
      <c r="BF262" s="542">
        <v>0</v>
      </c>
      <c r="BG262" s="542">
        <v>-425623.45</v>
      </c>
      <c r="BH262" s="542">
        <v>-717936</v>
      </c>
      <c r="BI262" s="542">
        <v>-574350</v>
      </c>
      <c r="BJ262" s="542">
        <v>-143588</v>
      </c>
      <c r="BK262" s="542">
        <v>0</v>
      </c>
      <c r="BL262" s="542">
        <v>-1435874</v>
      </c>
      <c r="BM262" s="542">
        <v>1051700</v>
      </c>
      <c r="BN262" s="542">
        <v>841360</v>
      </c>
      <c r="BO262" s="542">
        <v>210340</v>
      </c>
      <c r="BP262" s="542">
        <v>0</v>
      </c>
      <c r="BQ262" s="542">
        <v>2103400</v>
      </c>
      <c r="BR262" s="542">
        <v>-1408477</v>
      </c>
      <c r="BS262" s="542">
        <v>-1126782</v>
      </c>
      <c r="BT262" s="542">
        <v>-281695</v>
      </c>
      <c r="BU262" s="542">
        <v>0</v>
      </c>
      <c r="BV262" s="542">
        <v>-2816954</v>
      </c>
      <c r="BW262" s="542">
        <v>-1074713</v>
      </c>
      <c r="BX262" s="542">
        <v>-859772</v>
      </c>
      <c r="BY262" s="542">
        <v>-214943</v>
      </c>
      <c r="BZ262" s="542">
        <v>0</v>
      </c>
      <c r="CA262" s="542">
        <v>-2149428</v>
      </c>
    </row>
    <row r="263" spans="1:79" ht="12.75" x14ac:dyDescent="0.2">
      <c r="A263" s="93">
        <v>257</v>
      </c>
      <c r="B263" s="145" t="s">
        <v>392</v>
      </c>
      <c r="C263" s="141" t="s">
        <v>873</v>
      </c>
      <c r="D263" s="142" t="s">
        <v>868</v>
      </c>
      <c r="E263" s="149" t="s">
        <v>391</v>
      </c>
      <c r="F263" s="543">
        <v>0.5</v>
      </c>
      <c r="G263" s="543">
        <v>0.49</v>
      </c>
      <c r="H263" s="543">
        <v>0</v>
      </c>
      <c r="I263" s="543">
        <v>0.01</v>
      </c>
      <c r="J263" s="543">
        <v>1</v>
      </c>
      <c r="K263" s="542">
        <v>23858839</v>
      </c>
      <c r="L263" s="542">
        <v>23381663</v>
      </c>
      <c r="M263" s="542">
        <v>0</v>
      </c>
      <c r="N263" s="542">
        <v>477177</v>
      </c>
      <c r="O263" s="542">
        <v>47717679</v>
      </c>
      <c r="P263" s="542">
        <v>0</v>
      </c>
      <c r="Q263" s="542">
        <v>0</v>
      </c>
      <c r="R263" s="542">
        <v>23858839</v>
      </c>
      <c r="S263" s="542">
        <v>198553</v>
      </c>
      <c r="T263" s="542">
        <v>198553</v>
      </c>
      <c r="U263" s="542">
        <v>0</v>
      </c>
      <c r="V263" s="542">
        <v>0</v>
      </c>
      <c r="W263" s="542">
        <v>0</v>
      </c>
      <c r="X263" s="542">
        <v>0</v>
      </c>
      <c r="Y263" s="542">
        <v>0</v>
      </c>
      <c r="Z263" s="542">
        <v>0</v>
      </c>
      <c r="AA263" s="542">
        <v>0</v>
      </c>
      <c r="AB263" s="542">
        <v>0</v>
      </c>
      <c r="AC263" s="542">
        <v>0</v>
      </c>
      <c r="AD263" s="542">
        <v>1703260</v>
      </c>
      <c r="AE263" s="542">
        <v>1669195</v>
      </c>
      <c r="AF263" s="542">
        <v>0</v>
      </c>
      <c r="AG263" s="542">
        <v>34065</v>
      </c>
      <c r="AH263" s="542">
        <v>3406520</v>
      </c>
      <c r="AI263" s="542">
        <v>-352590</v>
      </c>
      <c r="AJ263" s="542">
        <v>-345538</v>
      </c>
      <c r="AK263" s="542">
        <v>0</v>
      </c>
      <c r="AL263" s="542">
        <v>-7052</v>
      </c>
      <c r="AM263" s="542">
        <v>-705180</v>
      </c>
      <c r="AN263" s="542">
        <v>-949473</v>
      </c>
      <c r="AO263" s="542">
        <v>-930483</v>
      </c>
      <c r="AP263" s="542">
        <v>0</v>
      </c>
      <c r="AQ263" s="542">
        <v>-18989</v>
      </c>
      <c r="AR263" s="542">
        <v>-1898945</v>
      </c>
      <c r="AS263" s="542">
        <v>280135</v>
      </c>
      <c r="AT263" s="542">
        <v>274532</v>
      </c>
      <c r="AU263" s="542">
        <v>0</v>
      </c>
      <c r="AV263" s="542">
        <v>5603</v>
      </c>
      <c r="AW263" s="542">
        <v>560270</v>
      </c>
      <c r="AX263" s="542">
        <v>-488580</v>
      </c>
      <c r="AY263" s="542">
        <v>-478808</v>
      </c>
      <c r="AZ263" s="542">
        <v>0</v>
      </c>
      <c r="BA263" s="542">
        <v>-9772</v>
      </c>
      <c r="BB263" s="542">
        <v>-977160</v>
      </c>
      <c r="BC263" s="542">
        <v>-1157918</v>
      </c>
      <c r="BD263" s="542">
        <v>-1134759</v>
      </c>
      <c r="BE263" s="542">
        <v>0</v>
      </c>
      <c r="BF263" s="542">
        <v>-23158</v>
      </c>
      <c r="BG263" s="542">
        <v>-2315835</v>
      </c>
      <c r="BH263" s="542">
        <v>-1568347</v>
      </c>
      <c r="BI263" s="542">
        <v>-1536980</v>
      </c>
      <c r="BJ263" s="542">
        <v>0</v>
      </c>
      <c r="BK263" s="542">
        <v>-31367</v>
      </c>
      <c r="BL263" s="542">
        <v>-3136694</v>
      </c>
      <c r="BM263" s="542">
        <v>655011</v>
      </c>
      <c r="BN263" s="542">
        <v>641910</v>
      </c>
      <c r="BO263" s="542">
        <v>0</v>
      </c>
      <c r="BP263" s="542">
        <v>13100</v>
      </c>
      <c r="BQ263" s="542">
        <v>1310021</v>
      </c>
      <c r="BR263" s="542">
        <v>-2065679</v>
      </c>
      <c r="BS263" s="542">
        <v>-2024366</v>
      </c>
      <c r="BT263" s="542">
        <v>0</v>
      </c>
      <c r="BU263" s="542">
        <v>-41314</v>
      </c>
      <c r="BV263" s="542">
        <v>-4131359</v>
      </c>
      <c r="BW263" s="542">
        <v>-2979015</v>
      </c>
      <c r="BX263" s="542">
        <v>-2919436</v>
      </c>
      <c r="BY263" s="542">
        <v>0</v>
      </c>
      <c r="BZ263" s="542">
        <v>-59581</v>
      </c>
      <c r="CA263" s="542">
        <v>-5958032</v>
      </c>
    </row>
    <row r="264" spans="1:79" ht="12.75" x14ac:dyDescent="0.2">
      <c r="A264" s="93">
        <v>258</v>
      </c>
      <c r="B264" s="145" t="s">
        <v>394</v>
      </c>
      <c r="C264" s="141" t="s">
        <v>866</v>
      </c>
      <c r="D264" s="142" t="s">
        <v>876</v>
      </c>
      <c r="E264" s="149" t="s">
        <v>393</v>
      </c>
      <c r="F264" s="543">
        <v>0.5</v>
      </c>
      <c r="G264" s="543">
        <v>0.4</v>
      </c>
      <c r="H264" s="543">
        <v>0.09</v>
      </c>
      <c r="I264" s="543">
        <v>0.01</v>
      </c>
      <c r="J264" s="543">
        <v>1</v>
      </c>
      <c r="K264" s="542">
        <v>20329674</v>
      </c>
      <c r="L264" s="542">
        <v>16263740</v>
      </c>
      <c r="M264" s="542">
        <v>3659342</v>
      </c>
      <c r="N264" s="542">
        <v>406594</v>
      </c>
      <c r="O264" s="542">
        <v>40659350</v>
      </c>
      <c r="P264" s="542">
        <v>0</v>
      </c>
      <c r="Q264" s="542">
        <v>0</v>
      </c>
      <c r="R264" s="542">
        <v>20329674</v>
      </c>
      <c r="S264" s="542">
        <v>171533</v>
      </c>
      <c r="T264" s="542">
        <v>171533</v>
      </c>
      <c r="U264" s="542">
        <v>0</v>
      </c>
      <c r="V264" s="542">
        <v>0</v>
      </c>
      <c r="W264" s="542">
        <v>0</v>
      </c>
      <c r="X264" s="542">
        <v>0</v>
      </c>
      <c r="Y264" s="542">
        <v>0</v>
      </c>
      <c r="Z264" s="542">
        <v>0</v>
      </c>
      <c r="AA264" s="542">
        <v>0</v>
      </c>
      <c r="AB264" s="542">
        <v>0</v>
      </c>
      <c r="AC264" s="542">
        <v>0</v>
      </c>
      <c r="AD264" s="542">
        <v>938657</v>
      </c>
      <c r="AE264" s="542">
        <v>750925</v>
      </c>
      <c r="AF264" s="542">
        <v>168958</v>
      </c>
      <c r="AG264" s="542">
        <v>18773</v>
      </c>
      <c r="AH264" s="542">
        <v>1877313</v>
      </c>
      <c r="AI264" s="542">
        <v>-109175</v>
      </c>
      <c r="AJ264" s="542">
        <v>-87339</v>
      </c>
      <c r="AK264" s="542">
        <v>-19651</v>
      </c>
      <c r="AL264" s="542">
        <v>-2183</v>
      </c>
      <c r="AM264" s="542">
        <v>-218348</v>
      </c>
      <c r="AN264" s="542">
        <v>-417609</v>
      </c>
      <c r="AO264" s="542">
        <v>-334087</v>
      </c>
      <c r="AP264" s="542">
        <v>-75170</v>
      </c>
      <c r="AQ264" s="542">
        <v>-8352</v>
      </c>
      <c r="AR264" s="542">
        <v>-835218</v>
      </c>
      <c r="AS264" s="542">
        <v>79341</v>
      </c>
      <c r="AT264" s="542">
        <v>63472</v>
      </c>
      <c r="AU264" s="542">
        <v>14281</v>
      </c>
      <c r="AV264" s="542">
        <v>1587</v>
      </c>
      <c r="AW264" s="542">
        <v>158681</v>
      </c>
      <c r="AX264" s="542">
        <v>-98686</v>
      </c>
      <c r="AY264" s="542">
        <v>-78949</v>
      </c>
      <c r="AZ264" s="542">
        <v>-17763</v>
      </c>
      <c r="BA264" s="542">
        <v>-1974</v>
      </c>
      <c r="BB264" s="542">
        <v>-197372</v>
      </c>
      <c r="BC264" s="542">
        <v>-436954</v>
      </c>
      <c r="BD264" s="542">
        <v>-349564</v>
      </c>
      <c r="BE264" s="542">
        <v>-78652</v>
      </c>
      <c r="BF264" s="542">
        <v>-8739</v>
      </c>
      <c r="BG264" s="542">
        <v>-873909</v>
      </c>
      <c r="BH264" s="542">
        <v>-891229</v>
      </c>
      <c r="BI264" s="542">
        <v>-712982</v>
      </c>
      <c r="BJ264" s="542">
        <v>-160421</v>
      </c>
      <c r="BK264" s="542">
        <v>-17824</v>
      </c>
      <c r="BL264" s="542">
        <v>-1782456</v>
      </c>
      <c r="BM264" s="542">
        <v>359654</v>
      </c>
      <c r="BN264" s="542">
        <v>287724</v>
      </c>
      <c r="BO264" s="542">
        <v>64738</v>
      </c>
      <c r="BP264" s="542">
        <v>7193</v>
      </c>
      <c r="BQ264" s="542">
        <v>719309</v>
      </c>
      <c r="BR264" s="542">
        <v>-1909984</v>
      </c>
      <c r="BS264" s="542">
        <v>-1527987</v>
      </c>
      <c r="BT264" s="542">
        <v>-343797</v>
      </c>
      <c r="BU264" s="542">
        <v>-38200</v>
      </c>
      <c r="BV264" s="542">
        <v>-3819968</v>
      </c>
      <c r="BW264" s="542">
        <v>-2441559</v>
      </c>
      <c r="BX264" s="542">
        <v>-1953245</v>
      </c>
      <c r="BY264" s="542">
        <v>-439480</v>
      </c>
      <c r="BZ264" s="542">
        <v>-48831</v>
      </c>
      <c r="CA264" s="542">
        <v>-4883115</v>
      </c>
    </row>
    <row r="265" spans="1:79" ht="12.75" x14ac:dyDescent="0.2">
      <c r="A265" s="93">
        <v>259</v>
      </c>
      <c r="B265" s="145" t="s">
        <v>396</v>
      </c>
      <c r="C265" s="141" t="s">
        <v>866</v>
      </c>
      <c r="D265" s="142" t="s">
        <v>876</v>
      </c>
      <c r="E265" s="149" t="s">
        <v>395</v>
      </c>
      <c r="F265" s="543">
        <v>0.5</v>
      </c>
      <c r="G265" s="543">
        <v>0.4</v>
      </c>
      <c r="H265" s="543">
        <v>0.09</v>
      </c>
      <c r="I265" s="543">
        <v>0.01</v>
      </c>
      <c r="J265" s="543">
        <v>1</v>
      </c>
      <c r="K265" s="542">
        <v>8569114.4199999999</v>
      </c>
      <c r="L265" s="542">
        <v>6855291</v>
      </c>
      <c r="M265" s="542">
        <v>1542441</v>
      </c>
      <c r="N265" s="542">
        <v>171382</v>
      </c>
      <c r="O265" s="542">
        <v>17138228.399999999</v>
      </c>
      <c r="P265" s="542">
        <v>0</v>
      </c>
      <c r="Q265" s="542">
        <v>0</v>
      </c>
      <c r="R265" s="542">
        <v>8569114.4199999999</v>
      </c>
      <c r="S265" s="542">
        <v>116661</v>
      </c>
      <c r="T265" s="542">
        <v>116661</v>
      </c>
      <c r="U265" s="542">
        <v>0</v>
      </c>
      <c r="V265" s="542">
        <v>0</v>
      </c>
      <c r="W265" s="542">
        <v>0</v>
      </c>
      <c r="X265" s="542">
        <v>0</v>
      </c>
      <c r="Y265" s="542">
        <v>0</v>
      </c>
      <c r="Z265" s="542">
        <v>0</v>
      </c>
      <c r="AA265" s="542">
        <v>0</v>
      </c>
      <c r="AB265" s="542">
        <v>0</v>
      </c>
      <c r="AC265" s="542">
        <v>0</v>
      </c>
      <c r="AD265" s="542">
        <v>394976</v>
      </c>
      <c r="AE265" s="542">
        <v>315982</v>
      </c>
      <c r="AF265" s="542">
        <v>71096</v>
      </c>
      <c r="AG265" s="542">
        <v>7900</v>
      </c>
      <c r="AH265" s="542">
        <v>789954</v>
      </c>
      <c r="AI265" s="542">
        <v>-160852</v>
      </c>
      <c r="AJ265" s="542">
        <v>-128682</v>
      </c>
      <c r="AK265" s="542">
        <v>-28953</v>
      </c>
      <c r="AL265" s="542">
        <v>-3217</v>
      </c>
      <c r="AM265" s="542">
        <v>-321704</v>
      </c>
      <c r="AN265" s="542">
        <v>-197216</v>
      </c>
      <c r="AO265" s="542">
        <v>-157773</v>
      </c>
      <c r="AP265" s="542">
        <v>-35499</v>
      </c>
      <c r="AQ265" s="542">
        <v>-3944</v>
      </c>
      <c r="AR265" s="542">
        <v>-394432</v>
      </c>
      <c r="AS265" s="542">
        <v>83142</v>
      </c>
      <c r="AT265" s="542">
        <v>66513</v>
      </c>
      <c r="AU265" s="542">
        <v>14965</v>
      </c>
      <c r="AV265" s="542">
        <v>1663</v>
      </c>
      <c r="AW265" s="542">
        <v>166283</v>
      </c>
      <c r="AX265" s="542">
        <v>-98926</v>
      </c>
      <c r="AY265" s="542">
        <v>-79141</v>
      </c>
      <c r="AZ265" s="542">
        <v>-17807</v>
      </c>
      <c r="BA265" s="542">
        <v>-1979</v>
      </c>
      <c r="BB265" s="542">
        <v>-197853</v>
      </c>
      <c r="BC265" s="542">
        <v>-213000</v>
      </c>
      <c r="BD265" s="542">
        <v>-170401</v>
      </c>
      <c r="BE265" s="542">
        <v>-38341</v>
      </c>
      <c r="BF265" s="542">
        <v>-4260</v>
      </c>
      <c r="BG265" s="542">
        <v>-426002</v>
      </c>
      <c r="BH265" s="542">
        <v>-188811</v>
      </c>
      <c r="BI265" s="542">
        <v>-151048</v>
      </c>
      <c r="BJ265" s="542">
        <v>-33986</v>
      </c>
      <c r="BK265" s="542">
        <v>-3776</v>
      </c>
      <c r="BL265" s="542">
        <v>-377621</v>
      </c>
      <c r="BM265" s="542">
        <v>19539</v>
      </c>
      <c r="BN265" s="542">
        <v>15631</v>
      </c>
      <c r="BO265" s="542">
        <v>3517</v>
      </c>
      <c r="BP265" s="542">
        <v>391</v>
      </c>
      <c r="BQ265" s="542">
        <v>39078</v>
      </c>
      <c r="BR265" s="542">
        <v>-347278.58</v>
      </c>
      <c r="BS265" s="542">
        <v>-277823</v>
      </c>
      <c r="BT265" s="542">
        <v>-62510</v>
      </c>
      <c r="BU265" s="542">
        <v>-6946</v>
      </c>
      <c r="BV265" s="542">
        <v>-694557.58</v>
      </c>
      <c r="BW265" s="542">
        <v>-516550.58</v>
      </c>
      <c r="BX265" s="542">
        <v>-413240</v>
      </c>
      <c r="BY265" s="542">
        <v>-92979</v>
      </c>
      <c r="BZ265" s="542">
        <v>-10331</v>
      </c>
      <c r="CA265" s="542">
        <v>-1033100.5</v>
      </c>
    </row>
    <row r="266" spans="1:79" ht="12.75" x14ac:dyDescent="0.2">
      <c r="A266" s="93">
        <v>260</v>
      </c>
      <c r="B266" s="145" t="s">
        <v>398</v>
      </c>
      <c r="C266" s="141" t="s">
        <v>866</v>
      </c>
      <c r="D266" s="142" t="s">
        <v>870</v>
      </c>
      <c r="E266" s="149" t="s">
        <v>397</v>
      </c>
      <c r="F266" s="543">
        <v>0.5</v>
      </c>
      <c r="G266" s="543">
        <v>0.4</v>
      </c>
      <c r="H266" s="543">
        <v>0.1</v>
      </c>
      <c r="I266" s="543">
        <v>0</v>
      </c>
      <c r="J266" s="543">
        <v>1</v>
      </c>
      <c r="K266" s="542">
        <v>22241547</v>
      </c>
      <c r="L266" s="542">
        <v>17793237</v>
      </c>
      <c r="M266" s="542">
        <v>4448309</v>
      </c>
      <c r="N266" s="542">
        <v>0</v>
      </c>
      <c r="O266" s="542">
        <v>44483093</v>
      </c>
      <c r="P266" s="542">
        <v>0</v>
      </c>
      <c r="Q266" s="542">
        <v>0</v>
      </c>
      <c r="R266" s="542">
        <v>22241547</v>
      </c>
      <c r="S266" s="542">
        <v>112556</v>
      </c>
      <c r="T266" s="542">
        <v>112556</v>
      </c>
      <c r="U266" s="542">
        <v>0</v>
      </c>
      <c r="V266" s="542">
        <v>0</v>
      </c>
      <c r="W266" s="542">
        <v>0</v>
      </c>
      <c r="X266" s="542">
        <v>0</v>
      </c>
      <c r="Y266" s="542">
        <v>0</v>
      </c>
      <c r="Z266" s="542">
        <v>0</v>
      </c>
      <c r="AA266" s="542">
        <v>0</v>
      </c>
      <c r="AB266" s="542">
        <v>0</v>
      </c>
      <c r="AC266" s="542">
        <v>0</v>
      </c>
      <c r="AD266" s="542">
        <v>1578772</v>
      </c>
      <c r="AE266" s="542">
        <v>1263018</v>
      </c>
      <c r="AF266" s="542">
        <v>315755</v>
      </c>
      <c r="AG266" s="542">
        <v>0</v>
      </c>
      <c r="AH266" s="542">
        <v>3157545</v>
      </c>
      <c r="AI266" s="542">
        <v>-561296</v>
      </c>
      <c r="AJ266" s="542">
        <v>-449036</v>
      </c>
      <c r="AK266" s="542">
        <v>-112259</v>
      </c>
      <c r="AL266" s="542">
        <v>0</v>
      </c>
      <c r="AM266" s="542">
        <v>-1122591</v>
      </c>
      <c r="AN266" s="542">
        <v>-1306979</v>
      </c>
      <c r="AO266" s="542">
        <v>-1045582</v>
      </c>
      <c r="AP266" s="542">
        <v>-261396</v>
      </c>
      <c r="AQ266" s="542">
        <v>0</v>
      </c>
      <c r="AR266" s="542">
        <v>-2613957</v>
      </c>
      <c r="AS266" s="542">
        <v>592403</v>
      </c>
      <c r="AT266" s="542">
        <v>473922</v>
      </c>
      <c r="AU266" s="542">
        <v>118481</v>
      </c>
      <c r="AV266" s="542">
        <v>0</v>
      </c>
      <c r="AW266" s="542">
        <v>1184806</v>
      </c>
      <c r="AX266" s="542">
        <v>-498268</v>
      </c>
      <c r="AY266" s="542">
        <v>-398614</v>
      </c>
      <c r="AZ266" s="542">
        <v>-99654</v>
      </c>
      <c r="BA266" s="542">
        <v>0</v>
      </c>
      <c r="BB266" s="542">
        <v>-996536</v>
      </c>
      <c r="BC266" s="542">
        <v>-1212844</v>
      </c>
      <c r="BD266" s="542">
        <v>-970274</v>
      </c>
      <c r="BE266" s="542">
        <v>-242569</v>
      </c>
      <c r="BF266" s="542">
        <v>0</v>
      </c>
      <c r="BG266" s="542">
        <v>-2425687</v>
      </c>
      <c r="BH266" s="542">
        <v>-1787826</v>
      </c>
      <c r="BI266" s="542">
        <v>-1430260</v>
      </c>
      <c r="BJ266" s="542">
        <v>-357565</v>
      </c>
      <c r="BK266" s="542">
        <v>0</v>
      </c>
      <c r="BL266" s="542">
        <v>-3575651</v>
      </c>
      <c r="BM266" s="542">
        <v>0</v>
      </c>
      <c r="BN266" s="542">
        <v>0</v>
      </c>
      <c r="BO266" s="542">
        <v>0</v>
      </c>
      <c r="BP266" s="542">
        <v>0</v>
      </c>
      <c r="BQ266" s="542">
        <v>0</v>
      </c>
      <c r="BR266" s="542">
        <v>-1273357</v>
      </c>
      <c r="BS266" s="542">
        <v>-1018685</v>
      </c>
      <c r="BT266" s="542">
        <v>-254671</v>
      </c>
      <c r="BU266" s="542">
        <v>0</v>
      </c>
      <c r="BV266" s="542">
        <v>-2546713</v>
      </c>
      <c r="BW266" s="542">
        <v>-3061183</v>
      </c>
      <c r="BX266" s="542">
        <v>-2448945</v>
      </c>
      <c r="BY266" s="542">
        <v>-612236</v>
      </c>
      <c r="BZ266" s="542">
        <v>0</v>
      </c>
      <c r="CA266" s="542">
        <v>-6122364</v>
      </c>
    </row>
    <row r="267" spans="1:79" ht="12.75" x14ac:dyDescent="0.2">
      <c r="A267" s="93">
        <v>261</v>
      </c>
      <c r="B267" s="145" t="s">
        <v>400</v>
      </c>
      <c r="C267" s="141" t="s">
        <v>873</v>
      </c>
      <c r="D267" s="142" t="s">
        <v>868</v>
      </c>
      <c r="E267" s="149" t="s">
        <v>399</v>
      </c>
      <c r="F267" s="543">
        <v>0.5</v>
      </c>
      <c r="G267" s="543">
        <v>0.49</v>
      </c>
      <c r="H267" s="543">
        <v>0</v>
      </c>
      <c r="I267" s="543">
        <v>0.01</v>
      </c>
      <c r="J267" s="543">
        <v>1</v>
      </c>
      <c r="K267" s="542">
        <v>45146500</v>
      </c>
      <c r="L267" s="542">
        <v>44243570</v>
      </c>
      <c r="M267" s="542">
        <v>0</v>
      </c>
      <c r="N267" s="542">
        <v>902930</v>
      </c>
      <c r="O267" s="542">
        <v>90293000</v>
      </c>
      <c r="P267" s="542">
        <v>0</v>
      </c>
      <c r="Q267" s="542">
        <v>0</v>
      </c>
      <c r="R267" s="542">
        <v>45146500</v>
      </c>
      <c r="S267" s="542">
        <v>429803</v>
      </c>
      <c r="T267" s="542">
        <v>429803</v>
      </c>
      <c r="U267" s="542">
        <v>0</v>
      </c>
      <c r="V267" s="542">
        <v>0</v>
      </c>
      <c r="W267" s="542">
        <v>0</v>
      </c>
      <c r="X267" s="542">
        <v>0</v>
      </c>
      <c r="Y267" s="542">
        <v>0</v>
      </c>
      <c r="Z267" s="542">
        <v>0</v>
      </c>
      <c r="AA267" s="542">
        <v>0</v>
      </c>
      <c r="AB267" s="542">
        <v>0</v>
      </c>
      <c r="AC267" s="542">
        <v>0</v>
      </c>
      <c r="AD267" s="542">
        <v>6196286</v>
      </c>
      <c r="AE267" s="542">
        <v>6072361</v>
      </c>
      <c r="AF267" s="542">
        <v>0</v>
      </c>
      <c r="AG267" s="542">
        <v>123926</v>
      </c>
      <c r="AH267" s="542">
        <v>12392573</v>
      </c>
      <c r="AI267" s="542">
        <v>-688197</v>
      </c>
      <c r="AJ267" s="542">
        <v>-674433</v>
      </c>
      <c r="AK267" s="542">
        <v>0</v>
      </c>
      <c r="AL267" s="542">
        <v>-13764</v>
      </c>
      <c r="AM267" s="542">
        <v>-1376394</v>
      </c>
      <c r="AN267" s="542">
        <v>-1687947</v>
      </c>
      <c r="AO267" s="542">
        <v>-1654188</v>
      </c>
      <c r="AP267" s="542">
        <v>0</v>
      </c>
      <c r="AQ267" s="542">
        <v>-33759</v>
      </c>
      <c r="AR267" s="542">
        <v>-3375894</v>
      </c>
      <c r="AS267" s="542">
        <v>420123</v>
      </c>
      <c r="AT267" s="542">
        <v>411720</v>
      </c>
      <c r="AU267" s="542">
        <v>0</v>
      </c>
      <c r="AV267" s="542">
        <v>8402</v>
      </c>
      <c r="AW267" s="542">
        <v>840245</v>
      </c>
      <c r="AX267" s="542">
        <v>-784622</v>
      </c>
      <c r="AY267" s="542">
        <v>-768930</v>
      </c>
      <c r="AZ267" s="542">
        <v>0</v>
      </c>
      <c r="BA267" s="542">
        <v>-15692</v>
      </c>
      <c r="BB267" s="542">
        <v>-1569244</v>
      </c>
      <c r="BC267" s="542">
        <v>-2052446</v>
      </c>
      <c r="BD267" s="542">
        <v>-2011398</v>
      </c>
      <c r="BE267" s="542">
        <v>0</v>
      </c>
      <c r="BF267" s="542">
        <v>-41049</v>
      </c>
      <c r="BG267" s="542">
        <v>-4104893</v>
      </c>
      <c r="BH267" s="542">
        <v>-1970452</v>
      </c>
      <c r="BI267" s="542">
        <v>-1931042</v>
      </c>
      <c r="BJ267" s="542">
        <v>0</v>
      </c>
      <c r="BK267" s="542">
        <v>-39409</v>
      </c>
      <c r="BL267" s="542">
        <v>-3940903</v>
      </c>
      <c r="BM267" s="542">
        <v>1098986</v>
      </c>
      <c r="BN267" s="542">
        <v>1077007</v>
      </c>
      <c r="BO267" s="542">
        <v>0</v>
      </c>
      <c r="BP267" s="542">
        <v>21980</v>
      </c>
      <c r="BQ267" s="542">
        <v>2197973</v>
      </c>
      <c r="BR267" s="542">
        <v>-1115346</v>
      </c>
      <c r="BS267" s="542">
        <v>-1093039</v>
      </c>
      <c r="BT267" s="542">
        <v>0</v>
      </c>
      <c r="BU267" s="542">
        <v>-22307</v>
      </c>
      <c r="BV267" s="542">
        <v>-2230692</v>
      </c>
      <c r="BW267" s="542">
        <v>-1986812</v>
      </c>
      <c r="BX267" s="542">
        <v>-1947074</v>
      </c>
      <c r="BY267" s="542">
        <v>0</v>
      </c>
      <c r="BZ267" s="542">
        <v>-39736</v>
      </c>
      <c r="CA267" s="542">
        <v>-3973622</v>
      </c>
    </row>
    <row r="268" spans="1:79" ht="12.75" x14ac:dyDescent="0.2">
      <c r="A268" s="93">
        <v>262</v>
      </c>
      <c r="B268" s="145" t="s">
        <v>402</v>
      </c>
      <c r="C268" s="141" t="s">
        <v>770</v>
      </c>
      <c r="D268" s="142" t="s">
        <v>878</v>
      </c>
      <c r="E268" s="149" t="s">
        <v>727</v>
      </c>
      <c r="F268" s="543">
        <v>0.5</v>
      </c>
      <c r="G268" s="543">
        <v>0.49</v>
      </c>
      <c r="H268" s="543">
        <v>0</v>
      </c>
      <c r="I268" s="543">
        <v>0.01</v>
      </c>
      <c r="J268" s="543">
        <v>1</v>
      </c>
      <c r="K268" s="542">
        <v>37806074</v>
      </c>
      <c r="L268" s="542">
        <v>37049953</v>
      </c>
      <c r="M268" s="542">
        <v>0</v>
      </c>
      <c r="N268" s="542">
        <v>756121</v>
      </c>
      <c r="O268" s="542">
        <v>75612148</v>
      </c>
      <c r="P268" s="542">
        <v>80632.479999999996</v>
      </c>
      <c r="Q268" s="542">
        <v>80632.479999999996</v>
      </c>
      <c r="R268" s="542">
        <v>37725441.5</v>
      </c>
      <c r="S268" s="542">
        <v>238978</v>
      </c>
      <c r="T268" s="542">
        <v>238978</v>
      </c>
      <c r="U268" s="542">
        <v>112030</v>
      </c>
      <c r="V268" s="542">
        <v>112030</v>
      </c>
      <c r="W268" s="542">
        <v>0</v>
      </c>
      <c r="X268" s="542">
        <v>0</v>
      </c>
      <c r="Y268" s="542">
        <v>0</v>
      </c>
      <c r="Z268" s="542">
        <v>79904.240000000005</v>
      </c>
      <c r="AA268" s="542">
        <v>0</v>
      </c>
      <c r="AB268" s="542">
        <v>728.24</v>
      </c>
      <c r="AC268" s="542">
        <v>80632.479999999996</v>
      </c>
      <c r="AD268" s="542">
        <v>564112</v>
      </c>
      <c r="AE268" s="542">
        <v>552829</v>
      </c>
      <c r="AF268" s="542">
        <v>0</v>
      </c>
      <c r="AG268" s="542">
        <v>11282</v>
      </c>
      <c r="AH268" s="542">
        <v>1128223</v>
      </c>
      <c r="AI268" s="542">
        <v>-454869</v>
      </c>
      <c r="AJ268" s="542">
        <v>-445772</v>
      </c>
      <c r="AK268" s="542">
        <v>0</v>
      </c>
      <c r="AL268" s="542">
        <v>-9097</v>
      </c>
      <c r="AM268" s="542">
        <v>-909738</v>
      </c>
      <c r="AN268" s="542">
        <v>-503759</v>
      </c>
      <c r="AO268" s="542">
        <v>-493684</v>
      </c>
      <c r="AP268" s="542">
        <v>0</v>
      </c>
      <c r="AQ268" s="542">
        <v>-10075</v>
      </c>
      <c r="AR268" s="542">
        <v>-1007518</v>
      </c>
      <c r="AS268" s="542">
        <v>158247</v>
      </c>
      <c r="AT268" s="542">
        <v>155083</v>
      </c>
      <c r="AU268" s="542">
        <v>0</v>
      </c>
      <c r="AV268" s="542">
        <v>3165</v>
      </c>
      <c r="AW268" s="542">
        <v>316495</v>
      </c>
      <c r="AX268" s="542">
        <v>-284988</v>
      </c>
      <c r="AY268" s="542">
        <v>-279289</v>
      </c>
      <c r="AZ268" s="542">
        <v>0</v>
      </c>
      <c r="BA268" s="542">
        <v>-5700</v>
      </c>
      <c r="BB268" s="542">
        <v>-569977</v>
      </c>
      <c r="BC268" s="542">
        <v>-630500</v>
      </c>
      <c r="BD268" s="542">
        <v>-617890</v>
      </c>
      <c r="BE268" s="542">
        <v>0</v>
      </c>
      <c r="BF268" s="542">
        <v>-12610</v>
      </c>
      <c r="BG268" s="542">
        <v>-1261000</v>
      </c>
      <c r="BH268" s="542">
        <v>-1521474</v>
      </c>
      <c r="BI268" s="542">
        <v>-1491044</v>
      </c>
      <c r="BJ268" s="542">
        <v>0</v>
      </c>
      <c r="BK268" s="542">
        <v>-30429</v>
      </c>
      <c r="BL268" s="542">
        <v>-3042947</v>
      </c>
      <c r="BM268" s="542">
        <v>1415176</v>
      </c>
      <c r="BN268" s="542">
        <v>1386873</v>
      </c>
      <c r="BO268" s="542">
        <v>0</v>
      </c>
      <c r="BP268" s="542">
        <v>28304</v>
      </c>
      <c r="BQ268" s="542">
        <v>2830353</v>
      </c>
      <c r="BR268" s="542">
        <v>-2956364</v>
      </c>
      <c r="BS268" s="542">
        <v>-2897236</v>
      </c>
      <c r="BT268" s="542">
        <v>0</v>
      </c>
      <c r="BU268" s="542">
        <v>-59127</v>
      </c>
      <c r="BV268" s="542">
        <v>-5912727</v>
      </c>
      <c r="BW268" s="542">
        <v>-3062662</v>
      </c>
      <c r="BX268" s="542">
        <v>-3001407</v>
      </c>
      <c r="BY268" s="542">
        <v>0</v>
      </c>
      <c r="BZ268" s="542">
        <v>-61252</v>
      </c>
      <c r="CA268" s="542">
        <v>-6125321</v>
      </c>
    </row>
    <row r="269" spans="1:79" ht="12.75" x14ac:dyDescent="0.2">
      <c r="A269" s="93">
        <v>263</v>
      </c>
      <c r="B269" s="145" t="s">
        <v>404</v>
      </c>
      <c r="C269" s="141" t="s">
        <v>770</v>
      </c>
      <c r="D269" s="142" t="s">
        <v>876</v>
      </c>
      <c r="E269" s="149" t="s">
        <v>728</v>
      </c>
      <c r="F269" s="543">
        <v>0.5</v>
      </c>
      <c r="G269" s="543">
        <v>0.49</v>
      </c>
      <c r="H269" s="543">
        <v>0</v>
      </c>
      <c r="I269" s="543">
        <v>0.01</v>
      </c>
      <c r="J269" s="543">
        <v>1</v>
      </c>
      <c r="K269" s="542">
        <v>38038756</v>
      </c>
      <c r="L269" s="542">
        <v>37277981</v>
      </c>
      <c r="M269" s="542">
        <v>0</v>
      </c>
      <c r="N269" s="542">
        <v>760775</v>
      </c>
      <c r="O269" s="542">
        <v>76077512</v>
      </c>
      <c r="P269" s="542">
        <v>0</v>
      </c>
      <c r="Q269" s="542">
        <v>0</v>
      </c>
      <c r="R269" s="542">
        <v>38038756</v>
      </c>
      <c r="S269" s="542">
        <v>365172</v>
      </c>
      <c r="T269" s="542">
        <v>365172</v>
      </c>
      <c r="U269" s="542">
        <v>0</v>
      </c>
      <c r="V269" s="542">
        <v>0</v>
      </c>
      <c r="W269" s="542">
        <v>0</v>
      </c>
      <c r="X269" s="542">
        <v>0</v>
      </c>
      <c r="Y269" s="542">
        <v>0</v>
      </c>
      <c r="Z269" s="542">
        <v>0</v>
      </c>
      <c r="AA269" s="542">
        <v>0</v>
      </c>
      <c r="AB269" s="542">
        <v>0</v>
      </c>
      <c r="AC269" s="542">
        <v>0</v>
      </c>
      <c r="AD269" s="542">
        <v>2656731</v>
      </c>
      <c r="AE269" s="542">
        <v>2603597</v>
      </c>
      <c r="AF269" s="542">
        <v>0</v>
      </c>
      <c r="AG269" s="542">
        <v>53135</v>
      </c>
      <c r="AH269" s="542">
        <v>5313463</v>
      </c>
      <c r="AI269" s="542">
        <v>-2274467</v>
      </c>
      <c r="AJ269" s="542">
        <v>-2228978</v>
      </c>
      <c r="AK269" s="542">
        <v>0</v>
      </c>
      <c r="AL269" s="542">
        <v>-45489</v>
      </c>
      <c r="AM269" s="542">
        <v>-4548934</v>
      </c>
      <c r="AN269" s="542">
        <v>-1303000</v>
      </c>
      <c r="AO269" s="542">
        <v>-1276940</v>
      </c>
      <c r="AP269" s="542">
        <v>0</v>
      </c>
      <c r="AQ269" s="542">
        <v>-26060</v>
      </c>
      <c r="AR269" s="542">
        <v>-2606000</v>
      </c>
      <c r="AS269" s="542">
        <v>364351</v>
      </c>
      <c r="AT269" s="542">
        <v>357064</v>
      </c>
      <c r="AU269" s="542">
        <v>0</v>
      </c>
      <c r="AV269" s="542">
        <v>7287</v>
      </c>
      <c r="AW269" s="542">
        <v>728702</v>
      </c>
      <c r="AX269" s="542">
        <v>-794351</v>
      </c>
      <c r="AY269" s="542">
        <v>-778464</v>
      </c>
      <c r="AZ269" s="542">
        <v>0</v>
      </c>
      <c r="BA269" s="542">
        <v>-15887</v>
      </c>
      <c r="BB269" s="542">
        <v>-1588702</v>
      </c>
      <c r="BC269" s="542">
        <v>-1733000</v>
      </c>
      <c r="BD269" s="542">
        <v>-1698340</v>
      </c>
      <c r="BE269" s="542">
        <v>0</v>
      </c>
      <c r="BF269" s="542">
        <v>-34660</v>
      </c>
      <c r="BG269" s="542">
        <v>-3466000</v>
      </c>
      <c r="BH269" s="542">
        <v>-4150000</v>
      </c>
      <c r="BI269" s="542">
        <v>-4067000</v>
      </c>
      <c r="BJ269" s="542">
        <v>0</v>
      </c>
      <c r="BK269" s="542">
        <v>-83000</v>
      </c>
      <c r="BL269" s="542">
        <v>-8300000</v>
      </c>
      <c r="BM269" s="542">
        <v>3519426</v>
      </c>
      <c r="BN269" s="542">
        <v>3449037</v>
      </c>
      <c r="BO269" s="542">
        <v>0</v>
      </c>
      <c r="BP269" s="542">
        <v>70389</v>
      </c>
      <c r="BQ269" s="542">
        <v>7038852</v>
      </c>
      <c r="BR269" s="542">
        <v>-5819426</v>
      </c>
      <c r="BS269" s="542">
        <v>-5703037</v>
      </c>
      <c r="BT269" s="542">
        <v>0</v>
      </c>
      <c r="BU269" s="542">
        <v>-116389</v>
      </c>
      <c r="BV269" s="542">
        <v>-11638852</v>
      </c>
      <c r="BW269" s="542">
        <v>-6450000</v>
      </c>
      <c r="BX269" s="542">
        <v>-6321000</v>
      </c>
      <c r="BY269" s="542">
        <v>0</v>
      </c>
      <c r="BZ269" s="542">
        <v>-129000</v>
      </c>
      <c r="CA269" s="542">
        <v>-12900000</v>
      </c>
    </row>
    <row r="270" spans="1:79" ht="12.75" x14ac:dyDescent="0.2">
      <c r="A270" s="93">
        <v>264</v>
      </c>
      <c r="B270" s="145" t="s">
        <v>406</v>
      </c>
      <c r="C270" s="141" t="s">
        <v>866</v>
      </c>
      <c r="D270" s="142" t="s">
        <v>876</v>
      </c>
      <c r="E270" s="149" t="s">
        <v>405</v>
      </c>
      <c r="F270" s="543">
        <v>0.5</v>
      </c>
      <c r="G270" s="543">
        <v>0.4</v>
      </c>
      <c r="H270" s="543">
        <v>0.1</v>
      </c>
      <c r="I270" s="543">
        <v>0</v>
      </c>
      <c r="J270" s="543">
        <v>1</v>
      </c>
      <c r="K270" s="542">
        <v>25807804</v>
      </c>
      <c r="L270" s="542">
        <v>20646243</v>
      </c>
      <c r="M270" s="542">
        <v>5161561</v>
      </c>
      <c r="N270" s="542">
        <v>0</v>
      </c>
      <c r="O270" s="542">
        <v>51615608</v>
      </c>
      <c r="P270" s="542">
        <v>0</v>
      </c>
      <c r="Q270" s="542">
        <v>0</v>
      </c>
      <c r="R270" s="542">
        <v>25807804</v>
      </c>
      <c r="S270" s="542">
        <v>218813</v>
      </c>
      <c r="T270" s="542">
        <v>218813</v>
      </c>
      <c r="U270" s="542">
        <v>0</v>
      </c>
      <c r="V270" s="542">
        <v>0</v>
      </c>
      <c r="W270" s="542">
        <v>0</v>
      </c>
      <c r="X270" s="542">
        <v>0</v>
      </c>
      <c r="Y270" s="542">
        <v>0</v>
      </c>
      <c r="Z270" s="542">
        <v>0</v>
      </c>
      <c r="AA270" s="542">
        <v>0</v>
      </c>
      <c r="AB270" s="542">
        <v>0</v>
      </c>
      <c r="AC270" s="542">
        <v>0</v>
      </c>
      <c r="AD270" s="542">
        <v>885601</v>
      </c>
      <c r="AE270" s="542">
        <v>708481</v>
      </c>
      <c r="AF270" s="542">
        <v>177120</v>
      </c>
      <c r="AG270" s="542">
        <v>0</v>
      </c>
      <c r="AH270" s="542">
        <v>1771202</v>
      </c>
      <c r="AI270" s="542">
        <v>-341399</v>
      </c>
      <c r="AJ270" s="542">
        <v>-273120</v>
      </c>
      <c r="AK270" s="542">
        <v>-68280</v>
      </c>
      <c r="AL270" s="542">
        <v>0</v>
      </c>
      <c r="AM270" s="542">
        <v>-682799</v>
      </c>
      <c r="AN270" s="542">
        <v>-208023</v>
      </c>
      <c r="AO270" s="542">
        <v>-166418</v>
      </c>
      <c r="AP270" s="542">
        <v>-41604</v>
      </c>
      <c r="AQ270" s="542">
        <v>0</v>
      </c>
      <c r="AR270" s="542">
        <v>-416045</v>
      </c>
      <c r="AS270" s="542">
        <v>89736</v>
      </c>
      <c r="AT270" s="542">
        <v>71789</v>
      </c>
      <c r="AU270" s="542">
        <v>17947</v>
      </c>
      <c r="AV270" s="542">
        <v>0</v>
      </c>
      <c r="AW270" s="542">
        <v>179472</v>
      </c>
      <c r="AX270" s="542">
        <v>-150637</v>
      </c>
      <c r="AY270" s="542">
        <v>-120510</v>
      </c>
      <c r="AZ270" s="542">
        <v>-30127</v>
      </c>
      <c r="BA270" s="542">
        <v>0</v>
      </c>
      <c r="BB270" s="542">
        <v>-301274</v>
      </c>
      <c r="BC270" s="542">
        <v>-268924</v>
      </c>
      <c r="BD270" s="542">
        <v>-215139</v>
      </c>
      <c r="BE270" s="542">
        <v>-53784</v>
      </c>
      <c r="BF270" s="542">
        <v>0</v>
      </c>
      <c r="BG270" s="542">
        <v>-537847</v>
      </c>
      <c r="BH270" s="542">
        <v>-1311533</v>
      </c>
      <c r="BI270" s="542">
        <v>-1049227</v>
      </c>
      <c r="BJ270" s="542">
        <v>-262307</v>
      </c>
      <c r="BK270" s="542">
        <v>0</v>
      </c>
      <c r="BL270" s="542">
        <v>-2623067</v>
      </c>
      <c r="BM270" s="542">
        <v>0</v>
      </c>
      <c r="BN270" s="542">
        <v>0</v>
      </c>
      <c r="BO270" s="542">
        <v>0</v>
      </c>
      <c r="BP270" s="542">
        <v>0</v>
      </c>
      <c r="BQ270" s="542">
        <v>0</v>
      </c>
      <c r="BR270" s="542">
        <v>-210183</v>
      </c>
      <c r="BS270" s="542">
        <v>-168146</v>
      </c>
      <c r="BT270" s="542">
        <v>-42037</v>
      </c>
      <c r="BU270" s="542">
        <v>0</v>
      </c>
      <c r="BV270" s="542">
        <v>-420366</v>
      </c>
      <c r="BW270" s="542">
        <v>-1521716</v>
      </c>
      <c r="BX270" s="542">
        <v>-1217373</v>
      </c>
      <c r="BY270" s="542">
        <v>-304344</v>
      </c>
      <c r="BZ270" s="542">
        <v>0</v>
      </c>
      <c r="CA270" s="542">
        <v>-3043433</v>
      </c>
    </row>
    <row r="271" spans="1:79" ht="12.75" x14ac:dyDescent="0.2">
      <c r="A271" s="93">
        <v>265</v>
      </c>
      <c r="B271" s="145" t="s">
        <v>408</v>
      </c>
      <c r="C271" s="141" t="s">
        <v>866</v>
      </c>
      <c r="D271" s="142" t="s">
        <v>875</v>
      </c>
      <c r="E271" s="149" t="s">
        <v>407</v>
      </c>
      <c r="F271" s="543">
        <v>0.5</v>
      </c>
      <c r="G271" s="543">
        <v>0.4</v>
      </c>
      <c r="H271" s="543">
        <v>0.1</v>
      </c>
      <c r="I271" s="543">
        <v>0</v>
      </c>
      <c r="J271" s="543">
        <v>1</v>
      </c>
      <c r="K271" s="542">
        <v>11577850</v>
      </c>
      <c r="L271" s="542">
        <v>9262280</v>
      </c>
      <c r="M271" s="542">
        <v>2315570</v>
      </c>
      <c r="N271" s="542">
        <v>0</v>
      </c>
      <c r="O271" s="542">
        <v>23155700</v>
      </c>
      <c r="P271" s="542">
        <v>0</v>
      </c>
      <c r="Q271" s="542">
        <v>0</v>
      </c>
      <c r="R271" s="542">
        <v>11577850</v>
      </c>
      <c r="S271" s="542">
        <v>156641</v>
      </c>
      <c r="T271" s="542">
        <v>156641</v>
      </c>
      <c r="U271" s="542">
        <v>0</v>
      </c>
      <c r="V271" s="542">
        <v>0</v>
      </c>
      <c r="W271" s="542">
        <v>699</v>
      </c>
      <c r="X271" s="542">
        <v>0</v>
      </c>
      <c r="Y271" s="542">
        <v>699</v>
      </c>
      <c r="Z271" s="542">
        <v>0</v>
      </c>
      <c r="AA271" s="542">
        <v>0</v>
      </c>
      <c r="AB271" s="542">
        <v>0</v>
      </c>
      <c r="AC271" s="542">
        <v>0</v>
      </c>
      <c r="AD271" s="542">
        <v>369302</v>
      </c>
      <c r="AE271" s="542">
        <v>295442</v>
      </c>
      <c r="AF271" s="542">
        <v>73860</v>
      </c>
      <c r="AG271" s="542">
        <v>0</v>
      </c>
      <c r="AH271" s="542">
        <v>738604</v>
      </c>
      <c r="AI271" s="542">
        <v>-179388</v>
      </c>
      <c r="AJ271" s="542">
        <v>-143511</v>
      </c>
      <c r="AK271" s="542">
        <v>-35878</v>
      </c>
      <c r="AL271" s="542">
        <v>0</v>
      </c>
      <c r="AM271" s="542">
        <v>-358777</v>
      </c>
      <c r="AN271" s="542">
        <v>-162150.25</v>
      </c>
      <c r="AO271" s="542">
        <v>-129722</v>
      </c>
      <c r="AP271" s="542">
        <v>-32431</v>
      </c>
      <c r="AQ271" s="542">
        <v>0</v>
      </c>
      <c r="AR271" s="542">
        <v>-324303.25</v>
      </c>
      <c r="AS271" s="542">
        <v>117246</v>
      </c>
      <c r="AT271" s="542">
        <v>93797</v>
      </c>
      <c r="AU271" s="542">
        <v>23449</v>
      </c>
      <c r="AV271" s="542">
        <v>0</v>
      </c>
      <c r="AW271" s="542">
        <v>234492</v>
      </c>
      <c r="AX271" s="542">
        <v>-192115</v>
      </c>
      <c r="AY271" s="542">
        <v>-153692</v>
      </c>
      <c r="AZ271" s="542">
        <v>-38423</v>
      </c>
      <c r="BA271" s="542">
        <v>0</v>
      </c>
      <c r="BB271" s="542">
        <v>-384230</v>
      </c>
      <c r="BC271" s="542">
        <v>-237019.25</v>
      </c>
      <c r="BD271" s="542">
        <v>-189617</v>
      </c>
      <c r="BE271" s="542">
        <v>-47405</v>
      </c>
      <c r="BF271" s="542">
        <v>0</v>
      </c>
      <c r="BG271" s="542">
        <v>-474041.25</v>
      </c>
      <c r="BH271" s="542">
        <v>-391371</v>
      </c>
      <c r="BI271" s="542">
        <v>-313097</v>
      </c>
      <c r="BJ271" s="542">
        <v>-78274</v>
      </c>
      <c r="BK271" s="542">
        <v>0</v>
      </c>
      <c r="BL271" s="542">
        <v>-782742</v>
      </c>
      <c r="BM271" s="542">
        <v>303447</v>
      </c>
      <c r="BN271" s="542">
        <v>242758</v>
      </c>
      <c r="BO271" s="542">
        <v>60690</v>
      </c>
      <c r="BP271" s="542">
        <v>0</v>
      </c>
      <c r="BQ271" s="542">
        <v>606895</v>
      </c>
      <c r="BR271" s="542">
        <v>-735762</v>
      </c>
      <c r="BS271" s="542">
        <v>-588609</v>
      </c>
      <c r="BT271" s="542">
        <v>-147152</v>
      </c>
      <c r="BU271" s="542">
        <v>0</v>
      </c>
      <c r="BV271" s="542">
        <v>-1471523</v>
      </c>
      <c r="BW271" s="542">
        <v>-823686</v>
      </c>
      <c r="BX271" s="542">
        <v>-658948</v>
      </c>
      <c r="BY271" s="542">
        <v>-164736</v>
      </c>
      <c r="BZ271" s="542">
        <v>0</v>
      </c>
      <c r="CA271" s="542">
        <v>-1647370</v>
      </c>
    </row>
    <row r="272" spans="1:79" ht="12.75" x14ac:dyDescent="0.2">
      <c r="A272" s="93">
        <v>266</v>
      </c>
      <c r="B272" s="145" t="s">
        <v>410</v>
      </c>
      <c r="C272" s="141" t="s">
        <v>866</v>
      </c>
      <c r="D272" s="142" t="s">
        <v>870</v>
      </c>
      <c r="E272" s="149" t="s">
        <v>409</v>
      </c>
      <c r="F272" s="543">
        <v>0.5</v>
      </c>
      <c r="G272" s="543">
        <v>0.4</v>
      </c>
      <c r="H272" s="543">
        <v>0.1</v>
      </c>
      <c r="I272" s="543">
        <v>0</v>
      </c>
      <c r="J272" s="543">
        <v>1</v>
      </c>
      <c r="K272" s="542">
        <v>35318712</v>
      </c>
      <c r="L272" s="542">
        <v>28254970</v>
      </c>
      <c r="M272" s="542">
        <v>7063742</v>
      </c>
      <c r="N272" s="542">
        <v>0</v>
      </c>
      <c r="O272" s="542">
        <v>70637424</v>
      </c>
      <c r="P272" s="542">
        <v>0</v>
      </c>
      <c r="Q272" s="542">
        <v>0</v>
      </c>
      <c r="R272" s="542">
        <v>35318712</v>
      </c>
      <c r="S272" s="542">
        <v>278728</v>
      </c>
      <c r="T272" s="542">
        <v>278728</v>
      </c>
      <c r="U272" s="542">
        <v>0</v>
      </c>
      <c r="V272" s="542">
        <v>0</v>
      </c>
      <c r="W272" s="542">
        <v>48462</v>
      </c>
      <c r="X272" s="542">
        <v>0</v>
      </c>
      <c r="Y272" s="542">
        <v>48462</v>
      </c>
      <c r="Z272" s="542">
        <v>0</v>
      </c>
      <c r="AA272" s="542">
        <v>0</v>
      </c>
      <c r="AB272" s="542">
        <v>0</v>
      </c>
      <c r="AC272" s="542">
        <v>0</v>
      </c>
      <c r="AD272" s="542">
        <v>423882</v>
      </c>
      <c r="AE272" s="542">
        <v>339106</v>
      </c>
      <c r="AF272" s="542">
        <v>84777</v>
      </c>
      <c r="AG272" s="542">
        <v>0</v>
      </c>
      <c r="AH272" s="542">
        <v>847765</v>
      </c>
      <c r="AI272" s="542">
        <v>-197744</v>
      </c>
      <c r="AJ272" s="542">
        <v>-158196</v>
      </c>
      <c r="AK272" s="542">
        <v>-39549</v>
      </c>
      <c r="AL272" s="542">
        <v>0</v>
      </c>
      <c r="AM272" s="542">
        <v>-395489</v>
      </c>
      <c r="AN272" s="542">
        <v>-174173</v>
      </c>
      <c r="AO272" s="542">
        <v>-139340</v>
      </c>
      <c r="AP272" s="542">
        <v>-34835</v>
      </c>
      <c r="AQ272" s="542">
        <v>0</v>
      </c>
      <c r="AR272" s="542">
        <v>-348348</v>
      </c>
      <c r="AS272" s="542">
        <v>-77938</v>
      </c>
      <c r="AT272" s="542">
        <v>-62350</v>
      </c>
      <c r="AU272" s="542">
        <v>-15588</v>
      </c>
      <c r="AV272" s="542">
        <v>0</v>
      </c>
      <c r="AW272" s="542">
        <v>-155876</v>
      </c>
      <c r="AX272" s="542">
        <v>20361</v>
      </c>
      <c r="AY272" s="542">
        <v>16288</v>
      </c>
      <c r="AZ272" s="542">
        <v>4072</v>
      </c>
      <c r="BA272" s="542">
        <v>0</v>
      </c>
      <c r="BB272" s="542">
        <v>40721</v>
      </c>
      <c r="BC272" s="542">
        <v>-231750</v>
      </c>
      <c r="BD272" s="542">
        <v>-185402</v>
      </c>
      <c r="BE272" s="542">
        <v>-46351</v>
      </c>
      <c r="BF272" s="542">
        <v>0</v>
      </c>
      <c r="BG272" s="542">
        <v>-463503</v>
      </c>
      <c r="BH272" s="542">
        <v>-9130584</v>
      </c>
      <c r="BI272" s="542">
        <v>-7304466</v>
      </c>
      <c r="BJ272" s="542">
        <v>-1826116</v>
      </c>
      <c r="BK272" s="542">
        <v>0</v>
      </c>
      <c r="BL272" s="542">
        <v>-18261166</v>
      </c>
      <c r="BM272" s="542">
        <v>670964</v>
      </c>
      <c r="BN272" s="542">
        <v>536772</v>
      </c>
      <c r="BO272" s="542">
        <v>134193</v>
      </c>
      <c r="BP272" s="542">
        <v>0</v>
      </c>
      <c r="BQ272" s="542">
        <v>1341929</v>
      </c>
      <c r="BR272" s="542">
        <v>7327878</v>
      </c>
      <c r="BS272" s="542">
        <v>5862303</v>
      </c>
      <c r="BT272" s="542">
        <v>1465576</v>
      </c>
      <c r="BU272" s="542">
        <v>0</v>
      </c>
      <c r="BV272" s="542">
        <v>14655757</v>
      </c>
      <c r="BW272" s="542">
        <v>-1131742</v>
      </c>
      <c r="BX272" s="542">
        <v>-905391</v>
      </c>
      <c r="BY272" s="542">
        <v>-226347</v>
      </c>
      <c r="BZ272" s="542">
        <v>0</v>
      </c>
      <c r="CA272" s="542">
        <v>-2263480</v>
      </c>
    </row>
    <row r="273" spans="1:79" ht="12.75" x14ac:dyDescent="0.2">
      <c r="A273" s="93">
        <v>267</v>
      </c>
      <c r="B273" s="145" t="s">
        <v>412</v>
      </c>
      <c r="C273" s="141" t="s">
        <v>873</v>
      </c>
      <c r="D273" s="142" t="s">
        <v>878</v>
      </c>
      <c r="E273" s="149" t="s">
        <v>411</v>
      </c>
      <c r="F273" s="543">
        <v>0.5</v>
      </c>
      <c r="G273" s="543">
        <v>0.49</v>
      </c>
      <c r="H273" s="543">
        <v>0</v>
      </c>
      <c r="I273" s="543">
        <v>0.01</v>
      </c>
      <c r="J273" s="543">
        <v>1</v>
      </c>
      <c r="K273" s="542">
        <v>41657199</v>
      </c>
      <c r="L273" s="542">
        <v>40824056</v>
      </c>
      <c r="M273" s="542">
        <v>0</v>
      </c>
      <c r="N273" s="542">
        <v>833144</v>
      </c>
      <c r="O273" s="542">
        <v>83314399</v>
      </c>
      <c r="P273" s="542">
        <v>34098.17</v>
      </c>
      <c r="Q273" s="542">
        <v>34098.17</v>
      </c>
      <c r="R273" s="542">
        <v>41623100.799999997</v>
      </c>
      <c r="S273" s="542">
        <v>333613</v>
      </c>
      <c r="T273" s="542">
        <v>333613</v>
      </c>
      <c r="U273" s="542">
        <v>652913</v>
      </c>
      <c r="V273" s="542">
        <v>652913</v>
      </c>
      <c r="W273" s="542">
        <v>0</v>
      </c>
      <c r="X273" s="542">
        <v>0</v>
      </c>
      <c r="Y273" s="542">
        <v>0</v>
      </c>
      <c r="Z273" s="542">
        <v>34098.17</v>
      </c>
      <c r="AA273" s="542">
        <v>0</v>
      </c>
      <c r="AB273" s="542">
        <v>0</v>
      </c>
      <c r="AC273" s="542">
        <v>34098.17</v>
      </c>
      <c r="AD273" s="542">
        <v>3677679</v>
      </c>
      <c r="AE273" s="542">
        <v>3604125</v>
      </c>
      <c r="AF273" s="542">
        <v>0</v>
      </c>
      <c r="AG273" s="542">
        <v>73554</v>
      </c>
      <c r="AH273" s="542">
        <v>7355358</v>
      </c>
      <c r="AI273" s="542">
        <v>-719291</v>
      </c>
      <c r="AJ273" s="542">
        <v>-704905</v>
      </c>
      <c r="AK273" s="542">
        <v>0</v>
      </c>
      <c r="AL273" s="542">
        <v>-14386</v>
      </c>
      <c r="AM273" s="542">
        <v>-1438582</v>
      </c>
      <c r="AN273" s="542">
        <v>-407491</v>
      </c>
      <c r="AO273" s="542">
        <v>-399342</v>
      </c>
      <c r="AP273" s="542">
        <v>0</v>
      </c>
      <c r="AQ273" s="542">
        <v>-8150</v>
      </c>
      <c r="AR273" s="542">
        <v>-814983</v>
      </c>
      <c r="AS273" s="542">
        <v>575521</v>
      </c>
      <c r="AT273" s="542">
        <v>564011</v>
      </c>
      <c r="AU273" s="542">
        <v>0</v>
      </c>
      <c r="AV273" s="542">
        <v>11510</v>
      </c>
      <c r="AW273" s="542">
        <v>1151042</v>
      </c>
      <c r="AX273" s="542">
        <v>-587038</v>
      </c>
      <c r="AY273" s="542">
        <v>-575297</v>
      </c>
      <c r="AZ273" s="542">
        <v>0</v>
      </c>
      <c r="BA273" s="542">
        <v>-11741</v>
      </c>
      <c r="BB273" s="542">
        <v>-1174076</v>
      </c>
      <c r="BC273" s="542">
        <v>-419008</v>
      </c>
      <c r="BD273" s="542">
        <v>-410628</v>
      </c>
      <c r="BE273" s="542">
        <v>0</v>
      </c>
      <c r="BF273" s="542">
        <v>-8381</v>
      </c>
      <c r="BG273" s="542">
        <v>-838017</v>
      </c>
      <c r="BH273" s="542">
        <v>-3882656</v>
      </c>
      <c r="BI273" s="542">
        <v>-3805003</v>
      </c>
      <c r="BJ273" s="542">
        <v>0</v>
      </c>
      <c r="BK273" s="542">
        <v>-77654</v>
      </c>
      <c r="BL273" s="542">
        <v>-7765313</v>
      </c>
      <c r="BM273" s="542">
        <v>1931186</v>
      </c>
      <c r="BN273" s="542">
        <v>1892563</v>
      </c>
      <c r="BO273" s="542">
        <v>0</v>
      </c>
      <c r="BP273" s="542">
        <v>38624</v>
      </c>
      <c r="BQ273" s="542">
        <v>3862373</v>
      </c>
      <c r="BR273" s="542">
        <v>-3720759</v>
      </c>
      <c r="BS273" s="542">
        <v>-3646343</v>
      </c>
      <c r="BT273" s="542">
        <v>0</v>
      </c>
      <c r="BU273" s="542">
        <v>-74415</v>
      </c>
      <c r="BV273" s="542">
        <v>-7441517</v>
      </c>
      <c r="BW273" s="542">
        <v>-5672229</v>
      </c>
      <c r="BX273" s="542">
        <v>-5558783</v>
      </c>
      <c r="BY273" s="542">
        <v>0</v>
      </c>
      <c r="BZ273" s="542">
        <v>-113445</v>
      </c>
      <c r="CA273" s="542">
        <v>-11344457</v>
      </c>
    </row>
    <row r="274" spans="1:79" ht="12.75" x14ac:dyDescent="0.2">
      <c r="A274" s="93">
        <v>268</v>
      </c>
      <c r="B274" s="145" t="s">
        <v>414</v>
      </c>
      <c r="C274" s="141" t="s">
        <v>866</v>
      </c>
      <c r="D274" s="142" t="s">
        <v>867</v>
      </c>
      <c r="E274" s="149" t="s">
        <v>413</v>
      </c>
      <c r="F274" s="543">
        <v>0.5</v>
      </c>
      <c r="G274" s="543">
        <v>0.4</v>
      </c>
      <c r="H274" s="543">
        <v>0.1</v>
      </c>
      <c r="I274" s="543">
        <v>0</v>
      </c>
      <c r="J274" s="543">
        <v>1</v>
      </c>
      <c r="K274" s="542">
        <v>16335367</v>
      </c>
      <c r="L274" s="542">
        <v>13068294</v>
      </c>
      <c r="M274" s="542">
        <v>3267073</v>
      </c>
      <c r="N274" s="542">
        <v>0</v>
      </c>
      <c r="O274" s="542">
        <v>32670734</v>
      </c>
      <c r="P274" s="542">
        <v>0</v>
      </c>
      <c r="Q274" s="542">
        <v>0</v>
      </c>
      <c r="R274" s="542">
        <v>16335367</v>
      </c>
      <c r="S274" s="542">
        <v>121859</v>
      </c>
      <c r="T274" s="542">
        <v>121859</v>
      </c>
      <c r="U274" s="542">
        <v>0</v>
      </c>
      <c r="V274" s="542">
        <v>0</v>
      </c>
      <c r="W274" s="542">
        <v>0</v>
      </c>
      <c r="X274" s="542">
        <v>0</v>
      </c>
      <c r="Y274" s="542">
        <v>0</v>
      </c>
      <c r="Z274" s="542">
        <v>0</v>
      </c>
      <c r="AA274" s="542">
        <v>0</v>
      </c>
      <c r="AB274" s="542">
        <v>0</v>
      </c>
      <c r="AC274" s="542">
        <v>0</v>
      </c>
      <c r="AD274" s="542">
        <v>588313</v>
      </c>
      <c r="AE274" s="542">
        <v>470651</v>
      </c>
      <c r="AF274" s="542">
        <v>117663</v>
      </c>
      <c r="AG274" s="542">
        <v>0</v>
      </c>
      <c r="AH274" s="542">
        <v>1176627</v>
      </c>
      <c r="AI274" s="542">
        <v>-259037</v>
      </c>
      <c r="AJ274" s="542">
        <v>-207230</v>
      </c>
      <c r="AK274" s="542">
        <v>-51807</v>
      </c>
      <c r="AL274" s="542">
        <v>0</v>
      </c>
      <c r="AM274" s="542">
        <v>-518074</v>
      </c>
      <c r="AN274" s="542">
        <v>-488000</v>
      </c>
      <c r="AO274" s="542">
        <v>-390400</v>
      </c>
      <c r="AP274" s="542">
        <v>-97600</v>
      </c>
      <c r="AQ274" s="542">
        <v>0</v>
      </c>
      <c r="AR274" s="542">
        <v>-976000</v>
      </c>
      <c r="AS274" s="542">
        <v>175379</v>
      </c>
      <c r="AT274" s="542">
        <v>140303</v>
      </c>
      <c r="AU274" s="542">
        <v>35076</v>
      </c>
      <c r="AV274" s="542">
        <v>0</v>
      </c>
      <c r="AW274" s="542">
        <v>350758</v>
      </c>
      <c r="AX274" s="542">
        <v>-180629</v>
      </c>
      <c r="AY274" s="542">
        <v>-144503</v>
      </c>
      <c r="AZ274" s="542">
        <v>-36126</v>
      </c>
      <c r="BA274" s="542">
        <v>0</v>
      </c>
      <c r="BB274" s="542">
        <v>-361258</v>
      </c>
      <c r="BC274" s="542">
        <v>-493250</v>
      </c>
      <c r="BD274" s="542">
        <v>-394600</v>
      </c>
      <c r="BE274" s="542">
        <v>-98650</v>
      </c>
      <c r="BF274" s="542">
        <v>0</v>
      </c>
      <c r="BG274" s="542">
        <v>-986500</v>
      </c>
      <c r="BH274" s="542">
        <v>-700000</v>
      </c>
      <c r="BI274" s="542">
        <v>-560000</v>
      </c>
      <c r="BJ274" s="542">
        <v>-140000</v>
      </c>
      <c r="BK274" s="542">
        <v>0</v>
      </c>
      <c r="BL274" s="542">
        <v>-1400000</v>
      </c>
      <c r="BM274" s="542">
        <v>700250</v>
      </c>
      <c r="BN274" s="542">
        <v>560200</v>
      </c>
      <c r="BO274" s="542">
        <v>140050</v>
      </c>
      <c r="BP274" s="542">
        <v>0</v>
      </c>
      <c r="BQ274" s="542">
        <v>1400500</v>
      </c>
      <c r="BR274" s="542">
        <v>-1600000</v>
      </c>
      <c r="BS274" s="542">
        <v>-1280000</v>
      </c>
      <c r="BT274" s="542">
        <v>-320000</v>
      </c>
      <c r="BU274" s="542">
        <v>0</v>
      </c>
      <c r="BV274" s="542">
        <v>-3200000</v>
      </c>
      <c r="BW274" s="542">
        <v>-1599750</v>
      </c>
      <c r="BX274" s="542">
        <v>-1279800</v>
      </c>
      <c r="BY274" s="542">
        <v>-319950</v>
      </c>
      <c r="BZ274" s="542">
        <v>0</v>
      </c>
      <c r="CA274" s="542">
        <v>-3199500</v>
      </c>
    </row>
    <row r="275" spans="1:79" ht="12.75" x14ac:dyDescent="0.2">
      <c r="A275" s="93">
        <v>269</v>
      </c>
      <c r="B275" s="145" t="s">
        <v>416</v>
      </c>
      <c r="C275" s="141" t="s">
        <v>871</v>
      </c>
      <c r="D275" s="142" t="s">
        <v>872</v>
      </c>
      <c r="E275" s="149" t="s">
        <v>415</v>
      </c>
      <c r="F275" s="543">
        <v>0.5</v>
      </c>
      <c r="G275" s="543">
        <v>0.3</v>
      </c>
      <c r="H275" s="543">
        <v>0.2</v>
      </c>
      <c r="I275" s="543">
        <v>0</v>
      </c>
      <c r="J275" s="543">
        <v>1</v>
      </c>
      <c r="K275" s="542">
        <v>23050067</v>
      </c>
      <c r="L275" s="542">
        <v>13830040</v>
      </c>
      <c r="M275" s="542">
        <v>9220027</v>
      </c>
      <c r="N275" s="542">
        <v>0</v>
      </c>
      <c r="O275" s="542">
        <v>46100134</v>
      </c>
      <c r="P275" s="542">
        <v>0</v>
      </c>
      <c r="Q275" s="542">
        <v>0</v>
      </c>
      <c r="R275" s="542">
        <v>23050067</v>
      </c>
      <c r="S275" s="542">
        <v>207257</v>
      </c>
      <c r="T275" s="542">
        <v>207257</v>
      </c>
      <c r="U275" s="542">
        <v>0</v>
      </c>
      <c r="V275" s="542">
        <v>0</v>
      </c>
      <c r="W275" s="542">
        <v>0</v>
      </c>
      <c r="X275" s="542">
        <v>0</v>
      </c>
      <c r="Y275" s="542">
        <v>0</v>
      </c>
      <c r="Z275" s="542">
        <v>0</v>
      </c>
      <c r="AA275" s="542">
        <v>0</v>
      </c>
      <c r="AB275" s="542">
        <v>0</v>
      </c>
      <c r="AC275" s="542">
        <v>0</v>
      </c>
      <c r="AD275" s="542">
        <v>1263423</v>
      </c>
      <c r="AE275" s="542">
        <v>758054</v>
      </c>
      <c r="AF275" s="542">
        <v>505369</v>
      </c>
      <c r="AG275" s="542">
        <v>0</v>
      </c>
      <c r="AH275" s="542">
        <v>2526846</v>
      </c>
      <c r="AI275" s="542">
        <v>-359817</v>
      </c>
      <c r="AJ275" s="542">
        <v>-215890</v>
      </c>
      <c r="AK275" s="542">
        <v>-143927</v>
      </c>
      <c r="AL275" s="542">
        <v>0</v>
      </c>
      <c r="AM275" s="542">
        <v>-719634</v>
      </c>
      <c r="AN275" s="542">
        <v>-450098</v>
      </c>
      <c r="AO275" s="542">
        <v>-270059</v>
      </c>
      <c r="AP275" s="542">
        <v>-180039</v>
      </c>
      <c r="AQ275" s="542">
        <v>0</v>
      </c>
      <c r="AR275" s="542">
        <v>-900196</v>
      </c>
      <c r="AS275" s="542">
        <v>347771</v>
      </c>
      <c r="AT275" s="542">
        <v>208663</v>
      </c>
      <c r="AU275" s="542">
        <v>139109</v>
      </c>
      <c r="AV275" s="542">
        <v>0</v>
      </c>
      <c r="AW275" s="542">
        <v>695543</v>
      </c>
      <c r="AX275" s="542">
        <v>-356554</v>
      </c>
      <c r="AY275" s="542">
        <v>-213932</v>
      </c>
      <c r="AZ275" s="542">
        <v>-142622</v>
      </c>
      <c r="BA275" s="542">
        <v>0</v>
      </c>
      <c r="BB275" s="542">
        <v>-713108</v>
      </c>
      <c r="BC275" s="542">
        <v>-458881</v>
      </c>
      <c r="BD275" s="542">
        <v>-275328</v>
      </c>
      <c r="BE275" s="542">
        <v>-183552</v>
      </c>
      <c r="BF275" s="542">
        <v>0</v>
      </c>
      <c r="BG275" s="542">
        <v>-917761</v>
      </c>
      <c r="BH275" s="542">
        <v>-1086897</v>
      </c>
      <c r="BI275" s="542">
        <v>-652138</v>
      </c>
      <c r="BJ275" s="542">
        <v>-434759</v>
      </c>
      <c r="BK275" s="542">
        <v>0</v>
      </c>
      <c r="BL275" s="542">
        <v>-2173794</v>
      </c>
      <c r="BM275" s="542">
        <v>649012</v>
      </c>
      <c r="BN275" s="542">
        <v>389408</v>
      </c>
      <c r="BO275" s="542">
        <v>259605</v>
      </c>
      <c r="BP275" s="542">
        <v>0</v>
      </c>
      <c r="BQ275" s="542">
        <v>1298025</v>
      </c>
      <c r="BR275" s="542">
        <v>-2446510</v>
      </c>
      <c r="BS275" s="542">
        <v>-1467906</v>
      </c>
      <c r="BT275" s="542">
        <v>-978604</v>
      </c>
      <c r="BU275" s="542">
        <v>0</v>
      </c>
      <c r="BV275" s="542">
        <v>-4893020</v>
      </c>
      <c r="BW275" s="542">
        <v>-2884395</v>
      </c>
      <c r="BX275" s="542">
        <v>-1730636</v>
      </c>
      <c r="BY275" s="542">
        <v>-1153758</v>
      </c>
      <c r="BZ275" s="542">
        <v>0</v>
      </c>
      <c r="CA275" s="542">
        <v>-5768789</v>
      </c>
    </row>
    <row r="276" spans="1:79" ht="12.75" x14ac:dyDescent="0.2">
      <c r="A276" s="93">
        <v>270</v>
      </c>
      <c r="B276" s="145" t="s">
        <v>418</v>
      </c>
      <c r="C276" s="141" t="s">
        <v>866</v>
      </c>
      <c r="D276" s="142" t="s">
        <v>867</v>
      </c>
      <c r="E276" s="149" t="s">
        <v>417</v>
      </c>
      <c r="F276" s="543">
        <v>0.5</v>
      </c>
      <c r="G276" s="543">
        <v>0.4</v>
      </c>
      <c r="H276" s="543">
        <v>0.09</v>
      </c>
      <c r="I276" s="543">
        <v>0.01</v>
      </c>
      <c r="J276" s="543">
        <v>1</v>
      </c>
      <c r="K276" s="542">
        <v>20475131.600000001</v>
      </c>
      <c r="L276" s="542">
        <v>16380106</v>
      </c>
      <c r="M276" s="542">
        <v>3685524</v>
      </c>
      <c r="N276" s="542">
        <v>409503</v>
      </c>
      <c r="O276" s="542">
        <v>40950264.600000001</v>
      </c>
      <c r="P276" s="542">
        <v>0</v>
      </c>
      <c r="Q276" s="542">
        <v>0</v>
      </c>
      <c r="R276" s="542">
        <v>20475131.600000001</v>
      </c>
      <c r="S276" s="542">
        <v>180544</v>
      </c>
      <c r="T276" s="542">
        <v>180544</v>
      </c>
      <c r="U276" s="542">
        <v>0</v>
      </c>
      <c r="V276" s="542">
        <v>0</v>
      </c>
      <c r="W276" s="542">
        <v>69964</v>
      </c>
      <c r="X276" s="542">
        <v>0</v>
      </c>
      <c r="Y276" s="542">
        <v>69964</v>
      </c>
      <c r="Z276" s="542">
        <v>0</v>
      </c>
      <c r="AA276" s="542">
        <v>0</v>
      </c>
      <c r="AB276" s="542">
        <v>0</v>
      </c>
      <c r="AC276" s="542">
        <v>0</v>
      </c>
      <c r="AD276" s="542">
        <v>1277627</v>
      </c>
      <c r="AE276" s="542">
        <v>1022102</v>
      </c>
      <c r="AF276" s="542">
        <v>229973</v>
      </c>
      <c r="AG276" s="542">
        <v>25553</v>
      </c>
      <c r="AH276" s="542">
        <v>2555255</v>
      </c>
      <c r="AI276" s="542">
        <v>-246730</v>
      </c>
      <c r="AJ276" s="542">
        <v>-197384</v>
      </c>
      <c r="AK276" s="542">
        <v>-44411</v>
      </c>
      <c r="AL276" s="542">
        <v>-4935</v>
      </c>
      <c r="AM276" s="542">
        <v>-493460</v>
      </c>
      <c r="AN276" s="542">
        <v>-959806</v>
      </c>
      <c r="AO276" s="542">
        <v>-767844</v>
      </c>
      <c r="AP276" s="542">
        <v>-172765</v>
      </c>
      <c r="AQ276" s="542">
        <v>-19196</v>
      </c>
      <c r="AR276" s="542">
        <v>-1919611</v>
      </c>
      <c r="AS276" s="542">
        <v>96140</v>
      </c>
      <c r="AT276" s="542">
        <v>76912</v>
      </c>
      <c r="AU276" s="542">
        <v>17305</v>
      </c>
      <c r="AV276" s="542">
        <v>1923</v>
      </c>
      <c r="AW276" s="542">
        <v>192280</v>
      </c>
      <c r="AX276" s="542">
        <v>-335059</v>
      </c>
      <c r="AY276" s="542">
        <v>-268047</v>
      </c>
      <c r="AZ276" s="542">
        <v>-60311</v>
      </c>
      <c r="BA276" s="542">
        <v>-6701</v>
      </c>
      <c r="BB276" s="542">
        <v>-670118</v>
      </c>
      <c r="BC276" s="542">
        <v>-1198725</v>
      </c>
      <c r="BD276" s="542">
        <v>-958979</v>
      </c>
      <c r="BE276" s="542">
        <v>-215771</v>
      </c>
      <c r="BF276" s="542">
        <v>-23974</v>
      </c>
      <c r="BG276" s="542">
        <v>-2397449</v>
      </c>
      <c r="BH276" s="542">
        <v>-1207010</v>
      </c>
      <c r="BI276" s="542">
        <v>-965609</v>
      </c>
      <c r="BJ276" s="542">
        <v>-217262</v>
      </c>
      <c r="BK276" s="542">
        <v>-24140</v>
      </c>
      <c r="BL276" s="542">
        <v>-2414021</v>
      </c>
      <c r="BM276" s="542">
        <v>643461</v>
      </c>
      <c r="BN276" s="542">
        <v>514768</v>
      </c>
      <c r="BO276" s="542">
        <v>115823</v>
      </c>
      <c r="BP276" s="542">
        <v>12869</v>
      </c>
      <c r="BQ276" s="542">
        <v>1286921</v>
      </c>
      <c r="BR276" s="542">
        <v>-2244084.2999999998</v>
      </c>
      <c r="BS276" s="542">
        <v>-1795268</v>
      </c>
      <c r="BT276" s="542">
        <v>-403935</v>
      </c>
      <c r="BU276" s="542">
        <v>-44882</v>
      </c>
      <c r="BV276" s="542">
        <v>-4488169.3</v>
      </c>
      <c r="BW276" s="542">
        <v>-2807633.3</v>
      </c>
      <c r="BX276" s="542">
        <v>-2246109</v>
      </c>
      <c r="BY276" s="542">
        <v>-505374</v>
      </c>
      <c r="BZ276" s="542">
        <v>-56153</v>
      </c>
      <c r="CA276" s="542">
        <v>-5615269.2999999998</v>
      </c>
    </row>
    <row r="277" spans="1:79" ht="12.75" x14ac:dyDescent="0.2">
      <c r="A277" s="93">
        <v>271</v>
      </c>
      <c r="B277" s="145" t="s">
        <v>420</v>
      </c>
      <c r="C277" s="141" t="s">
        <v>770</v>
      </c>
      <c r="D277" s="142" t="s">
        <v>875</v>
      </c>
      <c r="E277" s="149" t="s">
        <v>729</v>
      </c>
      <c r="F277" s="543">
        <v>0.5</v>
      </c>
      <c r="G277" s="543">
        <v>0.49</v>
      </c>
      <c r="H277" s="543">
        <v>0</v>
      </c>
      <c r="I277" s="543">
        <v>0.01</v>
      </c>
      <c r="J277" s="543">
        <v>1</v>
      </c>
      <c r="K277" s="542">
        <v>51562060</v>
      </c>
      <c r="L277" s="542">
        <v>50530818</v>
      </c>
      <c r="M277" s="542">
        <v>0</v>
      </c>
      <c r="N277" s="542">
        <v>1031241</v>
      </c>
      <c r="O277" s="542">
        <v>103124119</v>
      </c>
      <c r="P277" s="542">
        <v>0</v>
      </c>
      <c r="Q277" s="542">
        <v>0</v>
      </c>
      <c r="R277" s="542">
        <v>51562060</v>
      </c>
      <c r="S277" s="542">
        <v>270650</v>
      </c>
      <c r="T277" s="542">
        <v>270650</v>
      </c>
      <c r="U277" s="542">
        <v>0</v>
      </c>
      <c r="V277" s="542">
        <v>0</v>
      </c>
      <c r="W277" s="542">
        <v>183308</v>
      </c>
      <c r="X277" s="542">
        <v>0</v>
      </c>
      <c r="Y277" s="542">
        <v>183308</v>
      </c>
      <c r="Z277" s="542">
        <v>0</v>
      </c>
      <c r="AA277" s="542">
        <v>0</v>
      </c>
      <c r="AB277" s="542">
        <v>0</v>
      </c>
      <c r="AC277" s="542">
        <v>0</v>
      </c>
      <c r="AD277" s="542">
        <v>1866941</v>
      </c>
      <c r="AE277" s="542">
        <v>1829602</v>
      </c>
      <c r="AF277" s="542">
        <v>0</v>
      </c>
      <c r="AG277" s="542">
        <v>37339</v>
      </c>
      <c r="AH277" s="542">
        <v>3733882</v>
      </c>
      <c r="AI277" s="542">
        <v>-227526</v>
      </c>
      <c r="AJ277" s="542">
        <v>-222976</v>
      </c>
      <c r="AK277" s="542">
        <v>0</v>
      </c>
      <c r="AL277" s="542">
        <v>-4551</v>
      </c>
      <c r="AM277" s="542">
        <v>-455053</v>
      </c>
      <c r="AN277" s="542">
        <v>-616731</v>
      </c>
      <c r="AO277" s="542">
        <v>-604395</v>
      </c>
      <c r="AP277" s="542">
        <v>0</v>
      </c>
      <c r="AQ277" s="542">
        <v>-12334</v>
      </c>
      <c r="AR277" s="542">
        <v>-1233460</v>
      </c>
      <c r="AS277" s="542">
        <v>214477</v>
      </c>
      <c r="AT277" s="542">
        <v>210188</v>
      </c>
      <c r="AU277" s="542">
        <v>0</v>
      </c>
      <c r="AV277" s="542">
        <v>4290</v>
      </c>
      <c r="AW277" s="542">
        <v>428955</v>
      </c>
      <c r="AX277" s="542">
        <v>-236023</v>
      </c>
      <c r="AY277" s="542">
        <v>-231302</v>
      </c>
      <c r="AZ277" s="542">
        <v>0</v>
      </c>
      <c r="BA277" s="542">
        <v>-4720</v>
      </c>
      <c r="BB277" s="542">
        <v>-472045</v>
      </c>
      <c r="BC277" s="542">
        <v>-638277</v>
      </c>
      <c r="BD277" s="542">
        <v>-625509</v>
      </c>
      <c r="BE277" s="542">
        <v>0</v>
      </c>
      <c r="BF277" s="542">
        <v>-12764</v>
      </c>
      <c r="BG277" s="542">
        <v>-1276550</v>
      </c>
      <c r="BH277" s="542">
        <v>-1909219</v>
      </c>
      <c r="BI277" s="542">
        <v>-1871035</v>
      </c>
      <c r="BJ277" s="542">
        <v>0</v>
      </c>
      <c r="BK277" s="542">
        <v>-38185</v>
      </c>
      <c r="BL277" s="542">
        <v>-3818439</v>
      </c>
      <c r="BM277" s="542">
        <v>1467109</v>
      </c>
      <c r="BN277" s="542">
        <v>1437767</v>
      </c>
      <c r="BO277" s="542">
        <v>0</v>
      </c>
      <c r="BP277" s="542">
        <v>29342</v>
      </c>
      <c r="BQ277" s="542">
        <v>2934218</v>
      </c>
      <c r="BR277" s="542">
        <v>-3342484</v>
      </c>
      <c r="BS277" s="542">
        <v>-3275635</v>
      </c>
      <c r="BT277" s="542">
        <v>0</v>
      </c>
      <c r="BU277" s="542">
        <v>-66850</v>
      </c>
      <c r="BV277" s="542">
        <v>-6684969</v>
      </c>
      <c r="BW277" s="542">
        <v>-3784594</v>
      </c>
      <c r="BX277" s="542">
        <v>-3708903</v>
      </c>
      <c r="BY277" s="542">
        <v>0</v>
      </c>
      <c r="BZ277" s="542">
        <v>-75693</v>
      </c>
      <c r="CA277" s="542">
        <v>-7569190</v>
      </c>
    </row>
    <row r="278" spans="1:79" ht="12.75" x14ac:dyDescent="0.2">
      <c r="A278" s="93">
        <v>272</v>
      </c>
      <c r="B278" s="145" t="s">
        <v>422</v>
      </c>
      <c r="C278" s="141" t="s">
        <v>873</v>
      </c>
      <c r="D278" s="142" t="s">
        <v>868</v>
      </c>
      <c r="E278" s="149" t="s">
        <v>421</v>
      </c>
      <c r="F278" s="543">
        <v>0.5</v>
      </c>
      <c r="G278" s="543">
        <v>0.49</v>
      </c>
      <c r="H278" s="543">
        <v>0</v>
      </c>
      <c r="I278" s="543">
        <v>0.01</v>
      </c>
      <c r="J278" s="543">
        <v>1</v>
      </c>
      <c r="K278" s="542">
        <v>27464285</v>
      </c>
      <c r="L278" s="542">
        <v>26915000</v>
      </c>
      <c r="M278" s="542">
        <v>0</v>
      </c>
      <c r="N278" s="542">
        <v>549286</v>
      </c>
      <c r="O278" s="542">
        <v>54928571</v>
      </c>
      <c r="P278" s="542">
        <v>0</v>
      </c>
      <c r="Q278" s="542">
        <v>0</v>
      </c>
      <c r="R278" s="542">
        <v>27464285</v>
      </c>
      <c r="S278" s="542">
        <v>300650</v>
      </c>
      <c r="T278" s="542">
        <v>300650</v>
      </c>
      <c r="U278" s="542">
        <v>0</v>
      </c>
      <c r="V278" s="542">
        <v>0</v>
      </c>
      <c r="W278" s="542">
        <v>0</v>
      </c>
      <c r="X278" s="542">
        <v>0</v>
      </c>
      <c r="Y278" s="542">
        <v>0</v>
      </c>
      <c r="Z278" s="542">
        <v>0</v>
      </c>
      <c r="AA278" s="542">
        <v>0</v>
      </c>
      <c r="AB278" s="542">
        <v>0</v>
      </c>
      <c r="AC278" s="542">
        <v>0</v>
      </c>
      <c r="AD278" s="542">
        <v>3335897</v>
      </c>
      <c r="AE278" s="542">
        <v>3269179</v>
      </c>
      <c r="AF278" s="542">
        <v>0</v>
      </c>
      <c r="AG278" s="542">
        <v>66718</v>
      </c>
      <c r="AH278" s="542">
        <v>6671794</v>
      </c>
      <c r="AI278" s="542">
        <v>-1039887</v>
      </c>
      <c r="AJ278" s="542">
        <v>-1019090</v>
      </c>
      <c r="AK278" s="542">
        <v>0</v>
      </c>
      <c r="AL278" s="542">
        <v>-20798</v>
      </c>
      <c r="AM278" s="542">
        <v>-2079775</v>
      </c>
      <c r="AN278" s="542">
        <v>-1187647.8999999999</v>
      </c>
      <c r="AO278" s="542">
        <v>-1163895</v>
      </c>
      <c r="AP278" s="542">
        <v>0</v>
      </c>
      <c r="AQ278" s="542">
        <v>-23753</v>
      </c>
      <c r="AR278" s="542">
        <v>-2375295.9</v>
      </c>
      <c r="AS278" s="542">
        <v>79649</v>
      </c>
      <c r="AT278" s="542">
        <v>78056</v>
      </c>
      <c r="AU278" s="542">
        <v>0</v>
      </c>
      <c r="AV278" s="542">
        <v>1593</v>
      </c>
      <c r="AW278" s="542">
        <v>159298</v>
      </c>
      <c r="AX278" s="542">
        <v>-611656</v>
      </c>
      <c r="AY278" s="542">
        <v>-599423</v>
      </c>
      <c r="AZ278" s="542">
        <v>0</v>
      </c>
      <c r="BA278" s="542">
        <v>-12233</v>
      </c>
      <c r="BB278" s="542">
        <v>-1223312</v>
      </c>
      <c r="BC278" s="542">
        <v>-1719654.9</v>
      </c>
      <c r="BD278" s="542">
        <v>-1685262</v>
      </c>
      <c r="BE278" s="542">
        <v>0</v>
      </c>
      <c r="BF278" s="542">
        <v>-34393</v>
      </c>
      <c r="BG278" s="542">
        <v>-3439309.9</v>
      </c>
      <c r="BH278" s="542">
        <v>-1683142</v>
      </c>
      <c r="BI278" s="542">
        <v>-1649480</v>
      </c>
      <c r="BJ278" s="542">
        <v>0</v>
      </c>
      <c r="BK278" s="542">
        <v>-33663</v>
      </c>
      <c r="BL278" s="542">
        <v>-3366285</v>
      </c>
      <c r="BM278" s="542">
        <v>340383</v>
      </c>
      <c r="BN278" s="542">
        <v>333575</v>
      </c>
      <c r="BO278" s="542">
        <v>0</v>
      </c>
      <c r="BP278" s="542">
        <v>6808</v>
      </c>
      <c r="BQ278" s="542">
        <v>680766</v>
      </c>
      <c r="BR278" s="542">
        <v>-1396335</v>
      </c>
      <c r="BS278" s="542">
        <v>-1368408</v>
      </c>
      <c r="BT278" s="542">
        <v>0</v>
      </c>
      <c r="BU278" s="542">
        <v>-27927</v>
      </c>
      <c r="BV278" s="542">
        <v>-2792670</v>
      </c>
      <c r="BW278" s="542">
        <v>-2739094</v>
      </c>
      <c r="BX278" s="542">
        <v>-2684313</v>
      </c>
      <c r="BY278" s="542">
        <v>0</v>
      </c>
      <c r="BZ278" s="542">
        <v>-54782</v>
      </c>
      <c r="CA278" s="542">
        <v>-5478189</v>
      </c>
    </row>
    <row r="279" spans="1:79" ht="12.75" x14ac:dyDescent="0.2">
      <c r="A279" s="93">
        <v>273</v>
      </c>
      <c r="B279" s="145" t="s">
        <v>424</v>
      </c>
      <c r="C279" s="141" t="s">
        <v>866</v>
      </c>
      <c r="D279" s="142" t="s">
        <v>876</v>
      </c>
      <c r="E279" s="149" t="s">
        <v>423</v>
      </c>
      <c r="F279" s="543">
        <v>0.5</v>
      </c>
      <c r="G279" s="543">
        <v>0.4</v>
      </c>
      <c r="H279" s="543">
        <v>0.09</v>
      </c>
      <c r="I279" s="543">
        <v>0.01</v>
      </c>
      <c r="J279" s="543">
        <v>1</v>
      </c>
      <c r="K279" s="542">
        <v>15107578</v>
      </c>
      <c r="L279" s="542">
        <v>12086063</v>
      </c>
      <c r="M279" s="542">
        <v>2719364</v>
      </c>
      <c r="N279" s="542">
        <v>302152</v>
      </c>
      <c r="O279" s="542">
        <v>30215157</v>
      </c>
      <c r="P279" s="542">
        <v>0</v>
      </c>
      <c r="Q279" s="542">
        <v>0</v>
      </c>
      <c r="R279" s="542">
        <v>15107578</v>
      </c>
      <c r="S279" s="542">
        <v>92162</v>
      </c>
      <c r="T279" s="542">
        <v>92162</v>
      </c>
      <c r="U279" s="542">
        <v>0</v>
      </c>
      <c r="V279" s="542">
        <v>0</v>
      </c>
      <c r="W279" s="542">
        <v>0</v>
      </c>
      <c r="X279" s="542">
        <v>0</v>
      </c>
      <c r="Y279" s="542">
        <v>0</v>
      </c>
      <c r="Z279" s="542">
        <v>0</v>
      </c>
      <c r="AA279" s="542">
        <v>0</v>
      </c>
      <c r="AB279" s="542">
        <v>0</v>
      </c>
      <c r="AC279" s="542">
        <v>0</v>
      </c>
      <c r="AD279" s="542">
        <v>538979</v>
      </c>
      <c r="AE279" s="542">
        <v>431183</v>
      </c>
      <c r="AF279" s="542">
        <v>97016</v>
      </c>
      <c r="AG279" s="542">
        <v>10780</v>
      </c>
      <c r="AH279" s="542">
        <v>1077958</v>
      </c>
      <c r="AI279" s="542">
        <v>-415879</v>
      </c>
      <c r="AJ279" s="542">
        <v>-332704</v>
      </c>
      <c r="AK279" s="542">
        <v>-74858</v>
      </c>
      <c r="AL279" s="542">
        <v>-8318</v>
      </c>
      <c r="AM279" s="542">
        <v>-831759</v>
      </c>
      <c r="AN279" s="542">
        <v>-378112.76</v>
      </c>
      <c r="AO279" s="542">
        <v>-302490</v>
      </c>
      <c r="AP279" s="542">
        <v>-68060</v>
      </c>
      <c r="AQ279" s="542">
        <v>-7562</v>
      </c>
      <c r="AR279" s="542">
        <v>-756224.76</v>
      </c>
      <c r="AS279" s="542">
        <v>89829</v>
      </c>
      <c r="AT279" s="542">
        <v>71863</v>
      </c>
      <c r="AU279" s="542">
        <v>16169</v>
      </c>
      <c r="AV279" s="542">
        <v>1797</v>
      </c>
      <c r="AW279" s="542">
        <v>179658</v>
      </c>
      <c r="AX279" s="542">
        <v>-120557</v>
      </c>
      <c r="AY279" s="542">
        <v>-96445</v>
      </c>
      <c r="AZ279" s="542">
        <v>-21700</v>
      </c>
      <c r="BA279" s="542">
        <v>-2411</v>
      </c>
      <c r="BB279" s="542">
        <v>-241113</v>
      </c>
      <c r="BC279" s="542">
        <v>-408840.76</v>
      </c>
      <c r="BD279" s="542">
        <v>-327072</v>
      </c>
      <c r="BE279" s="542">
        <v>-73591</v>
      </c>
      <c r="BF279" s="542">
        <v>-8176</v>
      </c>
      <c r="BG279" s="542">
        <v>-817679.76</v>
      </c>
      <c r="BH279" s="542">
        <v>-491074</v>
      </c>
      <c r="BI279" s="542">
        <v>-392860</v>
      </c>
      <c r="BJ279" s="542">
        <v>-88393</v>
      </c>
      <c r="BK279" s="542">
        <v>-9822</v>
      </c>
      <c r="BL279" s="542">
        <v>-982149</v>
      </c>
      <c r="BM279" s="542">
        <v>385342</v>
      </c>
      <c r="BN279" s="542">
        <v>308274</v>
      </c>
      <c r="BO279" s="542">
        <v>69362</v>
      </c>
      <c r="BP279" s="542">
        <v>7707</v>
      </c>
      <c r="BQ279" s="542">
        <v>770685</v>
      </c>
      <c r="BR279" s="542">
        <v>-1801369</v>
      </c>
      <c r="BS279" s="542">
        <v>-1441096</v>
      </c>
      <c r="BT279" s="542">
        <v>-324247</v>
      </c>
      <c r="BU279" s="542">
        <v>-36027</v>
      </c>
      <c r="BV279" s="542">
        <v>-3602739</v>
      </c>
      <c r="BW279" s="542">
        <v>-1907101</v>
      </c>
      <c r="BX279" s="542">
        <v>-1525682</v>
      </c>
      <c r="BY279" s="542">
        <v>-343278</v>
      </c>
      <c r="BZ279" s="542">
        <v>-38142</v>
      </c>
      <c r="CA279" s="542">
        <v>-3814203</v>
      </c>
    </row>
    <row r="280" spans="1:79" ht="12.75" x14ac:dyDescent="0.2">
      <c r="A280" s="93">
        <v>274</v>
      </c>
      <c r="B280" s="145" t="s">
        <v>426</v>
      </c>
      <c r="C280" s="141" t="s">
        <v>866</v>
      </c>
      <c r="D280" s="142" t="s">
        <v>867</v>
      </c>
      <c r="E280" s="149" t="s">
        <v>425</v>
      </c>
      <c r="F280" s="543">
        <v>0.5</v>
      </c>
      <c r="G280" s="543">
        <v>0.4</v>
      </c>
      <c r="H280" s="543">
        <v>0.1</v>
      </c>
      <c r="I280" s="543">
        <v>0</v>
      </c>
      <c r="J280" s="543">
        <v>1</v>
      </c>
      <c r="K280" s="542">
        <v>9718853</v>
      </c>
      <c r="L280" s="542">
        <v>7775082</v>
      </c>
      <c r="M280" s="542">
        <v>1943771</v>
      </c>
      <c r="N280" s="542">
        <v>0</v>
      </c>
      <c r="O280" s="542">
        <v>19437706</v>
      </c>
      <c r="P280" s="542">
        <v>0</v>
      </c>
      <c r="Q280" s="542">
        <v>0</v>
      </c>
      <c r="R280" s="542">
        <v>9718853</v>
      </c>
      <c r="S280" s="542">
        <v>128179</v>
      </c>
      <c r="T280" s="542">
        <v>128179</v>
      </c>
      <c r="U280" s="542">
        <v>0</v>
      </c>
      <c r="V280" s="542">
        <v>0</v>
      </c>
      <c r="W280" s="542">
        <v>0</v>
      </c>
      <c r="X280" s="542">
        <v>0</v>
      </c>
      <c r="Y280" s="542">
        <v>0</v>
      </c>
      <c r="Z280" s="542">
        <v>0</v>
      </c>
      <c r="AA280" s="542">
        <v>0</v>
      </c>
      <c r="AB280" s="542">
        <v>0</v>
      </c>
      <c r="AC280" s="542">
        <v>0</v>
      </c>
      <c r="AD280" s="542">
        <v>0</v>
      </c>
      <c r="AE280" s="542">
        <v>0</v>
      </c>
      <c r="AF280" s="542">
        <v>0</v>
      </c>
      <c r="AG280" s="542">
        <v>0</v>
      </c>
      <c r="AH280" s="542">
        <v>0</v>
      </c>
      <c r="AI280" s="542">
        <v>0</v>
      </c>
      <c r="AJ280" s="542">
        <v>0</v>
      </c>
      <c r="AK280" s="542">
        <v>0</v>
      </c>
      <c r="AL280" s="542">
        <v>0</v>
      </c>
      <c r="AM280" s="542">
        <v>0</v>
      </c>
      <c r="AN280" s="542">
        <v>-103148.85</v>
      </c>
      <c r="AO280" s="542">
        <v>-82520</v>
      </c>
      <c r="AP280" s="542">
        <v>-20630</v>
      </c>
      <c r="AQ280" s="542">
        <v>0</v>
      </c>
      <c r="AR280" s="542">
        <v>-206298.85</v>
      </c>
      <c r="AS280" s="542">
        <v>46931</v>
      </c>
      <c r="AT280" s="542">
        <v>37544</v>
      </c>
      <c r="AU280" s="542">
        <v>9386</v>
      </c>
      <c r="AV280" s="542">
        <v>0</v>
      </c>
      <c r="AW280" s="542">
        <v>93861</v>
      </c>
      <c r="AX280" s="542">
        <v>-38325</v>
      </c>
      <c r="AY280" s="542">
        <v>-30660</v>
      </c>
      <c r="AZ280" s="542">
        <v>-7665</v>
      </c>
      <c r="BA280" s="542">
        <v>0</v>
      </c>
      <c r="BB280" s="542">
        <v>-76650</v>
      </c>
      <c r="BC280" s="542">
        <v>-94542.85</v>
      </c>
      <c r="BD280" s="542">
        <v>-75636</v>
      </c>
      <c r="BE280" s="542">
        <v>-18909</v>
      </c>
      <c r="BF280" s="542">
        <v>0</v>
      </c>
      <c r="BG280" s="542">
        <v>-189087.85</v>
      </c>
      <c r="BH280" s="542">
        <v>-380000</v>
      </c>
      <c r="BI280" s="542">
        <v>-304000</v>
      </c>
      <c r="BJ280" s="542">
        <v>-76000</v>
      </c>
      <c r="BK280" s="542">
        <v>0</v>
      </c>
      <c r="BL280" s="542">
        <v>-760000</v>
      </c>
      <c r="BM280" s="542">
        <v>105468</v>
      </c>
      <c r="BN280" s="542">
        <v>84374</v>
      </c>
      <c r="BO280" s="542">
        <v>21094</v>
      </c>
      <c r="BP280" s="542">
        <v>0</v>
      </c>
      <c r="BQ280" s="542">
        <v>210936</v>
      </c>
      <c r="BR280" s="542">
        <v>-320002</v>
      </c>
      <c r="BS280" s="542">
        <v>-256002</v>
      </c>
      <c r="BT280" s="542">
        <v>-64001</v>
      </c>
      <c r="BU280" s="542">
        <v>0</v>
      </c>
      <c r="BV280" s="542">
        <v>-640005</v>
      </c>
      <c r="BW280" s="542">
        <v>-594534</v>
      </c>
      <c r="BX280" s="542">
        <v>-475628</v>
      </c>
      <c r="BY280" s="542">
        <v>-118907</v>
      </c>
      <c r="BZ280" s="542">
        <v>0</v>
      </c>
      <c r="CA280" s="542">
        <v>-1189069</v>
      </c>
    </row>
    <row r="281" spans="1:79" ht="12.75" x14ac:dyDescent="0.2">
      <c r="A281" s="93">
        <v>275</v>
      </c>
      <c r="B281" s="145" t="s">
        <v>428</v>
      </c>
      <c r="C281" s="141" t="s">
        <v>866</v>
      </c>
      <c r="D281" s="142" t="s">
        <v>875</v>
      </c>
      <c r="E281" s="149" t="s">
        <v>427</v>
      </c>
      <c r="F281" s="543">
        <v>0.5</v>
      </c>
      <c r="G281" s="543">
        <v>0.4</v>
      </c>
      <c r="H281" s="543">
        <v>0.09</v>
      </c>
      <c r="I281" s="543">
        <v>0.01</v>
      </c>
      <c r="J281" s="543">
        <v>1</v>
      </c>
      <c r="K281" s="542">
        <v>18008817</v>
      </c>
      <c r="L281" s="542">
        <v>14407054</v>
      </c>
      <c r="M281" s="542">
        <v>3241587</v>
      </c>
      <c r="N281" s="542">
        <v>360176</v>
      </c>
      <c r="O281" s="542">
        <v>36017634</v>
      </c>
      <c r="P281" s="542">
        <v>0</v>
      </c>
      <c r="Q281" s="542">
        <v>0</v>
      </c>
      <c r="R281" s="542">
        <v>18008817</v>
      </c>
      <c r="S281" s="542">
        <v>163775</v>
      </c>
      <c r="T281" s="542">
        <v>163775</v>
      </c>
      <c r="U281" s="542">
        <v>0</v>
      </c>
      <c r="V281" s="542">
        <v>0</v>
      </c>
      <c r="W281" s="542">
        <v>98448</v>
      </c>
      <c r="X281" s="542">
        <v>0</v>
      </c>
      <c r="Y281" s="542">
        <v>98448</v>
      </c>
      <c r="Z281" s="542">
        <v>0</v>
      </c>
      <c r="AA281" s="542">
        <v>0</v>
      </c>
      <c r="AB281" s="542">
        <v>0</v>
      </c>
      <c r="AC281" s="542">
        <v>0</v>
      </c>
      <c r="AD281" s="542">
        <v>665583</v>
      </c>
      <c r="AE281" s="542">
        <v>532467</v>
      </c>
      <c r="AF281" s="542">
        <v>119805</v>
      </c>
      <c r="AG281" s="542">
        <v>13312</v>
      </c>
      <c r="AH281" s="542">
        <v>1331167</v>
      </c>
      <c r="AI281" s="542">
        <v>-296836</v>
      </c>
      <c r="AJ281" s="542">
        <v>-237469</v>
      </c>
      <c r="AK281" s="542">
        <v>-53430</v>
      </c>
      <c r="AL281" s="542">
        <v>-5937</v>
      </c>
      <c r="AM281" s="542">
        <v>-593672</v>
      </c>
      <c r="AN281" s="542">
        <v>-208849</v>
      </c>
      <c r="AO281" s="542">
        <v>-167078</v>
      </c>
      <c r="AP281" s="542">
        <v>-37593</v>
      </c>
      <c r="AQ281" s="542">
        <v>-4177</v>
      </c>
      <c r="AR281" s="542">
        <v>-417697</v>
      </c>
      <c r="AS281" s="542">
        <v>101991</v>
      </c>
      <c r="AT281" s="542">
        <v>81593</v>
      </c>
      <c r="AU281" s="542">
        <v>18358</v>
      </c>
      <c r="AV281" s="542">
        <v>2040</v>
      </c>
      <c r="AW281" s="542">
        <v>203982</v>
      </c>
      <c r="AX281" s="542">
        <v>-184065</v>
      </c>
      <c r="AY281" s="542">
        <v>-147252</v>
      </c>
      <c r="AZ281" s="542">
        <v>-33132</v>
      </c>
      <c r="BA281" s="542">
        <v>-3681</v>
      </c>
      <c r="BB281" s="542">
        <v>-368130</v>
      </c>
      <c r="BC281" s="542">
        <v>-290923</v>
      </c>
      <c r="BD281" s="542">
        <v>-232737</v>
      </c>
      <c r="BE281" s="542">
        <v>-52367</v>
      </c>
      <c r="BF281" s="542">
        <v>-5818</v>
      </c>
      <c r="BG281" s="542">
        <v>-581845</v>
      </c>
      <c r="BH281" s="542">
        <v>-1471016</v>
      </c>
      <c r="BI281" s="542">
        <v>-1176812</v>
      </c>
      <c r="BJ281" s="542">
        <v>-264783</v>
      </c>
      <c r="BK281" s="542">
        <v>-29420</v>
      </c>
      <c r="BL281" s="542">
        <v>-2942031</v>
      </c>
      <c r="BM281" s="542">
        <v>652238</v>
      </c>
      <c r="BN281" s="542">
        <v>521791</v>
      </c>
      <c r="BO281" s="542">
        <v>117403</v>
      </c>
      <c r="BP281" s="542">
        <v>13045</v>
      </c>
      <c r="BQ281" s="542">
        <v>1304477</v>
      </c>
      <c r="BR281" s="542">
        <v>-2851000</v>
      </c>
      <c r="BS281" s="542">
        <v>-2280800</v>
      </c>
      <c r="BT281" s="542">
        <v>-513180</v>
      </c>
      <c r="BU281" s="542">
        <v>-57020</v>
      </c>
      <c r="BV281" s="542">
        <v>-5702000</v>
      </c>
      <c r="BW281" s="542">
        <v>-3669778</v>
      </c>
      <c r="BX281" s="542">
        <v>-2935821</v>
      </c>
      <c r="BY281" s="542">
        <v>-660560</v>
      </c>
      <c r="BZ281" s="542">
        <v>-73395</v>
      </c>
      <c r="CA281" s="542">
        <v>-7339554</v>
      </c>
    </row>
    <row r="282" spans="1:79" ht="12.75" x14ac:dyDescent="0.2">
      <c r="A282" s="93">
        <v>276</v>
      </c>
      <c r="B282" s="145" t="s">
        <v>430</v>
      </c>
      <c r="C282" s="141" t="s">
        <v>866</v>
      </c>
      <c r="D282" s="142" t="s">
        <v>875</v>
      </c>
      <c r="E282" s="149" t="s">
        <v>429</v>
      </c>
      <c r="F282" s="543">
        <v>0.5</v>
      </c>
      <c r="G282" s="543">
        <v>0.4</v>
      </c>
      <c r="H282" s="543">
        <v>0.09</v>
      </c>
      <c r="I282" s="543">
        <v>0.01</v>
      </c>
      <c r="J282" s="543">
        <v>1</v>
      </c>
      <c r="K282" s="542">
        <v>15643770</v>
      </c>
      <c r="L282" s="542">
        <v>12515016</v>
      </c>
      <c r="M282" s="542">
        <v>2815879</v>
      </c>
      <c r="N282" s="542">
        <v>312875</v>
      </c>
      <c r="O282" s="542">
        <v>31287540</v>
      </c>
      <c r="P282" s="542">
        <v>0</v>
      </c>
      <c r="Q282" s="542">
        <v>0</v>
      </c>
      <c r="R282" s="542">
        <v>15643770</v>
      </c>
      <c r="S282" s="542">
        <v>192475</v>
      </c>
      <c r="T282" s="542">
        <v>192475</v>
      </c>
      <c r="U282" s="542">
        <v>0</v>
      </c>
      <c r="V282" s="542">
        <v>0</v>
      </c>
      <c r="W282" s="542">
        <v>2920</v>
      </c>
      <c r="X282" s="542">
        <v>0</v>
      </c>
      <c r="Y282" s="542">
        <v>2920</v>
      </c>
      <c r="Z282" s="542">
        <v>0</v>
      </c>
      <c r="AA282" s="542">
        <v>0</v>
      </c>
      <c r="AB282" s="542">
        <v>0</v>
      </c>
      <c r="AC282" s="542">
        <v>0</v>
      </c>
      <c r="AD282" s="542">
        <v>322246</v>
      </c>
      <c r="AE282" s="542">
        <v>257797</v>
      </c>
      <c r="AF282" s="542">
        <v>58004</v>
      </c>
      <c r="AG282" s="542">
        <v>6445</v>
      </c>
      <c r="AH282" s="542">
        <v>644492</v>
      </c>
      <c r="AI282" s="542">
        <v>-136425</v>
      </c>
      <c r="AJ282" s="542">
        <v>-109139</v>
      </c>
      <c r="AK282" s="542">
        <v>-24556</v>
      </c>
      <c r="AL282" s="542">
        <v>-2728</v>
      </c>
      <c r="AM282" s="542">
        <v>-272848</v>
      </c>
      <c r="AN282" s="542">
        <v>-200000</v>
      </c>
      <c r="AO282" s="542">
        <v>-160000</v>
      </c>
      <c r="AP282" s="542">
        <v>-36000</v>
      </c>
      <c r="AQ282" s="542">
        <v>-4000</v>
      </c>
      <c r="AR282" s="542">
        <v>-400000</v>
      </c>
      <c r="AS282" s="542">
        <v>85975</v>
      </c>
      <c r="AT282" s="542">
        <v>68780</v>
      </c>
      <c r="AU282" s="542">
        <v>15476</v>
      </c>
      <c r="AV282" s="542">
        <v>1720</v>
      </c>
      <c r="AW282" s="542">
        <v>171951</v>
      </c>
      <c r="AX282" s="542">
        <v>-85975</v>
      </c>
      <c r="AY282" s="542">
        <v>-68780</v>
      </c>
      <c r="AZ282" s="542">
        <v>-15476</v>
      </c>
      <c r="BA282" s="542">
        <v>-1720</v>
      </c>
      <c r="BB282" s="542">
        <v>-171951</v>
      </c>
      <c r="BC282" s="542">
        <v>-200000</v>
      </c>
      <c r="BD282" s="542">
        <v>-160000</v>
      </c>
      <c r="BE282" s="542">
        <v>-36000</v>
      </c>
      <c r="BF282" s="542">
        <v>-4000</v>
      </c>
      <c r="BG282" s="542">
        <v>-400000</v>
      </c>
      <c r="BH282" s="542">
        <v>-176493</v>
      </c>
      <c r="BI282" s="542">
        <v>-141195</v>
      </c>
      <c r="BJ282" s="542">
        <v>-31769</v>
      </c>
      <c r="BK282" s="542">
        <v>-3530</v>
      </c>
      <c r="BL282" s="542">
        <v>-352987</v>
      </c>
      <c r="BM282" s="542">
        <v>0</v>
      </c>
      <c r="BN282" s="542">
        <v>0</v>
      </c>
      <c r="BO282" s="542">
        <v>0</v>
      </c>
      <c r="BP282" s="542">
        <v>0</v>
      </c>
      <c r="BQ282" s="542">
        <v>0</v>
      </c>
      <c r="BR282" s="542">
        <v>-105064</v>
      </c>
      <c r="BS282" s="542">
        <v>-84051</v>
      </c>
      <c r="BT282" s="542">
        <v>-18911</v>
      </c>
      <c r="BU282" s="542">
        <v>-2101</v>
      </c>
      <c r="BV282" s="542">
        <v>-210127</v>
      </c>
      <c r="BW282" s="542">
        <v>-281557</v>
      </c>
      <c r="BX282" s="542">
        <v>-225246</v>
      </c>
      <c r="BY282" s="542">
        <v>-50680</v>
      </c>
      <c r="BZ282" s="542">
        <v>-5631</v>
      </c>
      <c r="CA282" s="542">
        <v>-563114</v>
      </c>
    </row>
    <row r="283" spans="1:79" ht="12.75" x14ac:dyDescent="0.2">
      <c r="A283" s="93">
        <v>277</v>
      </c>
      <c r="B283" s="145" t="s">
        <v>432</v>
      </c>
      <c r="C283" s="141" t="s">
        <v>770</v>
      </c>
      <c r="D283" s="142" t="s">
        <v>876</v>
      </c>
      <c r="E283" s="149" t="s">
        <v>730</v>
      </c>
      <c r="F283" s="543">
        <v>0.5</v>
      </c>
      <c r="G283" s="543">
        <v>0.49</v>
      </c>
      <c r="H283" s="543">
        <v>0</v>
      </c>
      <c r="I283" s="543">
        <v>0.01</v>
      </c>
      <c r="J283" s="543">
        <v>1</v>
      </c>
      <c r="K283" s="542">
        <v>34297070</v>
      </c>
      <c r="L283" s="542">
        <v>33611129</v>
      </c>
      <c r="M283" s="542">
        <v>0</v>
      </c>
      <c r="N283" s="542">
        <v>685941</v>
      </c>
      <c r="O283" s="542">
        <v>68594140</v>
      </c>
      <c r="P283" s="542">
        <v>0</v>
      </c>
      <c r="Q283" s="542">
        <v>0</v>
      </c>
      <c r="R283" s="542">
        <v>34297070</v>
      </c>
      <c r="S283" s="542">
        <v>210461</v>
      </c>
      <c r="T283" s="542">
        <v>210461</v>
      </c>
      <c r="U283" s="542">
        <v>0</v>
      </c>
      <c r="V283" s="542">
        <v>0</v>
      </c>
      <c r="W283" s="542">
        <v>4654</v>
      </c>
      <c r="X283" s="542">
        <v>0</v>
      </c>
      <c r="Y283" s="542">
        <v>4654</v>
      </c>
      <c r="Z283" s="542">
        <v>0</v>
      </c>
      <c r="AA283" s="542">
        <v>0</v>
      </c>
      <c r="AB283" s="542">
        <v>0</v>
      </c>
      <c r="AC283" s="542">
        <v>0</v>
      </c>
      <c r="AD283" s="542">
        <v>1633607</v>
      </c>
      <c r="AE283" s="542">
        <v>1600935</v>
      </c>
      <c r="AF283" s="542">
        <v>0</v>
      </c>
      <c r="AG283" s="542">
        <v>32672</v>
      </c>
      <c r="AH283" s="542">
        <v>3267214</v>
      </c>
      <c r="AI283" s="542">
        <v>-1064909</v>
      </c>
      <c r="AJ283" s="542">
        <v>-1043610</v>
      </c>
      <c r="AK283" s="542">
        <v>0</v>
      </c>
      <c r="AL283" s="542">
        <v>-21298</v>
      </c>
      <c r="AM283" s="542">
        <v>-2129817</v>
      </c>
      <c r="AN283" s="542">
        <v>-643000</v>
      </c>
      <c r="AO283" s="542">
        <v>-630140</v>
      </c>
      <c r="AP283" s="542">
        <v>0</v>
      </c>
      <c r="AQ283" s="542">
        <v>-12860</v>
      </c>
      <c r="AR283" s="542">
        <v>-1286000</v>
      </c>
      <c r="AS283" s="542">
        <v>244825</v>
      </c>
      <c r="AT283" s="542">
        <v>239929</v>
      </c>
      <c r="AU283" s="542">
        <v>0</v>
      </c>
      <c r="AV283" s="542">
        <v>4897</v>
      </c>
      <c r="AW283" s="542">
        <v>489651</v>
      </c>
      <c r="AX283" s="542">
        <v>-293825</v>
      </c>
      <c r="AY283" s="542">
        <v>-287949</v>
      </c>
      <c r="AZ283" s="542">
        <v>0</v>
      </c>
      <c r="BA283" s="542">
        <v>-5877</v>
      </c>
      <c r="BB283" s="542">
        <v>-587651</v>
      </c>
      <c r="BC283" s="542">
        <v>-692000</v>
      </c>
      <c r="BD283" s="542">
        <v>-678160</v>
      </c>
      <c r="BE283" s="542">
        <v>0</v>
      </c>
      <c r="BF283" s="542">
        <v>-13840</v>
      </c>
      <c r="BG283" s="542">
        <v>-1384000</v>
      </c>
      <c r="BH283" s="542">
        <v>-2052000</v>
      </c>
      <c r="BI283" s="542">
        <v>-2010960</v>
      </c>
      <c r="BJ283" s="542">
        <v>0</v>
      </c>
      <c r="BK283" s="542">
        <v>-41040</v>
      </c>
      <c r="BL283" s="542">
        <v>-4104000</v>
      </c>
      <c r="BM283" s="542">
        <v>909184</v>
      </c>
      <c r="BN283" s="542">
        <v>891001</v>
      </c>
      <c r="BO283" s="542">
        <v>0</v>
      </c>
      <c r="BP283" s="542">
        <v>18184</v>
      </c>
      <c r="BQ283" s="542">
        <v>1818369</v>
      </c>
      <c r="BR283" s="542">
        <v>-1307184</v>
      </c>
      <c r="BS283" s="542">
        <v>-1281041</v>
      </c>
      <c r="BT283" s="542">
        <v>0</v>
      </c>
      <c r="BU283" s="542">
        <v>-26144</v>
      </c>
      <c r="BV283" s="542">
        <v>-2614369</v>
      </c>
      <c r="BW283" s="542">
        <v>-2450000</v>
      </c>
      <c r="BX283" s="542">
        <v>-2401000</v>
      </c>
      <c r="BY283" s="542">
        <v>0</v>
      </c>
      <c r="BZ283" s="542">
        <v>-49000</v>
      </c>
      <c r="CA283" s="542">
        <v>-4900000</v>
      </c>
    </row>
    <row r="284" spans="1:79" ht="12.75" x14ac:dyDescent="0.2">
      <c r="A284" s="93">
        <v>278</v>
      </c>
      <c r="B284" s="145" t="s">
        <v>434</v>
      </c>
      <c r="C284" s="141" t="s">
        <v>866</v>
      </c>
      <c r="D284" s="142" t="s">
        <v>870</v>
      </c>
      <c r="E284" s="149" t="s">
        <v>433</v>
      </c>
      <c r="F284" s="543">
        <v>0.5</v>
      </c>
      <c r="G284" s="543">
        <v>0.4</v>
      </c>
      <c r="H284" s="543">
        <v>0.09</v>
      </c>
      <c r="I284" s="543">
        <v>0.01</v>
      </c>
      <c r="J284" s="543">
        <v>1</v>
      </c>
      <c r="K284" s="542">
        <v>11923642</v>
      </c>
      <c r="L284" s="542">
        <v>9538913</v>
      </c>
      <c r="M284" s="542">
        <v>2146255</v>
      </c>
      <c r="N284" s="542">
        <v>238473</v>
      </c>
      <c r="O284" s="542">
        <v>23847283</v>
      </c>
      <c r="P284" s="542">
        <v>0</v>
      </c>
      <c r="Q284" s="542">
        <v>0</v>
      </c>
      <c r="R284" s="542">
        <v>11923642</v>
      </c>
      <c r="S284" s="542">
        <v>293126</v>
      </c>
      <c r="T284" s="542">
        <v>293126</v>
      </c>
      <c r="U284" s="542">
        <v>0</v>
      </c>
      <c r="V284" s="542">
        <v>0</v>
      </c>
      <c r="W284" s="542">
        <v>115505</v>
      </c>
      <c r="X284" s="542">
        <v>0</v>
      </c>
      <c r="Y284" s="542">
        <v>115505</v>
      </c>
      <c r="Z284" s="542">
        <v>0</v>
      </c>
      <c r="AA284" s="542">
        <v>0</v>
      </c>
      <c r="AB284" s="542">
        <v>0</v>
      </c>
      <c r="AC284" s="542">
        <v>0</v>
      </c>
      <c r="AD284" s="542">
        <v>199053</v>
      </c>
      <c r="AE284" s="542">
        <v>159243</v>
      </c>
      <c r="AF284" s="542">
        <v>35830</v>
      </c>
      <c r="AG284" s="542">
        <v>3981</v>
      </c>
      <c r="AH284" s="542">
        <v>398107</v>
      </c>
      <c r="AI284" s="542">
        <v>-174831</v>
      </c>
      <c r="AJ284" s="542">
        <v>-139866</v>
      </c>
      <c r="AK284" s="542">
        <v>-31470</v>
      </c>
      <c r="AL284" s="542">
        <v>-3497</v>
      </c>
      <c r="AM284" s="542">
        <v>-349664</v>
      </c>
      <c r="AN284" s="542">
        <v>-59591</v>
      </c>
      <c r="AO284" s="542">
        <v>-47674</v>
      </c>
      <c r="AP284" s="542">
        <v>-10727</v>
      </c>
      <c r="AQ284" s="542">
        <v>-1192</v>
      </c>
      <c r="AR284" s="542">
        <v>-119184</v>
      </c>
      <c r="AS284" s="542">
        <v>54220</v>
      </c>
      <c r="AT284" s="542">
        <v>43375</v>
      </c>
      <c r="AU284" s="542">
        <v>9759</v>
      </c>
      <c r="AV284" s="542">
        <v>1084</v>
      </c>
      <c r="AW284" s="542">
        <v>108438</v>
      </c>
      <c r="AX284" s="542">
        <v>-39371</v>
      </c>
      <c r="AY284" s="542">
        <v>-31496</v>
      </c>
      <c r="AZ284" s="542">
        <v>-7087</v>
      </c>
      <c r="BA284" s="542">
        <v>-787</v>
      </c>
      <c r="BB284" s="542">
        <v>-78741</v>
      </c>
      <c r="BC284" s="542">
        <v>-44742</v>
      </c>
      <c r="BD284" s="542">
        <v>-35795</v>
      </c>
      <c r="BE284" s="542">
        <v>-8055</v>
      </c>
      <c r="BF284" s="542">
        <v>-895</v>
      </c>
      <c r="BG284" s="542">
        <v>-89487</v>
      </c>
      <c r="BH284" s="542">
        <v>-789000</v>
      </c>
      <c r="BI284" s="542">
        <v>-631200</v>
      </c>
      <c r="BJ284" s="542">
        <v>-142020</v>
      </c>
      <c r="BK284" s="542">
        <v>-15780</v>
      </c>
      <c r="BL284" s="542">
        <v>-1578000</v>
      </c>
      <c r="BM284" s="542">
        <v>486500</v>
      </c>
      <c r="BN284" s="542">
        <v>389200</v>
      </c>
      <c r="BO284" s="542">
        <v>87570</v>
      </c>
      <c r="BP284" s="542">
        <v>9730</v>
      </c>
      <c r="BQ284" s="542">
        <v>973000</v>
      </c>
      <c r="BR284" s="542">
        <v>-860000</v>
      </c>
      <c r="BS284" s="542">
        <v>-688000</v>
      </c>
      <c r="BT284" s="542">
        <v>-154800</v>
      </c>
      <c r="BU284" s="542">
        <v>-17200</v>
      </c>
      <c r="BV284" s="542">
        <v>-1720000</v>
      </c>
      <c r="BW284" s="542">
        <v>-1162500</v>
      </c>
      <c r="BX284" s="542">
        <v>-930000</v>
      </c>
      <c r="BY284" s="542">
        <v>-209250</v>
      </c>
      <c r="BZ284" s="542">
        <v>-23250</v>
      </c>
      <c r="CA284" s="542">
        <v>-2325000</v>
      </c>
    </row>
    <row r="285" spans="1:79" ht="12.75" x14ac:dyDescent="0.2">
      <c r="A285" s="93">
        <v>279</v>
      </c>
      <c r="B285" s="145" t="s">
        <v>436</v>
      </c>
      <c r="C285" s="141" t="s">
        <v>866</v>
      </c>
      <c r="D285" s="142" t="s">
        <v>867</v>
      </c>
      <c r="E285" s="149" t="s">
        <v>435</v>
      </c>
      <c r="F285" s="543">
        <v>0.5</v>
      </c>
      <c r="G285" s="543">
        <v>0.4</v>
      </c>
      <c r="H285" s="543">
        <v>0.09</v>
      </c>
      <c r="I285" s="543">
        <v>0.01</v>
      </c>
      <c r="J285" s="543">
        <v>1</v>
      </c>
      <c r="K285" s="542">
        <v>21720010</v>
      </c>
      <c r="L285" s="542">
        <v>17376008</v>
      </c>
      <c r="M285" s="542">
        <v>3909602</v>
      </c>
      <c r="N285" s="542">
        <v>434400</v>
      </c>
      <c r="O285" s="542">
        <v>43440020</v>
      </c>
      <c r="P285" s="542">
        <v>0</v>
      </c>
      <c r="Q285" s="542">
        <v>0</v>
      </c>
      <c r="R285" s="542">
        <v>21720010</v>
      </c>
      <c r="S285" s="542">
        <v>187158</v>
      </c>
      <c r="T285" s="542">
        <v>187158</v>
      </c>
      <c r="U285" s="542">
        <v>0</v>
      </c>
      <c r="V285" s="542">
        <v>0</v>
      </c>
      <c r="W285" s="542">
        <v>22654</v>
      </c>
      <c r="X285" s="542">
        <v>0</v>
      </c>
      <c r="Y285" s="542">
        <v>22654</v>
      </c>
      <c r="Z285" s="542">
        <v>0</v>
      </c>
      <c r="AA285" s="542">
        <v>0</v>
      </c>
      <c r="AB285" s="542">
        <v>0</v>
      </c>
      <c r="AC285" s="542">
        <v>0</v>
      </c>
      <c r="AD285" s="542">
        <v>1450319</v>
      </c>
      <c r="AE285" s="542">
        <v>1160256</v>
      </c>
      <c r="AF285" s="542">
        <v>261058</v>
      </c>
      <c r="AG285" s="542">
        <v>29006</v>
      </c>
      <c r="AH285" s="542">
        <v>2900639</v>
      </c>
      <c r="AI285" s="542">
        <v>-193798</v>
      </c>
      <c r="AJ285" s="542">
        <v>-155038</v>
      </c>
      <c r="AK285" s="542">
        <v>-34884</v>
      </c>
      <c r="AL285" s="542">
        <v>-3876</v>
      </c>
      <c r="AM285" s="542">
        <v>-387596</v>
      </c>
      <c r="AN285" s="542">
        <v>-425138</v>
      </c>
      <c r="AO285" s="542">
        <v>-340110</v>
      </c>
      <c r="AP285" s="542">
        <v>-76525</v>
      </c>
      <c r="AQ285" s="542">
        <v>-8503</v>
      </c>
      <c r="AR285" s="542">
        <v>-850276</v>
      </c>
      <c r="AS285" s="542">
        <v>289825</v>
      </c>
      <c r="AT285" s="542">
        <v>231861</v>
      </c>
      <c r="AU285" s="542">
        <v>52169</v>
      </c>
      <c r="AV285" s="542">
        <v>5797</v>
      </c>
      <c r="AW285" s="542">
        <v>579652</v>
      </c>
      <c r="AX285" s="542">
        <v>-360272</v>
      </c>
      <c r="AY285" s="542">
        <v>-288218</v>
      </c>
      <c r="AZ285" s="542">
        <v>-64849</v>
      </c>
      <c r="BA285" s="542">
        <v>-7205</v>
      </c>
      <c r="BB285" s="542">
        <v>-720544</v>
      </c>
      <c r="BC285" s="542">
        <v>-495585</v>
      </c>
      <c r="BD285" s="542">
        <v>-396467</v>
      </c>
      <c r="BE285" s="542">
        <v>-89205</v>
      </c>
      <c r="BF285" s="542">
        <v>-9911</v>
      </c>
      <c r="BG285" s="542">
        <v>-991168</v>
      </c>
      <c r="BH285" s="542">
        <v>-1817422</v>
      </c>
      <c r="BI285" s="542">
        <v>-1453938</v>
      </c>
      <c r="BJ285" s="542">
        <v>-327136</v>
      </c>
      <c r="BK285" s="542">
        <v>-36349</v>
      </c>
      <c r="BL285" s="542">
        <v>-3634845</v>
      </c>
      <c r="BM285" s="542">
        <v>1817423</v>
      </c>
      <c r="BN285" s="542">
        <v>1453938</v>
      </c>
      <c r="BO285" s="542">
        <v>327136</v>
      </c>
      <c r="BP285" s="542">
        <v>36348</v>
      </c>
      <c r="BQ285" s="542">
        <v>3634845</v>
      </c>
      <c r="BR285" s="542">
        <v>-2873016</v>
      </c>
      <c r="BS285" s="542">
        <v>-2298412</v>
      </c>
      <c r="BT285" s="542">
        <v>-517143</v>
      </c>
      <c r="BU285" s="542">
        <v>-57460</v>
      </c>
      <c r="BV285" s="542">
        <v>-5746031</v>
      </c>
      <c r="BW285" s="542">
        <v>-2873015</v>
      </c>
      <c r="BX285" s="542">
        <v>-2298412</v>
      </c>
      <c r="BY285" s="542">
        <v>-517143</v>
      </c>
      <c r="BZ285" s="542">
        <v>-57461</v>
      </c>
      <c r="CA285" s="542">
        <v>-5746031</v>
      </c>
    </row>
    <row r="286" spans="1:79" ht="12.75" x14ac:dyDescent="0.2">
      <c r="A286" s="93">
        <v>280</v>
      </c>
      <c r="B286" s="145" t="s">
        <v>438</v>
      </c>
      <c r="C286" s="141" t="s">
        <v>866</v>
      </c>
      <c r="D286" s="142" t="s">
        <v>875</v>
      </c>
      <c r="E286" s="149" t="s">
        <v>437</v>
      </c>
      <c r="F286" s="543">
        <v>0.5</v>
      </c>
      <c r="G286" s="543">
        <v>0.4</v>
      </c>
      <c r="H286" s="543">
        <v>0.1</v>
      </c>
      <c r="I286" s="543">
        <v>0</v>
      </c>
      <c r="J286" s="543">
        <v>1</v>
      </c>
      <c r="K286" s="542">
        <v>11539670</v>
      </c>
      <c r="L286" s="542">
        <v>9231736</v>
      </c>
      <c r="M286" s="542">
        <v>2307934</v>
      </c>
      <c r="N286" s="542">
        <v>0</v>
      </c>
      <c r="O286" s="542">
        <v>23079340</v>
      </c>
      <c r="P286" s="542">
        <v>0</v>
      </c>
      <c r="Q286" s="542">
        <v>0</v>
      </c>
      <c r="R286" s="542">
        <v>11539670</v>
      </c>
      <c r="S286" s="542">
        <v>124101</v>
      </c>
      <c r="T286" s="542">
        <v>124101</v>
      </c>
      <c r="U286" s="542">
        <v>0</v>
      </c>
      <c r="V286" s="542">
        <v>0</v>
      </c>
      <c r="W286" s="542">
        <v>0</v>
      </c>
      <c r="X286" s="542">
        <v>0</v>
      </c>
      <c r="Y286" s="542">
        <v>0</v>
      </c>
      <c r="Z286" s="542">
        <v>0</v>
      </c>
      <c r="AA286" s="542">
        <v>0</v>
      </c>
      <c r="AB286" s="542">
        <v>0</v>
      </c>
      <c r="AC286" s="542">
        <v>0</v>
      </c>
      <c r="AD286" s="542">
        <v>288346</v>
      </c>
      <c r="AE286" s="542">
        <v>230677</v>
      </c>
      <c r="AF286" s="542">
        <v>57669</v>
      </c>
      <c r="AG286" s="542">
        <v>0</v>
      </c>
      <c r="AH286" s="542">
        <v>576692</v>
      </c>
      <c r="AI286" s="542">
        <v>-82034</v>
      </c>
      <c r="AJ286" s="542">
        <v>-65628</v>
      </c>
      <c r="AK286" s="542">
        <v>-16407</v>
      </c>
      <c r="AL286" s="542">
        <v>0</v>
      </c>
      <c r="AM286" s="542">
        <v>-164069</v>
      </c>
      <c r="AN286" s="542">
        <v>-108500</v>
      </c>
      <c r="AO286" s="542">
        <v>-86800</v>
      </c>
      <c r="AP286" s="542">
        <v>-21700</v>
      </c>
      <c r="AQ286" s="542">
        <v>0</v>
      </c>
      <c r="AR286" s="542">
        <v>-217000</v>
      </c>
      <c r="AS286" s="542">
        <v>81461</v>
      </c>
      <c r="AT286" s="542">
        <v>65168</v>
      </c>
      <c r="AU286" s="542">
        <v>16292</v>
      </c>
      <c r="AV286" s="542">
        <v>0</v>
      </c>
      <c r="AW286" s="542">
        <v>162921</v>
      </c>
      <c r="AX286" s="542">
        <v>-63961</v>
      </c>
      <c r="AY286" s="542">
        <v>-51168</v>
      </c>
      <c r="AZ286" s="542">
        <v>-12792</v>
      </c>
      <c r="BA286" s="542">
        <v>0</v>
      </c>
      <c r="BB286" s="542">
        <v>-127921</v>
      </c>
      <c r="BC286" s="542">
        <v>-91000</v>
      </c>
      <c r="BD286" s="542">
        <v>-72800</v>
      </c>
      <c r="BE286" s="542">
        <v>-18200</v>
      </c>
      <c r="BF286" s="542">
        <v>0</v>
      </c>
      <c r="BG286" s="542">
        <v>-182000</v>
      </c>
      <c r="BH286" s="542">
        <v>-1465968</v>
      </c>
      <c r="BI286" s="542">
        <v>-1172774</v>
      </c>
      <c r="BJ286" s="542">
        <v>-293194</v>
      </c>
      <c r="BK286" s="542">
        <v>0</v>
      </c>
      <c r="BL286" s="542">
        <v>-2931936</v>
      </c>
      <c r="BM286" s="542">
        <v>1465968</v>
      </c>
      <c r="BN286" s="542">
        <v>1172774</v>
      </c>
      <c r="BO286" s="542">
        <v>293194</v>
      </c>
      <c r="BP286" s="542">
        <v>0</v>
      </c>
      <c r="BQ286" s="542">
        <v>2931936</v>
      </c>
      <c r="BR286" s="542">
        <v>-4755997</v>
      </c>
      <c r="BS286" s="542">
        <v>-3804798</v>
      </c>
      <c r="BT286" s="542">
        <v>-951200</v>
      </c>
      <c r="BU286" s="542">
        <v>0</v>
      </c>
      <c r="BV286" s="542">
        <v>-9511995</v>
      </c>
      <c r="BW286" s="542">
        <v>-4755997</v>
      </c>
      <c r="BX286" s="542">
        <v>-3804798</v>
      </c>
      <c r="BY286" s="542">
        <v>-951200</v>
      </c>
      <c r="BZ286" s="542">
        <v>0</v>
      </c>
      <c r="CA286" s="542">
        <v>-9511995</v>
      </c>
    </row>
    <row r="287" spans="1:79" ht="12.75" x14ac:dyDescent="0.2">
      <c r="A287" s="93">
        <v>281</v>
      </c>
      <c r="B287" s="145" t="s">
        <v>440</v>
      </c>
      <c r="C287" s="141" t="s">
        <v>866</v>
      </c>
      <c r="D287" s="142" t="s">
        <v>867</v>
      </c>
      <c r="E287" s="149" t="s">
        <v>439</v>
      </c>
      <c r="F287" s="543">
        <v>0.5</v>
      </c>
      <c r="G287" s="543">
        <v>0.4</v>
      </c>
      <c r="H287" s="543">
        <v>0.09</v>
      </c>
      <c r="I287" s="543">
        <v>0.01</v>
      </c>
      <c r="J287" s="543">
        <v>1</v>
      </c>
      <c r="K287" s="542">
        <v>12964879</v>
      </c>
      <c r="L287" s="542">
        <v>10371903</v>
      </c>
      <c r="M287" s="542">
        <v>2333678</v>
      </c>
      <c r="N287" s="542">
        <v>259298</v>
      </c>
      <c r="O287" s="542">
        <v>25929758</v>
      </c>
      <c r="P287" s="542">
        <v>0</v>
      </c>
      <c r="Q287" s="542">
        <v>0</v>
      </c>
      <c r="R287" s="542">
        <v>12964879</v>
      </c>
      <c r="S287" s="542">
        <v>192561</v>
      </c>
      <c r="T287" s="542">
        <v>192561</v>
      </c>
      <c r="U287" s="542">
        <v>0</v>
      </c>
      <c r="V287" s="542">
        <v>0</v>
      </c>
      <c r="W287" s="542">
        <v>0</v>
      </c>
      <c r="X287" s="542">
        <v>0</v>
      </c>
      <c r="Y287" s="542">
        <v>0</v>
      </c>
      <c r="Z287" s="542">
        <v>0</v>
      </c>
      <c r="AA287" s="542">
        <v>0</v>
      </c>
      <c r="AB287" s="542">
        <v>0</v>
      </c>
      <c r="AC287" s="542">
        <v>0</v>
      </c>
      <c r="AD287" s="542">
        <v>847230</v>
      </c>
      <c r="AE287" s="542">
        <v>677785</v>
      </c>
      <c r="AF287" s="542">
        <v>152502</v>
      </c>
      <c r="AG287" s="542">
        <v>16945</v>
      </c>
      <c r="AH287" s="542">
        <v>1694462</v>
      </c>
      <c r="AI287" s="542">
        <v>-359463</v>
      </c>
      <c r="AJ287" s="542">
        <v>-287570</v>
      </c>
      <c r="AK287" s="542">
        <v>-64703</v>
      </c>
      <c r="AL287" s="542">
        <v>-7189</v>
      </c>
      <c r="AM287" s="542">
        <v>-718925</v>
      </c>
      <c r="AN287" s="542">
        <v>-542333</v>
      </c>
      <c r="AO287" s="542">
        <v>-433865</v>
      </c>
      <c r="AP287" s="542">
        <v>-97620</v>
      </c>
      <c r="AQ287" s="542">
        <v>-10846</v>
      </c>
      <c r="AR287" s="542">
        <v>-1084664</v>
      </c>
      <c r="AS287" s="542">
        <v>147366</v>
      </c>
      <c r="AT287" s="542">
        <v>117893</v>
      </c>
      <c r="AU287" s="542">
        <v>26526</v>
      </c>
      <c r="AV287" s="542">
        <v>2947</v>
      </c>
      <c r="AW287" s="542">
        <v>294732</v>
      </c>
      <c r="AX287" s="542">
        <v>-153955</v>
      </c>
      <c r="AY287" s="542">
        <v>-123164</v>
      </c>
      <c r="AZ287" s="542">
        <v>-27712</v>
      </c>
      <c r="BA287" s="542">
        <v>-3079</v>
      </c>
      <c r="BB287" s="542">
        <v>-307910</v>
      </c>
      <c r="BC287" s="542">
        <v>-548922</v>
      </c>
      <c r="BD287" s="542">
        <v>-439136</v>
      </c>
      <c r="BE287" s="542">
        <v>-98806</v>
      </c>
      <c r="BF287" s="542">
        <v>-10978</v>
      </c>
      <c r="BG287" s="542">
        <v>-1097842</v>
      </c>
      <c r="BH287" s="542">
        <v>-254140</v>
      </c>
      <c r="BI287" s="542">
        <v>-203313</v>
      </c>
      <c r="BJ287" s="542">
        <v>-45746</v>
      </c>
      <c r="BK287" s="542">
        <v>-5083</v>
      </c>
      <c r="BL287" s="542">
        <v>-508282</v>
      </c>
      <c r="BM287" s="542">
        <v>254141</v>
      </c>
      <c r="BN287" s="542">
        <v>203313</v>
      </c>
      <c r="BO287" s="542">
        <v>45745</v>
      </c>
      <c r="BP287" s="542">
        <v>5083</v>
      </c>
      <c r="BQ287" s="542">
        <v>508282</v>
      </c>
      <c r="BR287" s="542">
        <v>-3057994</v>
      </c>
      <c r="BS287" s="542">
        <v>-2446395</v>
      </c>
      <c r="BT287" s="542">
        <v>-550439</v>
      </c>
      <c r="BU287" s="542">
        <v>-61160</v>
      </c>
      <c r="BV287" s="542">
        <v>-6115988</v>
      </c>
      <c r="BW287" s="542">
        <v>-3057993</v>
      </c>
      <c r="BX287" s="542">
        <v>-2446395</v>
      </c>
      <c r="BY287" s="542">
        <v>-550440</v>
      </c>
      <c r="BZ287" s="542">
        <v>-61160</v>
      </c>
      <c r="CA287" s="542">
        <v>-6115988</v>
      </c>
    </row>
    <row r="288" spans="1:79" ht="12.75" x14ac:dyDescent="0.2">
      <c r="A288" s="93">
        <v>282</v>
      </c>
      <c r="B288" s="145" t="s">
        <v>442</v>
      </c>
      <c r="C288" s="141" t="s">
        <v>866</v>
      </c>
      <c r="D288" s="142" t="s">
        <v>870</v>
      </c>
      <c r="E288" s="149" t="s">
        <v>441</v>
      </c>
      <c r="F288" s="543">
        <v>0.5</v>
      </c>
      <c r="G288" s="543">
        <v>0.4</v>
      </c>
      <c r="H288" s="543">
        <v>0.1</v>
      </c>
      <c r="I288" s="543">
        <v>0</v>
      </c>
      <c r="J288" s="543">
        <v>1</v>
      </c>
      <c r="K288" s="542">
        <v>10768257</v>
      </c>
      <c r="L288" s="542">
        <v>8614606</v>
      </c>
      <c r="M288" s="542">
        <v>2153651</v>
      </c>
      <c r="N288" s="542">
        <v>0</v>
      </c>
      <c r="O288" s="542">
        <v>21536514</v>
      </c>
      <c r="P288" s="542">
        <v>0</v>
      </c>
      <c r="Q288" s="542">
        <v>0</v>
      </c>
      <c r="R288" s="542">
        <v>10768257</v>
      </c>
      <c r="S288" s="542">
        <v>95561</v>
      </c>
      <c r="T288" s="542">
        <v>95561</v>
      </c>
      <c r="U288" s="542">
        <v>0</v>
      </c>
      <c r="V288" s="542">
        <v>0</v>
      </c>
      <c r="W288" s="542">
        <v>0</v>
      </c>
      <c r="X288" s="542">
        <v>0</v>
      </c>
      <c r="Y288" s="542">
        <v>0</v>
      </c>
      <c r="Z288" s="542">
        <v>0</v>
      </c>
      <c r="AA288" s="542">
        <v>0</v>
      </c>
      <c r="AB288" s="542">
        <v>0</v>
      </c>
      <c r="AC288" s="542">
        <v>0</v>
      </c>
      <c r="AD288" s="542">
        <v>652569</v>
      </c>
      <c r="AE288" s="542">
        <v>522056</v>
      </c>
      <c r="AF288" s="542">
        <v>130514</v>
      </c>
      <c r="AG288" s="542">
        <v>0</v>
      </c>
      <c r="AH288" s="542">
        <v>1305139</v>
      </c>
      <c r="AI288" s="542">
        <v>-453564</v>
      </c>
      <c r="AJ288" s="542">
        <v>-362852</v>
      </c>
      <c r="AK288" s="542">
        <v>-90713</v>
      </c>
      <c r="AL288" s="542">
        <v>0</v>
      </c>
      <c r="AM288" s="542">
        <v>-907129</v>
      </c>
      <c r="AN288" s="542">
        <v>-501500</v>
      </c>
      <c r="AO288" s="542">
        <v>-401200</v>
      </c>
      <c r="AP288" s="542">
        <v>-100300</v>
      </c>
      <c r="AQ288" s="542">
        <v>0</v>
      </c>
      <c r="AR288" s="542">
        <v>-1003000</v>
      </c>
      <c r="AS288" s="542">
        <v>131168</v>
      </c>
      <c r="AT288" s="542">
        <v>104934</v>
      </c>
      <c r="AU288" s="542">
        <v>26234</v>
      </c>
      <c r="AV288" s="542">
        <v>0</v>
      </c>
      <c r="AW288" s="542">
        <v>262336</v>
      </c>
      <c r="AX288" s="542">
        <v>-130000</v>
      </c>
      <c r="AY288" s="542">
        <v>-104000</v>
      </c>
      <c r="AZ288" s="542">
        <v>-26000</v>
      </c>
      <c r="BA288" s="542">
        <v>0</v>
      </c>
      <c r="BB288" s="542">
        <v>-260000</v>
      </c>
      <c r="BC288" s="542">
        <v>-500332</v>
      </c>
      <c r="BD288" s="542">
        <v>-400266</v>
      </c>
      <c r="BE288" s="542">
        <v>-100066</v>
      </c>
      <c r="BF288" s="542">
        <v>0</v>
      </c>
      <c r="BG288" s="542">
        <v>-1000664</v>
      </c>
      <c r="BH288" s="542">
        <v>-643754</v>
      </c>
      <c r="BI288" s="542">
        <v>-515002</v>
      </c>
      <c r="BJ288" s="542">
        <v>-128751</v>
      </c>
      <c r="BK288" s="542">
        <v>0</v>
      </c>
      <c r="BL288" s="542">
        <v>-1287507</v>
      </c>
      <c r="BM288" s="542">
        <v>815526</v>
      </c>
      <c r="BN288" s="542">
        <v>652421</v>
      </c>
      <c r="BO288" s="542">
        <v>163105</v>
      </c>
      <c r="BP288" s="542">
        <v>0</v>
      </c>
      <c r="BQ288" s="542">
        <v>1631052</v>
      </c>
      <c r="BR288" s="542">
        <v>-3139285</v>
      </c>
      <c r="BS288" s="542">
        <v>-2511428</v>
      </c>
      <c r="BT288" s="542">
        <v>-627857</v>
      </c>
      <c r="BU288" s="542">
        <v>0</v>
      </c>
      <c r="BV288" s="542">
        <v>-6278570</v>
      </c>
      <c r="BW288" s="542">
        <v>-2967513</v>
      </c>
      <c r="BX288" s="542">
        <v>-2374009</v>
      </c>
      <c r="BY288" s="542">
        <v>-593503</v>
      </c>
      <c r="BZ288" s="542">
        <v>0</v>
      </c>
      <c r="CA288" s="542">
        <v>-5935025</v>
      </c>
    </row>
    <row r="289" spans="1:79" ht="12.75" x14ac:dyDescent="0.2">
      <c r="A289" s="93">
        <v>283</v>
      </c>
      <c r="B289" s="145" t="s">
        <v>444</v>
      </c>
      <c r="C289" s="141" t="s">
        <v>770</v>
      </c>
      <c r="D289" s="142" t="s">
        <v>870</v>
      </c>
      <c r="E289" s="149" t="s">
        <v>731</v>
      </c>
      <c r="F289" s="543">
        <v>0.5</v>
      </c>
      <c r="G289" s="543">
        <v>0.49</v>
      </c>
      <c r="H289" s="543">
        <v>0</v>
      </c>
      <c r="I289" s="543">
        <v>0.01</v>
      </c>
      <c r="J289" s="543">
        <v>1</v>
      </c>
      <c r="K289" s="542">
        <v>51100253</v>
      </c>
      <c r="L289" s="542">
        <v>50078247</v>
      </c>
      <c r="M289" s="542">
        <v>0</v>
      </c>
      <c r="N289" s="542">
        <v>1022005</v>
      </c>
      <c r="O289" s="542">
        <v>102200505</v>
      </c>
      <c r="P289" s="542">
        <v>0</v>
      </c>
      <c r="Q289" s="542">
        <v>0</v>
      </c>
      <c r="R289" s="542">
        <v>51100253</v>
      </c>
      <c r="S289" s="542">
        <v>224944</v>
      </c>
      <c r="T289" s="542">
        <v>224944</v>
      </c>
      <c r="U289" s="542">
        <v>0</v>
      </c>
      <c r="V289" s="542">
        <v>0</v>
      </c>
      <c r="W289" s="542">
        <v>0</v>
      </c>
      <c r="X289" s="542">
        <v>0</v>
      </c>
      <c r="Y289" s="542">
        <v>0</v>
      </c>
      <c r="Z289" s="542">
        <v>0</v>
      </c>
      <c r="AA289" s="542">
        <v>0</v>
      </c>
      <c r="AB289" s="542">
        <v>0</v>
      </c>
      <c r="AC289" s="542">
        <v>0</v>
      </c>
      <c r="AD289" s="542">
        <v>1294374</v>
      </c>
      <c r="AE289" s="542">
        <v>1268486</v>
      </c>
      <c r="AF289" s="542">
        <v>0</v>
      </c>
      <c r="AG289" s="542">
        <v>25887</v>
      </c>
      <c r="AH289" s="542">
        <v>2588747</v>
      </c>
      <c r="AI289" s="542">
        <v>-246099</v>
      </c>
      <c r="AJ289" s="542">
        <v>-241177</v>
      </c>
      <c r="AK289" s="542">
        <v>0</v>
      </c>
      <c r="AL289" s="542">
        <v>-4922</v>
      </c>
      <c r="AM289" s="542">
        <v>-492198</v>
      </c>
      <c r="AN289" s="542">
        <v>-131424</v>
      </c>
      <c r="AO289" s="542">
        <v>-128795</v>
      </c>
      <c r="AP289" s="542">
        <v>0</v>
      </c>
      <c r="AQ289" s="542">
        <v>-2628</v>
      </c>
      <c r="AR289" s="542">
        <v>-262847</v>
      </c>
      <c r="AS289" s="542">
        <v>0</v>
      </c>
      <c r="AT289" s="542">
        <v>0</v>
      </c>
      <c r="AU289" s="542">
        <v>0</v>
      </c>
      <c r="AV289" s="542">
        <v>0</v>
      </c>
      <c r="AW289" s="542">
        <v>0</v>
      </c>
      <c r="AX289" s="542">
        <v>243356</v>
      </c>
      <c r="AY289" s="542">
        <v>238489</v>
      </c>
      <c r="AZ289" s="542">
        <v>0</v>
      </c>
      <c r="BA289" s="542">
        <v>4867</v>
      </c>
      <c r="BB289" s="542">
        <v>486712</v>
      </c>
      <c r="BC289" s="542">
        <v>111932</v>
      </c>
      <c r="BD289" s="542">
        <v>109694</v>
      </c>
      <c r="BE289" s="542">
        <v>0</v>
      </c>
      <c r="BF289" s="542">
        <v>2239</v>
      </c>
      <c r="BG289" s="542">
        <v>223865</v>
      </c>
      <c r="BH289" s="542">
        <v>-6498537</v>
      </c>
      <c r="BI289" s="542">
        <v>-6368567</v>
      </c>
      <c r="BJ289" s="542">
        <v>0</v>
      </c>
      <c r="BK289" s="542">
        <v>-129971</v>
      </c>
      <c r="BL289" s="542">
        <v>-12997075</v>
      </c>
      <c r="BM289" s="542">
        <v>2697434</v>
      </c>
      <c r="BN289" s="542">
        <v>2643485</v>
      </c>
      <c r="BO289" s="542">
        <v>0</v>
      </c>
      <c r="BP289" s="542">
        <v>53949</v>
      </c>
      <c r="BQ289" s="542">
        <v>5394868</v>
      </c>
      <c r="BR289" s="542">
        <v>-3613766</v>
      </c>
      <c r="BS289" s="542">
        <v>-3541491</v>
      </c>
      <c r="BT289" s="542">
        <v>0</v>
      </c>
      <c r="BU289" s="542">
        <v>-72275</v>
      </c>
      <c r="BV289" s="542">
        <v>-7227532</v>
      </c>
      <c r="BW289" s="542">
        <v>-7414869</v>
      </c>
      <c r="BX289" s="542">
        <v>-7266573</v>
      </c>
      <c r="BY289" s="542">
        <v>0</v>
      </c>
      <c r="BZ289" s="542">
        <v>-148297</v>
      </c>
      <c r="CA289" s="542">
        <v>-14829739</v>
      </c>
    </row>
    <row r="290" spans="1:79" ht="12.75" x14ac:dyDescent="0.2">
      <c r="A290" s="93">
        <v>284</v>
      </c>
      <c r="B290" s="145" t="s">
        <v>446</v>
      </c>
      <c r="C290" s="141" t="s">
        <v>866</v>
      </c>
      <c r="D290" s="142" t="s">
        <v>867</v>
      </c>
      <c r="E290" s="149" t="s">
        <v>732</v>
      </c>
      <c r="F290" s="543">
        <v>0.5</v>
      </c>
      <c r="G290" s="543">
        <v>0.4</v>
      </c>
      <c r="H290" s="543">
        <v>0.09</v>
      </c>
      <c r="I290" s="543">
        <v>0.01</v>
      </c>
      <c r="J290" s="543">
        <v>1</v>
      </c>
      <c r="K290" s="542">
        <v>24756864</v>
      </c>
      <c r="L290" s="542">
        <v>19805491</v>
      </c>
      <c r="M290" s="542">
        <v>4456236</v>
      </c>
      <c r="N290" s="542">
        <v>495137</v>
      </c>
      <c r="O290" s="542">
        <v>49513728</v>
      </c>
      <c r="P290" s="542">
        <v>0</v>
      </c>
      <c r="Q290" s="542">
        <v>0</v>
      </c>
      <c r="R290" s="542">
        <v>24756864</v>
      </c>
      <c r="S290" s="542">
        <v>167622</v>
      </c>
      <c r="T290" s="542">
        <v>167622</v>
      </c>
      <c r="U290" s="542">
        <v>0</v>
      </c>
      <c r="V290" s="542">
        <v>0</v>
      </c>
      <c r="W290" s="542">
        <v>0</v>
      </c>
      <c r="X290" s="542">
        <v>0</v>
      </c>
      <c r="Y290" s="542">
        <v>0</v>
      </c>
      <c r="Z290" s="542">
        <v>0</v>
      </c>
      <c r="AA290" s="542">
        <v>0</v>
      </c>
      <c r="AB290" s="542">
        <v>0</v>
      </c>
      <c r="AC290" s="542">
        <v>0</v>
      </c>
      <c r="AD290" s="542">
        <v>542973</v>
      </c>
      <c r="AE290" s="542">
        <v>434378</v>
      </c>
      <c r="AF290" s="542">
        <v>97735</v>
      </c>
      <c r="AG290" s="542">
        <v>10859</v>
      </c>
      <c r="AH290" s="542">
        <v>1085945</v>
      </c>
      <c r="AI290" s="542">
        <v>-548714</v>
      </c>
      <c r="AJ290" s="542">
        <v>-438970</v>
      </c>
      <c r="AK290" s="542">
        <v>-98768</v>
      </c>
      <c r="AL290" s="542">
        <v>-10974</v>
      </c>
      <c r="AM290" s="542">
        <v>-1097426</v>
      </c>
      <c r="AN290" s="542">
        <v>-205000</v>
      </c>
      <c r="AO290" s="542">
        <v>-164000</v>
      </c>
      <c r="AP290" s="542">
        <v>-36900</v>
      </c>
      <c r="AQ290" s="542">
        <v>-4100</v>
      </c>
      <c r="AR290" s="542">
        <v>-410000</v>
      </c>
      <c r="AS290" s="542">
        <v>235725</v>
      </c>
      <c r="AT290" s="542">
        <v>188579</v>
      </c>
      <c r="AU290" s="542">
        <v>42430</v>
      </c>
      <c r="AV290" s="542">
        <v>4714</v>
      </c>
      <c r="AW290" s="542">
        <v>471448</v>
      </c>
      <c r="AX290" s="542">
        <v>-220725</v>
      </c>
      <c r="AY290" s="542">
        <v>-176579</v>
      </c>
      <c r="AZ290" s="542">
        <v>-39730</v>
      </c>
      <c r="BA290" s="542">
        <v>-4414</v>
      </c>
      <c r="BB290" s="542">
        <v>-441448</v>
      </c>
      <c r="BC290" s="542">
        <v>-190000</v>
      </c>
      <c r="BD290" s="542">
        <v>-152000</v>
      </c>
      <c r="BE290" s="542">
        <v>-34200</v>
      </c>
      <c r="BF290" s="542">
        <v>-3800</v>
      </c>
      <c r="BG290" s="542">
        <v>-380000</v>
      </c>
      <c r="BH290" s="542">
        <v>-1070000</v>
      </c>
      <c r="BI290" s="542">
        <v>-856000</v>
      </c>
      <c r="BJ290" s="542">
        <v>-192600</v>
      </c>
      <c r="BK290" s="542">
        <v>-21400</v>
      </c>
      <c r="BL290" s="542">
        <v>-2140000</v>
      </c>
      <c r="BM290" s="542">
        <v>1070000</v>
      </c>
      <c r="BN290" s="542">
        <v>856000</v>
      </c>
      <c r="BO290" s="542">
        <v>192600</v>
      </c>
      <c r="BP290" s="542">
        <v>21400</v>
      </c>
      <c r="BQ290" s="542">
        <v>2140000</v>
      </c>
      <c r="BR290" s="542">
        <v>-3035000</v>
      </c>
      <c r="BS290" s="542">
        <v>-2428000</v>
      </c>
      <c r="BT290" s="542">
        <v>-546300</v>
      </c>
      <c r="BU290" s="542">
        <v>-60700</v>
      </c>
      <c r="BV290" s="542">
        <v>-6070000</v>
      </c>
      <c r="BW290" s="542">
        <v>-3035000</v>
      </c>
      <c r="BX290" s="542">
        <v>-2428000</v>
      </c>
      <c r="BY290" s="542">
        <v>-546300</v>
      </c>
      <c r="BZ290" s="542">
        <v>-60700</v>
      </c>
      <c r="CA290" s="542">
        <v>-6070000</v>
      </c>
    </row>
    <row r="291" spans="1:79" ht="12.75" x14ac:dyDescent="0.2">
      <c r="A291" s="93">
        <v>285</v>
      </c>
      <c r="B291" s="145" t="s">
        <v>448</v>
      </c>
      <c r="C291" s="141" t="s">
        <v>770</v>
      </c>
      <c r="D291" s="142" t="s">
        <v>875</v>
      </c>
      <c r="E291" s="149" t="s">
        <v>733</v>
      </c>
      <c r="F291" s="543">
        <v>0.5</v>
      </c>
      <c r="G291" s="543">
        <v>0.49</v>
      </c>
      <c r="H291" s="543">
        <v>0</v>
      </c>
      <c r="I291" s="543">
        <v>0.01</v>
      </c>
      <c r="J291" s="543">
        <v>1</v>
      </c>
      <c r="K291" s="542">
        <v>17594354</v>
      </c>
      <c r="L291" s="542">
        <v>17242467</v>
      </c>
      <c r="M291" s="542">
        <v>0</v>
      </c>
      <c r="N291" s="542">
        <v>351887</v>
      </c>
      <c r="O291" s="542">
        <v>35188708</v>
      </c>
      <c r="P291" s="542">
        <v>0</v>
      </c>
      <c r="Q291" s="542">
        <v>0</v>
      </c>
      <c r="R291" s="542">
        <v>17594354</v>
      </c>
      <c r="S291" s="542">
        <v>205044</v>
      </c>
      <c r="T291" s="542">
        <v>205044</v>
      </c>
      <c r="U291" s="542">
        <v>0</v>
      </c>
      <c r="V291" s="542">
        <v>0</v>
      </c>
      <c r="W291" s="542">
        <v>0</v>
      </c>
      <c r="X291" s="542">
        <v>0</v>
      </c>
      <c r="Y291" s="542">
        <v>0</v>
      </c>
      <c r="Z291" s="542">
        <v>0</v>
      </c>
      <c r="AA291" s="542">
        <v>0</v>
      </c>
      <c r="AB291" s="542">
        <v>0</v>
      </c>
      <c r="AC291" s="542">
        <v>0</v>
      </c>
      <c r="AD291" s="542">
        <v>904528</v>
      </c>
      <c r="AE291" s="542">
        <v>886438</v>
      </c>
      <c r="AF291" s="542">
        <v>0</v>
      </c>
      <c r="AG291" s="542">
        <v>18091</v>
      </c>
      <c r="AH291" s="542">
        <v>1809057</v>
      </c>
      <c r="AI291" s="542">
        <v>-450140</v>
      </c>
      <c r="AJ291" s="542">
        <v>-441137</v>
      </c>
      <c r="AK291" s="542">
        <v>0</v>
      </c>
      <c r="AL291" s="542">
        <v>-9003</v>
      </c>
      <c r="AM291" s="542">
        <v>-900280</v>
      </c>
      <c r="AN291" s="542">
        <v>-455833</v>
      </c>
      <c r="AO291" s="542">
        <v>-446717</v>
      </c>
      <c r="AP291" s="542">
        <v>0</v>
      </c>
      <c r="AQ291" s="542">
        <v>-9117</v>
      </c>
      <c r="AR291" s="542">
        <v>-911667</v>
      </c>
      <c r="AS291" s="542">
        <v>223792</v>
      </c>
      <c r="AT291" s="542">
        <v>219317</v>
      </c>
      <c r="AU291" s="542">
        <v>0</v>
      </c>
      <c r="AV291" s="542">
        <v>4476</v>
      </c>
      <c r="AW291" s="542">
        <v>447585</v>
      </c>
      <c r="AX291" s="542">
        <v>-139205</v>
      </c>
      <c r="AY291" s="542">
        <v>-136421</v>
      </c>
      <c r="AZ291" s="542">
        <v>0</v>
      </c>
      <c r="BA291" s="542">
        <v>-2784</v>
      </c>
      <c r="BB291" s="542">
        <v>-278410</v>
      </c>
      <c r="BC291" s="542">
        <v>-371246</v>
      </c>
      <c r="BD291" s="542">
        <v>-363821</v>
      </c>
      <c r="BE291" s="542">
        <v>0</v>
      </c>
      <c r="BF291" s="542">
        <v>-7425</v>
      </c>
      <c r="BG291" s="542">
        <v>-742492</v>
      </c>
      <c r="BH291" s="542">
        <v>-1263579</v>
      </c>
      <c r="BI291" s="542">
        <v>-1238307</v>
      </c>
      <c r="BJ291" s="542">
        <v>0</v>
      </c>
      <c r="BK291" s="542">
        <v>-25272</v>
      </c>
      <c r="BL291" s="542">
        <v>-2527158</v>
      </c>
      <c r="BM291" s="542">
        <v>0</v>
      </c>
      <c r="BN291" s="542">
        <v>0</v>
      </c>
      <c r="BO291" s="542">
        <v>0</v>
      </c>
      <c r="BP291" s="542">
        <v>0</v>
      </c>
      <c r="BQ291" s="542">
        <v>0</v>
      </c>
      <c r="BR291" s="542">
        <v>26339</v>
      </c>
      <c r="BS291" s="542">
        <v>25812</v>
      </c>
      <c r="BT291" s="542">
        <v>0</v>
      </c>
      <c r="BU291" s="542">
        <v>527</v>
      </c>
      <c r="BV291" s="542">
        <v>52678</v>
      </c>
      <c r="BW291" s="542">
        <v>-1237240</v>
      </c>
      <c r="BX291" s="542">
        <v>-1212495</v>
      </c>
      <c r="BY291" s="542">
        <v>0</v>
      </c>
      <c r="BZ291" s="542">
        <v>-24745</v>
      </c>
      <c r="CA291" s="542">
        <v>-2474480</v>
      </c>
    </row>
    <row r="292" spans="1:79" ht="12.75" x14ac:dyDescent="0.2">
      <c r="A292" s="93">
        <v>286</v>
      </c>
      <c r="B292" s="145" t="s">
        <v>450</v>
      </c>
      <c r="C292" s="141" t="s">
        <v>866</v>
      </c>
      <c r="D292" s="142" t="s">
        <v>875</v>
      </c>
      <c r="E292" s="149" t="s">
        <v>449</v>
      </c>
      <c r="F292" s="543">
        <v>0.5</v>
      </c>
      <c r="G292" s="543">
        <v>0.4</v>
      </c>
      <c r="H292" s="543">
        <v>0.09</v>
      </c>
      <c r="I292" s="543">
        <v>0.01</v>
      </c>
      <c r="J292" s="543">
        <v>1</v>
      </c>
      <c r="K292" s="542">
        <v>5120649</v>
      </c>
      <c r="L292" s="542">
        <v>4096519</v>
      </c>
      <c r="M292" s="542">
        <v>921717</v>
      </c>
      <c r="N292" s="542">
        <v>102413</v>
      </c>
      <c r="O292" s="542">
        <v>10241298</v>
      </c>
      <c r="P292" s="542">
        <v>0</v>
      </c>
      <c r="Q292" s="542">
        <v>0</v>
      </c>
      <c r="R292" s="542">
        <v>5120649</v>
      </c>
      <c r="S292" s="542">
        <v>124189</v>
      </c>
      <c r="T292" s="542">
        <v>124189</v>
      </c>
      <c r="U292" s="542">
        <v>0</v>
      </c>
      <c r="V292" s="542">
        <v>0</v>
      </c>
      <c r="W292" s="542">
        <v>268488</v>
      </c>
      <c r="X292" s="542">
        <v>0</v>
      </c>
      <c r="Y292" s="542">
        <v>268488</v>
      </c>
      <c r="Z292" s="542">
        <v>0</v>
      </c>
      <c r="AA292" s="542">
        <v>0</v>
      </c>
      <c r="AB292" s="542">
        <v>0</v>
      </c>
      <c r="AC292" s="542">
        <v>0</v>
      </c>
      <c r="AD292" s="542">
        <v>180717</v>
      </c>
      <c r="AE292" s="542">
        <v>144574</v>
      </c>
      <c r="AF292" s="542">
        <v>32529</v>
      </c>
      <c r="AG292" s="542">
        <v>3614</v>
      </c>
      <c r="AH292" s="542">
        <v>361434</v>
      </c>
      <c r="AI292" s="542">
        <v>-78809</v>
      </c>
      <c r="AJ292" s="542">
        <v>-63047</v>
      </c>
      <c r="AK292" s="542">
        <v>-14186</v>
      </c>
      <c r="AL292" s="542">
        <v>-1576</v>
      </c>
      <c r="AM292" s="542">
        <v>-157618</v>
      </c>
      <c r="AN292" s="542">
        <v>-54707</v>
      </c>
      <c r="AO292" s="542">
        <v>-43765</v>
      </c>
      <c r="AP292" s="542">
        <v>-9847</v>
      </c>
      <c r="AQ292" s="542">
        <v>-1094</v>
      </c>
      <c r="AR292" s="542">
        <v>-109413</v>
      </c>
      <c r="AS292" s="542">
        <v>30287</v>
      </c>
      <c r="AT292" s="542">
        <v>24230</v>
      </c>
      <c r="AU292" s="542">
        <v>5452</v>
      </c>
      <c r="AV292" s="542">
        <v>606</v>
      </c>
      <c r="AW292" s="542">
        <v>60575</v>
      </c>
      <c r="AX292" s="542">
        <v>-2862</v>
      </c>
      <c r="AY292" s="542">
        <v>-2289</v>
      </c>
      <c r="AZ292" s="542">
        <v>-515</v>
      </c>
      <c r="BA292" s="542">
        <v>-57</v>
      </c>
      <c r="BB292" s="542">
        <v>-5723</v>
      </c>
      <c r="BC292" s="542">
        <v>-27282</v>
      </c>
      <c r="BD292" s="542">
        <v>-21824</v>
      </c>
      <c r="BE292" s="542">
        <v>-4910</v>
      </c>
      <c r="BF292" s="542">
        <v>-545</v>
      </c>
      <c r="BG292" s="542">
        <v>-54561</v>
      </c>
      <c r="BH292" s="542">
        <v>-317077</v>
      </c>
      <c r="BI292" s="542">
        <v>-253661</v>
      </c>
      <c r="BJ292" s="542">
        <v>-57074</v>
      </c>
      <c r="BK292" s="542">
        <v>-6342</v>
      </c>
      <c r="BL292" s="542">
        <v>-634154</v>
      </c>
      <c r="BM292" s="542">
        <v>36391</v>
      </c>
      <c r="BN292" s="542">
        <v>29113</v>
      </c>
      <c r="BO292" s="542">
        <v>6550</v>
      </c>
      <c r="BP292" s="542">
        <v>728</v>
      </c>
      <c r="BQ292" s="542">
        <v>72782</v>
      </c>
      <c r="BR292" s="542">
        <v>-76142</v>
      </c>
      <c r="BS292" s="542">
        <v>-60913</v>
      </c>
      <c r="BT292" s="542">
        <v>-13705</v>
      </c>
      <c r="BU292" s="542">
        <v>-1523</v>
      </c>
      <c r="BV292" s="542">
        <v>-152283</v>
      </c>
      <c r="BW292" s="542">
        <v>-356828</v>
      </c>
      <c r="BX292" s="542">
        <v>-285461</v>
      </c>
      <c r="BY292" s="542">
        <v>-64229</v>
      </c>
      <c r="BZ292" s="542">
        <v>-7137</v>
      </c>
      <c r="CA292" s="542">
        <v>-713655</v>
      </c>
    </row>
    <row r="293" spans="1:79" ht="12.75" x14ac:dyDescent="0.2">
      <c r="A293" s="93">
        <v>287</v>
      </c>
      <c r="B293" s="145" t="s">
        <v>452</v>
      </c>
      <c r="C293" s="141" t="s">
        <v>877</v>
      </c>
      <c r="D293" s="142" t="s">
        <v>872</v>
      </c>
      <c r="E293" s="149" t="s">
        <v>451</v>
      </c>
      <c r="F293" s="543">
        <v>0.5</v>
      </c>
      <c r="G293" s="543">
        <v>0.3</v>
      </c>
      <c r="H293" s="543">
        <v>0.2</v>
      </c>
      <c r="I293" s="543">
        <v>0</v>
      </c>
      <c r="J293" s="543">
        <v>1</v>
      </c>
      <c r="K293" s="542">
        <v>180879511</v>
      </c>
      <c r="L293" s="542">
        <v>108527707</v>
      </c>
      <c r="M293" s="542">
        <v>72351804</v>
      </c>
      <c r="N293" s="542">
        <v>0</v>
      </c>
      <c r="O293" s="542">
        <v>361759022</v>
      </c>
      <c r="P293" s="542">
        <v>0</v>
      </c>
      <c r="Q293" s="542">
        <v>0</v>
      </c>
      <c r="R293" s="542">
        <v>180879511</v>
      </c>
      <c r="S293" s="542">
        <v>946111</v>
      </c>
      <c r="T293" s="542">
        <v>946111</v>
      </c>
      <c r="U293" s="542">
        <v>0</v>
      </c>
      <c r="V293" s="542">
        <v>0</v>
      </c>
      <c r="W293" s="542">
        <v>0</v>
      </c>
      <c r="X293" s="542">
        <v>0</v>
      </c>
      <c r="Y293" s="542">
        <v>0</v>
      </c>
      <c r="Z293" s="542">
        <v>0</v>
      </c>
      <c r="AA293" s="542">
        <v>0</v>
      </c>
      <c r="AB293" s="542">
        <v>0</v>
      </c>
      <c r="AC293" s="542">
        <v>0</v>
      </c>
      <c r="AD293" s="542">
        <v>6992304</v>
      </c>
      <c r="AE293" s="542">
        <v>4195382</v>
      </c>
      <c r="AF293" s="542">
        <v>2796921</v>
      </c>
      <c r="AG293" s="542">
        <v>0</v>
      </c>
      <c r="AH293" s="542">
        <v>13984607</v>
      </c>
      <c r="AI293" s="542">
        <v>-9887666</v>
      </c>
      <c r="AJ293" s="542">
        <v>-5932600</v>
      </c>
      <c r="AK293" s="542">
        <v>-3955067</v>
      </c>
      <c r="AL293" s="542">
        <v>0</v>
      </c>
      <c r="AM293" s="542">
        <v>-19775333</v>
      </c>
      <c r="AN293" s="542">
        <v>-2544836</v>
      </c>
      <c r="AO293" s="542">
        <v>-1526902</v>
      </c>
      <c r="AP293" s="542">
        <v>-1017934</v>
      </c>
      <c r="AQ293" s="542">
        <v>0</v>
      </c>
      <c r="AR293" s="542">
        <v>-5089672</v>
      </c>
      <c r="AS293" s="542">
        <v>1178177</v>
      </c>
      <c r="AT293" s="542">
        <v>706906</v>
      </c>
      <c r="AU293" s="542">
        <v>471271</v>
      </c>
      <c r="AV293" s="542">
        <v>0</v>
      </c>
      <c r="AW293" s="542">
        <v>2356354</v>
      </c>
      <c r="AX293" s="542">
        <v>-1226378</v>
      </c>
      <c r="AY293" s="542">
        <v>-735827</v>
      </c>
      <c r="AZ293" s="542">
        <v>-490551</v>
      </c>
      <c r="BA293" s="542">
        <v>0</v>
      </c>
      <c r="BB293" s="542">
        <v>-2452756</v>
      </c>
      <c r="BC293" s="542">
        <v>-2593037</v>
      </c>
      <c r="BD293" s="542">
        <v>-1555823</v>
      </c>
      <c r="BE293" s="542">
        <v>-1037214</v>
      </c>
      <c r="BF293" s="542">
        <v>0</v>
      </c>
      <c r="BG293" s="542">
        <v>-5186074</v>
      </c>
      <c r="BH293" s="542">
        <v>-13750000</v>
      </c>
      <c r="BI293" s="542">
        <v>-8250000</v>
      </c>
      <c r="BJ293" s="542">
        <v>-5500000</v>
      </c>
      <c r="BK293" s="542">
        <v>0</v>
      </c>
      <c r="BL293" s="542">
        <v>-27500000</v>
      </c>
      <c r="BM293" s="542">
        <v>11732734</v>
      </c>
      <c r="BN293" s="542">
        <v>7039641</v>
      </c>
      <c r="BO293" s="542">
        <v>4693094</v>
      </c>
      <c r="BP293" s="542">
        <v>0</v>
      </c>
      <c r="BQ293" s="542">
        <v>23465469</v>
      </c>
      <c r="BR293" s="542">
        <v>-3000000</v>
      </c>
      <c r="BS293" s="542">
        <v>-1800000</v>
      </c>
      <c r="BT293" s="542">
        <v>-1200000</v>
      </c>
      <c r="BU293" s="542">
        <v>0</v>
      </c>
      <c r="BV293" s="542">
        <v>-6000000</v>
      </c>
      <c r="BW293" s="542">
        <v>-5017266</v>
      </c>
      <c r="BX293" s="542">
        <v>-3010359</v>
      </c>
      <c r="BY293" s="542">
        <v>-2006906</v>
      </c>
      <c r="BZ293" s="542">
        <v>0</v>
      </c>
      <c r="CA293" s="542">
        <v>-10034531</v>
      </c>
    </row>
    <row r="294" spans="1:79" ht="12.75" x14ac:dyDescent="0.2">
      <c r="A294" s="93">
        <v>288</v>
      </c>
      <c r="B294" s="145" t="s">
        <v>454</v>
      </c>
      <c r="C294" s="141" t="s">
        <v>873</v>
      </c>
      <c r="D294" s="142" t="s">
        <v>868</v>
      </c>
      <c r="E294" s="149" t="s">
        <v>453</v>
      </c>
      <c r="F294" s="543">
        <v>0.5</v>
      </c>
      <c r="G294" s="543">
        <v>0.49</v>
      </c>
      <c r="H294" s="543">
        <v>0</v>
      </c>
      <c r="I294" s="543">
        <v>0.01</v>
      </c>
      <c r="J294" s="543">
        <v>1</v>
      </c>
      <c r="K294" s="542">
        <v>79055515</v>
      </c>
      <c r="L294" s="542">
        <v>77474404</v>
      </c>
      <c r="M294" s="542">
        <v>0</v>
      </c>
      <c r="N294" s="542">
        <v>1581110</v>
      </c>
      <c r="O294" s="542">
        <v>158111029</v>
      </c>
      <c r="P294" s="542">
        <v>0</v>
      </c>
      <c r="Q294" s="542">
        <v>0</v>
      </c>
      <c r="R294" s="542">
        <v>79055515</v>
      </c>
      <c r="S294" s="542">
        <v>457357</v>
      </c>
      <c r="T294" s="542">
        <v>457357</v>
      </c>
      <c r="U294" s="542">
        <v>0</v>
      </c>
      <c r="V294" s="542">
        <v>0</v>
      </c>
      <c r="W294" s="542">
        <v>75192</v>
      </c>
      <c r="X294" s="542">
        <v>0</v>
      </c>
      <c r="Y294" s="542">
        <v>75192</v>
      </c>
      <c r="Z294" s="542">
        <v>0</v>
      </c>
      <c r="AA294" s="542">
        <v>0</v>
      </c>
      <c r="AB294" s="542">
        <v>0</v>
      </c>
      <c r="AC294" s="542">
        <v>0</v>
      </c>
      <c r="AD294" s="542">
        <v>4637541</v>
      </c>
      <c r="AE294" s="542">
        <v>4544790</v>
      </c>
      <c r="AF294" s="542">
        <v>0</v>
      </c>
      <c r="AG294" s="542">
        <v>92751</v>
      </c>
      <c r="AH294" s="542">
        <v>9275082</v>
      </c>
      <c r="AI294" s="542">
        <v>-2568342</v>
      </c>
      <c r="AJ294" s="542">
        <v>-2516976</v>
      </c>
      <c r="AK294" s="542">
        <v>0</v>
      </c>
      <c r="AL294" s="542">
        <v>-51367</v>
      </c>
      <c r="AM294" s="542">
        <v>-5136685</v>
      </c>
      <c r="AN294" s="542">
        <v>-1844968.4</v>
      </c>
      <c r="AO294" s="542">
        <v>-1808069</v>
      </c>
      <c r="AP294" s="542">
        <v>0</v>
      </c>
      <c r="AQ294" s="542">
        <v>-36900</v>
      </c>
      <c r="AR294" s="542">
        <v>-3689937.4</v>
      </c>
      <c r="AS294" s="542">
        <v>777157</v>
      </c>
      <c r="AT294" s="542">
        <v>761614</v>
      </c>
      <c r="AU294" s="542">
        <v>0</v>
      </c>
      <c r="AV294" s="542">
        <v>15543</v>
      </c>
      <c r="AW294" s="542">
        <v>1554314</v>
      </c>
      <c r="AX294" s="542">
        <v>-2720627</v>
      </c>
      <c r="AY294" s="542">
        <v>-2666214</v>
      </c>
      <c r="AZ294" s="542">
        <v>0</v>
      </c>
      <c r="BA294" s="542">
        <v>-54413</v>
      </c>
      <c r="BB294" s="542">
        <v>-5441254</v>
      </c>
      <c r="BC294" s="542">
        <v>-3788438.4</v>
      </c>
      <c r="BD294" s="542">
        <v>-3712669</v>
      </c>
      <c r="BE294" s="542">
        <v>0</v>
      </c>
      <c r="BF294" s="542">
        <v>-75770</v>
      </c>
      <c r="BG294" s="542">
        <v>-7576877.4000000004</v>
      </c>
      <c r="BH294" s="542">
        <v>-18411440</v>
      </c>
      <c r="BI294" s="542">
        <v>-18043211</v>
      </c>
      <c r="BJ294" s="542">
        <v>0</v>
      </c>
      <c r="BK294" s="542">
        <v>-368229</v>
      </c>
      <c r="BL294" s="542">
        <v>-36822880</v>
      </c>
      <c r="BM294" s="542">
        <v>4973932</v>
      </c>
      <c r="BN294" s="542">
        <v>4874453</v>
      </c>
      <c r="BO294" s="542">
        <v>0</v>
      </c>
      <c r="BP294" s="542">
        <v>99479</v>
      </c>
      <c r="BQ294" s="542">
        <v>9947864</v>
      </c>
      <c r="BR294" s="542">
        <v>-849186</v>
      </c>
      <c r="BS294" s="542">
        <v>-832202</v>
      </c>
      <c r="BT294" s="542">
        <v>0</v>
      </c>
      <c r="BU294" s="542">
        <v>-16984</v>
      </c>
      <c r="BV294" s="542">
        <v>-1698372</v>
      </c>
      <c r="BW294" s="542">
        <v>-14286694</v>
      </c>
      <c r="BX294" s="542">
        <v>-14000960</v>
      </c>
      <c r="BY294" s="542">
        <v>0</v>
      </c>
      <c r="BZ294" s="542">
        <v>-285734</v>
      </c>
      <c r="CA294" s="542">
        <v>-28573388</v>
      </c>
    </row>
    <row r="295" spans="1:79" ht="12.75" x14ac:dyDescent="0.2">
      <c r="A295" s="93">
        <v>289</v>
      </c>
      <c r="B295" s="145" t="s">
        <v>456</v>
      </c>
      <c r="C295" s="141" t="s">
        <v>866</v>
      </c>
      <c r="D295" s="142" t="s">
        <v>867</v>
      </c>
      <c r="E295" s="149" t="s">
        <v>455</v>
      </c>
      <c r="F295" s="543">
        <v>0.5</v>
      </c>
      <c r="G295" s="543">
        <v>0.4</v>
      </c>
      <c r="H295" s="543">
        <v>0.09</v>
      </c>
      <c r="I295" s="543">
        <v>0.01</v>
      </c>
      <c r="J295" s="543">
        <v>1</v>
      </c>
      <c r="K295" s="542">
        <v>25261651</v>
      </c>
      <c r="L295" s="542">
        <v>20209320</v>
      </c>
      <c r="M295" s="542">
        <v>4547097</v>
      </c>
      <c r="N295" s="542">
        <v>505233</v>
      </c>
      <c r="O295" s="542">
        <v>50523301</v>
      </c>
      <c r="P295" s="542">
        <v>0</v>
      </c>
      <c r="Q295" s="542">
        <v>0</v>
      </c>
      <c r="R295" s="542">
        <v>25261651</v>
      </c>
      <c r="S295" s="542">
        <v>178970</v>
      </c>
      <c r="T295" s="542">
        <v>178970</v>
      </c>
      <c r="U295" s="542">
        <v>0</v>
      </c>
      <c r="V295" s="542">
        <v>0</v>
      </c>
      <c r="W295" s="542">
        <v>0</v>
      </c>
      <c r="X295" s="542">
        <v>0</v>
      </c>
      <c r="Y295" s="542">
        <v>0</v>
      </c>
      <c r="Z295" s="542">
        <v>0</v>
      </c>
      <c r="AA295" s="542">
        <v>0</v>
      </c>
      <c r="AB295" s="542">
        <v>0</v>
      </c>
      <c r="AC295" s="542">
        <v>0</v>
      </c>
      <c r="AD295" s="542">
        <v>976040</v>
      </c>
      <c r="AE295" s="542">
        <v>780832</v>
      </c>
      <c r="AF295" s="542">
        <v>175687</v>
      </c>
      <c r="AG295" s="542">
        <v>19521</v>
      </c>
      <c r="AH295" s="542">
        <v>1952080</v>
      </c>
      <c r="AI295" s="542">
        <v>-274928</v>
      </c>
      <c r="AJ295" s="542">
        <v>-219942</v>
      </c>
      <c r="AK295" s="542">
        <v>-49487</v>
      </c>
      <c r="AL295" s="542">
        <v>-5499</v>
      </c>
      <c r="AM295" s="542">
        <v>-549856</v>
      </c>
      <c r="AN295" s="542">
        <v>-950528</v>
      </c>
      <c r="AO295" s="542">
        <v>-760424</v>
      </c>
      <c r="AP295" s="542">
        <v>-171096</v>
      </c>
      <c r="AQ295" s="542">
        <v>-19010</v>
      </c>
      <c r="AR295" s="542">
        <v>-1901058</v>
      </c>
      <c r="AS295" s="542">
        <v>0</v>
      </c>
      <c r="AT295" s="542">
        <v>0</v>
      </c>
      <c r="AU295" s="542">
        <v>0</v>
      </c>
      <c r="AV295" s="542">
        <v>0</v>
      </c>
      <c r="AW295" s="542">
        <v>0</v>
      </c>
      <c r="AX295" s="542">
        <v>49194</v>
      </c>
      <c r="AY295" s="542">
        <v>39355</v>
      </c>
      <c r="AZ295" s="542">
        <v>8855</v>
      </c>
      <c r="BA295" s="542">
        <v>984</v>
      </c>
      <c r="BB295" s="542">
        <v>98388</v>
      </c>
      <c r="BC295" s="542">
        <v>-901334</v>
      </c>
      <c r="BD295" s="542">
        <v>-721069</v>
      </c>
      <c r="BE295" s="542">
        <v>-162241</v>
      </c>
      <c r="BF295" s="542">
        <v>-18026</v>
      </c>
      <c r="BG295" s="542">
        <v>-1802670</v>
      </c>
      <c r="BH295" s="542">
        <v>-877340</v>
      </c>
      <c r="BI295" s="542">
        <v>-701871</v>
      </c>
      <c r="BJ295" s="542">
        <v>-157921</v>
      </c>
      <c r="BK295" s="542">
        <v>-17546</v>
      </c>
      <c r="BL295" s="542">
        <v>-1754678</v>
      </c>
      <c r="BM295" s="542">
        <v>0</v>
      </c>
      <c r="BN295" s="542">
        <v>0</v>
      </c>
      <c r="BO295" s="542">
        <v>0</v>
      </c>
      <c r="BP295" s="542">
        <v>0</v>
      </c>
      <c r="BQ295" s="542">
        <v>0</v>
      </c>
      <c r="BR295" s="542">
        <v>-636047</v>
      </c>
      <c r="BS295" s="542">
        <v>-508838</v>
      </c>
      <c r="BT295" s="542">
        <v>-114488</v>
      </c>
      <c r="BU295" s="542">
        <v>-12721</v>
      </c>
      <c r="BV295" s="542">
        <v>-1272094</v>
      </c>
      <c r="BW295" s="542">
        <v>-1513387</v>
      </c>
      <c r="BX295" s="542">
        <v>-1210709</v>
      </c>
      <c r="BY295" s="542">
        <v>-272409</v>
      </c>
      <c r="BZ295" s="542">
        <v>-30267</v>
      </c>
      <c r="CA295" s="542">
        <v>-3026772</v>
      </c>
    </row>
    <row r="296" spans="1:79" ht="12.75" x14ac:dyDescent="0.2">
      <c r="A296" s="93">
        <v>290</v>
      </c>
      <c r="B296" s="145" t="s">
        <v>458</v>
      </c>
      <c r="C296" s="141" t="s">
        <v>866</v>
      </c>
      <c r="D296" s="142" t="s">
        <v>870</v>
      </c>
      <c r="E296" s="149" t="s">
        <v>457</v>
      </c>
      <c r="F296" s="543">
        <v>0.5</v>
      </c>
      <c r="G296" s="543">
        <v>0.4</v>
      </c>
      <c r="H296" s="543">
        <v>0.09</v>
      </c>
      <c r="I296" s="543">
        <v>0.01</v>
      </c>
      <c r="J296" s="543">
        <v>1</v>
      </c>
      <c r="K296" s="542">
        <v>21853957</v>
      </c>
      <c r="L296" s="542">
        <v>17483165</v>
      </c>
      <c r="M296" s="542">
        <v>3933712</v>
      </c>
      <c r="N296" s="542">
        <v>437079</v>
      </c>
      <c r="O296" s="542">
        <v>43707913</v>
      </c>
      <c r="P296" s="542">
        <v>0</v>
      </c>
      <c r="Q296" s="542">
        <v>0</v>
      </c>
      <c r="R296" s="542">
        <v>21853957</v>
      </c>
      <c r="S296" s="542">
        <v>139025</v>
      </c>
      <c r="T296" s="542">
        <v>139025</v>
      </c>
      <c r="U296" s="542">
        <v>0</v>
      </c>
      <c r="V296" s="542">
        <v>0</v>
      </c>
      <c r="W296" s="542">
        <v>0</v>
      </c>
      <c r="X296" s="542">
        <v>0</v>
      </c>
      <c r="Y296" s="542">
        <v>0</v>
      </c>
      <c r="Z296" s="542">
        <v>0</v>
      </c>
      <c r="AA296" s="542">
        <v>0</v>
      </c>
      <c r="AB296" s="542">
        <v>0</v>
      </c>
      <c r="AC296" s="542">
        <v>0</v>
      </c>
      <c r="AD296" s="542">
        <v>470881</v>
      </c>
      <c r="AE296" s="542">
        <v>376705</v>
      </c>
      <c r="AF296" s="542">
        <v>84759</v>
      </c>
      <c r="AG296" s="542">
        <v>9418</v>
      </c>
      <c r="AH296" s="542">
        <v>941763</v>
      </c>
      <c r="AI296" s="542">
        <v>-217020</v>
      </c>
      <c r="AJ296" s="542">
        <v>-173615</v>
      </c>
      <c r="AK296" s="542">
        <v>-39063</v>
      </c>
      <c r="AL296" s="542">
        <v>-4340</v>
      </c>
      <c r="AM296" s="542">
        <v>-434038</v>
      </c>
      <c r="AN296" s="542">
        <v>-192922</v>
      </c>
      <c r="AO296" s="542">
        <v>-154338</v>
      </c>
      <c r="AP296" s="542">
        <v>-34726</v>
      </c>
      <c r="AQ296" s="542">
        <v>-3859</v>
      </c>
      <c r="AR296" s="542">
        <v>-385845</v>
      </c>
      <c r="AS296" s="542">
        <v>0</v>
      </c>
      <c r="AT296" s="542">
        <v>0</v>
      </c>
      <c r="AU296" s="542">
        <v>0</v>
      </c>
      <c r="AV296" s="542">
        <v>0</v>
      </c>
      <c r="AW296" s="542">
        <v>0</v>
      </c>
      <c r="AX296" s="542">
        <v>-23142</v>
      </c>
      <c r="AY296" s="542">
        <v>-18513</v>
      </c>
      <c r="AZ296" s="542">
        <v>-4165</v>
      </c>
      <c r="BA296" s="542">
        <v>-463</v>
      </c>
      <c r="BB296" s="542">
        <v>-46283</v>
      </c>
      <c r="BC296" s="542">
        <v>-216064</v>
      </c>
      <c r="BD296" s="542">
        <v>-172851</v>
      </c>
      <c r="BE296" s="542">
        <v>-38891</v>
      </c>
      <c r="BF296" s="542">
        <v>-4322</v>
      </c>
      <c r="BG296" s="542">
        <v>-432128</v>
      </c>
      <c r="BH296" s="542">
        <v>-5762291</v>
      </c>
      <c r="BI296" s="542">
        <v>-4609833</v>
      </c>
      <c r="BJ296" s="542">
        <v>-1037213</v>
      </c>
      <c r="BK296" s="542">
        <v>-115246</v>
      </c>
      <c r="BL296" s="542">
        <v>-11524583</v>
      </c>
      <c r="BM296" s="542">
        <v>2197331</v>
      </c>
      <c r="BN296" s="542">
        <v>1757864</v>
      </c>
      <c r="BO296" s="542">
        <v>395519</v>
      </c>
      <c r="BP296" s="542">
        <v>43947</v>
      </c>
      <c r="BQ296" s="542">
        <v>4394661</v>
      </c>
      <c r="BR296" s="542">
        <v>-1039429</v>
      </c>
      <c r="BS296" s="542">
        <v>-831543</v>
      </c>
      <c r="BT296" s="542">
        <v>-187097</v>
      </c>
      <c r="BU296" s="542">
        <v>-20789</v>
      </c>
      <c r="BV296" s="542">
        <v>-2078858</v>
      </c>
      <c r="BW296" s="542">
        <v>-4604389</v>
      </c>
      <c r="BX296" s="542">
        <v>-3683512</v>
      </c>
      <c r="BY296" s="542">
        <v>-828791</v>
      </c>
      <c r="BZ296" s="542">
        <v>-92088</v>
      </c>
      <c r="CA296" s="542">
        <v>-9208780</v>
      </c>
    </row>
    <row r="297" spans="1:79" ht="12.75" x14ac:dyDescent="0.2">
      <c r="A297" s="93">
        <v>291</v>
      </c>
      <c r="B297" s="145" t="s">
        <v>460</v>
      </c>
      <c r="C297" s="141" t="s">
        <v>866</v>
      </c>
      <c r="D297" s="142" t="s">
        <v>867</v>
      </c>
      <c r="E297" s="149" t="s">
        <v>459</v>
      </c>
      <c r="F297" s="543">
        <v>0.5</v>
      </c>
      <c r="G297" s="543">
        <v>0.4</v>
      </c>
      <c r="H297" s="543">
        <v>0.1</v>
      </c>
      <c r="I297" s="543">
        <v>0</v>
      </c>
      <c r="J297" s="543">
        <v>1</v>
      </c>
      <c r="K297" s="542">
        <v>26621213</v>
      </c>
      <c r="L297" s="542">
        <v>21296971</v>
      </c>
      <c r="M297" s="542">
        <v>5324243</v>
      </c>
      <c r="N297" s="542">
        <v>0</v>
      </c>
      <c r="O297" s="542">
        <v>53242427</v>
      </c>
      <c r="P297" s="542">
        <v>595340.57700000005</v>
      </c>
      <c r="Q297" s="542">
        <v>595340.57700000005</v>
      </c>
      <c r="R297" s="542">
        <v>26025872.399999999</v>
      </c>
      <c r="S297" s="542">
        <v>187524</v>
      </c>
      <c r="T297" s="542">
        <v>187524</v>
      </c>
      <c r="U297" s="542">
        <v>0</v>
      </c>
      <c r="V297" s="542">
        <v>0</v>
      </c>
      <c r="W297" s="542">
        <v>118572</v>
      </c>
      <c r="X297" s="542">
        <v>0</v>
      </c>
      <c r="Y297" s="542">
        <v>118572</v>
      </c>
      <c r="Z297" s="542">
        <v>595340.57700000005</v>
      </c>
      <c r="AA297" s="542">
        <v>0</v>
      </c>
      <c r="AB297" s="542">
        <v>0</v>
      </c>
      <c r="AC297" s="542">
        <v>595340.57700000005</v>
      </c>
      <c r="AD297" s="542">
        <v>763132</v>
      </c>
      <c r="AE297" s="542">
        <v>610506</v>
      </c>
      <c r="AF297" s="542">
        <v>152626</v>
      </c>
      <c r="AG297" s="542">
        <v>0</v>
      </c>
      <c r="AH297" s="542">
        <v>1526264</v>
      </c>
      <c r="AI297" s="542">
        <v>-455222</v>
      </c>
      <c r="AJ297" s="542">
        <v>-364178</v>
      </c>
      <c r="AK297" s="542">
        <v>-91044</v>
      </c>
      <c r="AL297" s="542">
        <v>0</v>
      </c>
      <c r="AM297" s="542">
        <v>-910444</v>
      </c>
      <c r="AN297" s="542">
        <v>-279940</v>
      </c>
      <c r="AO297" s="542">
        <v>-223952</v>
      </c>
      <c r="AP297" s="542">
        <v>-55988</v>
      </c>
      <c r="AQ297" s="542">
        <v>0</v>
      </c>
      <c r="AR297" s="542">
        <v>-559880</v>
      </c>
      <c r="AS297" s="542">
        <v>2043</v>
      </c>
      <c r="AT297" s="542">
        <v>1634</v>
      </c>
      <c r="AU297" s="542">
        <v>409</v>
      </c>
      <c r="AV297" s="542">
        <v>0</v>
      </c>
      <c r="AW297" s="542">
        <v>4086</v>
      </c>
      <c r="AX297" s="542">
        <v>-116143</v>
      </c>
      <c r="AY297" s="542">
        <v>-92914</v>
      </c>
      <c r="AZ297" s="542">
        <v>-23229</v>
      </c>
      <c r="BA297" s="542">
        <v>0</v>
      </c>
      <c r="BB297" s="542">
        <v>-232286</v>
      </c>
      <c r="BC297" s="542">
        <v>-394040</v>
      </c>
      <c r="BD297" s="542">
        <v>-315232</v>
      </c>
      <c r="BE297" s="542">
        <v>-78808</v>
      </c>
      <c r="BF297" s="542">
        <v>0</v>
      </c>
      <c r="BG297" s="542">
        <v>-788080</v>
      </c>
      <c r="BH297" s="542">
        <v>-2930393</v>
      </c>
      <c r="BI297" s="542">
        <v>-2344315</v>
      </c>
      <c r="BJ297" s="542">
        <v>-586079</v>
      </c>
      <c r="BK297" s="542">
        <v>0</v>
      </c>
      <c r="BL297" s="542">
        <v>-5860787</v>
      </c>
      <c r="BM297" s="542">
        <v>952446</v>
      </c>
      <c r="BN297" s="542">
        <v>761956</v>
      </c>
      <c r="BO297" s="542">
        <v>190489</v>
      </c>
      <c r="BP297" s="542">
        <v>0</v>
      </c>
      <c r="BQ297" s="542">
        <v>1904891</v>
      </c>
      <c r="BR297" s="542">
        <v>152458</v>
      </c>
      <c r="BS297" s="542">
        <v>121966</v>
      </c>
      <c r="BT297" s="542">
        <v>30492</v>
      </c>
      <c r="BU297" s="542">
        <v>0</v>
      </c>
      <c r="BV297" s="542">
        <v>304916</v>
      </c>
      <c r="BW297" s="542">
        <v>-1825489</v>
      </c>
      <c r="BX297" s="542">
        <v>-1460393</v>
      </c>
      <c r="BY297" s="542">
        <v>-365098</v>
      </c>
      <c r="BZ297" s="542">
        <v>0</v>
      </c>
      <c r="CA297" s="542">
        <v>-3650980</v>
      </c>
    </row>
    <row r="298" spans="1:79" ht="12.75" x14ac:dyDescent="0.2">
      <c r="A298" s="93">
        <v>292</v>
      </c>
      <c r="B298" s="145" t="s">
        <v>462</v>
      </c>
      <c r="C298" s="141" t="s">
        <v>873</v>
      </c>
      <c r="D298" s="142" t="s">
        <v>874</v>
      </c>
      <c r="E298" s="149" t="s">
        <v>461</v>
      </c>
      <c r="F298" s="543">
        <v>0.5</v>
      </c>
      <c r="G298" s="543">
        <v>0.49</v>
      </c>
      <c r="H298" s="543">
        <v>0</v>
      </c>
      <c r="I298" s="543">
        <v>0.01</v>
      </c>
      <c r="J298" s="543">
        <v>1</v>
      </c>
      <c r="K298" s="542">
        <v>59140769</v>
      </c>
      <c r="L298" s="542">
        <v>57957954</v>
      </c>
      <c r="M298" s="542">
        <v>0</v>
      </c>
      <c r="N298" s="542">
        <v>1182815</v>
      </c>
      <c r="O298" s="542">
        <v>118281538</v>
      </c>
      <c r="P298" s="542">
        <v>0</v>
      </c>
      <c r="Q298" s="542">
        <v>0</v>
      </c>
      <c r="R298" s="542">
        <v>59140769</v>
      </c>
      <c r="S298" s="542">
        <v>458655</v>
      </c>
      <c r="T298" s="542">
        <v>458655</v>
      </c>
      <c r="U298" s="542">
        <v>0</v>
      </c>
      <c r="V298" s="542">
        <v>0</v>
      </c>
      <c r="W298" s="542">
        <v>0</v>
      </c>
      <c r="X298" s="542">
        <v>0</v>
      </c>
      <c r="Y298" s="542">
        <v>0</v>
      </c>
      <c r="Z298" s="542">
        <v>0</v>
      </c>
      <c r="AA298" s="542">
        <v>0</v>
      </c>
      <c r="AB298" s="542">
        <v>0</v>
      </c>
      <c r="AC298" s="542">
        <v>0</v>
      </c>
      <c r="AD298" s="542">
        <v>837934</v>
      </c>
      <c r="AE298" s="542">
        <v>821176</v>
      </c>
      <c r="AF298" s="542">
        <v>0</v>
      </c>
      <c r="AG298" s="542">
        <v>16759</v>
      </c>
      <c r="AH298" s="542">
        <v>1675869</v>
      </c>
      <c r="AI298" s="542">
        <v>-491794</v>
      </c>
      <c r="AJ298" s="542">
        <v>-481958</v>
      </c>
      <c r="AK298" s="542">
        <v>0</v>
      </c>
      <c r="AL298" s="542">
        <v>-9836</v>
      </c>
      <c r="AM298" s="542">
        <v>-983588</v>
      </c>
      <c r="AN298" s="542">
        <v>-510000</v>
      </c>
      <c r="AO298" s="542">
        <v>-499800</v>
      </c>
      <c r="AP298" s="542">
        <v>0</v>
      </c>
      <c r="AQ298" s="542">
        <v>-10200</v>
      </c>
      <c r="AR298" s="542">
        <v>-1020000</v>
      </c>
      <c r="AS298" s="542">
        <v>400366</v>
      </c>
      <c r="AT298" s="542">
        <v>392358</v>
      </c>
      <c r="AU298" s="542">
        <v>0</v>
      </c>
      <c r="AV298" s="542">
        <v>8007</v>
      </c>
      <c r="AW298" s="542">
        <v>800731</v>
      </c>
      <c r="AX298" s="542">
        <v>-400366</v>
      </c>
      <c r="AY298" s="542">
        <v>-392358</v>
      </c>
      <c r="AZ298" s="542">
        <v>0</v>
      </c>
      <c r="BA298" s="542">
        <v>-8007</v>
      </c>
      <c r="BB298" s="542">
        <v>-800731</v>
      </c>
      <c r="BC298" s="542">
        <v>-510000</v>
      </c>
      <c r="BD298" s="542">
        <v>-499800</v>
      </c>
      <c r="BE298" s="542">
        <v>0</v>
      </c>
      <c r="BF298" s="542">
        <v>-10200</v>
      </c>
      <c r="BG298" s="542">
        <v>-1020000</v>
      </c>
      <c r="BH298" s="542">
        <v>-2161517</v>
      </c>
      <c r="BI298" s="542">
        <v>-2118288</v>
      </c>
      <c r="BJ298" s="542">
        <v>0</v>
      </c>
      <c r="BK298" s="542">
        <v>-43231</v>
      </c>
      <c r="BL298" s="542">
        <v>-4323036</v>
      </c>
      <c r="BM298" s="542">
        <v>1256914</v>
      </c>
      <c r="BN298" s="542">
        <v>1231776</v>
      </c>
      <c r="BO298" s="542">
        <v>0</v>
      </c>
      <c r="BP298" s="542">
        <v>25138</v>
      </c>
      <c r="BQ298" s="542">
        <v>2513828</v>
      </c>
      <c r="BR298" s="542">
        <v>-2802605</v>
      </c>
      <c r="BS298" s="542">
        <v>-2746553</v>
      </c>
      <c r="BT298" s="542">
        <v>0</v>
      </c>
      <c r="BU298" s="542">
        <v>-56052</v>
      </c>
      <c r="BV298" s="542">
        <v>-5605210</v>
      </c>
      <c r="BW298" s="542">
        <v>-3707208</v>
      </c>
      <c r="BX298" s="542">
        <v>-3633065</v>
      </c>
      <c r="BY298" s="542">
        <v>0</v>
      </c>
      <c r="BZ298" s="542">
        <v>-74145</v>
      </c>
      <c r="CA298" s="542">
        <v>-7414418</v>
      </c>
    </row>
    <row r="299" spans="1:79" ht="12.75" x14ac:dyDescent="0.2">
      <c r="A299" s="93">
        <v>293</v>
      </c>
      <c r="B299" s="145" t="s">
        <v>464</v>
      </c>
      <c r="C299" s="141" t="s">
        <v>873</v>
      </c>
      <c r="D299" s="142" t="s">
        <v>876</v>
      </c>
      <c r="E299" s="149" t="s">
        <v>463</v>
      </c>
      <c r="F299" s="543">
        <v>0.5</v>
      </c>
      <c r="G299" s="543">
        <v>0.49</v>
      </c>
      <c r="H299" s="543">
        <v>0</v>
      </c>
      <c r="I299" s="543">
        <v>0.01</v>
      </c>
      <c r="J299" s="543">
        <v>1</v>
      </c>
      <c r="K299" s="542">
        <v>30838444</v>
      </c>
      <c r="L299" s="542">
        <v>30221676</v>
      </c>
      <c r="M299" s="542">
        <v>0</v>
      </c>
      <c r="N299" s="542">
        <v>616769</v>
      </c>
      <c r="O299" s="542">
        <v>61676889</v>
      </c>
      <c r="P299" s="542">
        <v>0</v>
      </c>
      <c r="Q299" s="542">
        <v>0</v>
      </c>
      <c r="R299" s="542">
        <v>30838444</v>
      </c>
      <c r="S299" s="542">
        <v>343486</v>
      </c>
      <c r="T299" s="542">
        <v>343486</v>
      </c>
      <c r="U299" s="542">
        <v>8564</v>
      </c>
      <c r="V299" s="542">
        <v>8564</v>
      </c>
      <c r="W299" s="542">
        <v>0</v>
      </c>
      <c r="X299" s="542">
        <v>0</v>
      </c>
      <c r="Y299" s="542">
        <v>0</v>
      </c>
      <c r="Z299" s="542">
        <v>0</v>
      </c>
      <c r="AA299" s="542">
        <v>0</v>
      </c>
      <c r="AB299" s="542">
        <v>0</v>
      </c>
      <c r="AC299" s="542">
        <v>0</v>
      </c>
      <c r="AD299" s="542">
        <v>3190643</v>
      </c>
      <c r="AE299" s="542">
        <v>3126830</v>
      </c>
      <c r="AF299" s="542">
        <v>0</v>
      </c>
      <c r="AG299" s="542">
        <v>63813</v>
      </c>
      <c r="AH299" s="542">
        <v>6381286</v>
      </c>
      <c r="AI299" s="542">
        <v>-887987</v>
      </c>
      <c r="AJ299" s="542">
        <v>-870228</v>
      </c>
      <c r="AK299" s="542">
        <v>0</v>
      </c>
      <c r="AL299" s="542">
        <v>-17760</v>
      </c>
      <c r="AM299" s="542">
        <v>-1775975</v>
      </c>
      <c r="AN299" s="542">
        <v>-1352149</v>
      </c>
      <c r="AO299" s="542">
        <v>-1325106</v>
      </c>
      <c r="AP299" s="542">
        <v>0</v>
      </c>
      <c r="AQ299" s="542">
        <v>-27043</v>
      </c>
      <c r="AR299" s="542">
        <v>-2704298</v>
      </c>
      <c r="AS299" s="542">
        <v>0</v>
      </c>
      <c r="AT299" s="542">
        <v>0</v>
      </c>
      <c r="AU299" s="542">
        <v>0</v>
      </c>
      <c r="AV299" s="542">
        <v>0</v>
      </c>
      <c r="AW299" s="542">
        <v>0</v>
      </c>
      <c r="AX299" s="542">
        <v>-117972</v>
      </c>
      <c r="AY299" s="542">
        <v>-115612</v>
      </c>
      <c r="AZ299" s="542">
        <v>0</v>
      </c>
      <c r="BA299" s="542">
        <v>-2359</v>
      </c>
      <c r="BB299" s="542">
        <v>-235943</v>
      </c>
      <c r="BC299" s="542">
        <v>-1470121</v>
      </c>
      <c r="BD299" s="542">
        <v>-1440718</v>
      </c>
      <c r="BE299" s="542">
        <v>0</v>
      </c>
      <c r="BF299" s="542">
        <v>-29402</v>
      </c>
      <c r="BG299" s="542">
        <v>-2940241</v>
      </c>
      <c r="BH299" s="542">
        <v>-1913771</v>
      </c>
      <c r="BI299" s="542">
        <v>-1875497</v>
      </c>
      <c r="BJ299" s="542">
        <v>0</v>
      </c>
      <c r="BK299" s="542">
        <v>-38276</v>
      </c>
      <c r="BL299" s="542">
        <v>-3827544</v>
      </c>
      <c r="BM299" s="542">
        <v>0</v>
      </c>
      <c r="BN299" s="542">
        <v>0</v>
      </c>
      <c r="BO299" s="542">
        <v>0</v>
      </c>
      <c r="BP299" s="542">
        <v>0</v>
      </c>
      <c r="BQ299" s="542">
        <v>0</v>
      </c>
      <c r="BR299" s="542">
        <v>-1178230</v>
      </c>
      <c r="BS299" s="542">
        <v>-1154666</v>
      </c>
      <c r="BT299" s="542">
        <v>0</v>
      </c>
      <c r="BU299" s="542">
        <v>-23565</v>
      </c>
      <c r="BV299" s="542">
        <v>-2356461</v>
      </c>
      <c r="BW299" s="542">
        <v>-3092001</v>
      </c>
      <c r="BX299" s="542">
        <v>-3030163</v>
      </c>
      <c r="BY299" s="542">
        <v>0</v>
      </c>
      <c r="BZ299" s="542">
        <v>-61841</v>
      </c>
      <c r="CA299" s="542">
        <v>-6184005</v>
      </c>
    </row>
    <row r="300" spans="1:79" ht="12.75" x14ac:dyDescent="0.2">
      <c r="A300" s="93">
        <v>294</v>
      </c>
      <c r="B300" s="145" t="s">
        <v>466</v>
      </c>
      <c r="C300" s="141" t="s">
        <v>871</v>
      </c>
      <c r="D300" s="142" t="s">
        <v>872</v>
      </c>
      <c r="E300" s="149" t="s">
        <v>465</v>
      </c>
      <c r="F300" s="543">
        <v>0.5</v>
      </c>
      <c r="G300" s="543">
        <v>0.3</v>
      </c>
      <c r="H300" s="543">
        <v>0.2</v>
      </c>
      <c r="I300" s="543">
        <v>0</v>
      </c>
      <c r="J300" s="543">
        <v>1</v>
      </c>
      <c r="K300" s="542">
        <v>25578596</v>
      </c>
      <c r="L300" s="542">
        <v>15347158</v>
      </c>
      <c r="M300" s="542">
        <v>10231439</v>
      </c>
      <c r="N300" s="542">
        <v>0</v>
      </c>
      <c r="O300" s="542">
        <v>51157193</v>
      </c>
      <c r="P300" s="542">
        <v>0</v>
      </c>
      <c r="Q300" s="542">
        <v>0</v>
      </c>
      <c r="R300" s="542">
        <v>25578596</v>
      </c>
      <c r="S300" s="542">
        <v>291662</v>
      </c>
      <c r="T300" s="542">
        <v>291662</v>
      </c>
      <c r="U300" s="542">
        <v>0</v>
      </c>
      <c r="V300" s="542">
        <v>0</v>
      </c>
      <c r="W300" s="542">
        <v>0</v>
      </c>
      <c r="X300" s="542">
        <v>0</v>
      </c>
      <c r="Y300" s="542">
        <v>0</v>
      </c>
      <c r="Z300" s="542">
        <v>0</v>
      </c>
      <c r="AA300" s="542">
        <v>0</v>
      </c>
      <c r="AB300" s="542">
        <v>0</v>
      </c>
      <c r="AC300" s="542">
        <v>0</v>
      </c>
      <c r="AD300" s="542">
        <v>2701167</v>
      </c>
      <c r="AE300" s="542">
        <v>1620701</v>
      </c>
      <c r="AF300" s="542">
        <v>1080467</v>
      </c>
      <c r="AG300" s="542">
        <v>0</v>
      </c>
      <c r="AH300" s="542">
        <v>5402335</v>
      </c>
      <c r="AI300" s="542">
        <v>-1225589</v>
      </c>
      <c r="AJ300" s="542">
        <v>-735354</v>
      </c>
      <c r="AK300" s="542">
        <v>-490236</v>
      </c>
      <c r="AL300" s="542">
        <v>0</v>
      </c>
      <c r="AM300" s="542">
        <v>-2451179</v>
      </c>
      <c r="AN300" s="542">
        <v>-1753943</v>
      </c>
      <c r="AO300" s="542">
        <v>-1052366</v>
      </c>
      <c r="AP300" s="542">
        <v>-701577</v>
      </c>
      <c r="AQ300" s="542">
        <v>0</v>
      </c>
      <c r="AR300" s="542">
        <v>-3507886</v>
      </c>
      <c r="AS300" s="542">
        <v>657972</v>
      </c>
      <c r="AT300" s="542">
        <v>394784</v>
      </c>
      <c r="AU300" s="542">
        <v>263189</v>
      </c>
      <c r="AV300" s="542">
        <v>0</v>
      </c>
      <c r="AW300" s="542">
        <v>1315945</v>
      </c>
      <c r="AX300" s="542">
        <v>91657</v>
      </c>
      <c r="AY300" s="542">
        <v>54995</v>
      </c>
      <c r="AZ300" s="542">
        <v>36663</v>
      </c>
      <c r="BA300" s="542">
        <v>0</v>
      </c>
      <c r="BB300" s="542">
        <v>183315</v>
      </c>
      <c r="BC300" s="542">
        <v>-1004314</v>
      </c>
      <c r="BD300" s="542">
        <v>-602587</v>
      </c>
      <c r="BE300" s="542">
        <v>-401725</v>
      </c>
      <c r="BF300" s="542">
        <v>0</v>
      </c>
      <c r="BG300" s="542">
        <v>-2008626</v>
      </c>
      <c r="BH300" s="542">
        <v>-481064</v>
      </c>
      <c r="BI300" s="542">
        <v>-288638</v>
      </c>
      <c r="BJ300" s="542">
        <v>-192426</v>
      </c>
      <c r="BK300" s="542">
        <v>0</v>
      </c>
      <c r="BL300" s="542">
        <v>-962128</v>
      </c>
      <c r="BM300" s="542">
        <v>481064</v>
      </c>
      <c r="BN300" s="542">
        <v>288638</v>
      </c>
      <c r="BO300" s="542">
        <v>192426</v>
      </c>
      <c r="BP300" s="542">
        <v>0</v>
      </c>
      <c r="BQ300" s="542">
        <v>962128</v>
      </c>
      <c r="BR300" s="542">
        <v>-1022850</v>
      </c>
      <c r="BS300" s="542">
        <v>-613710</v>
      </c>
      <c r="BT300" s="542">
        <v>-409140</v>
      </c>
      <c r="BU300" s="542">
        <v>0</v>
      </c>
      <c r="BV300" s="542">
        <v>-2045700</v>
      </c>
      <c r="BW300" s="542">
        <v>-1022850</v>
      </c>
      <c r="BX300" s="542">
        <v>-613710</v>
      </c>
      <c r="BY300" s="542">
        <v>-409140</v>
      </c>
      <c r="BZ300" s="542">
        <v>0</v>
      </c>
      <c r="CA300" s="542">
        <v>-2045700</v>
      </c>
    </row>
    <row r="301" spans="1:79" ht="12.75" x14ac:dyDescent="0.2">
      <c r="A301" s="93">
        <v>295</v>
      </c>
      <c r="B301" s="145" t="s">
        <v>468</v>
      </c>
      <c r="C301" s="141" t="s">
        <v>877</v>
      </c>
      <c r="D301" s="142" t="s">
        <v>872</v>
      </c>
      <c r="E301" s="149" t="s">
        <v>467</v>
      </c>
      <c r="F301" s="543">
        <v>0.5</v>
      </c>
      <c r="G301" s="543">
        <v>0.3</v>
      </c>
      <c r="H301" s="543">
        <v>0.2</v>
      </c>
      <c r="I301" s="543">
        <v>0</v>
      </c>
      <c r="J301" s="543">
        <v>1</v>
      </c>
      <c r="K301" s="542">
        <v>50466967</v>
      </c>
      <c r="L301" s="542">
        <v>30280181</v>
      </c>
      <c r="M301" s="542">
        <v>20186787</v>
      </c>
      <c r="N301" s="542">
        <v>0</v>
      </c>
      <c r="O301" s="542">
        <v>100933935</v>
      </c>
      <c r="P301" s="542">
        <v>0</v>
      </c>
      <c r="Q301" s="542">
        <v>0</v>
      </c>
      <c r="R301" s="542">
        <v>50466967</v>
      </c>
      <c r="S301" s="542">
        <v>477094</v>
      </c>
      <c r="T301" s="542">
        <v>477094</v>
      </c>
      <c r="U301" s="542">
        <v>0</v>
      </c>
      <c r="V301" s="542">
        <v>0</v>
      </c>
      <c r="W301" s="542">
        <v>0</v>
      </c>
      <c r="X301" s="542">
        <v>0</v>
      </c>
      <c r="Y301" s="542">
        <v>0</v>
      </c>
      <c r="Z301" s="542">
        <v>0</v>
      </c>
      <c r="AA301" s="542">
        <v>0</v>
      </c>
      <c r="AB301" s="542">
        <v>0</v>
      </c>
      <c r="AC301" s="542">
        <v>0</v>
      </c>
      <c r="AD301" s="542">
        <v>2429793</v>
      </c>
      <c r="AE301" s="542">
        <v>1457876</v>
      </c>
      <c r="AF301" s="542">
        <v>971917</v>
      </c>
      <c r="AG301" s="542">
        <v>0</v>
      </c>
      <c r="AH301" s="542">
        <v>4859586</v>
      </c>
      <c r="AI301" s="542">
        <v>-1127111</v>
      </c>
      <c r="AJ301" s="542">
        <v>-676267</v>
      </c>
      <c r="AK301" s="542">
        <v>-450845</v>
      </c>
      <c r="AL301" s="542">
        <v>0</v>
      </c>
      <c r="AM301" s="542">
        <v>-2254223</v>
      </c>
      <c r="AN301" s="542">
        <v>-1294500</v>
      </c>
      <c r="AO301" s="542">
        <v>-776700</v>
      </c>
      <c r="AP301" s="542">
        <v>-517800</v>
      </c>
      <c r="AQ301" s="542">
        <v>0</v>
      </c>
      <c r="AR301" s="542">
        <v>-2589000</v>
      </c>
      <c r="AS301" s="542">
        <v>191636</v>
      </c>
      <c r="AT301" s="542">
        <v>114981</v>
      </c>
      <c r="AU301" s="542">
        <v>76654</v>
      </c>
      <c r="AV301" s="542">
        <v>0</v>
      </c>
      <c r="AW301" s="542">
        <v>383271</v>
      </c>
      <c r="AX301" s="542">
        <v>4364</v>
      </c>
      <c r="AY301" s="542">
        <v>2619</v>
      </c>
      <c r="AZ301" s="542">
        <v>1746</v>
      </c>
      <c r="BA301" s="542">
        <v>0</v>
      </c>
      <c r="BB301" s="542">
        <v>8729</v>
      </c>
      <c r="BC301" s="542">
        <v>-1098500</v>
      </c>
      <c r="BD301" s="542">
        <v>-659100</v>
      </c>
      <c r="BE301" s="542">
        <v>-439400</v>
      </c>
      <c r="BF301" s="542">
        <v>0</v>
      </c>
      <c r="BG301" s="542">
        <v>-2197000</v>
      </c>
      <c r="BH301" s="542">
        <v>-2957240</v>
      </c>
      <c r="BI301" s="542">
        <v>-1774344</v>
      </c>
      <c r="BJ301" s="542">
        <v>-1182895</v>
      </c>
      <c r="BK301" s="542">
        <v>0</v>
      </c>
      <c r="BL301" s="542">
        <v>-5914479</v>
      </c>
      <c r="BM301" s="542">
        <v>2336000</v>
      </c>
      <c r="BN301" s="542">
        <v>1401600</v>
      </c>
      <c r="BO301" s="542">
        <v>934400</v>
      </c>
      <c r="BP301" s="542">
        <v>0</v>
      </c>
      <c r="BQ301" s="542">
        <v>4672000</v>
      </c>
      <c r="BR301" s="542">
        <v>-2849677</v>
      </c>
      <c r="BS301" s="542">
        <v>-1709806</v>
      </c>
      <c r="BT301" s="542">
        <v>-1139871</v>
      </c>
      <c r="BU301" s="542">
        <v>0</v>
      </c>
      <c r="BV301" s="542">
        <v>-5699354</v>
      </c>
      <c r="BW301" s="542">
        <v>-3470917</v>
      </c>
      <c r="BX301" s="542">
        <v>-2082550</v>
      </c>
      <c r="BY301" s="542">
        <v>-1388366</v>
      </c>
      <c r="BZ301" s="542">
        <v>0</v>
      </c>
      <c r="CA301" s="542">
        <v>-6941833</v>
      </c>
    </row>
    <row r="302" spans="1:79" ht="12.75" x14ac:dyDescent="0.2">
      <c r="A302" s="93">
        <v>296</v>
      </c>
      <c r="B302" s="145" t="s">
        <v>470</v>
      </c>
      <c r="C302" s="141" t="s">
        <v>770</v>
      </c>
      <c r="D302" s="142" t="s">
        <v>868</v>
      </c>
      <c r="E302" s="149" t="s">
        <v>734</v>
      </c>
      <c r="F302" s="543">
        <v>0.5</v>
      </c>
      <c r="G302" s="543">
        <v>0.49</v>
      </c>
      <c r="H302" s="543">
        <v>0</v>
      </c>
      <c r="I302" s="543">
        <v>0.01</v>
      </c>
      <c r="J302" s="543">
        <v>1</v>
      </c>
      <c r="K302" s="542">
        <v>50623443</v>
      </c>
      <c r="L302" s="542">
        <v>49610974</v>
      </c>
      <c r="M302" s="542">
        <v>0</v>
      </c>
      <c r="N302" s="542">
        <v>1012469</v>
      </c>
      <c r="O302" s="542">
        <v>101246886</v>
      </c>
      <c r="P302" s="542">
        <v>0</v>
      </c>
      <c r="Q302" s="542">
        <v>0</v>
      </c>
      <c r="R302" s="542">
        <v>50623443</v>
      </c>
      <c r="S302" s="542">
        <v>306743</v>
      </c>
      <c r="T302" s="542">
        <v>306743</v>
      </c>
      <c r="U302" s="542">
        <v>0</v>
      </c>
      <c r="V302" s="542">
        <v>0</v>
      </c>
      <c r="W302" s="542">
        <v>0</v>
      </c>
      <c r="X302" s="542">
        <v>0</v>
      </c>
      <c r="Y302" s="542">
        <v>0</v>
      </c>
      <c r="Z302" s="542">
        <v>0</v>
      </c>
      <c r="AA302" s="542">
        <v>0</v>
      </c>
      <c r="AB302" s="542">
        <v>0</v>
      </c>
      <c r="AC302" s="542">
        <v>0</v>
      </c>
      <c r="AD302" s="542">
        <v>6200668</v>
      </c>
      <c r="AE302" s="542">
        <v>6076655</v>
      </c>
      <c r="AF302" s="542">
        <v>0</v>
      </c>
      <c r="AG302" s="542">
        <v>124013</v>
      </c>
      <c r="AH302" s="542">
        <v>12401336</v>
      </c>
      <c r="AI302" s="542">
        <v>-851003</v>
      </c>
      <c r="AJ302" s="542">
        <v>-833983</v>
      </c>
      <c r="AK302" s="542">
        <v>0</v>
      </c>
      <c r="AL302" s="542">
        <v>-17020</v>
      </c>
      <c r="AM302" s="542">
        <v>-1702006</v>
      </c>
      <c r="AN302" s="542">
        <v>-3482550</v>
      </c>
      <c r="AO302" s="542">
        <v>-3412899</v>
      </c>
      <c r="AP302" s="542">
        <v>0</v>
      </c>
      <c r="AQ302" s="542">
        <v>-69651</v>
      </c>
      <c r="AR302" s="542">
        <v>-6965100</v>
      </c>
      <c r="AS302" s="542">
        <v>0</v>
      </c>
      <c r="AT302" s="542">
        <v>0</v>
      </c>
      <c r="AU302" s="542">
        <v>0</v>
      </c>
      <c r="AV302" s="542">
        <v>0</v>
      </c>
      <c r="AW302" s="542">
        <v>0</v>
      </c>
      <c r="AX302" s="542">
        <v>298097</v>
      </c>
      <c r="AY302" s="542">
        <v>292136</v>
      </c>
      <c r="AZ302" s="542">
        <v>0</v>
      </c>
      <c r="BA302" s="542">
        <v>5962</v>
      </c>
      <c r="BB302" s="542">
        <v>596195</v>
      </c>
      <c r="BC302" s="542">
        <v>-3184453</v>
      </c>
      <c r="BD302" s="542">
        <v>-3120763</v>
      </c>
      <c r="BE302" s="542">
        <v>0</v>
      </c>
      <c r="BF302" s="542">
        <v>-63689</v>
      </c>
      <c r="BG302" s="542">
        <v>-6368905</v>
      </c>
      <c r="BH302" s="542">
        <v>-2065092</v>
      </c>
      <c r="BI302" s="542">
        <v>-2023791</v>
      </c>
      <c r="BJ302" s="542">
        <v>0</v>
      </c>
      <c r="BK302" s="542">
        <v>-41302</v>
      </c>
      <c r="BL302" s="542">
        <v>-4130185</v>
      </c>
      <c r="BM302" s="542">
        <v>0</v>
      </c>
      <c r="BN302" s="542">
        <v>0</v>
      </c>
      <c r="BO302" s="542">
        <v>0</v>
      </c>
      <c r="BP302" s="542">
        <v>0</v>
      </c>
      <c r="BQ302" s="542">
        <v>0</v>
      </c>
      <c r="BR302" s="542">
        <v>-1915296</v>
      </c>
      <c r="BS302" s="542">
        <v>-1876990</v>
      </c>
      <c r="BT302" s="542">
        <v>0</v>
      </c>
      <c r="BU302" s="542">
        <v>-38306</v>
      </c>
      <c r="BV302" s="542">
        <v>-3830592</v>
      </c>
      <c r="BW302" s="542">
        <v>-3980388</v>
      </c>
      <c r="BX302" s="542">
        <v>-3900781</v>
      </c>
      <c r="BY302" s="542">
        <v>0</v>
      </c>
      <c r="BZ302" s="542">
        <v>-79608</v>
      </c>
      <c r="CA302" s="542">
        <v>-7960777</v>
      </c>
    </row>
    <row r="303" spans="1:79" ht="12.75" x14ac:dyDescent="0.2">
      <c r="A303" s="93">
        <v>297</v>
      </c>
      <c r="B303" s="145" t="s">
        <v>472</v>
      </c>
      <c r="C303" s="141" t="s">
        <v>866</v>
      </c>
      <c r="D303" s="142" t="s">
        <v>876</v>
      </c>
      <c r="E303" s="149" t="s">
        <v>471</v>
      </c>
      <c r="F303" s="543">
        <v>0.5</v>
      </c>
      <c r="G303" s="543">
        <v>0.4</v>
      </c>
      <c r="H303" s="543">
        <v>0.1</v>
      </c>
      <c r="I303" s="543">
        <v>0</v>
      </c>
      <c r="J303" s="543">
        <v>1</v>
      </c>
      <c r="K303" s="542">
        <v>31653407</v>
      </c>
      <c r="L303" s="542">
        <v>25322725</v>
      </c>
      <c r="M303" s="542">
        <v>6330681</v>
      </c>
      <c r="N303" s="542">
        <v>0</v>
      </c>
      <c r="O303" s="542">
        <v>63306813</v>
      </c>
      <c r="P303" s="542">
        <v>0</v>
      </c>
      <c r="Q303" s="542">
        <v>0</v>
      </c>
      <c r="R303" s="542">
        <v>31653407</v>
      </c>
      <c r="S303" s="542">
        <v>213591</v>
      </c>
      <c r="T303" s="542">
        <v>213591</v>
      </c>
      <c r="U303" s="542">
        <v>0</v>
      </c>
      <c r="V303" s="542">
        <v>0</v>
      </c>
      <c r="W303" s="542">
        <v>0</v>
      </c>
      <c r="X303" s="542">
        <v>0</v>
      </c>
      <c r="Y303" s="542">
        <v>0</v>
      </c>
      <c r="Z303" s="542">
        <v>0</v>
      </c>
      <c r="AA303" s="542">
        <v>0</v>
      </c>
      <c r="AB303" s="542">
        <v>0</v>
      </c>
      <c r="AC303" s="542">
        <v>0</v>
      </c>
      <c r="AD303" s="542">
        <v>492165</v>
      </c>
      <c r="AE303" s="542">
        <v>393732</v>
      </c>
      <c r="AF303" s="542">
        <v>98433</v>
      </c>
      <c r="AG303" s="542">
        <v>0</v>
      </c>
      <c r="AH303" s="542">
        <v>984330</v>
      </c>
      <c r="AI303" s="542">
        <v>-534557</v>
      </c>
      <c r="AJ303" s="542">
        <v>-427646</v>
      </c>
      <c r="AK303" s="542">
        <v>-106912</v>
      </c>
      <c r="AL303" s="542">
        <v>0</v>
      </c>
      <c r="AM303" s="542">
        <v>-1069115</v>
      </c>
      <c r="AN303" s="542">
        <v>-375000</v>
      </c>
      <c r="AO303" s="542">
        <v>-300000</v>
      </c>
      <c r="AP303" s="542">
        <v>-75000</v>
      </c>
      <c r="AQ303" s="542">
        <v>0</v>
      </c>
      <c r="AR303" s="542">
        <v>-750000</v>
      </c>
      <c r="AS303" s="542">
        <v>260167</v>
      </c>
      <c r="AT303" s="542">
        <v>208134</v>
      </c>
      <c r="AU303" s="542">
        <v>52034</v>
      </c>
      <c r="AV303" s="542">
        <v>0</v>
      </c>
      <c r="AW303" s="542">
        <v>520335</v>
      </c>
      <c r="AX303" s="542">
        <v>-135167</v>
      </c>
      <c r="AY303" s="542">
        <v>-108134</v>
      </c>
      <c r="AZ303" s="542">
        <v>-27034</v>
      </c>
      <c r="BA303" s="542">
        <v>0</v>
      </c>
      <c r="BB303" s="542">
        <v>-270335</v>
      </c>
      <c r="BC303" s="542">
        <v>-250000</v>
      </c>
      <c r="BD303" s="542">
        <v>-200000</v>
      </c>
      <c r="BE303" s="542">
        <v>-50000</v>
      </c>
      <c r="BF303" s="542">
        <v>0</v>
      </c>
      <c r="BG303" s="542">
        <v>-500000</v>
      </c>
      <c r="BH303" s="542">
        <v>-3276579</v>
      </c>
      <c r="BI303" s="542">
        <v>-2621262</v>
      </c>
      <c r="BJ303" s="542">
        <v>-655315</v>
      </c>
      <c r="BK303" s="542">
        <v>0</v>
      </c>
      <c r="BL303" s="542">
        <v>-6553156</v>
      </c>
      <c r="BM303" s="542">
        <v>2894652</v>
      </c>
      <c r="BN303" s="542">
        <v>2315721</v>
      </c>
      <c r="BO303" s="542">
        <v>578930</v>
      </c>
      <c r="BP303" s="542">
        <v>0</v>
      </c>
      <c r="BQ303" s="542">
        <v>5789303</v>
      </c>
      <c r="BR303" s="542">
        <v>-3875013</v>
      </c>
      <c r="BS303" s="542">
        <v>-3100010</v>
      </c>
      <c r="BT303" s="542">
        <v>-775003</v>
      </c>
      <c r="BU303" s="542">
        <v>0</v>
      </c>
      <c r="BV303" s="542">
        <v>-7750026</v>
      </c>
      <c r="BW303" s="542">
        <v>-4256940</v>
      </c>
      <c r="BX303" s="542">
        <v>-3405551</v>
      </c>
      <c r="BY303" s="542">
        <v>-851388</v>
      </c>
      <c r="BZ303" s="542">
        <v>0</v>
      </c>
      <c r="CA303" s="542">
        <v>-8513879</v>
      </c>
    </row>
    <row r="304" spans="1:79" ht="12.75" x14ac:dyDescent="0.2">
      <c r="A304" s="93">
        <v>298</v>
      </c>
      <c r="B304" s="145" t="s">
        <v>474</v>
      </c>
      <c r="C304" s="141" t="s">
        <v>866</v>
      </c>
      <c r="D304" s="142" t="s">
        <v>870</v>
      </c>
      <c r="E304" s="149" t="s">
        <v>473</v>
      </c>
      <c r="F304" s="543">
        <v>0.5</v>
      </c>
      <c r="G304" s="543">
        <v>0.4</v>
      </c>
      <c r="H304" s="543">
        <v>0.1</v>
      </c>
      <c r="I304" s="543">
        <v>0</v>
      </c>
      <c r="J304" s="543">
        <v>1</v>
      </c>
      <c r="K304" s="542">
        <v>27341308</v>
      </c>
      <c r="L304" s="542">
        <v>21873047</v>
      </c>
      <c r="M304" s="542">
        <v>5468262</v>
      </c>
      <c r="N304" s="542">
        <v>0</v>
      </c>
      <c r="O304" s="542">
        <v>54682617</v>
      </c>
      <c r="P304" s="542">
        <v>0</v>
      </c>
      <c r="Q304" s="542">
        <v>0</v>
      </c>
      <c r="R304" s="542">
        <v>27341308</v>
      </c>
      <c r="S304" s="542">
        <v>174144</v>
      </c>
      <c r="T304" s="542">
        <v>174144</v>
      </c>
      <c r="U304" s="542">
        <v>0</v>
      </c>
      <c r="V304" s="542">
        <v>0</v>
      </c>
      <c r="W304" s="542">
        <v>0</v>
      </c>
      <c r="X304" s="542">
        <v>0</v>
      </c>
      <c r="Y304" s="542">
        <v>0</v>
      </c>
      <c r="Z304" s="542">
        <v>0</v>
      </c>
      <c r="AA304" s="542">
        <v>0</v>
      </c>
      <c r="AB304" s="542">
        <v>0</v>
      </c>
      <c r="AC304" s="542">
        <v>0</v>
      </c>
      <c r="AD304" s="542">
        <v>1980546</v>
      </c>
      <c r="AE304" s="542">
        <v>1584437</v>
      </c>
      <c r="AF304" s="542">
        <v>396109</v>
      </c>
      <c r="AG304" s="542">
        <v>0</v>
      </c>
      <c r="AH304" s="542">
        <v>3961092</v>
      </c>
      <c r="AI304" s="542">
        <v>-283081</v>
      </c>
      <c r="AJ304" s="542">
        <v>-226465</v>
      </c>
      <c r="AK304" s="542">
        <v>-56616</v>
      </c>
      <c r="AL304" s="542">
        <v>0</v>
      </c>
      <c r="AM304" s="542">
        <v>-566162</v>
      </c>
      <c r="AN304" s="542">
        <v>-1022000</v>
      </c>
      <c r="AO304" s="542">
        <v>-817600</v>
      </c>
      <c r="AP304" s="542">
        <v>-204400</v>
      </c>
      <c r="AQ304" s="542">
        <v>0</v>
      </c>
      <c r="AR304" s="542">
        <v>-2044000</v>
      </c>
      <c r="AS304" s="542">
        <v>410779</v>
      </c>
      <c r="AT304" s="542">
        <v>328624</v>
      </c>
      <c r="AU304" s="542">
        <v>82156</v>
      </c>
      <c r="AV304" s="542">
        <v>0</v>
      </c>
      <c r="AW304" s="542">
        <v>821559</v>
      </c>
      <c r="AX304" s="542">
        <v>-463500</v>
      </c>
      <c r="AY304" s="542">
        <v>-370800</v>
      </c>
      <c r="AZ304" s="542">
        <v>-92700</v>
      </c>
      <c r="BA304" s="542">
        <v>0</v>
      </c>
      <c r="BB304" s="542">
        <v>-927000</v>
      </c>
      <c r="BC304" s="542">
        <v>-1074721</v>
      </c>
      <c r="BD304" s="542">
        <v>-859776</v>
      </c>
      <c r="BE304" s="542">
        <v>-214944</v>
      </c>
      <c r="BF304" s="542">
        <v>0</v>
      </c>
      <c r="BG304" s="542">
        <v>-2149441</v>
      </c>
      <c r="BH304" s="542">
        <v>-3019581</v>
      </c>
      <c r="BI304" s="542">
        <v>-2415664</v>
      </c>
      <c r="BJ304" s="542">
        <v>-603916</v>
      </c>
      <c r="BK304" s="542">
        <v>0</v>
      </c>
      <c r="BL304" s="542">
        <v>-6039161</v>
      </c>
      <c r="BM304" s="542">
        <v>1057677</v>
      </c>
      <c r="BN304" s="542">
        <v>846141</v>
      </c>
      <c r="BO304" s="542">
        <v>211535</v>
      </c>
      <c r="BP304" s="542">
        <v>0</v>
      </c>
      <c r="BQ304" s="542">
        <v>2115353</v>
      </c>
      <c r="BR304" s="542">
        <v>-5056101</v>
      </c>
      <c r="BS304" s="542">
        <v>-4044881</v>
      </c>
      <c r="BT304" s="542">
        <v>-1011220</v>
      </c>
      <c r="BU304" s="542">
        <v>0</v>
      </c>
      <c r="BV304" s="542">
        <v>-10112202</v>
      </c>
      <c r="BW304" s="542">
        <v>-7018005</v>
      </c>
      <c r="BX304" s="542">
        <v>-5614404</v>
      </c>
      <c r="BY304" s="542">
        <v>-1403601</v>
      </c>
      <c r="BZ304" s="542">
        <v>0</v>
      </c>
      <c r="CA304" s="542">
        <v>-14036010</v>
      </c>
    </row>
    <row r="305" spans="1:79" ht="12.75" x14ac:dyDescent="0.2">
      <c r="A305" s="93">
        <v>299</v>
      </c>
      <c r="B305" s="145" t="s">
        <v>476</v>
      </c>
      <c r="C305" s="141" t="s">
        <v>866</v>
      </c>
      <c r="D305" s="142" t="s">
        <v>870</v>
      </c>
      <c r="E305" s="149" t="s">
        <v>475</v>
      </c>
      <c r="F305" s="543">
        <v>0.5</v>
      </c>
      <c r="G305" s="543">
        <v>0.4</v>
      </c>
      <c r="H305" s="543">
        <v>0.1</v>
      </c>
      <c r="I305" s="543">
        <v>0</v>
      </c>
      <c r="J305" s="543">
        <v>1</v>
      </c>
      <c r="K305" s="542">
        <v>12800675</v>
      </c>
      <c r="L305" s="542">
        <v>10240540</v>
      </c>
      <c r="M305" s="542">
        <v>2560135</v>
      </c>
      <c r="N305" s="542">
        <v>0</v>
      </c>
      <c r="O305" s="542">
        <v>25601350</v>
      </c>
      <c r="P305" s="542">
        <v>88340.951100000006</v>
      </c>
      <c r="Q305" s="542">
        <v>88340.951100000006</v>
      </c>
      <c r="R305" s="542">
        <v>12712334</v>
      </c>
      <c r="S305" s="542">
        <v>205447</v>
      </c>
      <c r="T305" s="542">
        <v>205447</v>
      </c>
      <c r="U305" s="542">
        <v>19487</v>
      </c>
      <c r="V305" s="542">
        <v>19487</v>
      </c>
      <c r="W305" s="542">
        <v>109423</v>
      </c>
      <c r="X305" s="542">
        <v>0</v>
      </c>
      <c r="Y305" s="542">
        <v>109423</v>
      </c>
      <c r="Z305" s="542">
        <v>88340.951100000006</v>
      </c>
      <c r="AA305" s="542">
        <v>0</v>
      </c>
      <c r="AB305" s="542">
        <v>0</v>
      </c>
      <c r="AC305" s="542">
        <v>88340.951100000006</v>
      </c>
      <c r="AD305" s="542">
        <v>675411</v>
      </c>
      <c r="AE305" s="542">
        <v>540329</v>
      </c>
      <c r="AF305" s="542">
        <v>135082</v>
      </c>
      <c r="AG305" s="542">
        <v>0</v>
      </c>
      <c r="AH305" s="542">
        <v>1350822</v>
      </c>
      <c r="AI305" s="542">
        <v>-226956</v>
      </c>
      <c r="AJ305" s="542">
        <v>-181564</v>
      </c>
      <c r="AK305" s="542">
        <v>-45391</v>
      </c>
      <c r="AL305" s="542">
        <v>0</v>
      </c>
      <c r="AM305" s="542">
        <v>-453911</v>
      </c>
      <c r="AN305" s="542">
        <v>-289500</v>
      </c>
      <c r="AO305" s="542">
        <v>-231600</v>
      </c>
      <c r="AP305" s="542">
        <v>-57900</v>
      </c>
      <c r="AQ305" s="542">
        <v>0</v>
      </c>
      <c r="AR305" s="542">
        <v>-579000</v>
      </c>
      <c r="AS305" s="542">
        <v>-33</v>
      </c>
      <c r="AT305" s="542">
        <v>-27</v>
      </c>
      <c r="AU305" s="542">
        <v>-7</v>
      </c>
      <c r="AV305" s="542">
        <v>0</v>
      </c>
      <c r="AW305" s="542">
        <v>-67</v>
      </c>
      <c r="AX305" s="542">
        <v>-42007</v>
      </c>
      <c r="AY305" s="542">
        <v>-33606</v>
      </c>
      <c r="AZ305" s="542">
        <v>-8402</v>
      </c>
      <c r="BA305" s="542">
        <v>0</v>
      </c>
      <c r="BB305" s="542">
        <v>-84015</v>
      </c>
      <c r="BC305" s="542">
        <v>-331540</v>
      </c>
      <c r="BD305" s="542">
        <v>-265233</v>
      </c>
      <c r="BE305" s="542">
        <v>-66309</v>
      </c>
      <c r="BF305" s="542">
        <v>0</v>
      </c>
      <c r="BG305" s="542">
        <v>-663082</v>
      </c>
      <c r="BH305" s="542">
        <v>-562652</v>
      </c>
      <c r="BI305" s="542">
        <v>-450121</v>
      </c>
      <c r="BJ305" s="542">
        <v>-112531</v>
      </c>
      <c r="BK305" s="542">
        <v>0</v>
      </c>
      <c r="BL305" s="542">
        <v>-1125304</v>
      </c>
      <c r="BM305" s="542">
        <v>25788</v>
      </c>
      <c r="BN305" s="542">
        <v>20631</v>
      </c>
      <c r="BO305" s="542">
        <v>5158</v>
      </c>
      <c r="BP305" s="542">
        <v>0</v>
      </c>
      <c r="BQ305" s="542">
        <v>51577</v>
      </c>
      <c r="BR305" s="542">
        <v>-438832</v>
      </c>
      <c r="BS305" s="542">
        <v>-351066</v>
      </c>
      <c r="BT305" s="542">
        <v>-87766</v>
      </c>
      <c r="BU305" s="542">
        <v>0</v>
      </c>
      <c r="BV305" s="542">
        <v>-877664</v>
      </c>
      <c r="BW305" s="542">
        <v>-975696</v>
      </c>
      <c r="BX305" s="542">
        <v>-780556</v>
      </c>
      <c r="BY305" s="542">
        <v>-195139</v>
      </c>
      <c r="BZ305" s="542">
        <v>0</v>
      </c>
      <c r="CA305" s="542">
        <v>-1951391</v>
      </c>
    </row>
    <row r="306" spans="1:79" ht="12.75" x14ac:dyDescent="0.2">
      <c r="A306" s="93">
        <v>300</v>
      </c>
      <c r="B306" s="145" t="s">
        <v>478</v>
      </c>
      <c r="C306" s="141" t="s">
        <v>866</v>
      </c>
      <c r="D306" s="142" t="s">
        <v>867</v>
      </c>
      <c r="E306" s="149" t="s">
        <v>477</v>
      </c>
      <c r="F306" s="543">
        <v>0.5</v>
      </c>
      <c r="G306" s="543">
        <v>0.4</v>
      </c>
      <c r="H306" s="543">
        <v>0.1</v>
      </c>
      <c r="I306" s="543">
        <v>0</v>
      </c>
      <c r="J306" s="543">
        <v>1</v>
      </c>
      <c r="K306" s="542">
        <v>17677079</v>
      </c>
      <c r="L306" s="542">
        <v>14141663</v>
      </c>
      <c r="M306" s="542">
        <v>3535416</v>
      </c>
      <c r="N306" s="542">
        <v>0</v>
      </c>
      <c r="O306" s="542">
        <v>35354158</v>
      </c>
      <c r="P306" s="542">
        <v>0</v>
      </c>
      <c r="Q306" s="542">
        <v>0</v>
      </c>
      <c r="R306" s="542">
        <v>17677079</v>
      </c>
      <c r="S306" s="542">
        <v>180822</v>
      </c>
      <c r="T306" s="542">
        <v>180822</v>
      </c>
      <c r="U306" s="542">
        <v>0</v>
      </c>
      <c r="V306" s="542">
        <v>0</v>
      </c>
      <c r="W306" s="542">
        <v>0</v>
      </c>
      <c r="X306" s="542">
        <v>0</v>
      </c>
      <c r="Y306" s="542">
        <v>0</v>
      </c>
      <c r="Z306" s="542">
        <v>0</v>
      </c>
      <c r="AA306" s="542">
        <v>0</v>
      </c>
      <c r="AB306" s="542">
        <v>0</v>
      </c>
      <c r="AC306" s="542">
        <v>0</v>
      </c>
      <c r="AD306" s="542">
        <v>1006547</v>
      </c>
      <c r="AE306" s="542">
        <v>805238</v>
      </c>
      <c r="AF306" s="542">
        <v>201310</v>
      </c>
      <c r="AG306" s="542">
        <v>0</v>
      </c>
      <c r="AH306" s="542">
        <v>2013095</v>
      </c>
      <c r="AI306" s="542">
        <v>-292714</v>
      </c>
      <c r="AJ306" s="542">
        <v>-234172</v>
      </c>
      <c r="AK306" s="542">
        <v>-58543</v>
      </c>
      <c r="AL306" s="542">
        <v>0</v>
      </c>
      <c r="AM306" s="542">
        <v>-585429</v>
      </c>
      <c r="AN306" s="542">
        <v>-184687</v>
      </c>
      <c r="AO306" s="542">
        <v>-147749</v>
      </c>
      <c r="AP306" s="542">
        <v>-36937</v>
      </c>
      <c r="AQ306" s="542">
        <v>0</v>
      </c>
      <c r="AR306" s="542">
        <v>-369373</v>
      </c>
      <c r="AS306" s="542">
        <v>57987</v>
      </c>
      <c r="AT306" s="542">
        <v>46389</v>
      </c>
      <c r="AU306" s="542">
        <v>11597</v>
      </c>
      <c r="AV306" s="542">
        <v>0</v>
      </c>
      <c r="AW306" s="542">
        <v>115973</v>
      </c>
      <c r="AX306" s="542">
        <v>-85800</v>
      </c>
      <c r="AY306" s="542">
        <v>-68640</v>
      </c>
      <c r="AZ306" s="542">
        <v>-17160</v>
      </c>
      <c r="BA306" s="542">
        <v>0</v>
      </c>
      <c r="BB306" s="542">
        <v>-171600</v>
      </c>
      <c r="BC306" s="542">
        <v>-212500</v>
      </c>
      <c r="BD306" s="542">
        <v>-170000</v>
      </c>
      <c r="BE306" s="542">
        <v>-42500</v>
      </c>
      <c r="BF306" s="542">
        <v>0</v>
      </c>
      <c r="BG306" s="542">
        <v>-425000</v>
      </c>
      <c r="BH306" s="542">
        <v>-269480</v>
      </c>
      <c r="BI306" s="542">
        <v>-215584</v>
      </c>
      <c r="BJ306" s="542">
        <v>-53896</v>
      </c>
      <c r="BK306" s="542">
        <v>0</v>
      </c>
      <c r="BL306" s="542">
        <v>-538960</v>
      </c>
      <c r="BM306" s="542">
        <v>161493</v>
      </c>
      <c r="BN306" s="542">
        <v>129195</v>
      </c>
      <c r="BO306" s="542">
        <v>32299</v>
      </c>
      <c r="BP306" s="542">
        <v>0</v>
      </c>
      <c r="BQ306" s="542">
        <v>322987</v>
      </c>
      <c r="BR306" s="542">
        <v>-426013</v>
      </c>
      <c r="BS306" s="542">
        <v>-340811</v>
      </c>
      <c r="BT306" s="542">
        <v>-85203</v>
      </c>
      <c r="BU306" s="542">
        <v>0</v>
      </c>
      <c r="BV306" s="542">
        <v>-852027</v>
      </c>
      <c r="BW306" s="542">
        <v>-534000</v>
      </c>
      <c r="BX306" s="542">
        <v>-427200</v>
      </c>
      <c r="BY306" s="542">
        <v>-106800</v>
      </c>
      <c r="BZ306" s="542">
        <v>0</v>
      </c>
      <c r="CA306" s="542">
        <v>-1068000</v>
      </c>
    </row>
    <row r="307" spans="1:79" ht="12.75" x14ac:dyDescent="0.2">
      <c r="A307" s="93">
        <v>301</v>
      </c>
      <c r="B307" s="145" t="s">
        <v>480</v>
      </c>
      <c r="C307" s="141" t="s">
        <v>866</v>
      </c>
      <c r="D307" s="142" t="s">
        <v>867</v>
      </c>
      <c r="E307" s="149" t="s">
        <v>479</v>
      </c>
      <c r="F307" s="543">
        <v>0.5</v>
      </c>
      <c r="G307" s="543">
        <v>0.4</v>
      </c>
      <c r="H307" s="543">
        <v>0.09</v>
      </c>
      <c r="I307" s="543">
        <v>0.01</v>
      </c>
      <c r="J307" s="543">
        <v>1</v>
      </c>
      <c r="K307" s="542">
        <v>14355506</v>
      </c>
      <c r="L307" s="542">
        <v>11484405</v>
      </c>
      <c r="M307" s="542">
        <v>2583991</v>
      </c>
      <c r="N307" s="542">
        <v>287110</v>
      </c>
      <c r="O307" s="542">
        <v>28711012</v>
      </c>
      <c r="P307" s="542">
        <v>0</v>
      </c>
      <c r="Q307" s="542">
        <v>0</v>
      </c>
      <c r="R307" s="542">
        <v>14355506</v>
      </c>
      <c r="S307" s="542">
        <v>209532</v>
      </c>
      <c r="T307" s="542">
        <v>209532</v>
      </c>
      <c r="U307" s="542">
        <v>0</v>
      </c>
      <c r="V307" s="542">
        <v>0</v>
      </c>
      <c r="W307" s="542">
        <v>0</v>
      </c>
      <c r="X307" s="542">
        <v>0</v>
      </c>
      <c r="Y307" s="542">
        <v>0</v>
      </c>
      <c r="Z307" s="542">
        <v>0</v>
      </c>
      <c r="AA307" s="542">
        <v>0</v>
      </c>
      <c r="AB307" s="542">
        <v>0</v>
      </c>
      <c r="AC307" s="542">
        <v>0</v>
      </c>
      <c r="AD307" s="542">
        <v>795395</v>
      </c>
      <c r="AE307" s="542">
        <v>636316</v>
      </c>
      <c r="AF307" s="542">
        <v>143171</v>
      </c>
      <c r="AG307" s="542">
        <v>15908</v>
      </c>
      <c r="AH307" s="542">
        <v>1590790</v>
      </c>
      <c r="AI307" s="542">
        <v>-136286</v>
      </c>
      <c r="AJ307" s="542">
        <v>-109029</v>
      </c>
      <c r="AK307" s="542">
        <v>-24531</v>
      </c>
      <c r="AL307" s="542">
        <v>-2726</v>
      </c>
      <c r="AM307" s="542">
        <v>-272572</v>
      </c>
      <c r="AN307" s="542">
        <v>-133370</v>
      </c>
      <c r="AO307" s="542">
        <v>-106695</v>
      </c>
      <c r="AP307" s="542">
        <v>-24006</v>
      </c>
      <c r="AQ307" s="542">
        <v>-2668</v>
      </c>
      <c r="AR307" s="542">
        <v>-266739</v>
      </c>
      <c r="AS307" s="542">
        <v>84696</v>
      </c>
      <c r="AT307" s="542">
        <v>67757</v>
      </c>
      <c r="AU307" s="542">
        <v>15245</v>
      </c>
      <c r="AV307" s="542">
        <v>1694</v>
      </c>
      <c r="AW307" s="542">
        <v>169392</v>
      </c>
      <c r="AX307" s="542">
        <v>-184359</v>
      </c>
      <c r="AY307" s="542">
        <v>-147488</v>
      </c>
      <c r="AZ307" s="542">
        <v>-33185</v>
      </c>
      <c r="BA307" s="542">
        <v>-3687</v>
      </c>
      <c r="BB307" s="542">
        <v>-368719</v>
      </c>
      <c r="BC307" s="542">
        <v>-233033</v>
      </c>
      <c r="BD307" s="542">
        <v>-186426</v>
      </c>
      <c r="BE307" s="542">
        <v>-41946</v>
      </c>
      <c r="BF307" s="542">
        <v>-4661</v>
      </c>
      <c r="BG307" s="542">
        <v>-466066</v>
      </c>
      <c r="BH307" s="542">
        <v>-431278</v>
      </c>
      <c r="BI307" s="542">
        <v>-345022</v>
      </c>
      <c r="BJ307" s="542">
        <v>-77630</v>
      </c>
      <c r="BK307" s="542">
        <v>-8625</v>
      </c>
      <c r="BL307" s="542">
        <v>-862555</v>
      </c>
      <c r="BM307" s="542">
        <v>134679</v>
      </c>
      <c r="BN307" s="542">
        <v>107744</v>
      </c>
      <c r="BO307" s="542">
        <v>24242</v>
      </c>
      <c r="BP307" s="542">
        <v>2694</v>
      </c>
      <c r="BQ307" s="542">
        <v>269359</v>
      </c>
      <c r="BR307" s="542">
        <v>-113152</v>
      </c>
      <c r="BS307" s="542">
        <v>-90522</v>
      </c>
      <c r="BT307" s="542">
        <v>-20367</v>
      </c>
      <c r="BU307" s="542">
        <v>-2263</v>
      </c>
      <c r="BV307" s="542">
        <v>-226304</v>
      </c>
      <c r="BW307" s="542">
        <v>-409751</v>
      </c>
      <c r="BX307" s="542">
        <v>-327800</v>
      </c>
      <c r="BY307" s="542">
        <v>-73755</v>
      </c>
      <c r="BZ307" s="542">
        <v>-8194</v>
      </c>
      <c r="CA307" s="542">
        <v>-819500</v>
      </c>
    </row>
    <row r="308" spans="1:79" ht="12.75" x14ac:dyDescent="0.2">
      <c r="A308" s="93">
        <v>302</v>
      </c>
      <c r="B308" s="145" t="s">
        <v>482</v>
      </c>
      <c r="C308" s="141" t="s">
        <v>866</v>
      </c>
      <c r="D308" s="142" t="s">
        <v>869</v>
      </c>
      <c r="E308" s="149" t="s">
        <v>481</v>
      </c>
      <c r="F308" s="543">
        <v>0.5</v>
      </c>
      <c r="G308" s="543">
        <v>0.4</v>
      </c>
      <c r="H308" s="543">
        <v>0.1</v>
      </c>
      <c r="I308" s="543">
        <v>0</v>
      </c>
      <c r="J308" s="543">
        <v>1</v>
      </c>
      <c r="K308" s="542">
        <v>13691614</v>
      </c>
      <c r="L308" s="542">
        <v>10953292</v>
      </c>
      <c r="M308" s="542">
        <v>2738323</v>
      </c>
      <c r="N308" s="542">
        <v>0</v>
      </c>
      <c r="O308" s="542">
        <v>27383229</v>
      </c>
      <c r="P308" s="542">
        <v>0</v>
      </c>
      <c r="Q308" s="542">
        <v>0</v>
      </c>
      <c r="R308" s="542">
        <v>13691614</v>
      </c>
      <c r="S308" s="542">
        <v>112434</v>
      </c>
      <c r="T308" s="542">
        <v>112434</v>
      </c>
      <c r="U308" s="542">
        <v>0</v>
      </c>
      <c r="V308" s="542">
        <v>0</v>
      </c>
      <c r="W308" s="542">
        <v>32952</v>
      </c>
      <c r="X308" s="542">
        <v>0</v>
      </c>
      <c r="Y308" s="542">
        <v>32952</v>
      </c>
      <c r="Z308" s="542">
        <v>0</v>
      </c>
      <c r="AA308" s="542">
        <v>0</v>
      </c>
      <c r="AB308" s="542">
        <v>0</v>
      </c>
      <c r="AC308" s="542">
        <v>0</v>
      </c>
      <c r="AD308" s="542">
        <v>268027</v>
      </c>
      <c r="AE308" s="542">
        <v>214421</v>
      </c>
      <c r="AF308" s="542">
        <v>53605</v>
      </c>
      <c r="AG308" s="542">
        <v>0</v>
      </c>
      <c r="AH308" s="542">
        <v>536053</v>
      </c>
      <c r="AI308" s="542">
        <v>-63292</v>
      </c>
      <c r="AJ308" s="542">
        <v>-50634</v>
      </c>
      <c r="AK308" s="542">
        <v>-12659</v>
      </c>
      <c r="AL308" s="542">
        <v>0</v>
      </c>
      <c r="AM308" s="542">
        <v>-126585</v>
      </c>
      <c r="AN308" s="542">
        <v>-100560</v>
      </c>
      <c r="AO308" s="542">
        <v>-80448</v>
      </c>
      <c r="AP308" s="542">
        <v>-20112</v>
      </c>
      <c r="AQ308" s="542">
        <v>0</v>
      </c>
      <c r="AR308" s="542">
        <v>-201120</v>
      </c>
      <c r="AS308" s="542">
        <v>65894</v>
      </c>
      <c r="AT308" s="542">
        <v>52716</v>
      </c>
      <c r="AU308" s="542">
        <v>13179</v>
      </c>
      <c r="AV308" s="542">
        <v>0</v>
      </c>
      <c r="AW308" s="542">
        <v>131789</v>
      </c>
      <c r="AX308" s="542">
        <v>-48344</v>
      </c>
      <c r="AY308" s="542">
        <v>-38676</v>
      </c>
      <c r="AZ308" s="542">
        <v>-9669</v>
      </c>
      <c r="BA308" s="542">
        <v>0</v>
      </c>
      <c r="BB308" s="542">
        <v>-96689</v>
      </c>
      <c r="BC308" s="542">
        <v>-83010</v>
      </c>
      <c r="BD308" s="542">
        <v>-66408</v>
      </c>
      <c r="BE308" s="542">
        <v>-16602</v>
      </c>
      <c r="BF308" s="542">
        <v>0</v>
      </c>
      <c r="BG308" s="542">
        <v>-166020</v>
      </c>
      <c r="BH308" s="542">
        <v>-102321.8</v>
      </c>
      <c r="BI308" s="542">
        <v>-81858</v>
      </c>
      <c r="BJ308" s="542">
        <v>-20465</v>
      </c>
      <c r="BK308" s="542">
        <v>0</v>
      </c>
      <c r="BL308" s="542">
        <v>-204644.8</v>
      </c>
      <c r="BM308" s="542">
        <v>149772</v>
      </c>
      <c r="BN308" s="542">
        <v>119818</v>
      </c>
      <c r="BO308" s="542">
        <v>29955</v>
      </c>
      <c r="BP308" s="542">
        <v>0</v>
      </c>
      <c r="BQ308" s="542">
        <v>299545</v>
      </c>
      <c r="BR308" s="542">
        <v>-923446</v>
      </c>
      <c r="BS308" s="542">
        <v>-738757</v>
      </c>
      <c r="BT308" s="542">
        <v>-184689</v>
      </c>
      <c r="BU308" s="542">
        <v>0</v>
      </c>
      <c r="BV308" s="542">
        <v>-1846892</v>
      </c>
      <c r="BW308" s="542">
        <v>-875995.8</v>
      </c>
      <c r="BX308" s="542">
        <v>-700797</v>
      </c>
      <c r="BY308" s="542">
        <v>-175199</v>
      </c>
      <c r="BZ308" s="542">
        <v>0</v>
      </c>
      <c r="CA308" s="542">
        <v>-1751991.8</v>
      </c>
    </row>
    <row r="309" spans="1:79" ht="12.75" x14ac:dyDescent="0.2">
      <c r="A309" s="93">
        <v>303</v>
      </c>
      <c r="B309" s="145" t="s">
        <v>484</v>
      </c>
      <c r="C309" s="141" t="s">
        <v>866</v>
      </c>
      <c r="D309" s="142" t="s">
        <v>870</v>
      </c>
      <c r="E309" s="149" t="s">
        <v>483</v>
      </c>
      <c r="F309" s="543">
        <v>0.5</v>
      </c>
      <c r="G309" s="543">
        <v>0.4</v>
      </c>
      <c r="H309" s="543">
        <v>0.1</v>
      </c>
      <c r="I309" s="543">
        <v>0</v>
      </c>
      <c r="J309" s="543">
        <v>1</v>
      </c>
      <c r="K309" s="542">
        <v>28781158</v>
      </c>
      <c r="L309" s="542">
        <v>23024926</v>
      </c>
      <c r="M309" s="542">
        <v>5756232</v>
      </c>
      <c r="N309" s="542">
        <v>0</v>
      </c>
      <c r="O309" s="542">
        <v>57562316</v>
      </c>
      <c r="P309" s="542">
        <v>0</v>
      </c>
      <c r="Q309" s="542">
        <v>0</v>
      </c>
      <c r="R309" s="542">
        <v>28781158</v>
      </c>
      <c r="S309" s="542">
        <v>152796</v>
      </c>
      <c r="T309" s="542">
        <v>152796</v>
      </c>
      <c r="U309" s="542">
        <v>0</v>
      </c>
      <c r="V309" s="542">
        <v>0</v>
      </c>
      <c r="W309" s="542">
        <v>0</v>
      </c>
      <c r="X309" s="542">
        <v>0</v>
      </c>
      <c r="Y309" s="542">
        <v>0</v>
      </c>
      <c r="Z309" s="542">
        <v>0</v>
      </c>
      <c r="AA309" s="542">
        <v>0</v>
      </c>
      <c r="AB309" s="542">
        <v>0</v>
      </c>
      <c r="AC309" s="542">
        <v>0</v>
      </c>
      <c r="AD309" s="542">
        <v>317332</v>
      </c>
      <c r="AE309" s="542">
        <v>253865</v>
      </c>
      <c r="AF309" s="542">
        <v>63466</v>
      </c>
      <c r="AG309" s="542">
        <v>0</v>
      </c>
      <c r="AH309" s="542">
        <v>634663</v>
      </c>
      <c r="AI309" s="542">
        <v>-32962</v>
      </c>
      <c r="AJ309" s="542">
        <v>-26370</v>
      </c>
      <c r="AK309" s="542">
        <v>-6593</v>
      </c>
      <c r="AL309" s="542">
        <v>0</v>
      </c>
      <c r="AM309" s="542">
        <v>-65925</v>
      </c>
      <c r="AN309" s="542">
        <v>-90047.07</v>
      </c>
      <c r="AO309" s="542">
        <v>-72038</v>
      </c>
      <c r="AP309" s="542">
        <v>-18010</v>
      </c>
      <c r="AQ309" s="542">
        <v>0</v>
      </c>
      <c r="AR309" s="542">
        <v>-180095.07</v>
      </c>
      <c r="AS309" s="542">
        <v>87009</v>
      </c>
      <c r="AT309" s="542">
        <v>69608</v>
      </c>
      <c r="AU309" s="542">
        <v>17402</v>
      </c>
      <c r="AV309" s="542">
        <v>0</v>
      </c>
      <c r="AW309" s="542">
        <v>174019</v>
      </c>
      <c r="AX309" s="542">
        <v>-75078</v>
      </c>
      <c r="AY309" s="542">
        <v>-60062</v>
      </c>
      <c r="AZ309" s="542">
        <v>-15016</v>
      </c>
      <c r="BA309" s="542">
        <v>0</v>
      </c>
      <c r="BB309" s="542">
        <v>-150156</v>
      </c>
      <c r="BC309" s="542">
        <v>-78116.070000000007</v>
      </c>
      <c r="BD309" s="542">
        <v>-62492</v>
      </c>
      <c r="BE309" s="542">
        <v>-15624</v>
      </c>
      <c r="BF309" s="542">
        <v>0</v>
      </c>
      <c r="BG309" s="542">
        <v>-156232.07</v>
      </c>
      <c r="BH309" s="542">
        <v>-696626.72</v>
      </c>
      <c r="BI309" s="542">
        <v>-557301</v>
      </c>
      <c r="BJ309" s="542">
        <v>-139325</v>
      </c>
      <c r="BK309" s="542">
        <v>0</v>
      </c>
      <c r="BL309" s="542">
        <v>-1393252.7</v>
      </c>
      <c r="BM309" s="542">
        <v>643948</v>
      </c>
      <c r="BN309" s="542">
        <v>515159</v>
      </c>
      <c r="BO309" s="542">
        <v>128790</v>
      </c>
      <c r="BP309" s="542">
        <v>0</v>
      </c>
      <c r="BQ309" s="542">
        <v>1287897</v>
      </c>
      <c r="BR309" s="542">
        <v>-1354883</v>
      </c>
      <c r="BS309" s="542">
        <v>-1083906</v>
      </c>
      <c r="BT309" s="542">
        <v>-270977</v>
      </c>
      <c r="BU309" s="542">
        <v>0</v>
      </c>
      <c r="BV309" s="542">
        <v>-2709766</v>
      </c>
      <c r="BW309" s="542">
        <v>-1407561.7</v>
      </c>
      <c r="BX309" s="542">
        <v>-1126048</v>
      </c>
      <c r="BY309" s="542">
        <v>-281512</v>
      </c>
      <c r="BZ309" s="542">
        <v>0</v>
      </c>
      <c r="CA309" s="542">
        <v>-2815121.7</v>
      </c>
    </row>
    <row r="310" spans="1:79" ht="12.75" x14ac:dyDescent="0.2">
      <c r="A310" s="93">
        <v>304</v>
      </c>
      <c r="B310" s="145" t="s">
        <v>486</v>
      </c>
      <c r="C310" s="141" t="s">
        <v>770</v>
      </c>
      <c r="D310" s="142" t="s">
        <v>867</v>
      </c>
      <c r="E310" s="149" t="s">
        <v>735</v>
      </c>
      <c r="F310" s="543">
        <v>0.5</v>
      </c>
      <c r="G310" s="543">
        <v>0.49</v>
      </c>
      <c r="H310" s="543">
        <v>0</v>
      </c>
      <c r="I310" s="543">
        <v>0.01</v>
      </c>
      <c r="J310" s="543">
        <v>1</v>
      </c>
      <c r="K310" s="542">
        <v>37593116</v>
      </c>
      <c r="L310" s="542">
        <v>36841253</v>
      </c>
      <c r="M310" s="542">
        <v>0</v>
      </c>
      <c r="N310" s="542">
        <v>751862</v>
      </c>
      <c r="O310" s="542">
        <v>75186231</v>
      </c>
      <c r="P310" s="542">
        <v>0</v>
      </c>
      <c r="Q310" s="542">
        <v>0</v>
      </c>
      <c r="R310" s="542">
        <v>37593116</v>
      </c>
      <c r="S310" s="542">
        <v>259810</v>
      </c>
      <c r="T310" s="542">
        <v>259810</v>
      </c>
      <c r="U310" s="542">
        <v>0</v>
      </c>
      <c r="V310" s="542">
        <v>0</v>
      </c>
      <c r="W310" s="542">
        <v>0</v>
      </c>
      <c r="X310" s="542">
        <v>0</v>
      </c>
      <c r="Y310" s="542">
        <v>0</v>
      </c>
      <c r="Z310" s="542">
        <v>0</v>
      </c>
      <c r="AA310" s="542">
        <v>0</v>
      </c>
      <c r="AB310" s="542">
        <v>0</v>
      </c>
      <c r="AC310" s="542">
        <v>0</v>
      </c>
      <c r="AD310" s="542">
        <v>1115086</v>
      </c>
      <c r="AE310" s="542">
        <v>1092785</v>
      </c>
      <c r="AF310" s="542">
        <v>0</v>
      </c>
      <c r="AG310" s="542">
        <v>22302</v>
      </c>
      <c r="AH310" s="542">
        <v>2230173</v>
      </c>
      <c r="AI310" s="542">
        <v>-1050214</v>
      </c>
      <c r="AJ310" s="542">
        <v>-1029210</v>
      </c>
      <c r="AK310" s="542">
        <v>0</v>
      </c>
      <c r="AL310" s="542">
        <v>-21004</v>
      </c>
      <c r="AM310" s="542">
        <v>-2100428</v>
      </c>
      <c r="AN310" s="542">
        <v>-250000</v>
      </c>
      <c r="AO310" s="542">
        <v>-245000</v>
      </c>
      <c r="AP310" s="542">
        <v>0</v>
      </c>
      <c r="AQ310" s="542">
        <v>-5000</v>
      </c>
      <c r="AR310" s="542">
        <v>-500000</v>
      </c>
      <c r="AS310" s="542">
        <v>118148</v>
      </c>
      <c r="AT310" s="542">
        <v>115785</v>
      </c>
      <c r="AU310" s="542">
        <v>0</v>
      </c>
      <c r="AV310" s="542">
        <v>2363</v>
      </c>
      <c r="AW310" s="542">
        <v>236296</v>
      </c>
      <c r="AX310" s="542">
        <v>-243148</v>
      </c>
      <c r="AY310" s="542">
        <v>-238285</v>
      </c>
      <c r="AZ310" s="542">
        <v>0</v>
      </c>
      <c r="BA310" s="542">
        <v>-4863</v>
      </c>
      <c r="BB310" s="542">
        <v>-486296</v>
      </c>
      <c r="BC310" s="542">
        <v>-375000</v>
      </c>
      <c r="BD310" s="542">
        <v>-367500</v>
      </c>
      <c r="BE310" s="542">
        <v>0</v>
      </c>
      <c r="BF310" s="542">
        <v>-7500</v>
      </c>
      <c r="BG310" s="542">
        <v>-750000</v>
      </c>
      <c r="BH310" s="542">
        <v>-345000</v>
      </c>
      <c r="BI310" s="542">
        <v>-338100</v>
      </c>
      <c r="BJ310" s="542">
        <v>0</v>
      </c>
      <c r="BK310" s="542">
        <v>-6900</v>
      </c>
      <c r="BL310" s="542">
        <v>-690000</v>
      </c>
      <c r="BM310" s="542">
        <v>368000</v>
      </c>
      <c r="BN310" s="542">
        <v>360640</v>
      </c>
      <c r="BO310" s="542">
        <v>0</v>
      </c>
      <c r="BP310" s="542">
        <v>7360</v>
      </c>
      <c r="BQ310" s="542">
        <v>736000</v>
      </c>
      <c r="BR310" s="542">
        <v>-3862500</v>
      </c>
      <c r="BS310" s="542">
        <v>-3785250</v>
      </c>
      <c r="BT310" s="542">
        <v>0</v>
      </c>
      <c r="BU310" s="542">
        <v>-77250</v>
      </c>
      <c r="BV310" s="542">
        <v>-7725000</v>
      </c>
      <c r="BW310" s="542">
        <v>-3839500</v>
      </c>
      <c r="BX310" s="542">
        <v>-3762710</v>
      </c>
      <c r="BY310" s="542">
        <v>0</v>
      </c>
      <c r="BZ310" s="542">
        <v>-76790</v>
      </c>
      <c r="CA310" s="542">
        <v>-7679000</v>
      </c>
    </row>
    <row r="311" spans="1:79" ht="12.75" x14ac:dyDescent="0.2">
      <c r="A311" s="93">
        <v>305</v>
      </c>
      <c r="B311" s="145" t="s">
        <v>488</v>
      </c>
      <c r="C311" s="141" t="s">
        <v>866</v>
      </c>
      <c r="D311" s="142" t="s">
        <v>875</v>
      </c>
      <c r="E311" s="149" t="s">
        <v>487</v>
      </c>
      <c r="F311" s="543">
        <v>0.5</v>
      </c>
      <c r="G311" s="543">
        <v>0.4</v>
      </c>
      <c r="H311" s="543">
        <v>0.09</v>
      </c>
      <c r="I311" s="543">
        <v>0.01</v>
      </c>
      <c r="J311" s="543">
        <v>1</v>
      </c>
      <c r="K311" s="542">
        <v>5025279</v>
      </c>
      <c r="L311" s="542">
        <v>4020224</v>
      </c>
      <c r="M311" s="542">
        <v>904550</v>
      </c>
      <c r="N311" s="542">
        <v>100506</v>
      </c>
      <c r="O311" s="542">
        <v>10050559</v>
      </c>
      <c r="P311" s="542">
        <v>0</v>
      </c>
      <c r="Q311" s="542">
        <v>0</v>
      </c>
      <c r="R311" s="542">
        <v>5025279</v>
      </c>
      <c r="S311" s="542">
        <v>84601</v>
      </c>
      <c r="T311" s="542">
        <v>84601</v>
      </c>
      <c r="U311" s="542">
        <v>0</v>
      </c>
      <c r="V311" s="542">
        <v>0</v>
      </c>
      <c r="W311" s="542">
        <v>0</v>
      </c>
      <c r="X311" s="542">
        <v>0</v>
      </c>
      <c r="Y311" s="542">
        <v>0</v>
      </c>
      <c r="Z311" s="542">
        <v>0</v>
      </c>
      <c r="AA311" s="542">
        <v>0</v>
      </c>
      <c r="AB311" s="542">
        <v>0</v>
      </c>
      <c r="AC311" s="542">
        <v>0</v>
      </c>
      <c r="AD311" s="542">
        <v>306191</v>
      </c>
      <c r="AE311" s="542">
        <v>244952</v>
      </c>
      <c r="AF311" s="542">
        <v>55114</v>
      </c>
      <c r="AG311" s="542">
        <v>6124</v>
      </c>
      <c r="AH311" s="542">
        <v>612381</v>
      </c>
      <c r="AI311" s="542">
        <v>-102260</v>
      </c>
      <c r="AJ311" s="542">
        <v>-81808</v>
      </c>
      <c r="AK311" s="542">
        <v>-18407</v>
      </c>
      <c r="AL311" s="542">
        <v>-2045</v>
      </c>
      <c r="AM311" s="542">
        <v>-204520</v>
      </c>
      <c r="AN311" s="542">
        <v>-41133</v>
      </c>
      <c r="AO311" s="542">
        <v>-32906</v>
      </c>
      <c r="AP311" s="542">
        <v>-7404</v>
      </c>
      <c r="AQ311" s="542">
        <v>-823</v>
      </c>
      <c r="AR311" s="542">
        <v>-82266</v>
      </c>
      <c r="AS311" s="542">
        <v>60126</v>
      </c>
      <c r="AT311" s="542">
        <v>48102</v>
      </c>
      <c r="AU311" s="542">
        <v>10823</v>
      </c>
      <c r="AV311" s="542">
        <v>1203</v>
      </c>
      <c r="AW311" s="542">
        <v>120254</v>
      </c>
      <c r="AX311" s="542">
        <v>-130378</v>
      </c>
      <c r="AY311" s="542">
        <v>-104302</v>
      </c>
      <c r="AZ311" s="542">
        <v>-23468</v>
      </c>
      <c r="BA311" s="542">
        <v>-2608</v>
      </c>
      <c r="BB311" s="542">
        <v>-260756</v>
      </c>
      <c r="BC311" s="542">
        <v>-111385</v>
      </c>
      <c r="BD311" s="542">
        <v>-89106</v>
      </c>
      <c r="BE311" s="542">
        <v>-20049</v>
      </c>
      <c r="BF311" s="542">
        <v>-2228</v>
      </c>
      <c r="BG311" s="542">
        <v>-222768</v>
      </c>
      <c r="BH311" s="542">
        <v>-183872</v>
      </c>
      <c r="BI311" s="542">
        <v>-147097</v>
      </c>
      <c r="BJ311" s="542">
        <v>-33096</v>
      </c>
      <c r="BK311" s="542">
        <v>-3677</v>
      </c>
      <c r="BL311" s="542">
        <v>-367742</v>
      </c>
      <c r="BM311" s="542">
        <v>137847</v>
      </c>
      <c r="BN311" s="542">
        <v>110277</v>
      </c>
      <c r="BO311" s="542">
        <v>24812</v>
      </c>
      <c r="BP311" s="542">
        <v>2757</v>
      </c>
      <c r="BQ311" s="542">
        <v>275693</v>
      </c>
      <c r="BR311" s="542">
        <v>-143601</v>
      </c>
      <c r="BS311" s="542">
        <v>-114880</v>
      </c>
      <c r="BT311" s="542">
        <v>-25848</v>
      </c>
      <c r="BU311" s="542">
        <v>-2872</v>
      </c>
      <c r="BV311" s="542">
        <v>-287201</v>
      </c>
      <c r="BW311" s="542">
        <v>-189626</v>
      </c>
      <c r="BX311" s="542">
        <v>-151700</v>
      </c>
      <c r="BY311" s="542">
        <v>-34132</v>
      </c>
      <c r="BZ311" s="542">
        <v>-3792</v>
      </c>
      <c r="CA311" s="542">
        <v>-379250</v>
      </c>
    </row>
    <row r="312" spans="1:79" ht="12.75" x14ac:dyDescent="0.2">
      <c r="A312" s="93">
        <v>306</v>
      </c>
      <c r="B312" s="145" t="s">
        <v>490</v>
      </c>
      <c r="C312" s="141" t="s">
        <v>866</v>
      </c>
      <c r="D312" s="142" t="s">
        <v>875</v>
      </c>
      <c r="E312" s="149" t="s">
        <v>489</v>
      </c>
      <c r="F312" s="543">
        <v>0.5</v>
      </c>
      <c r="G312" s="543">
        <v>0.4</v>
      </c>
      <c r="H312" s="543">
        <v>0.09</v>
      </c>
      <c r="I312" s="543">
        <v>0.01</v>
      </c>
      <c r="J312" s="543">
        <v>1</v>
      </c>
      <c r="K312" s="542">
        <v>13918591</v>
      </c>
      <c r="L312" s="542">
        <v>11134874</v>
      </c>
      <c r="M312" s="542">
        <v>2505347</v>
      </c>
      <c r="N312" s="542">
        <v>278372</v>
      </c>
      <c r="O312" s="542">
        <v>27837184</v>
      </c>
      <c r="P312" s="542">
        <v>0</v>
      </c>
      <c r="Q312" s="542">
        <v>0</v>
      </c>
      <c r="R312" s="542">
        <v>13918591</v>
      </c>
      <c r="S312" s="542">
        <v>206892</v>
      </c>
      <c r="T312" s="542">
        <v>206892</v>
      </c>
      <c r="U312" s="542">
        <v>0</v>
      </c>
      <c r="V312" s="542">
        <v>0</v>
      </c>
      <c r="W312" s="542">
        <v>164551</v>
      </c>
      <c r="X312" s="542">
        <v>0</v>
      </c>
      <c r="Y312" s="542">
        <v>164551</v>
      </c>
      <c r="Z312" s="542">
        <v>0</v>
      </c>
      <c r="AA312" s="542">
        <v>0</v>
      </c>
      <c r="AB312" s="542">
        <v>0</v>
      </c>
      <c r="AC312" s="542">
        <v>0</v>
      </c>
      <c r="AD312" s="542">
        <v>971389</v>
      </c>
      <c r="AE312" s="542">
        <v>777111</v>
      </c>
      <c r="AF312" s="542">
        <v>174850</v>
      </c>
      <c r="AG312" s="542">
        <v>19428</v>
      </c>
      <c r="AH312" s="542">
        <v>1942778</v>
      </c>
      <c r="AI312" s="542">
        <v>-178177</v>
      </c>
      <c r="AJ312" s="542">
        <v>-142542</v>
      </c>
      <c r="AK312" s="542">
        <v>-32072</v>
      </c>
      <c r="AL312" s="542">
        <v>-3564</v>
      </c>
      <c r="AM312" s="542">
        <v>-356355</v>
      </c>
      <c r="AN312" s="542">
        <v>-731000</v>
      </c>
      <c r="AO312" s="542">
        <v>-584800</v>
      </c>
      <c r="AP312" s="542">
        <v>-131580</v>
      </c>
      <c r="AQ312" s="542">
        <v>-14620</v>
      </c>
      <c r="AR312" s="542">
        <v>-1462000</v>
      </c>
      <c r="AS312" s="542">
        <v>4548</v>
      </c>
      <c r="AT312" s="542">
        <v>3639</v>
      </c>
      <c r="AU312" s="542">
        <v>819</v>
      </c>
      <c r="AV312" s="542">
        <v>91</v>
      </c>
      <c r="AW312" s="542">
        <v>9097</v>
      </c>
      <c r="AX312" s="542">
        <v>-60548</v>
      </c>
      <c r="AY312" s="542">
        <v>-48439</v>
      </c>
      <c r="AZ312" s="542">
        <v>-10899</v>
      </c>
      <c r="BA312" s="542">
        <v>-1211</v>
      </c>
      <c r="BB312" s="542">
        <v>-121097</v>
      </c>
      <c r="BC312" s="542">
        <v>-787000</v>
      </c>
      <c r="BD312" s="542">
        <v>-629600</v>
      </c>
      <c r="BE312" s="542">
        <v>-141660</v>
      </c>
      <c r="BF312" s="542">
        <v>-15740</v>
      </c>
      <c r="BG312" s="542">
        <v>-1574000</v>
      </c>
      <c r="BH312" s="542">
        <v>-781378</v>
      </c>
      <c r="BI312" s="542">
        <v>-625103</v>
      </c>
      <c r="BJ312" s="542">
        <v>-140649</v>
      </c>
      <c r="BK312" s="542">
        <v>-15627</v>
      </c>
      <c r="BL312" s="542">
        <v>-1562757</v>
      </c>
      <c r="BM312" s="542">
        <v>0</v>
      </c>
      <c r="BN312" s="542">
        <v>0</v>
      </c>
      <c r="BO312" s="542">
        <v>0</v>
      </c>
      <c r="BP312" s="542">
        <v>0</v>
      </c>
      <c r="BQ312" s="542">
        <v>0</v>
      </c>
      <c r="BR312" s="542">
        <v>-794330</v>
      </c>
      <c r="BS312" s="542">
        <v>-635464</v>
      </c>
      <c r="BT312" s="542">
        <v>-142979</v>
      </c>
      <c r="BU312" s="542">
        <v>-15887</v>
      </c>
      <c r="BV312" s="542">
        <v>-1588660</v>
      </c>
      <c r="BW312" s="542">
        <v>-1575708</v>
      </c>
      <c r="BX312" s="542">
        <v>-1260567</v>
      </c>
      <c r="BY312" s="542">
        <v>-283628</v>
      </c>
      <c r="BZ312" s="542">
        <v>-31514</v>
      </c>
      <c r="CA312" s="542">
        <v>-3151417</v>
      </c>
    </row>
    <row r="313" spans="1:79" ht="12.75" x14ac:dyDescent="0.2">
      <c r="A313" s="93">
        <v>307</v>
      </c>
      <c r="B313" s="145" t="s">
        <v>492</v>
      </c>
      <c r="C313" s="141" t="s">
        <v>866</v>
      </c>
      <c r="D313" s="142" t="s">
        <v>868</v>
      </c>
      <c r="E313" s="149" t="s">
        <v>491</v>
      </c>
      <c r="F313" s="543">
        <v>0.5</v>
      </c>
      <c r="G313" s="543">
        <v>0.4</v>
      </c>
      <c r="H313" s="543">
        <v>0.09</v>
      </c>
      <c r="I313" s="543">
        <v>0.01</v>
      </c>
      <c r="J313" s="543">
        <v>1</v>
      </c>
      <c r="K313" s="542">
        <v>14845217</v>
      </c>
      <c r="L313" s="542">
        <v>11876174</v>
      </c>
      <c r="M313" s="542">
        <v>2672139</v>
      </c>
      <c r="N313" s="542">
        <v>296904</v>
      </c>
      <c r="O313" s="542">
        <v>29690434</v>
      </c>
      <c r="P313" s="542">
        <v>0</v>
      </c>
      <c r="Q313" s="542">
        <v>0</v>
      </c>
      <c r="R313" s="542">
        <v>14845217</v>
      </c>
      <c r="S313" s="542">
        <v>132942</v>
      </c>
      <c r="T313" s="542">
        <v>132942</v>
      </c>
      <c r="U313" s="542">
        <v>0</v>
      </c>
      <c r="V313" s="542">
        <v>0</v>
      </c>
      <c r="W313" s="542">
        <v>0</v>
      </c>
      <c r="X313" s="542">
        <v>0</v>
      </c>
      <c r="Y313" s="542">
        <v>0</v>
      </c>
      <c r="Z313" s="542">
        <v>0</v>
      </c>
      <c r="AA313" s="542">
        <v>0</v>
      </c>
      <c r="AB313" s="542">
        <v>0</v>
      </c>
      <c r="AC313" s="542">
        <v>0</v>
      </c>
      <c r="AD313" s="542">
        <v>2555333</v>
      </c>
      <c r="AE313" s="542">
        <v>2044266</v>
      </c>
      <c r="AF313" s="542">
        <v>459960</v>
      </c>
      <c r="AG313" s="542">
        <v>51107</v>
      </c>
      <c r="AH313" s="542">
        <v>5110666</v>
      </c>
      <c r="AI313" s="542">
        <v>-687721</v>
      </c>
      <c r="AJ313" s="542">
        <v>-550176</v>
      </c>
      <c r="AK313" s="542">
        <v>-123790</v>
      </c>
      <c r="AL313" s="542">
        <v>-13754</v>
      </c>
      <c r="AM313" s="542">
        <v>-1375441</v>
      </c>
      <c r="AN313" s="542">
        <v>-708020</v>
      </c>
      <c r="AO313" s="542">
        <v>-566416</v>
      </c>
      <c r="AP313" s="542">
        <v>-127444</v>
      </c>
      <c r="AQ313" s="542">
        <v>-14160</v>
      </c>
      <c r="AR313" s="542">
        <v>-1416040</v>
      </c>
      <c r="AS313" s="542">
        <v>552775</v>
      </c>
      <c r="AT313" s="542">
        <v>442219</v>
      </c>
      <c r="AU313" s="542">
        <v>99499</v>
      </c>
      <c r="AV313" s="542">
        <v>11055</v>
      </c>
      <c r="AW313" s="542">
        <v>1105548</v>
      </c>
      <c r="AX313" s="542">
        <v>-593386</v>
      </c>
      <c r="AY313" s="542">
        <v>-474709</v>
      </c>
      <c r="AZ313" s="542">
        <v>-106810</v>
      </c>
      <c r="BA313" s="542">
        <v>-11868</v>
      </c>
      <c r="BB313" s="542">
        <v>-1186773</v>
      </c>
      <c r="BC313" s="542">
        <v>-748631</v>
      </c>
      <c r="BD313" s="542">
        <v>-598906</v>
      </c>
      <c r="BE313" s="542">
        <v>-134755</v>
      </c>
      <c r="BF313" s="542">
        <v>-14973</v>
      </c>
      <c r="BG313" s="542">
        <v>-1497265</v>
      </c>
      <c r="BH313" s="542">
        <v>-1072936</v>
      </c>
      <c r="BI313" s="542">
        <v>-858350</v>
      </c>
      <c r="BJ313" s="542">
        <v>-193129</v>
      </c>
      <c r="BK313" s="542">
        <v>-21458</v>
      </c>
      <c r="BL313" s="542">
        <v>-2145873</v>
      </c>
      <c r="BM313" s="542">
        <v>0</v>
      </c>
      <c r="BN313" s="542">
        <v>0</v>
      </c>
      <c r="BO313" s="542">
        <v>0</v>
      </c>
      <c r="BP313" s="542">
        <v>0</v>
      </c>
      <c r="BQ313" s="542">
        <v>0</v>
      </c>
      <c r="BR313" s="542">
        <v>76046</v>
      </c>
      <c r="BS313" s="542">
        <v>60837</v>
      </c>
      <c r="BT313" s="542">
        <v>13688</v>
      </c>
      <c r="BU313" s="542">
        <v>1521</v>
      </c>
      <c r="BV313" s="542">
        <v>152092</v>
      </c>
      <c r="BW313" s="542">
        <v>-996890</v>
      </c>
      <c r="BX313" s="542">
        <v>-797513</v>
      </c>
      <c r="BY313" s="542">
        <v>-179441</v>
      </c>
      <c r="BZ313" s="542">
        <v>-19937</v>
      </c>
      <c r="CA313" s="542">
        <v>-1993781</v>
      </c>
    </row>
    <row r="314" spans="1:79" ht="12.75" x14ac:dyDescent="0.2">
      <c r="A314" s="93">
        <v>308</v>
      </c>
      <c r="B314" s="145" t="s">
        <v>494</v>
      </c>
      <c r="C314" s="141" t="s">
        <v>866</v>
      </c>
      <c r="D314" s="142" t="s">
        <v>869</v>
      </c>
      <c r="E314" s="149" t="s">
        <v>493</v>
      </c>
      <c r="F314" s="543">
        <v>0.5</v>
      </c>
      <c r="G314" s="543">
        <v>0.4</v>
      </c>
      <c r="H314" s="543">
        <v>0.1</v>
      </c>
      <c r="I314" s="543">
        <v>0</v>
      </c>
      <c r="J314" s="543">
        <v>1</v>
      </c>
      <c r="K314" s="542">
        <v>7723481</v>
      </c>
      <c r="L314" s="542">
        <v>6178784</v>
      </c>
      <c r="M314" s="542">
        <v>1544696</v>
      </c>
      <c r="N314" s="542">
        <v>0</v>
      </c>
      <c r="O314" s="542">
        <v>15446961</v>
      </c>
      <c r="P314" s="542">
        <v>0</v>
      </c>
      <c r="Q314" s="542">
        <v>0</v>
      </c>
      <c r="R314" s="542">
        <v>7723481</v>
      </c>
      <c r="S314" s="542">
        <v>107102</v>
      </c>
      <c r="T314" s="542">
        <v>107102</v>
      </c>
      <c r="U314" s="542">
        <v>0</v>
      </c>
      <c r="V314" s="542">
        <v>0</v>
      </c>
      <c r="W314" s="542">
        <v>674</v>
      </c>
      <c r="X314" s="542">
        <v>169</v>
      </c>
      <c r="Y314" s="542">
        <v>843</v>
      </c>
      <c r="Z314" s="542">
        <v>0</v>
      </c>
      <c r="AA314" s="542">
        <v>0</v>
      </c>
      <c r="AB314" s="542">
        <v>0</v>
      </c>
      <c r="AC314" s="542">
        <v>0</v>
      </c>
      <c r="AD314" s="542">
        <v>195703</v>
      </c>
      <c r="AE314" s="542">
        <v>156562</v>
      </c>
      <c r="AF314" s="542">
        <v>39141</v>
      </c>
      <c r="AG314" s="542">
        <v>0</v>
      </c>
      <c r="AH314" s="542">
        <v>391406</v>
      </c>
      <c r="AI314" s="542">
        <v>-66062</v>
      </c>
      <c r="AJ314" s="542">
        <v>-52850</v>
      </c>
      <c r="AK314" s="542">
        <v>-13212</v>
      </c>
      <c r="AL314" s="542">
        <v>0</v>
      </c>
      <c r="AM314" s="542">
        <v>-132124</v>
      </c>
      <c r="AN314" s="542">
        <v>-130304</v>
      </c>
      <c r="AO314" s="542">
        <v>-104243</v>
      </c>
      <c r="AP314" s="542">
        <v>-26061</v>
      </c>
      <c r="AQ314" s="542">
        <v>0</v>
      </c>
      <c r="AR314" s="542">
        <v>-260608</v>
      </c>
      <c r="AS314" s="542">
        <v>18572</v>
      </c>
      <c r="AT314" s="542">
        <v>14858</v>
      </c>
      <c r="AU314" s="542">
        <v>3714</v>
      </c>
      <c r="AV314" s="542">
        <v>0</v>
      </c>
      <c r="AW314" s="542">
        <v>37144</v>
      </c>
      <c r="AX314" s="542">
        <v>-41052</v>
      </c>
      <c r="AY314" s="542">
        <v>-32841</v>
      </c>
      <c r="AZ314" s="542">
        <v>-8210</v>
      </c>
      <c r="BA314" s="542">
        <v>0</v>
      </c>
      <c r="BB314" s="542">
        <v>-82103</v>
      </c>
      <c r="BC314" s="542">
        <v>-152784</v>
      </c>
      <c r="BD314" s="542">
        <v>-122226</v>
      </c>
      <c r="BE314" s="542">
        <v>-30557</v>
      </c>
      <c r="BF314" s="542">
        <v>0</v>
      </c>
      <c r="BG314" s="542">
        <v>-305567</v>
      </c>
      <c r="BH314" s="542">
        <v>-247140</v>
      </c>
      <c r="BI314" s="542">
        <v>-197711</v>
      </c>
      <c r="BJ314" s="542">
        <v>-49428</v>
      </c>
      <c r="BK314" s="542">
        <v>0</v>
      </c>
      <c r="BL314" s="542">
        <v>-494279</v>
      </c>
      <c r="BM314" s="542">
        <v>47407</v>
      </c>
      <c r="BN314" s="542">
        <v>37926</v>
      </c>
      <c r="BO314" s="542">
        <v>9481</v>
      </c>
      <c r="BP314" s="542">
        <v>0</v>
      </c>
      <c r="BQ314" s="542">
        <v>94814</v>
      </c>
      <c r="BR314" s="542">
        <v>-85267</v>
      </c>
      <c r="BS314" s="542">
        <v>-68214</v>
      </c>
      <c r="BT314" s="542">
        <v>-17054</v>
      </c>
      <c r="BU314" s="542">
        <v>0</v>
      </c>
      <c r="BV314" s="542">
        <v>-170535</v>
      </c>
      <c r="BW314" s="542">
        <v>-285000</v>
      </c>
      <c r="BX314" s="542">
        <v>-227999</v>
      </c>
      <c r="BY314" s="542">
        <v>-57001</v>
      </c>
      <c r="BZ314" s="542">
        <v>0</v>
      </c>
      <c r="CA314" s="542">
        <v>-570000</v>
      </c>
    </row>
    <row r="315" spans="1:79" ht="12.75" x14ac:dyDescent="0.2">
      <c r="A315" s="93">
        <v>309</v>
      </c>
      <c r="B315" s="145" t="s">
        <v>496</v>
      </c>
      <c r="C315" s="141" t="s">
        <v>866</v>
      </c>
      <c r="D315" s="142" t="s">
        <v>867</v>
      </c>
      <c r="E315" s="149" t="s">
        <v>495</v>
      </c>
      <c r="F315" s="543">
        <v>0.5</v>
      </c>
      <c r="G315" s="543">
        <v>0.4</v>
      </c>
      <c r="H315" s="543">
        <v>0.1</v>
      </c>
      <c r="I315" s="543">
        <v>0</v>
      </c>
      <c r="J315" s="543">
        <v>1</v>
      </c>
      <c r="K315" s="542">
        <v>15835202</v>
      </c>
      <c r="L315" s="542">
        <v>12668162</v>
      </c>
      <c r="M315" s="542">
        <v>3167040</v>
      </c>
      <c r="N315" s="542">
        <v>0</v>
      </c>
      <c r="O315" s="542">
        <v>31670404</v>
      </c>
      <c r="P315" s="542">
        <v>0</v>
      </c>
      <c r="Q315" s="542">
        <v>0</v>
      </c>
      <c r="R315" s="542">
        <v>15835202</v>
      </c>
      <c r="S315" s="542">
        <v>164331</v>
      </c>
      <c r="T315" s="542">
        <v>164331</v>
      </c>
      <c r="U315" s="542">
        <v>0</v>
      </c>
      <c r="V315" s="542">
        <v>0</v>
      </c>
      <c r="W315" s="542">
        <v>120573</v>
      </c>
      <c r="X315" s="542">
        <v>0</v>
      </c>
      <c r="Y315" s="542">
        <v>120573</v>
      </c>
      <c r="Z315" s="542">
        <v>0</v>
      </c>
      <c r="AA315" s="542">
        <v>0</v>
      </c>
      <c r="AB315" s="542">
        <v>0</v>
      </c>
      <c r="AC315" s="542">
        <v>0</v>
      </c>
      <c r="AD315" s="542">
        <v>368199</v>
      </c>
      <c r="AE315" s="542">
        <v>294560</v>
      </c>
      <c r="AF315" s="542">
        <v>73640</v>
      </c>
      <c r="AG315" s="542">
        <v>0</v>
      </c>
      <c r="AH315" s="542">
        <v>736399</v>
      </c>
      <c r="AI315" s="542">
        <v>-107067</v>
      </c>
      <c r="AJ315" s="542">
        <v>-85654</v>
      </c>
      <c r="AK315" s="542">
        <v>-21413</v>
      </c>
      <c r="AL315" s="542">
        <v>0</v>
      </c>
      <c r="AM315" s="542">
        <v>-214134</v>
      </c>
      <c r="AN315" s="542">
        <v>-49917</v>
      </c>
      <c r="AO315" s="542">
        <v>-39934</v>
      </c>
      <c r="AP315" s="542">
        <v>-9983</v>
      </c>
      <c r="AQ315" s="542">
        <v>0</v>
      </c>
      <c r="AR315" s="542">
        <v>-99834</v>
      </c>
      <c r="AS315" s="542">
        <v>40745</v>
      </c>
      <c r="AT315" s="542">
        <v>32596</v>
      </c>
      <c r="AU315" s="542">
        <v>8149</v>
      </c>
      <c r="AV315" s="542">
        <v>0</v>
      </c>
      <c r="AW315" s="542">
        <v>81490</v>
      </c>
      <c r="AX315" s="542">
        <v>-108968</v>
      </c>
      <c r="AY315" s="542">
        <v>-87174</v>
      </c>
      <c r="AZ315" s="542">
        <v>-21794</v>
      </c>
      <c r="BA315" s="542">
        <v>0</v>
      </c>
      <c r="BB315" s="542">
        <v>-217936</v>
      </c>
      <c r="BC315" s="542">
        <v>-118140</v>
      </c>
      <c r="BD315" s="542">
        <v>-94512</v>
      </c>
      <c r="BE315" s="542">
        <v>-23628</v>
      </c>
      <c r="BF315" s="542">
        <v>0</v>
      </c>
      <c r="BG315" s="542">
        <v>-236280</v>
      </c>
      <c r="BH315" s="542">
        <v>-1089626</v>
      </c>
      <c r="BI315" s="542">
        <v>-871701</v>
      </c>
      <c r="BJ315" s="542">
        <v>-217925</v>
      </c>
      <c r="BK315" s="542">
        <v>0</v>
      </c>
      <c r="BL315" s="542">
        <v>-2179252</v>
      </c>
      <c r="BM315" s="542">
        <v>234308</v>
      </c>
      <c r="BN315" s="542">
        <v>187447</v>
      </c>
      <c r="BO315" s="542">
        <v>46862</v>
      </c>
      <c r="BP315" s="542">
        <v>0</v>
      </c>
      <c r="BQ315" s="542">
        <v>468617</v>
      </c>
      <c r="BR315" s="542">
        <v>-571927</v>
      </c>
      <c r="BS315" s="542">
        <v>-457541</v>
      </c>
      <c r="BT315" s="542">
        <v>-114385</v>
      </c>
      <c r="BU315" s="542">
        <v>0</v>
      </c>
      <c r="BV315" s="542">
        <v>-1143853</v>
      </c>
      <c r="BW315" s="542">
        <v>-1427245</v>
      </c>
      <c r="BX315" s="542">
        <v>-1141795</v>
      </c>
      <c r="BY315" s="542">
        <v>-285448</v>
      </c>
      <c r="BZ315" s="542">
        <v>0</v>
      </c>
      <c r="CA315" s="542">
        <v>-2854488</v>
      </c>
    </row>
    <row r="316" spans="1:79" ht="12.75" x14ac:dyDescent="0.2">
      <c r="A316" s="93">
        <v>310</v>
      </c>
      <c r="B316" s="145" t="s">
        <v>498</v>
      </c>
      <c r="C316" s="141" t="s">
        <v>866</v>
      </c>
      <c r="D316" s="142" t="s">
        <v>875</v>
      </c>
      <c r="E316" s="149" t="s">
        <v>497</v>
      </c>
      <c r="F316" s="543">
        <v>0.5</v>
      </c>
      <c r="G316" s="543">
        <v>0.4</v>
      </c>
      <c r="H316" s="543">
        <v>0.09</v>
      </c>
      <c r="I316" s="543">
        <v>0.01</v>
      </c>
      <c r="J316" s="543">
        <v>1</v>
      </c>
      <c r="K316" s="542">
        <v>3001745</v>
      </c>
      <c r="L316" s="542">
        <v>2401396</v>
      </c>
      <c r="M316" s="542">
        <v>540314</v>
      </c>
      <c r="N316" s="542">
        <v>60035</v>
      </c>
      <c r="O316" s="542">
        <v>6003490</v>
      </c>
      <c r="P316" s="542">
        <v>0</v>
      </c>
      <c r="Q316" s="542">
        <v>0</v>
      </c>
      <c r="R316" s="542">
        <v>3001745</v>
      </c>
      <c r="S316" s="542">
        <v>75158</v>
      </c>
      <c r="T316" s="542">
        <v>75158</v>
      </c>
      <c r="U316" s="542">
        <v>0</v>
      </c>
      <c r="V316" s="542">
        <v>0</v>
      </c>
      <c r="W316" s="542">
        <v>0</v>
      </c>
      <c r="X316" s="542">
        <v>0</v>
      </c>
      <c r="Y316" s="542">
        <v>0</v>
      </c>
      <c r="Z316" s="542">
        <v>0</v>
      </c>
      <c r="AA316" s="542">
        <v>0</v>
      </c>
      <c r="AB316" s="542">
        <v>0</v>
      </c>
      <c r="AC316" s="542">
        <v>0</v>
      </c>
      <c r="AD316" s="542">
        <v>222625</v>
      </c>
      <c r="AE316" s="542">
        <v>178100</v>
      </c>
      <c r="AF316" s="542">
        <v>40073</v>
      </c>
      <c r="AG316" s="542">
        <v>4453</v>
      </c>
      <c r="AH316" s="542">
        <v>445251</v>
      </c>
      <c r="AI316" s="542">
        <v>-66983</v>
      </c>
      <c r="AJ316" s="542">
        <v>-53587</v>
      </c>
      <c r="AK316" s="542">
        <v>-12057</v>
      </c>
      <c r="AL316" s="542">
        <v>-1340</v>
      </c>
      <c r="AM316" s="542">
        <v>-133967</v>
      </c>
      <c r="AN316" s="542">
        <v>-37500</v>
      </c>
      <c r="AO316" s="542">
        <v>-30000</v>
      </c>
      <c r="AP316" s="542">
        <v>-6750</v>
      </c>
      <c r="AQ316" s="542">
        <v>-750</v>
      </c>
      <c r="AR316" s="542">
        <v>-75000</v>
      </c>
      <c r="AS316" s="542">
        <v>4324</v>
      </c>
      <c r="AT316" s="542">
        <v>3459</v>
      </c>
      <c r="AU316" s="542">
        <v>778</v>
      </c>
      <c r="AV316" s="542">
        <v>86</v>
      </c>
      <c r="AW316" s="542">
        <v>8647</v>
      </c>
      <c r="AX316" s="542">
        <v>-9324</v>
      </c>
      <c r="AY316" s="542">
        <v>-7459</v>
      </c>
      <c r="AZ316" s="542">
        <v>-1678</v>
      </c>
      <c r="BA316" s="542">
        <v>-186</v>
      </c>
      <c r="BB316" s="542">
        <v>-18647</v>
      </c>
      <c r="BC316" s="542">
        <v>-42500</v>
      </c>
      <c r="BD316" s="542">
        <v>-34000</v>
      </c>
      <c r="BE316" s="542">
        <v>-7650</v>
      </c>
      <c r="BF316" s="542">
        <v>-850</v>
      </c>
      <c r="BG316" s="542">
        <v>-85000</v>
      </c>
      <c r="BH316" s="542">
        <v>-924750</v>
      </c>
      <c r="BI316" s="542">
        <v>-739800</v>
      </c>
      <c r="BJ316" s="542">
        <v>-166455</v>
      </c>
      <c r="BK316" s="542">
        <v>-18495</v>
      </c>
      <c r="BL316" s="542">
        <v>-1849500</v>
      </c>
      <c r="BM316" s="542">
        <v>84929</v>
      </c>
      <c r="BN316" s="542">
        <v>67944</v>
      </c>
      <c r="BO316" s="542">
        <v>15287</v>
      </c>
      <c r="BP316" s="542">
        <v>1699</v>
      </c>
      <c r="BQ316" s="542">
        <v>169859</v>
      </c>
      <c r="BR316" s="542">
        <v>-3133200</v>
      </c>
      <c r="BS316" s="542">
        <v>-2506560</v>
      </c>
      <c r="BT316" s="542">
        <v>-563976</v>
      </c>
      <c r="BU316" s="542">
        <v>-62664</v>
      </c>
      <c r="BV316" s="542">
        <v>-6266400</v>
      </c>
      <c r="BW316" s="542">
        <v>-3973021</v>
      </c>
      <c r="BX316" s="542">
        <v>-3178416</v>
      </c>
      <c r="BY316" s="542">
        <v>-715144</v>
      </c>
      <c r="BZ316" s="542">
        <v>-79460</v>
      </c>
      <c r="CA316" s="542">
        <v>-7946041</v>
      </c>
    </row>
    <row r="317" spans="1:79" ht="12.75" x14ac:dyDescent="0.2">
      <c r="A317" s="93">
        <v>311</v>
      </c>
      <c r="B317" s="145" t="s">
        <v>500</v>
      </c>
      <c r="C317" s="141" t="s">
        <v>877</v>
      </c>
      <c r="D317" s="142" t="s">
        <v>872</v>
      </c>
      <c r="E317" s="149" t="s">
        <v>499</v>
      </c>
      <c r="F317" s="543">
        <v>0.5</v>
      </c>
      <c r="G317" s="543">
        <v>0.3</v>
      </c>
      <c r="H317" s="543">
        <v>0.2</v>
      </c>
      <c r="I317" s="543">
        <v>0</v>
      </c>
      <c r="J317" s="543">
        <v>1</v>
      </c>
      <c r="K317" s="542">
        <v>769498909</v>
      </c>
      <c r="L317" s="542">
        <v>461699345</v>
      </c>
      <c r="M317" s="542">
        <v>307799563</v>
      </c>
      <c r="N317" s="542">
        <v>0</v>
      </c>
      <c r="O317" s="542">
        <v>1538997817</v>
      </c>
      <c r="P317" s="542">
        <v>0</v>
      </c>
      <c r="Q317" s="542">
        <v>0</v>
      </c>
      <c r="R317" s="542">
        <v>769498909</v>
      </c>
      <c r="S317" s="542">
        <v>3154688</v>
      </c>
      <c r="T317" s="542">
        <v>3154688</v>
      </c>
      <c r="U317" s="542">
        <v>0</v>
      </c>
      <c r="V317" s="542">
        <v>0</v>
      </c>
      <c r="W317" s="542">
        <v>0</v>
      </c>
      <c r="X317" s="542">
        <v>0</v>
      </c>
      <c r="Y317" s="542">
        <v>0</v>
      </c>
      <c r="Z317" s="542">
        <v>0</v>
      </c>
      <c r="AA317" s="542">
        <v>0</v>
      </c>
      <c r="AB317" s="542">
        <v>0</v>
      </c>
      <c r="AC317" s="542">
        <v>0</v>
      </c>
      <c r="AD317" s="542">
        <v>24886520</v>
      </c>
      <c r="AE317" s="542">
        <v>14931912</v>
      </c>
      <c r="AF317" s="542">
        <v>9954608</v>
      </c>
      <c r="AG317" s="542">
        <v>0</v>
      </c>
      <c r="AH317" s="542">
        <v>49773040</v>
      </c>
      <c r="AI317" s="542">
        <v>-63213052</v>
      </c>
      <c r="AJ317" s="542">
        <v>-37927832</v>
      </c>
      <c r="AK317" s="542">
        <v>-25285221</v>
      </c>
      <c r="AL317" s="542">
        <v>0</v>
      </c>
      <c r="AM317" s="542">
        <v>-126426105</v>
      </c>
      <c r="AN317" s="542">
        <v>-16069822</v>
      </c>
      <c r="AO317" s="542">
        <v>-9641894</v>
      </c>
      <c r="AP317" s="542">
        <v>-6427929</v>
      </c>
      <c r="AQ317" s="542">
        <v>0</v>
      </c>
      <c r="AR317" s="542">
        <v>-32139645</v>
      </c>
      <c r="AS317" s="542">
        <v>0</v>
      </c>
      <c r="AT317" s="542">
        <v>0</v>
      </c>
      <c r="AU317" s="542">
        <v>0</v>
      </c>
      <c r="AV317" s="542">
        <v>0</v>
      </c>
      <c r="AW317" s="542">
        <v>0</v>
      </c>
      <c r="AX317" s="542">
        <v>570000</v>
      </c>
      <c r="AY317" s="542">
        <v>342000</v>
      </c>
      <c r="AZ317" s="542">
        <v>228000</v>
      </c>
      <c r="BA317" s="542">
        <v>0</v>
      </c>
      <c r="BB317" s="542">
        <v>1140000</v>
      </c>
      <c r="BC317" s="542">
        <v>-15499822</v>
      </c>
      <c r="BD317" s="542">
        <v>-9299894</v>
      </c>
      <c r="BE317" s="542">
        <v>-6199929</v>
      </c>
      <c r="BF317" s="542">
        <v>0</v>
      </c>
      <c r="BG317" s="542">
        <v>-30999645</v>
      </c>
      <c r="BH317" s="542">
        <v>-81592343</v>
      </c>
      <c r="BI317" s="542">
        <v>-48955406</v>
      </c>
      <c r="BJ317" s="542">
        <v>-32636937</v>
      </c>
      <c r="BK317" s="542">
        <v>0</v>
      </c>
      <c r="BL317" s="542">
        <v>-163184686</v>
      </c>
      <c r="BM317" s="542">
        <v>0</v>
      </c>
      <c r="BN317" s="542">
        <v>0</v>
      </c>
      <c r="BO317" s="542">
        <v>0</v>
      </c>
      <c r="BP317" s="542">
        <v>0</v>
      </c>
      <c r="BQ317" s="542">
        <v>0</v>
      </c>
      <c r="BR317" s="542">
        <v>-66907657</v>
      </c>
      <c r="BS317" s="542">
        <v>-40144594</v>
      </c>
      <c r="BT317" s="542">
        <v>-26763063</v>
      </c>
      <c r="BU317" s="542">
        <v>0</v>
      </c>
      <c r="BV317" s="542">
        <v>-133815314</v>
      </c>
      <c r="BW317" s="542">
        <v>-148500000</v>
      </c>
      <c r="BX317" s="542">
        <v>-89100000</v>
      </c>
      <c r="BY317" s="542">
        <v>-59400000</v>
      </c>
      <c r="BZ317" s="542">
        <v>0</v>
      </c>
      <c r="CA317" s="542">
        <v>-297000000</v>
      </c>
    </row>
    <row r="318" spans="1:79" ht="12.75" x14ac:dyDescent="0.2">
      <c r="A318" s="93">
        <v>312</v>
      </c>
      <c r="B318" s="145" t="s">
        <v>502</v>
      </c>
      <c r="C318" s="141" t="s">
        <v>866</v>
      </c>
      <c r="D318" s="142" t="s">
        <v>875</v>
      </c>
      <c r="E318" s="149" t="s">
        <v>736</v>
      </c>
      <c r="F318" s="543">
        <v>0.5</v>
      </c>
      <c r="G318" s="543">
        <v>0.4</v>
      </c>
      <c r="H318" s="543">
        <v>0.09</v>
      </c>
      <c r="I318" s="543">
        <v>0.01</v>
      </c>
      <c r="J318" s="543">
        <v>1</v>
      </c>
      <c r="K318" s="542">
        <v>8111962</v>
      </c>
      <c r="L318" s="542">
        <v>6489569</v>
      </c>
      <c r="M318" s="542">
        <v>1460153</v>
      </c>
      <c r="N318" s="542">
        <v>162239</v>
      </c>
      <c r="O318" s="542">
        <v>16223923</v>
      </c>
      <c r="P318" s="542">
        <v>0</v>
      </c>
      <c r="Q318" s="542">
        <v>0</v>
      </c>
      <c r="R318" s="542">
        <v>8111962</v>
      </c>
      <c r="S318" s="542">
        <v>108024</v>
      </c>
      <c r="T318" s="542">
        <v>108024</v>
      </c>
      <c r="U318" s="542">
        <v>0</v>
      </c>
      <c r="V318" s="542">
        <v>0</v>
      </c>
      <c r="W318" s="542">
        <v>1213</v>
      </c>
      <c r="X318" s="542">
        <v>0</v>
      </c>
      <c r="Y318" s="542">
        <v>1213</v>
      </c>
      <c r="Z318" s="542">
        <v>0</v>
      </c>
      <c r="AA318" s="542">
        <v>0</v>
      </c>
      <c r="AB318" s="542">
        <v>0</v>
      </c>
      <c r="AC318" s="542">
        <v>0</v>
      </c>
      <c r="AD318" s="542">
        <v>984326</v>
      </c>
      <c r="AE318" s="542">
        <v>787461</v>
      </c>
      <c r="AF318" s="542">
        <v>177179</v>
      </c>
      <c r="AG318" s="542">
        <v>19687</v>
      </c>
      <c r="AH318" s="542">
        <v>1968653</v>
      </c>
      <c r="AI318" s="542">
        <v>-134401</v>
      </c>
      <c r="AJ318" s="542">
        <v>-107520</v>
      </c>
      <c r="AK318" s="542">
        <v>-24192</v>
      </c>
      <c r="AL318" s="542">
        <v>-2688</v>
      </c>
      <c r="AM318" s="542">
        <v>-268801</v>
      </c>
      <c r="AN318" s="542">
        <v>-811000</v>
      </c>
      <c r="AO318" s="542">
        <v>-648800</v>
      </c>
      <c r="AP318" s="542">
        <v>-145980</v>
      </c>
      <c r="AQ318" s="542">
        <v>-16220</v>
      </c>
      <c r="AR318" s="542">
        <v>-1622000</v>
      </c>
      <c r="AS318" s="542">
        <v>5062</v>
      </c>
      <c r="AT318" s="542">
        <v>4050</v>
      </c>
      <c r="AU318" s="542">
        <v>911</v>
      </c>
      <c r="AV318" s="542">
        <v>101</v>
      </c>
      <c r="AW318" s="542">
        <v>10124</v>
      </c>
      <c r="AX318" s="542">
        <v>-71062</v>
      </c>
      <c r="AY318" s="542">
        <v>-56850</v>
      </c>
      <c r="AZ318" s="542">
        <v>-12791</v>
      </c>
      <c r="BA318" s="542">
        <v>-1421</v>
      </c>
      <c r="BB318" s="542">
        <v>-142124</v>
      </c>
      <c r="BC318" s="542">
        <v>-877000</v>
      </c>
      <c r="BD318" s="542">
        <v>-701600</v>
      </c>
      <c r="BE318" s="542">
        <v>-157860</v>
      </c>
      <c r="BF318" s="542">
        <v>-17540</v>
      </c>
      <c r="BG318" s="542">
        <v>-1754000</v>
      </c>
      <c r="BH318" s="542">
        <v>-395899</v>
      </c>
      <c r="BI318" s="542">
        <v>-316718</v>
      </c>
      <c r="BJ318" s="542">
        <v>-71262</v>
      </c>
      <c r="BK318" s="542">
        <v>-7918</v>
      </c>
      <c r="BL318" s="542">
        <v>-791797</v>
      </c>
      <c r="BM318" s="542">
        <v>0</v>
      </c>
      <c r="BN318" s="542">
        <v>0</v>
      </c>
      <c r="BO318" s="542">
        <v>0</v>
      </c>
      <c r="BP318" s="542">
        <v>0</v>
      </c>
      <c r="BQ318" s="542">
        <v>0</v>
      </c>
      <c r="BR318" s="542">
        <v>-463212</v>
      </c>
      <c r="BS318" s="542">
        <v>-370569</v>
      </c>
      <c r="BT318" s="542">
        <v>-83378</v>
      </c>
      <c r="BU318" s="542">
        <v>-9264</v>
      </c>
      <c r="BV318" s="542">
        <v>-926423</v>
      </c>
      <c r="BW318" s="542">
        <v>-859111</v>
      </c>
      <c r="BX318" s="542">
        <v>-687287</v>
      </c>
      <c r="BY318" s="542">
        <v>-154640</v>
      </c>
      <c r="BZ318" s="542">
        <v>-17182</v>
      </c>
      <c r="CA318" s="542">
        <v>-1718220</v>
      </c>
    </row>
    <row r="319" spans="1:79" ht="12.75" x14ac:dyDescent="0.2">
      <c r="A319" s="93">
        <v>313</v>
      </c>
      <c r="B319" s="150" t="s">
        <v>504</v>
      </c>
      <c r="C319" s="143" t="s">
        <v>873</v>
      </c>
      <c r="D319" s="144" t="s">
        <v>868</v>
      </c>
      <c r="E319" s="151" t="s">
        <v>503</v>
      </c>
      <c r="F319" s="543">
        <v>0.5</v>
      </c>
      <c r="G319" s="543">
        <v>0.49</v>
      </c>
      <c r="H319" s="543">
        <v>0</v>
      </c>
      <c r="I319" s="543">
        <v>0.01</v>
      </c>
      <c r="J319" s="543">
        <v>1</v>
      </c>
      <c r="K319" s="542">
        <v>37295124</v>
      </c>
      <c r="L319" s="542">
        <v>36549221</v>
      </c>
      <c r="M319" s="542">
        <v>0</v>
      </c>
      <c r="N319" s="542">
        <v>745902</v>
      </c>
      <c r="O319" s="542">
        <v>74590247</v>
      </c>
      <c r="P319" s="542">
        <v>0</v>
      </c>
      <c r="Q319" s="542">
        <v>0</v>
      </c>
      <c r="R319" s="542">
        <v>37295124</v>
      </c>
      <c r="S319" s="542">
        <v>387845</v>
      </c>
      <c r="T319" s="542">
        <v>387845</v>
      </c>
      <c r="U319" s="542">
        <v>0</v>
      </c>
      <c r="V319" s="542">
        <v>0</v>
      </c>
      <c r="W319" s="542">
        <v>0</v>
      </c>
      <c r="X319" s="542">
        <v>0</v>
      </c>
      <c r="Y319" s="542">
        <v>0</v>
      </c>
      <c r="Z319" s="542">
        <v>0</v>
      </c>
      <c r="AA319" s="542">
        <v>0</v>
      </c>
      <c r="AB319" s="542">
        <v>0</v>
      </c>
      <c r="AC319" s="542">
        <v>0</v>
      </c>
      <c r="AD319" s="542">
        <v>3227611</v>
      </c>
      <c r="AE319" s="542">
        <v>3163059</v>
      </c>
      <c r="AF319" s="542">
        <v>0</v>
      </c>
      <c r="AG319" s="542">
        <v>64552</v>
      </c>
      <c r="AH319" s="542">
        <v>6455222</v>
      </c>
      <c r="AI319" s="542">
        <v>-300774</v>
      </c>
      <c r="AJ319" s="542">
        <v>-294759</v>
      </c>
      <c r="AK319" s="542">
        <v>0</v>
      </c>
      <c r="AL319" s="542">
        <v>-6015</v>
      </c>
      <c r="AM319" s="542">
        <v>-601548</v>
      </c>
      <c r="AN319" s="542">
        <v>-3758280</v>
      </c>
      <c r="AO319" s="542">
        <v>-879580</v>
      </c>
      <c r="AP319" s="542">
        <v>0</v>
      </c>
      <c r="AQ319" s="542">
        <v>-46847</v>
      </c>
      <c r="AR319" s="542">
        <v>-4684707</v>
      </c>
      <c r="AS319" s="542">
        <v>924307</v>
      </c>
      <c r="AT319" s="542">
        <v>905820</v>
      </c>
      <c r="AU319" s="542">
        <v>0</v>
      </c>
      <c r="AV319" s="542">
        <v>18486</v>
      </c>
      <c r="AW319" s="542">
        <v>1848613</v>
      </c>
      <c r="AX319" s="542">
        <v>-1279854</v>
      </c>
      <c r="AY319" s="542">
        <v>-1254256</v>
      </c>
      <c r="AZ319" s="542">
        <v>0</v>
      </c>
      <c r="BA319" s="542">
        <v>-25597</v>
      </c>
      <c r="BB319" s="542">
        <v>-2559707</v>
      </c>
      <c r="BC319" s="542">
        <v>-4113827</v>
      </c>
      <c r="BD319" s="542">
        <v>-1228016</v>
      </c>
      <c r="BE319" s="542">
        <v>0</v>
      </c>
      <c r="BF319" s="542">
        <v>-53958</v>
      </c>
      <c r="BG319" s="542">
        <v>-5395801</v>
      </c>
      <c r="BH319" s="542">
        <v>-1916577</v>
      </c>
      <c r="BI319" s="542">
        <v>-1878245</v>
      </c>
      <c r="BJ319" s="542">
        <v>0</v>
      </c>
      <c r="BK319" s="542">
        <v>-38331</v>
      </c>
      <c r="BL319" s="542">
        <v>-3833153</v>
      </c>
      <c r="BM319" s="542">
        <v>1908851</v>
      </c>
      <c r="BN319" s="542">
        <v>1870673</v>
      </c>
      <c r="BO319" s="542">
        <v>0</v>
      </c>
      <c r="BP319" s="542">
        <v>38177</v>
      </c>
      <c r="BQ319" s="542">
        <v>3817701</v>
      </c>
      <c r="BR319" s="542">
        <v>-1440506</v>
      </c>
      <c r="BS319" s="542">
        <v>-1411696</v>
      </c>
      <c r="BT319" s="542">
        <v>0</v>
      </c>
      <c r="BU319" s="542">
        <v>-28810</v>
      </c>
      <c r="BV319" s="542">
        <v>-2881012</v>
      </c>
      <c r="BW319" s="542">
        <v>-1448232</v>
      </c>
      <c r="BX319" s="542">
        <v>-1419268</v>
      </c>
      <c r="BY319" s="542">
        <v>0</v>
      </c>
      <c r="BZ319" s="542">
        <v>-28964</v>
      </c>
      <c r="CA319" s="542">
        <v>-2896464</v>
      </c>
    </row>
    <row r="320" spans="1:79" ht="12.75" x14ac:dyDescent="0.2">
      <c r="A320" s="93">
        <v>314</v>
      </c>
      <c r="B320" s="145" t="s">
        <v>506</v>
      </c>
      <c r="C320" s="141" t="s">
        <v>770</v>
      </c>
      <c r="D320" s="142" t="s">
        <v>875</v>
      </c>
      <c r="E320" s="149" t="s">
        <v>505</v>
      </c>
      <c r="F320" s="543">
        <v>0.5</v>
      </c>
      <c r="G320" s="543">
        <v>0.49</v>
      </c>
      <c r="H320" s="543">
        <v>0</v>
      </c>
      <c r="I320" s="543">
        <v>0.01</v>
      </c>
      <c r="J320" s="543">
        <v>1</v>
      </c>
      <c r="K320" s="542">
        <v>68296023</v>
      </c>
      <c r="L320" s="542">
        <v>66930102</v>
      </c>
      <c r="M320" s="542">
        <v>0</v>
      </c>
      <c r="N320" s="542">
        <v>1365920</v>
      </c>
      <c r="O320" s="542">
        <v>136592045</v>
      </c>
      <c r="P320" s="542">
        <v>0</v>
      </c>
      <c r="Q320" s="542">
        <v>0</v>
      </c>
      <c r="R320" s="542">
        <v>68296023</v>
      </c>
      <c r="S320" s="542">
        <v>616399</v>
      </c>
      <c r="T320" s="542">
        <v>616399</v>
      </c>
      <c r="U320" s="542">
        <v>0</v>
      </c>
      <c r="V320" s="542">
        <v>0</v>
      </c>
      <c r="W320" s="542">
        <v>464303</v>
      </c>
      <c r="X320" s="542">
        <v>0</v>
      </c>
      <c r="Y320" s="542">
        <v>464303</v>
      </c>
      <c r="Z320" s="542">
        <v>0</v>
      </c>
      <c r="AA320" s="542">
        <v>0</v>
      </c>
      <c r="AB320" s="542">
        <v>0</v>
      </c>
      <c r="AC320" s="542">
        <v>0</v>
      </c>
      <c r="AD320" s="542">
        <v>2674654</v>
      </c>
      <c r="AE320" s="542">
        <v>2621161</v>
      </c>
      <c r="AF320" s="542">
        <v>0</v>
      </c>
      <c r="AG320" s="542">
        <v>53493</v>
      </c>
      <c r="AH320" s="542">
        <v>5349308</v>
      </c>
      <c r="AI320" s="542">
        <v>-772334</v>
      </c>
      <c r="AJ320" s="542">
        <v>-756887</v>
      </c>
      <c r="AK320" s="542">
        <v>0</v>
      </c>
      <c r="AL320" s="542">
        <v>-15447</v>
      </c>
      <c r="AM320" s="542">
        <v>-1544668</v>
      </c>
      <c r="AN320" s="542">
        <v>-464150</v>
      </c>
      <c r="AO320" s="542">
        <v>-454867</v>
      </c>
      <c r="AP320" s="542">
        <v>0</v>
      </c>
      <c r="AQ320" s="542">
        <v>-9283</v>
      </c>
      <c r="AR320" s="542">
        <v>-928300</v>
      </c>
      <c r="AS320" s="542">
        <v>617815</v>
      </c>
      <c r="AT320" s="542">
        <v>605459</v>
      </c>
      <c r="AU320" s="542">
        <v>0</v>
      </c>
      <c r="AV320" s="542">
        <v>12356</v>
      </c>
      <c r="AW320" s="542">
        <v>1235630</v>
      </c>
      <c r="AX320" s="542">
        <v>-571515</v>
      </c>
      <c r="AY320" s="542">
        <v>-560085</v>
      </c>
      <c r="AZ320" s="542">
        <v>0</v>
      </c>
      <c r="BA320" s="542">
        <v>-11430</v>
      </c>
      <c r="BB320" s="542">
        <v>-1143030</v>
      </c>
      <c r="BC320" s="542">
        <v>-417850</v>
      </c>
      <c r="BD320" s="542">
        <v>-409493</v>
      </c>
      <c r="BE320" s="542">
        <v>0</v>
      </c>
      <c r="BF320" s="542">
        <v>-8357</v>
      </c>
      <c r="BG320" s="542">
        <v>-835700</v>
      </c>
      <c r="BH320" s="542">
        <v>-1539878</v>
      </c>
      <c r="BI320" s="542">
        <v>-1509080</v>
      </c>
      <c r="BJ320" s="542">
        <v>0</v>
      </c>
      <c r="BK320" s="542">
        <v>-30797</v>
      </c>
      <c r="BL320" s="542">
        <v>-3079755</v>
      </c>
      <c r="BM320" s="542">
        <v>1539877</v>
      </c>
      <c r="BN320" s="542">
        <v>1509080</v>
      </c>
      <c r="BO320" s="542">
        <v>0</v>
      </c>
      <c r="BP320" s="542">
        <v>30798</v>
      </c>
      <c r="BQ320" s="542">
        <v>3079755</v>
      </c>
      <c r="BR320" s="542">
        <v>-1727794</v>
      </c>
      <c r="BS320" s="542">
        <v>-1693239</v>
      </c>
      <c r="BT320" s="542">
        <v>0</v>
      </c>
      <c r="BU320" s="542">
        <v>-34556</v>
      </c>
      <c r="BV320" s="542">
        <v>-3455589</v>
      </c>
      <c r="BW320" s="542">
        <v>-1727795</v>
      </c>
      <c r="BX320" s="542">
        <v>-1693239</v>
      </c>
      <c r="BY320" s="542">
        <v>0</v>
      </c>
      <c r="BZ320" s="542">
        <v>-34555</v>
      </c>
      <c r="CA320" s="542">
        <v>-3455589</v>
      </c>
    </row>
    <row r="321" spans="1:79" ht="12.75" x14ac:dyDescent="0.2">
      <c r="A321" s="93">
        <v>315</v>
      </c>
      <c r="B321" s="145" t="s">
        <v>508</v>
      </c>
      <c r="C321" s="141" t="s">
        <v>866</v>
      </c>
      <c r="D321" s="142" t="s">
        <v>867</v>
      </c>
      <c r="E321" s="149" t="s">
        <v>507</v>
      </c>
      <c r="F321" s="543">
        <v>0.5</v>
      </c>
      <c r="G321" s="543">
        <v>0.4</v>
      </c>
      <c r="H321" s="543">
        <v>0.09</v>
      </c>
      <c r="I321" s="543">
        <v>0.01</v>
      </c>
      <c r="J321" s="543">
        <v>1</v>
      </c>
      <c r="K321" s="542">
        <v>26323941</v>
      </c>
      <c r="L321" s="542">
        <v>21059154</v>
      </c>
      <c r="M321" s="542">
        <v>4738310</v>
      </c>
      <c r="N321" s="542">
        <v>526479</v>
      </c>
      <c r="O321" s="542">
        <v>52647884</v>
      </c>
      <c r="P321" s="542">
        <v>0</v>
      </c>
      <c r="Q321" s="542">
        <v>0</v>
      </c>
      <c r="R321" s="542">
        <v>26323941</v>
      </c>
      <c r="S321" s="542">
        <v>197633</v>
      </c>
      <c r="T321" s="542">
        <v>197633</v>
      </c>
      <c r="U321" s="542">
        <v>0</v>
      </c>
      <c r="V321" s="542">
        <v>0</v>
      </c>
      <c r="W321" s="542">
        <v>85452</v>
      </c>
      <c r="X321" s="542">
        <v>0</v>
      </c>
      <c r="Y321" s="542">
        <v>85452</v>
      </c>
      <c r="Z321" s="542">
        <v>0</v>
      </c>
      <c r="AA321" s="542">
        <v>0</v>
      </c>
      <c r="AB321" s="542">
        <v>0</v>
      </c>
      <c r="AC321" s="542">
        <v>0</v>
      </c>
      <c r="AD321" s="542">
        <v>1114195</v>
      </c>
      <c r="AE321" s="542">
        <v>891356</v>
      </c>
      <c r="AF321" s="542">
        <v>200555</v>
      </c>
      <c r="AG321" s="542">
        <v>22284</v>
      </c>
      <c r="AH321" s="542">
        <v>2228390</v>
      </c>
      <c r="AI321" s="542">
        <v>-745008</v>
      </c>
      <c r="AJ321" s="542">
        <v>-596007</v>
      </c>
      <c r="AK321" s="542">
        <v>-134102</v>
      </c>
      <c r="AL321" s="542">
        <v>-14900</v>
      </c>
      <c r="AM321" s="542">
        <v>-1490017</v>
      </c>
      <c r="AN321" s="542">
        <v>-584062</v>
      </c>
      <c r="AO321" s="542">
        <v>-467250</v>
      </c>
      <c r="AP321" s="542">
        <v>-105131</v>
      </c>
      <c r="AQ321" s="542">
        <v>-11681</v>
      </c>
      <c r="AR321" s="542">
        <v>-1168124</v>
      </c>
      <c r="AS321" s="542">
        <v>12633</v>
      </c>
      <c r="AT321" s="542">
        <v>10107</v>
      </c>
      <c r="AU321" s="542">
        <v>2274</v>
      </c>
      <c r="AV321" s="542">
        <v>253</v>
      </c>
      <c r="AW321" s="542">
        <v>25267</v>
      </c>
      <c r="AX321" s="542">
        <v>-93689</v>
      </c>
      <c r="AY321" s="542">
        <v>-74952</v>
      </c>
      <c r="AZ321" s="542">
        <v>-16864</v>
      </c>
      <c r="BA321" s="542">
        <v>-1874</v>
      </c>
      <c r="BB321" s="542">
        <v>-187379</v>
      </c>
      <c r="BC321" s="542">
        <v>-665118</v>
      </c>
      <c r="BD321" s="542">
        <v>-532095</v>
      </c>
      <c r="BE321" s="542">
        <v>-119721</v>
      </c>
      <c r="BF321" s="542">
        <v>-13302</v>
      </c>
      <c r="BG321" s="542">
        <v>-1330236</v>
      </c>
      <c r="BH321" s="542">
        <v>-1429816</v>
      </c>
      <c r="BI321" s="542">
        <v>-1143852</v>
      </c>
      <c r="BJ321" s="542">
        <v>-257367</v>
      </c>
      <c r="BK321" s="542">
        <v>-28596</v>
      </c>
      <c r="BL321" s="542">
        <v>-2859631</v>
      </c>
      <c r="BM321" s="542">
        <v>494969</v>
      </c>
      <c r="BN321" s="542">
        <v>395975</v>
      </c>
      <c r="BO321" s="542">
        <v>89094</v>
      </c>
      <c r="BP321" s="542">
        <v>9899</v>
      </c>
      <c r="BQ321" s="542">
        <v>989937</v>
      </c>
      <c r="BR321" s="542">
        <v>-1475528</v>
      </c>
      <c r="BS321" s="542">
        <v>-1180422</v>
      </c>
      <c r="BT321" s="542">
        <v>-265595</v>
      </c>
      <c r="BU321" s="542">
        <v>-29511</v>
      </c>
      <c r="BV321" s="542">
        <v>-2951056</v>
      </c>
      <c r="BW321" s="542">
        <v>-2410375</v>
      </c>
      <c r="BX321" s="542">
        <v>-1928299</v>
      </c>
      <c r="BY321" s="542">
        <v>-433868</v>
      </c>
      <c r="BZ321" s="542">
        <v>-48208</v>
      </c>
      <c r="CA321" s="542">
        <v>-4820750</v>
      </c>
    </row>
    <row r="322" spans="1:79" ht="12.75" x14ac:dyDescent="0.2">
      <c r="A322" s="93">
        <v>316</v>
      </c>
      <c r="B322" s="145" t="s">
        <v>510</v>
      </c>
      <c r="C322" s="141" t="s">
        <v>770</v>
      </c>
      <c r="D322" s="142" t="s">
        <v>867</v>
      </c>
      <c r="E322" s="149" t="s">
        <v>737</v>
      </c>
      <c r="F322" s="543">
        <v>0.5</v>
      </c>
      <c r="G322" s="543">
        <v>0.49</v>
      </c>
      <c r="H322" s="543">
        <v>0</v>
      </c>
      <c r="I322" s="543">
        <v>0.01</v>
      </c>
      <c r="J322" s="543">
        <v>1</v>
      </c>
      <c r="K322" s="542">
        <v>38058209</v>
      </c>
      <c r="L322" s="542">
        <v>37297044</v>
      </c>
      <c r="M322" s="542">
        <v>0</v>
      </c>
      <c r="N322" s="542">
        <v>761164</v>
      </c>
      <c r="O322" s="542">
        <v>76116417</v>
      </c>
      <c r="P322" s="542">
        <v>0</v>
      </c>
      <c r="Q322" s="542">
        <v>0</v>
      </c>
      <c r="R322" s="542">
        <v>38058209</v>
      </c>
      <c r="S322" s="542">
        <v>248540</v>
      </c>
      <c r="T322" s="542">
        <v>248540</v>
      </c>
      <c r="U322" s="542">
        <v>0</v>
      </c>
      <c r="V322" s="542">
        <v>0</v>
      </c>
      <c r="W322" s="542">
        <v>7159</v>
      </c>
      <c r="X322" s="542">
        <v>0</v>
      </c>
      <c r="Y322" s="542">
        <v>7159</v>
      </c>
      <c r="Z322" s="542">
        <v>0</v>
      </c>
      <c r="AA322" s="542">
        <v>0</v>
      </c>
      <c r="AB322" s="542">
        <v>0</v>
      </c>
      <c r="AC322" s="542">
        <v>0</v>
      </c>
      <c r="AD322" s="542">
        <v>1930617</v>
      </c>
      <c r="AE322" s="542">
        <v>1892004</v>
      </c>
      <c r="AF322" s="542">
        <v>0</v>
      </c>
      <c r="AG322" s="542">
        <v>38612</v>
      </c>
      <c r="AH322" s="542">
        <v>3861233</v>
      </c>
      <c r="AI322" s="542">
        <v>-527149</v>
      </c>
      <c r="AJ322" s="542">
        <v>-516607</v>
      </c>
      <c r="AK322" s="542">
        <v>0</v>
      </c>
      <c r="AL322" s="542">
        <v>-10543</v>
      </c>
      <c r="AM322" s="542">
        <v>-1054299</v>
      </c>
      <c r="AN322" s="542">
        <v>-1121432.1000000001</v>
      </c>
      <c r="AO322" s="542">
        <v>-1099003</v>
      </c>
      <c r="AP322" s="542">
        <v>0</v>
      </c>
      <c r="AQ322" s="542">
        <v>-22429</v>
      </c>
      <c r="AR322" s="542">
        <v>-2242864.1</v>
      </c>
      <c r="AS322" s="542">
        <v>647569</v>
      </c>
      <c r="AT322" s="542">
        <v>634617</v>
      </c>
      <c r="AU322" s="542">
        <v>0</v>
      </c>
      <c r="AV322" s="542">
        <v>12951</v>
      </c>
      <c r="AW322" s="542">
        <v>1295137</v>
      </c>
      <c r="AX322" s="542">
        <v>-417891</v>
      </c>
      <c r="AY322" s="542">
        <v>-409533</v>
      </c>
      <c r="AZ322" s="542">
        <v>0</v>
      </c>
      <c r="BA322" s="542">
        <v>-8358</v>
      </c>
      <c r="BB322" s="542">
        <v>-835782</v>
      </c>
      <c r="BC322" s="542">
        <v>-891754.1</v>
      </c>
      <c r="BD322" s="542">
        <v>-873919</v>
      </c>
      <c r="BE322" s="542">
        <v>0</v>
      </c>
      <c r="BF322" s="542">
        <v>-17836</v>
      </c>
      <c r="BG322" s="542">
        <v>-1783509.1</v>
      </c>
      <c r="BH322" s="542">
        <v>-2501435</v>
      </c>
      <c r="BI322" s="542">
        <v>-2451406</v>
      </c>
      <c r="BJ322" s="542">
        <v>0</v>
      </c>
      <c r="BK322" s="542">
        <v>-50028</v>
      </c>
      <c r="BL322" s="542">
        <v>-5002869</v>
      </c>
      <c r="BM322" s="542">
        <v>0</v>
      </c>
      <c r="BN322" s="542">
        <v>0</v>
      </c>
      <c r="BO322" s="542">
        <v>0</v>
      </c>
      <c r="BP322" s="542">
        <v>0</v>
      </c>
      <c r="BQ322" s="542">
        <v>0</v>
      </c>
      <c r="BR322" s="542">
        <v>45327</v>
      </c>
      <c r="BS322" s="542">
        <v>44420</v>
      </c>
      <c r="BT322" s="542">
        <v>0</v>
      </c>
      <c r="BU322" s="542">
        <v>907</v>
      </c>
      <c r="BV322" s="542">
        <v>90654</v>
      </c>
      <c r="BW322" s="542">
        <v>-2456108</v>
      </c>
      <c r="BX322" s="542">
        <v>-2406986</v>
      </c>
      <c r="BY322" s="542">
        <v>0</v>
      </c>
      <c r="BZ322" s="542">
        <v>-49121</v>
      </c>
      <c r="CA322" s="542">
        <v>-4912215</v>
      </c>
    </row>
    <row r="323" spans="1:79" ht="12.75" x14ac:dyDescent="0.2">
      <c r="A323" s="93">
        <v>317</v>
      </c>
      <c r="B323" s="145" t="s">
        <v>512</v>
      </c>
      <c r="C323" s="141" t="s">
        <v>873</v>
      </c>
      <c r="D323" s="142" t="s">
        <v>868</v>
      </c>
      <c r="E323" s="149" t="s">
        <v>511</v>
      </c>
      <c r="F323" s="543">
        <v>0.5</v>
      </c>
      <c r="G323" s="543">
        <v>0.49</v>
      </c>
      <c r="H323" s="543">
        <v>0</v>
      </c>
      <c r="I323" s="543">
        <v>0.01</v>
      </c>
      <c r="J323" s="543">
        <v>1</v>
      </c>
      <c r="K323" s="542">
        <v>32693759</v>
      </c>
      <c r="L323" s="542">
        <v>32039884</v>
      </c>
      <c r="M323" s="542">
        <v>0</v>
      </c>
      <c r="N323" s="542">
        <v>653875</v>
      </c>
      <c r="O323" s="542">
        <v>65387518</v>
      </c>
      <c r="P323" s="542">
        <v>0</v>
      </c>
      <c r="Q323" s="542">
        <v>0</v>
      </c>
      <c r="R323" s="542">
        <v>32693759</v>
      </c>
      <c r="S323" s="542">
        <v>339424</v>
      </c>
      <c r="T323" s="542">
        <v>339424</v>
      </c>
      <c r="U323" s="542">
        <v>0</v>
      </c>
      <c r="V323" s="542">
        <v>0</v>
      </c>
      <c r="W323" s="542">
        <v>0</v>
      </c>
      <c r="X323" s="542">
        <v>0</v>
      </c>
      <c r="Y323" s="542">
        <v>0</v>
      </c>
      <c r="Z323" s="542">
        <v>0</v>
      </c>
      <c r="AA323" s="542">
        <v>0</v>
      </c>
      <c r="AB323" s="542">
        <v>0</v>
      </c>
      <c r="AC323" s="542">
        <v>0</v>
      </c>
      <c r="AD323" s="542">
        <v>2758427</v>
      </c>
      <c r="AE323" s="542">
        <v>2703259</v>
      </c>
      <c r="AF323" s="542">
        <v>0</v>
      </c>
      <c r="AG323" s="542">
        <v>55169</v>
      </c>
      <c r="AH323" s="542">
        <v>5516855</v>
      </c>
      <c r="AI323" s="542">
        <v>-498101</v>
      </c>
      <c r="AJ323" s="542">
        <v>-488139</v>
      </c>
      <c r="AK323" s="542">
        <v>0</v>
      </c>
      <c r="AL323" s="542">
        <v>-9962</v>
      </c>
      <c r="AM323" s="542">
        <v>-996202</v>
      </c>
      <c r="AN323" s="542">
        <v>-1796651</v>
      </c>
      <c r="AO323" s="542">
        <v>-1760718</v>
      </c>
      <c r="AP323" s="542">
        <v>0</v>
      </c>
      <c r="AQ323" s="542">
        <v>-35933</v>
      </c>
      <c r="AR323" s="542">
        <v>-3593302</v>
      </c>
      <c r="AS323" s="542">
        <v>663634</v>
      </c>
      <c r="AT323" s="542">
        <v>650361</v>
      </c>
      <c r="AU323" s="542">
        <v>0</v>
      </c>
      <c r="AV323" s="542">
        <v>13273</v>
      </c>
      <c r="AW323" s="542">
        <v>1327268</v>
      </c>
      <c r="AX323" s="542">
        <v>-616660</v>
      </c>
      <c r="AY323" s="542">
        <v>-604327</v>
      </c>
      <c r="AZ323" s="542">
        <v>0</v>
      </c>
      <c r="BA323" s="542">
        <v>-12333</v>
      </c>
      <c r="BB323" s="542">
        <v>-1233320</v>
      </c>
      <c r="BC323" s="542">
        <v>-1749677</v>
      </c>
      <c r="BD323" s="542">
        <v>-1714684</v>
      </c>
      <c r="BE323" s="542">
        <v>0</v>
      </c>
      <c r="BF323" s="542">
        <v>-34993</v>
      </c>
      <c r="BG323" s="542">
        <v>-3499354</v>
      </c>
      <c r="BH323" s="542">
        <v>-1595922</v>
      </c>
      <c r="BI323" s="542">
        <v>-1564002</v>
      </c>
      <c r="BJ323" s="542">
        <v>0</v>
      </c>
      <c r="BK323" s="542">
        <v>-31918</v>
      </c>
      <c r="BL323" s="542">
        <v>-3191842</v>
      </c>
      <c r="BM323" s="542">
        <v>395752</v>
      </c>
      <c r="BN323" s="542">
        <v>387836</v>
      </c>
      <c r="BO323" s="542">
        <v>0</v>
      </c>
      <c r="BP323" s="542">
        <v>7915</v>
      </c>
      <c r="BQ323" s="542">
        <v>791503</v>
      </c>
      <c r="BR323" s="542">
        <v>-1483841</v>
      </c>
      <c r="BS323" s="542">
        <v>-1454164</v>
      </c>
      <c r="BT323" s="542">
        <v>0</v>
      </c>
      <c r="BU323" s="542">
        <v>-29677</v>
      </c>
      <c r="BV323" s="542">
        <v>-2967682</v>
      </c>
      <c r="BW323" s="542">
        <v>-2684011</v>
      </c>
      <c r="BX323" s="542">
        <v>-2630330</v>
      </c>
      <c r="BY323" s="542">
        <v>0</v>
      </c>
      <c r="BZ323" s="542">
        <v>-53680</v>
      </c>
      <c r="CA323" s="542">
        <v>-5368021</v>
      </c>
    </row>
    <row r="324" spans="1:79" ht="12.75" x14ac:dyDescent="0.2">
      <c r="A324" s="93">
        <v>318</v>
      </c>
      <c r="B324" s="145" t="s">
        <v>514</v>
      </c>
      <c r="C324" s="141" t="s">
        <v>866</v>
      </c>
      <c r="D324" s="142" t="s">
        <v>867</v>
      </c>
      <c r="E324" s="149" t="s">
        <v>513</v>
      </c>
      <c r="F324" s="543">
        <v>0.5</v>
      </c>
      <c r="G324" s="543">
        <v>0.4</v>
      </c>
      <c r="H324" s="543">
        <v>0.1</v>
      </c>
      <c r="I324" s="543">
        <v>0</v>
      </c>
      <c r="J324" s="543">
        <v>1</v>
      </c>
      <c r="K324" s="542">
        <v>21040268</v>
      </c>
      <c r="L324" s="542">
        <v>16832215</v>
      </c>
      <c r="M324" s="542">
        <v>4208054</v>
      </c>
      <c r="N324" s="542">
        <v>0</v>
      </c>
      <c r="O324" s="542">
        <v>42080537</v>
      </c>
      <c r="P324" s="542">
        <v>0</v>
      </c>
      <c r="Q324" s="542">
        <v>0</v>
      </c>
      <c r="R324" s="542">
        <v>21040268</v>
      </c>
      <c r="S324" s="542">
        <v>136562</v>
      </c>
      <c r="T324" s="542">
        <v>136562</v>
      </c>
      <c r="U324" s="542">
        <v>0</v>
      </c>
      <c r="V324" s="542">
        <v>0</v>
      </c>
      <c r="W324" s="542">
        <v>0</v>
      </c>
      <c r="X324" s="542">
        <v>0</v>
      </c>
      <c r="Y324" s="542">
        <v>0</v>
      </c>
      <c r="Z324" s="542">
        <v>0</v>
      </c>
      <c r="AA324" s="542">
        <v>0</v>
      </c>
      <c r="AB324" s="542">
        <v>0</v>
      </c>
      <c r="AC324" s="542">
        <v>0</v>
      </c>
      <c r="AD324" s="542">
        <v>1337129</v>
      </c>
      <c r="AE324" s="542">
        <v>1069704</v>
      </c>
      <c r="AF324" s="542">
        <v>267426</v>
      </c>
      <c r="AG324" s="542">
        <v>0</v>
      </c>
      <c r="AH324" s="542">
        <v>2674259</v>
      </c>
      <c r="AI324" s="542">
        <v>-462586</v>
      </c>
      <c r="AJ324" s="542">
        <v>-370068</v>
      </c>
      <c r="AK324" s="542">
        <v>-92517</v>
      </c>
      <c r="AL324" s="542">
        <v>0</v>
      </c>
      <c r="AM324" s="542">
        <v>-925171</v>
      </c>
      <c r="AN324" s="542">
        <v>-143500</v>
      </c>
      <c r="AO324" s="542">
        <v>-114800</v>
      </c>
      <c r="AP324" s="542">
        <v>-28700</v>
      </c>
      <c r="AQ324" s="542">
        <v>0</v>
      </c>
      <c r="AR324" s="542">
        <v>-287000</v>
      </c>
      <c r="AS324" s="542">
        <v>0</v>
      </c>
      <c r="AT324" s="542">
        <v>0</v>
      </c>
      <c r="AU324" s="542">
        <v>0</v>
      </c>
      <c r="AV324" s="542">
        <v>0</v>
      </c>
      <c r="AW324" s="542">
        <v>0</v>
      </c>
      <c r="AX324" s="542">
        <v>-307000</v>
      </c>
      <c r="AY324" s="542">
        <v>-245600</v>
      </c>
      <c r="AZ324" s="542">
        <v>-61400</v>
      </c>
      <c r="BA324" s="542">
        <v>0</v>
      </c>
      <c r="BB324" s="542">
        <v>-614000</v>
      </c>
      <c r="BC324" s="542">
        <v>-450500</v>
      </c>
      <c r="BD324" s="542">
        <v>-360400</v>
      </c>
      <c r="BE324" s="542">
        <v>-90100</v>
      </c>
      <c r="BF324" s="542">
        <v>0</v>
      </c>
      <c r="BG324" s="542">
        <v>-901000</v>
      </c>
      <c r="BH324" s="542">
        <v>-2515000</v>
      </c>
      <c r="BI324" s="542">
        <v>-2012000</v>
      </c>
      <c r="BJ324" s="542">
        <v>-503000</v>
      </c>
      <c r="BK324" s="542">
        <v>0</v>
      </c>
      <c r="BL324" s="542">
        <v>-5030000</v>
      </c>
      <c r="BM324" s="542">
        <v>1349978</v>
      </c>
      <c r="BN324" s="542">
        <v>1079982</v>
      </c>
      <c r="BO324" s="542">
        <v>269996</v>
      </c>
      <c r="BP324" s="542">
        <v>0</v>
      </c>
      <c r="BQ324" s="542">
        <v>2699956</v>
      </c>
      <c r="BR324" s="542">
        <v>-2299978</v>
      </c>
      <c r="BS324" s="542">
        <v>-1839982</v>
      </c>
      <c r="BT324" s="542">
        <v>-459996</v>
      </c>
      <c r="BU324" s="542">
        <v>0</v>
      </c>
      <c r="BV324" s="542">
        <v>-4599956</v>
      </c>
      <c r="BW324" s="542">
        <v>-3465000</v>
      </c>
      <c r="BX324" s="542">
        <v>-2772000</v>
      </c>
      <c r="BY324" s="542">
        <v>-693000</v>
      </c>
      <c r="BZ324" s="542">
        <v>0</v>
      </c>
      <c r="CA324" s="542">
        <v>-6930000</v>
      </c>
    </row>
    <row r="325" spans="1:79" ht="12.75" x14ac:dyDescent="0.2">
      <c r="A325" s="93">
        <v>319</v>
      </c>
      <c r="B325" s="145" t="s">
        <v>516</v>
      </c>
      <c r="C325" s="141" t="s">
        <v>770</v>
      </c>
      <c r="D325" s="142" t="s">
        <v>867</v>
      </c>
      <c r="E325" s="149" t="s">
        <v>738</v>
      </c>
      <c r="F325" s="543">
        <v>0.5</v>
      </c>
      <c r="G325" s="543">
        <v>0.49</v>
      </c>
      <c r="H325" s="543">
        <v>0</v>
      </c>
      <c r="I325" s="543">
        <v>0.01</v>
      </c>
      <c r="J325" s="543">
        <v>1</v>
      </c>
      <c r="K325" s="542">
        <v>28072790</v>
      </c>
      <c r="L325" s="542">
        <v>27511334</v>
      </c>
      <c r="M325" s="542">
        <v>0</v>
      </c>
      <c r="N325" s="542">
        <v>561456</v>
      </c>
      <c r="O325" s="542">
        <v>56145580</v>
      </c>
      <c r="P325" s="542">
        <v>0</v>
      </c>
      <c r="Q325" s="542">
        <v>0</v>
      </c>
      <c r="R325" s="542">
        <v>28072790</v>
      </c>
      <c r="S325" s="542">
        <v>180513</v>
      </c>
      <c r="T325" s="542">
        <v>180513</v>
      </c>
      <c r="U325" s="542">
        <v>0</v>
      </c>
      <c r="V325" s="542">
        <v>0</v>
      </c>
      <c r="W325" s="542">
        <v>0</v>
      </c>
      <c r="X325" s="542">
        <v>0</v>
      </c>
      <c r="Y325" s="542">
        <v>0</v>
      </c>
      <c r="Z325" s="542">
        <v>0</v>
      </c>
      <c r="AA325" s="542">
        <v>0</v>
      </c>
      <c r="AB325" s="542">
        <v>0</v>
      </c>
      <c r="AC325" s="542">
        <v>0</v>
      </c>
      <c r="AD325" s="542">
        <v>1265860</v>
      </c>
      <c r="AE325" s="542">
        <v>1240543</v>
      </c>
      <c r="AF325" s="542">
        <v>0</v>
      </c>
      <c r="AG325" s="542">
        <v>25317</v>
      </c>
      <c r="AH325" s="542">
        <v>2531720</v>
      </c>
      <c r="AI325" s="542">
        <v>-1363364</v>
      </c>
      <c r="AJ325" s="542">
        <v>-1336096</v>
      </c>
      <c r="AK325" s="542">
        <v>0</v>
      </c>
      <c r="AL325" s="542">
        <v>-27267</v>
      </c>
      <c r="AM325" s="542">
        <v>-2726727</v>
      </c>
      <c r="AN325" s="542">
        <v>-375000</v>
      </c>
      <c r="AO325" s="542">
        <v>-367500</v>
      </c>
      <c r="AP325" s="542">
        <v>0</v>
      </c>
      <c r="AQ325" s="542">
        <v>-7500</v>
      </c>
      <c r="AR325" s="542">
        <v>-750000</v>
      </c>
      <c r="AS325" s="542">
        <v>104105</v>
      </c>
      <c r="AT325" s="542">
        <v>102022</v>
      </c>
      <c r="AU325" s="542">
        <v>0</v>
      </c>
      <c r="AV325" s="542">
        <v>2082</v>
      </c>
      <c r="AW325" s="542">
        <v>208209</v>
      </c>
      <c r="AX325" s="542">
        <v>0</v>
      </c>
      <c r="AY325" s="542">
        <v>0</v>
      </c>
      <c r="AZ325" s="542">
        <v>0</v>
      </c>
      <c r="BA325" s="542">
        <v>0</v>
      </c>
      <c r="BB325" s="542">
        <v>0</v>
      </c>
      <c r="BC325" s="542">
        <v>-270895</v>
      </c>
      <c r="BD325" s="542">
        <v>-265478</v>
      </c>
      <c r="BE325" s="542">
        <v>0</v>
      </c>
      <c r="BF325" s="542">
        <v>-5418</v>
      </c>
      <c r="BG325" s="542">
        <v>-541791</v>
      </c>
      <c r="BH325" s="542">
        <v>-625000</v>
      </c>
      <c r="BI325" s="542">
        <v>-612500</v>
      </c>
      <c r="BJ325" s="542">
        <v>0</v>
      </c>
      <c r="BK325" s="542">
        <v>-12500</v>
      </c>
      <c r="BL325" s="542">
        <v>-1250000</v>
      </c>
      <c r="BM325" s="542">
        <v>373099</v>
      </c>
      <c r="BN325" s="542">
        <v>365638</v>
      </c>
      <c r="BO325" s="542">
        <v>0</v>
      </c>
      <c r="BP325" s="542">
        <v>7462</v>
      </c>
      <c r="BQ325" s="542">
        <v>746199</v>
      </c>
      <c r="BR325" s="542">
        <v>-557599</v>
      </c>
      <c r="BS325" s="542">
        <v>-546448</v>
      </c>
      <c r="BT325" s="542">
        <v>0</v>
      </c>
      <c r="BU325" s="542">
        <v>-11152</v>
      </c>
      <c r="BV325" s="542">
        <v>-1115199</v>
      </c>
      <c r="BW325" s="542">
        <v>-809500</v>
      </c>
      <c r="BX325" s="542">
        <v>-793310</v>
      </c>
      <c r="BY325" s="542">
        <v>0</v>
      </c>
      <c r="BZ325" s="542">
        <v>-16190</v>
      </c>
      <c r="CA325" s="542">
        <v>-1619000</v>
      </c>
    </row>
    <row r="326" spans="1:79" ht="12.75" x14ac:dyDescent="0.2">
      <c r="A326" s="93">
        <v>320</v>
      </c>
      <c r="B326" s="145" t="s">
        <v>518</v>
      </c>
      <c r="C326" s="141" t="s">
        <v>873</v>
      </c>
      <c r="D326" s="142" t="s">
        <v>876</v>
      </c>
      <c r="E326" s="149" t="s">
        <v>517</v>
      </c>
      <c r="F326" s="543">
        <v>0.5</v>
      </c>
      <c r="G326" s="543">
        <v>0.49</v>
      </c>
      <c r="H326" s="543">
        <v>0</v>
      </c>
      <c r="I326" s="543">
        <v>0.01</v>
      </c>
      <c r="J326" s="543">
        <v>1</v>
      </c>
      <c r="K326" s="542">
        <v>33026978</v>
      </c>
      <c r="L326" s="542">
        <v>32366439</v>
      </c>
      <c r="M326" s="542">
        <v>0</v>
      </c>
      <c r="N326" s="542">
        <v>660540</v>
      </c>
      <c r="O326" s="542">
        <v>66053957</v>
      </c>
      <c r="P326" s="542">
        <v>0</v>
      </c>
      <c r="Q326" s="542">
        <v>0</v>
      </c>
      <c r="R326" s="542">
        <v>33026978</v>
      </c>
      <c r="S326" s="542">
        <v>346243</v>
      </c>
      <c r="T326" s="542">
        <v>346243</v>
      </c>
      <c r="U326" s="542">
        <v>473</v>
      </c>
      <c r="V326" s="542">
        <v>473</v>
      </c>
      <c r="W326" s="542">
        <v>0</v>
      </c>
      <c r="X326" s="542">
        <v>0</v>
      </c>
      <c r="Y326" s="542">
        <v>0</v>
      </c>
      <c r="Z326" s="542">
        <v>0</v>
      </c>
      <c r="AA326" s="542">
        <v>0</v>
      </c>
      <c r="AB326" s="542">
        <v>0</v>
      </c>
      <c r="AC326" s="542">
        <v>0</v>
      </c>
      <c r="AD326" s="542">
        <v>3462251</v>
      </c>
      <c r="AE326" s="542">
        <v>3393005</v>
      </c>
      <c r="AF326" s="542">
        <v>0</v>
      </c>
      <c r="AG326" s="542">
        <v>69245</v>
      </c>
      <c r="AH326" s="542">
        <v>6924501</v>
      </c>
      <c r="AI326" s="542">
        <v>-516545</v>
      </c>
      <c r="AJ326" s="542">
        <v>-506214</v>
      </c>
      <c r="AK326" s="542">
        <v>0</v>
      </c>
      <c r="AL326" s="542">
        <v>-10331</v>
      </c>
      <c r="AM326" s="542">
        <v>-1033090</v>
      </c>
      <c r="AN326" s="542">
        <v>-1297499</v>
      </c>
      <c r="AO326" s="542">
        <v>-1271549</v>
      </c>
      <c r="AP326" s="542">
        <v>0</v>
      </c>
      <c r="AQ326" s="542">
        <v>-25950</v>
      </c>
      <c r="AR326" s="542">
        <v>-2594998</v>
      </c>
      <c r="AS326" s="542">
        <v>584864</v>
      </c>
      <c r="AT326" s="542">
        <v>573166</v>
      </c>
      <c r="AU326" s="542">
        <v>0</v>
      </c>
      <c r="AV326" s="542">
        <v>11697</v>
      </c>
      <c r="AW326" s="542">
        <v>1169727</v>
      </c>
      <c r="AX326" s="542">
        <v>-530255</v>
      </c>
      <c r="AY326" s="542">
        <v>-519650</v>
      </c>
      <c r="AZ326" s="542">
        <v>0</v>
      </c>
      <c r="BA326" s="542">
        <v>-10605</v>
      </c>
      <c r="BB326" s="542">
        <v>-1060510</v>
      </c>
      <c r="BC326" s="542">
        <v>-1242890</v>
      </c>
      <c r="BD326" s="542">
        <v>-1218033</v>
      </c>
      <c r="BE326" s="542">
        <v>0</v>
      </c>
      <c r="BF326" s="542">
        <v>-24858</v>
      </c>
      <c r="BG326" s="542">
        <v>-2485781</v>
      </c>
      <c r="BH326" s="542">
        <v>-786177</v>
      </c>
      <c r="BI326" s="542">
        <v>-770453</v>
      </c>
      <c r="BJ326" s="542">
        <v>0</v>
      </c>
      <c r="BK326" s="542">
        <v>-15724</v>
      </c>
      <c r="BL326" s="542">
        <v>-1572354</v>
      </c>
      <c r="BM326" s="542">
        <v>824421</v>
      </c>
      <c r="BN326" s="542">
        <v>807932</v>
      </c>
      <c r="BO326" s="542">
        <v>0</v>
      </c>
      <c r="BP326" s="542">
        <v>16488</v>
      </c>
      <c r="BQ326" s="542">
        <v>1648841</v>
      </c>
      <c r="BR326" s="542">
        <v>-4091322</v>
      </c>
      <c r="BS326" s="542">
        <v>-4009496</v>
      </c>
      <c r="BT326" s="542">
        <v>0</v>
      </c>
      <c r="BU326" s="542">
        <v>-81826</v>
      </c>
      <c r="BV326" s="542">
        <v>-8182644</v>
      </c>
      <c r="BW326" s="542">
        <v>-4053078</v>
      </c>
      <c r="BX326" s="542">
        <v>-3972017</v>
      </c>
      <c r="BY326" s="542">
        <v>0</v>
      </c>
      <c r="BZ326" s="542">
        <v>-81062</v>
      </c>
      <c r="CA326" s="542">
        <v>-8106157</v>
      </c>
    </row>
    <row r="327" spans="1:79" ht="12.75" x14ac:dyDescent="0.2">
      <c r="A327" s="93">
        <v>321</v>
      </c>
      <c r="B327" s="145" t="s">
        <v>520</v>
      </c>
      <c r="C327" s="141" t="s">
        <v>866</v>
      </c>
      <c r="D327" s="142" t="s">
        <v>876</v>
      </c>
      <c r="E327" s="149" t="s">
        <v>519</v>
      </c>
      <c r="F327" s="543">
        <v>0.5</v>
      </c>
      <c r="G327" s="543">
        <v>0.4</v>
      </c>
      <c r="H327" s="543">
        <v>0.09</v>
      </c>
      <c r="I327" s="543">
        <v>0.01</v>
      </c>
      <c r="J327" s="543">
        <v>1</v>
      </c>
      <c r="K327" s="542">
        <v>17768228</v>
      </c>
      <c r="L327" s="542">
        <v>14214582</v>
      </c>
      <c r="M327" s="542">
        <v>3198281</v>
      </c>
      <c r="N327" s="542">
        <v>355365</v>
      </c>
      <c r="O327" s="542">
        <v>35536456</v>
      </c>
      <c r="P327" s="542">
        <v>0</v>
      </c>
      <c r="Q327" s="542">
        <v>0</v>
      </c>
      <c r="R327" s="542">
        <v>17768228</v>
      </c>
      <c r="S327" s="542">
        <v>139191</v>
      </c>
      <c r="T327" s="542">
        <v>139191</v>
      </c>
      <c r="U327" s="542">
        <v>0</v>
      </c>
      <c r="V327" s="542">
        <v>0</v>
      </c>
      <c r="W327" s="542">
        <v>0</v>
      </c>
      <c r="X327" s="542">
        <v>0</v>
      </c>
      <c r="Y327" s="542">
        <v>0</v>
      </c>
      <c r="Z327" s="542">
        <v>0</v>
      </c>
      <c r="AA327" s="542">
        <v>0</v>
      </c>
      <c r="AB327" s="542">
        <v>0</v>
      </c>
      <c r="AC327" s="542">
        <v>0</v>
      </c>
      <c r="AD327" s="542">
        <v>613913</v>
      </c>
      <c r="AE327" s="542">
        <v>491130</v>
      </c>
      <c r="AF327" s="542">
        <v>110504</v>
      </c>
      <c r="AG327" s="542">
        <v>12278</v>
      </c>
      <c r="AH327" s="542">
        <v>1227825</v>
      </c>
      <c r="AI327" s="542">
        <v>-310386</v>
      </c>
      <c r="AJ327" s="542">
        <v>-248310</v>
      </c>
      <c r="AK327" s="542">
        <v>-55870</v>
      </c>
      <c r="AL327" s="542">
        <v>-6208</v>
      </c>
      <c r="AM327" s="542">
        <v>-620774</v>
      </c>
      <c r="AN327" s="542">
        <v>-147384</v>
      </c>
      <c r="AO327" s="542">
        <v>-117907</v>
      </c>
      <c r="AP327" s="542">
        <v>-26529</v>
      </c>
      <c r="AQ327" s="542">
        <v>-2948</v>
      </c>
      <c r="AR327" s="542">
        <v>-294768</v>
      </c>
      <c r="AS327" s="542">
        <v>84049</v>
      </c>
      <c r="AT327" s="542">
        <v>67240</v>
      </c>
      <c r="AU327" s="542">
        <v>15129</v>
      </c>
      <c r="AV327" s="542">
        <v>1681</v>
      </c>
      <c r="AW327" s="542">
        <v>168099</v>
      </c>
      <c r="AX327" s="542">
        <v>-84049</v>
      </c>
      <c r="AY327" s="542">
        <v>-67240</v>
      </c>
      <c r="AZ327" s="542">
        <v>-15129</v>
      </c>
      <c r="BA327" s="542">
        <v>-1681</v>
      </c>
      <c r="BB327" s="542">
        <v>-168099</v>
      </c>
      <c r="BC327" s="542">
        <v>-147384</v>
      </c>
      <c r="BD327" s="542">
        <v>-117907</v>
      </c>
      <c r="BE327" s="542">
        <v>-26529</v>
      </c>
      <c r="BF327" s="542">
        <v>-2948</v>
      </c>
      <c r="BG327" s="542">
        <v>-294768</v>
      </c>
      <c r="BH327" s="542">
        <v>-1064211</v>
      </c>
      <c r="BI327" s="542">
        <v>-851369</v>
      </c>
      <c r="BJ327" s="542">
        <v>-191558</v>
      </c>
      <c r="BK327" s="542">
        <v>-21284</v>
      </c>
      <c r="BL327" s="542">
        <v>-2128422</v>
      </c>
      <c r="BM327" s="542">
        <v>295461</v>
      </c>
      <c r="BN327" s="542">
        <v>236368</v>
      </c>
      <c r="BO327" s="542">
        <v>53183</v>
      </c>
      <c r="BP327" s="542">
        <v>5909</v>
      </c>
      <c r="BQ327" s="542">
        <v>590921</v>
      </c>
      <c r="BR327" s="542">
        <v>-2276066</v>
      </c>
      <c r="BS327" s="542">
        <v>-1820852</v>
      </c>
      <c r="BT327" s="542">
        <v>-409692</v>
      </c>
      <c r="BU327" s="542">
        <v>-45521</v>
      </c>
      <c r="BV327" s="542">
        <v>-4552131</v>
      </c>
      <c r="BW327" s="542">
        <v>-3044816</v>
      </c>
      <c r="BX327" s="542">
        <v>-2435853</v>
      </c>
      <c r="BY327" s="542">
        <v>-548067</v>
      </c>
      <c r="BZ327" s="542">
        <v>-60896</v>
      </c>
      <c r="CA327" s="542">
        <v>-6089632</v>
      </c>
    </row>
    <row r="328" spans="1:79" ht="12.75" x14ac:dyDescent="0.2">
      <c r="A328" s="93">
        <v>322</v>
      </c>
      <c r="B328" s="145" t="s">
        <v>522</v>
      </c>
      <c r="C328" s="141" t="s">
        <v>866</v>
      </c>
      <c r="D328" s="142" t="s">
        <v>867</v>
      </c>
      <c r="E328" s="149" t="s">
        <v>521</v>
      </c>
      <c r="F328" s="543">
        <v>0.5</v>
      </c>
      <c r="G328" s="543">
        <v>0.4</v>
      </c>
      <c r="H328" s="543">
        <v>0.1</v>
      </c>
      <c r="I328" s="543">
        <v>0</v>
      </c>
      <c r="J328" s="543">
        <v>1</v>
      </c>
      <c r="K328" s="542">
        <v>14641766</v>
      </c>
      <c r="L328" s="542">
        <v>11713412</v>
      </c>
      <c r="M328" s="542">
        <v>2928353</v>
      </c>
      <c r="N328" s="542">
        <v>0</v>
      </c>
      <c r="O328" s="542">
        <v>29283531</v>
      </c>
      <c r="P328" s="542">
        <v>0</v>
      </c>
      <c r="Q328" s="542">
        <v>0</v>
      </c>
      <c r="R328" s="542">
        <v>14641766</v>
      </c>
      <c r="S328" s="542">
        <v>132502</v>
      </c>
      <c r="T328" s="542">
        <v>132502</v>
      </c>
      <c r="U328" s="542">
        <v>0</v>
      </c>
      <c r="V328" s="542">
        <v>0</v>
      </c>
      <c r="W328" s="542">
        <v>0</v>
      </c>
      <c r="X328" s="542">
        <v>0</v>
      </c>
      <c r="Y328" s="542">
        <v>0</v>
      </c>
      <c r="Z328" s="542">
        <v>0</v>
      </c>
      <c r="AA328" s="542">
        <v>0</v>
      </c>
      <c r="AB328" s="542">
        <v>0</v>
      </c>
      <c r="AC328" s="542">
        <v>0</v>
      </c>
      <c r="AD328" s="542">
        <v>786168</v>
      </c>
      <c r="AE328" s="542">
        <v>628935</v>
      </c>
      <c r="AF328" s="542">
        <v>157234</v>
      </c>
      <c r="AG328" s="542">
        <v>0</v>
      </c>
      <c r="AH328" s="542">
        <v>1572337</v>
      </c>
      <c r="AI328" s="542">
        <v>-224779</v>
      </c>
      <c r="AJ328" s="542">
        <v>-179824</v>
      </c>
      <c r="AK328" s="542">
        <v>-44956</v>
      </c>
      <c r="AL328" s="542">
        <v>0</v>
      </c>
      <c r="AM328" s="542">
        <v>-449559</v>
      </c>
      <c r="AN328" s="542">
        <v>-400040</v>
      </c>
      <c r="AO328" s="542">
        <v>-320032</v>
      </c>
      <c r="AP328" s="542">
        <v>-80008</v>
      </c>
      <c r="AQ328" s="542">
        <v>0</v>
      </c>
      <c r="AR328" s="542">
        <v>-800080</v>
      </c>
      <c r="AS328" s="542">
        <v>57311</v>
      </c>
      <c r="AT328" s="542">
        <v>45849</v>
      </c>
      <c r="AU328" s="542">
        <v>11462</v>
      </c>
      <c r="AV328" s="542">
        <v>0</v>
      </c>
      <c r="AW328" s="542">
        <v>114622</v>
      </c>
      <c r="AX328" s="542">
        <v>-89609</v>
      </c>
      <c r="AY328" s="542">
        <v>-71688</v>
      </c>
      <c r="AZ328" s="542">
        <v>-17922</v>
      </c>
      <c r="BA328" s="542">
        <v>0</v>
      </c>
      <c r="BB328" s="542">
        <v>-179219</v>
      </c>
      <c r="BC328" s="542">
        <v>-432338</v>
      </c>
      <c r="BD328" s="542">
        <v>-345871</v>
      </c>
      <c r="BE328" s="542">
        <v>-86468</v>
      </c>
      <c r="BF328" s="542">
        <v>0</v>
      </c>
      <c r="BG328" s="542">
        <v>-864677</v>
      </c>
      <c r="BH328" s="542">
        <v>-825389</v>
      </c>
      <c r="BI328" s="542">
        <v>-660312</v>
      </c>
      <c r="BJ328" s="542">
        <v>-165078</v>
      </c>
      <c r="BK328" s="542">
        <v>0</v>
      </c>
      <c r="BL328" s="542">
        <v>-1650779</v>
      </c>
      <c r="BM328" s="542">
        <v>438260</v>
      </c>
      <c r="BN328" s="542">
        <v>350608</v>
      </c>
      <c r="BO328" s="542">
        <v>87652</v>
      </c>
      <c r="BP328" s="542">
        <v>0</v>
      </c>
      <c r="BQ328" s="542">
        <v>876520</v>
      </c>
      <c r="BR328" s="542">
        <v>-976002</v>
      </c>
      <c r="BS328" s="542">
        <v>-780801</v>
      </c>
      <c r="BT328" s="542">
        <v>-195200</v>
      </c>
      <c r="BU328" s="542">
        <v>0</v>
      </c>
      <c r="BV328" s="542">
        <v>-1952003</v>
      </c>
      <c r="BW328" s="542">
        <v>-1363131</v>
      </c>
      <c r="BX328" s="542">
        <v>-1090505</v>
      </c>
      <c r="BY328" s="542">
        <v>-272626</v>
      </c>
      <c r="BZ328" s="542">
        <v>0</v>
      </c>
      <c r="CA328" s="542">
        <v>-2726262</v>
      </c>
    </row>
    <row r="329" spans="1:79" ht="12.75" x14ac:dyDescent="0.2">
      <c r="A329" s="93">
        <v>323</v>
      </c>
      <c r="B329" s="145" t="s">
        <v>524</v>
      </c>
      <c r="C329" s="141" t="s">
        <v>866</v>
      </c>
      <c r="D329" s="142" t="s">
        <v>876</v>
      </c>
      <c r="E329" s="149" t="s">
        <v>523</v>
      </c>
      <c r="F329" s="543">
        <v>0.5</v>
      </c>
      <c r="G329" s="543">
        <v>0.4</v>
      </c>
      <c r="H329" s="543">
        <v>0.09</v>
      </c>
      <c r="I329" s="543">
        <v>0.01</v>
      </c>
      <c r="J329" s="543">
        <v>1</v>
      </c>
      <c r="K329" s="542">
        <v>17345681</v>
      </c>
      <c r="L329" s="542">
        <v>13876546</v>
      </c>
      <c r="M329" s="542">
        <v>3122223</v>
      </c>
      <c r="N329" s="542">
        <v>346914</v>
      </c>
      <c r="O329" s="542">
        <v>34691364</v>
      </c>
      <c r="P329" s="542">
        <v>0</v>
      </c>
      <c r="Q329" s="542">
        <v>0</v>
      </c>
      <c r="R329" s="542">
        <v>17345681</v>
      </c>
      <c r="S329" s="542">
        <v>188752</v>
      </c>
      <c r="T329" s="542">
        <v>188752</v>
      </c>
      <c r="U329" s="542">
        <v>0</v>
      </c>
      <c r="V329" s="542">
        <v>0</v>
      </c>
      <c r="W329" s="542">
        <v>23313</v>
      </c>
      <c r="X329" s="542">
        <v>0</v>
      </c>
      <c r="Y329" s="542">
        <v>23313</v>
      </c>
      <c r="Z329" s="542">
        <v>0</v>
      </c>
      <c r="AA329" s="542">
        <v>0</v>
      </c>
      <c r="AB329" s="542">
        <v>0</v>
      </c>
      <c r="AC329" s="542">
        <v>0</v>
      </c>
      <c r="AD329" s="542">
        <v>410514</v>
      </c>
      <c r="AE329" s="542">
        <v>328410</v>
      </c>
      <c r="AF329" s="542">
        <v>73892</v>
      </c>
      <c r="AG329" s="542">
        <v>8210</v>
      </c>
      <c r="AH329" s="542">
        <v>821026</v>
      </c>
      <c r="AI329" s="542">
        <v>-603948</v>
      </c>
      <c r="AJ329" s="542">
        <v>-483158</v>
      </c>
      <c r="AK329" s="542">
        <v>-108711</v>
      </c>
      <c r="AL329" s="542">
        <v>-12079</v>
      </c>
      <c r="AM329" s="542">
        <v>-1207896</v>
      </c>
      <c r="AN329" s="542">
        <v>-97500</v>
      </c>
      <c r="AO329" s="542">
        <v>-78000</v>
      </c>
      <c r="AP329" s="542">
        <v>-17550</v>
      </c>
      <c r="AQ329" s="542">
        <v>-1950</v>
      </c>
      <c r="AR329" s="542">
        <v>-195000</v>
      </c>
      <c r="AS329" s="542">
        <v>97500</v>
      </c>
      <c r="AT329" s="542">
        <v>78000</v>
      </c>
      <c r="AU329" s="542">
        <v>17550</v>
      </c>
      <c r="AV329" s="542">
        <v>1950</v>
      </c>
      <c r="AW329" s="542">
        <v>195000</v>
      </c>
      <c r="AX329" s="542">
        <v>-97500</v>
      </c>
      <c r="AY329" s="542">
        <v>-78000</v>
      </c>
      <c r="AZ329" s="542">
        <v>-17550</v>
      </c>
      <c r="BA329" s="542">
        <v>-1950</v>
      </c>
      <c r="BB329" s="542">
        <v>-195000</v>
      </c>
      <c r="BC329" s="542">
        <v>-97500</v>
      </c>
      <c r="BD329" s="542">
        <v>-78000</v>
      </c>
      <c r="BE329" s="542">
        <v>-17550</v>
      </c>
      <c r="BF329" s="542">
        <v>-1950</v>
      </c>
      <c r="BG329" s="542">
        <v>-195000</v>
      </c>
      <c r="BH329" s="542">
        <v>-772461</v>
      </c>
      <c r="BI329" s="542">
        <v>-617968</v>
      </c>
      <c r="BJ329" s="542">
        <v>-139042</v>
      </c>
      <c r="BK329" s="542">
        <v>-15449</v>
      </c>
      <c r="BL329" s="542">
        <v>-1544920</v>
      </c>
      <c r="BM329" s="542">
        <v>305058</v>
      </c>
      <c r="BN329" s="542">
        <v>244047</v>
      </c>
      <c r="BO329" s="542">
        <v>54911</v>
      </c>
      <c r="BP329" s="542">
        <v>6101</v>
      </c>
      <c r="BQ329" s="542">
        <v>610117</v>
      </c>
      <c r="BR329" s="542">
        <v>-2475665</v>
      </c>
      <c r="BS329" s="542">
        <v>-1980532</v>
      </c>
      <c r="BT329" s="542">
        <v>-445620</v>
      </c>
      <c r="BU329" s="542">
        <v>-49513</v>
      </c>
      <c r="BV329" s="542">
        <v>-4951330</v>
      </c>
      <c r="BW329" s="542">
        <v>-2943068</v>
      </c>
      <c r="BX329" s="542">
        <v>-2354453</v>
      </c>
      <c r="BY329" s="542">
        <v>-529751</v>
      </c>
      <c r="BZ329" s="542">
        <v>-58861</v>
      </c>
      <c r="CA329" s="542">
        <v>-5886133</v>
      </c>
    </row>
    <row r="330" spans="1:79" ht="12.75" x14ac:dyDescent="0.2">
      <c r="A330" s="93">
        <v>324</v>
      </c>
      <c r="B330" s="145" t="s">
        <v>526</v>
      </c>
      <c r="C330" s="141" t="s">
        <v>866</v>
      </c>
      <c r="D330" s="142" t="s">
        <v>867</v>
      </c>
      <c r="E330" s="149" t="s">
        <v>525</v>
      </c>
      <c r="F330" s="543">
        <v>0.5</v>
      </c>
      <c r="G330" s="543">
        <v>0.4</v>
      </c>
      <c r="H330" s="543">
        <v>0.09</v>
      </c>
      <c r="I330" s="543">
        <v>0.01</v>
      </c>
      <c r="J330" s="543">
        <v>1</v>
      </c>
      <c r="K330" s="542">
        <v>34110936</v>
      </c>
      <c r="L330" s="542">
        <v>27288749</v>
      </c>
      <c r="M330" s="542">
        <v>6139968</v>
      </c>
      <c r="N330" s="542">
        <v>682219</v>
      </c>
      <c r="O330" s="542">
        <v>68221872</v>
      </c>
      <c r="P330" s="542">
        <v>0</v>
      </c>
      <c r="Q330" s="542">
        <v>0</v>
      </c>
      <c r="R330" s="542">
        <v>34110936</v>
      </c>
      <c r="S330" s="542">
        <v>247286</v>
      </c>
      <c r="T330" s="542">
        <v>247286</v>
      </c>
      <c r="U330" s="542">
        <v>0</v>
      </c>
      <c r="V330" s="542">
        <v>0</v>
      </c>
      <c r="W330" s="542">
        <v>0</v>
      </c>
      <c r="X330" s="542">
        <v>0</v>
      </c>
      <c r="Y330" s="542">
        <v>0</v>
      </c>
      <c r="Z330" s="542">
        <v>0</v>
      </c>
      <c r="AA330" s="542">
        <v>0</v>
      </c>
      <c r="AB330" s="542">
        <v>0</v>
      </c>
      <c r="AC330" s="542">
        <v>0</v>
      </c>
      <c r="AD330" s="542">
        <v>1358913</v>
      </c>
      <c r="AE330" s="542">
        <v>1087130</v>
      </c>
      <c r="AF330" s="542">
        <v>244604</v>
      </c>
      <c r="AG330" s="542">
        <v>27178</v>
      </c>
      <c r="AH330" s="542">
        <v>2717825</v>
      </c>
      <c r="AI330" s="542">
        <v>-1263091</v>
      </c>
      <c r="AJ330" s="542">
        <v>-1010472</v>
      </c>
      <c r="AK330" s="542">
        <v>-227356</v>
      </c>
      <c r="AL330" s="542">
        <v>-25262</v>
      </c>
      <c r="AM330" s="542">
        <v>-2526181</v>
      </c>
      <c r="AN330" s="542">
        <v>-1053631</v>
      </c>
      <c r="AO330" s="542">
        <v>-842904</v>
      </c>
      <c r="AP330" s="542">
        <v>-189653</v>
      </c>
      <c r="AQ330" s="542">
        <v>-21073</v>
      </c>
      <c r="AR330" s="542">
        <v>-2107261</v>
      </c>
      <c r="AS330" s="542">
        <v>404949</v>
      </c>
      <c r="AT330" s="542">
        <v>323959</v>
      </c>
      <c r="AU330" s="542">
        <v>72891</v>
      </c>
      <c r="AV330" s="542">
        <v>8099</v>
      </c>
      <c r="AW330" s="542">
        <v>809898</v>
      </c>
      <c r="AX330" s="542">
        <v>-442825</v>
      </c>
      <c r="AY330" s="542">
        <v>-354261</v>
      </c>
      <c r="AZ330" s="542">
        <v>-79709</v>
      </c>
      <c r="BA330" s="542">
        <v>-8857</v>
      </c>
      <c r="BB330" s="542">
        <v>-885652</v>
      </c>
      <c r="BC330" s="542">
        <v>-1091507</v>
      </c>
      <c r="BD330" s="542">
        <v>-873206</v>
      </c>
      <c r="BE330" s="542">
        <v>-196471</v>
      </c>
      <c r="BF330" s="542">
        <v>-21831</v>
      </c>
      <c r="BG330" s="542">
        <v>-2183015</v>
      </c>
      <c r="BH330" s="542">
        <v>-2559540</v>
      </c>
      <c r="BI330" s="542">
        <v>-2047632</v>
      </c>
      <c r="BJ330" s="542">
        <v>-460717</v>
      </c>
      <c r="BK330" s="542">
        <v>-51191</v>
      </c>
      <c r="BL330" s="542">
        <v>-5119080</v>
      </c>
      <c r="BM330" s="542">
        <v>1385851</v>
      </c>
      <c r="BN330" s="542">
        <v>1108681</v>
      </c>
      <c r="BO330" s="542">
        <v>249453</v>
      </c>
      <c r="BP330" s="542">
        <v>27717</v>
      </c>
      <c r="BQ330" s="542">
        <v>2771702</v>
      </c>
      <c r="BR330" s="542">
        <v>-2226386</v>
      </c>
      <c r="BS330" s="542">
        <v>-1781109</v>
      </c>
      <c r="BT330" s="542">
        <v>-400750</v>
      </c>
      <c r="BU330" s="542">
        <v>-44528</v>
      </c>
      <c r="BV330" s="542">
        <v>-4452773</v>
      </c>
      <c r="BW330" s="542">
        <v>-3400075</v>
      </c>
      <c r="BX330" s="542">
        <v>-2720060</v>
      </c>
      <c r="BY330" s="542">
        <v>-612014</v>
      </c>
      <c r="BZ330" s="542">
        <v>-68002</v>
      </c>
      <c r="CA330" s="542">
        <v>-6800151</v>
      </c>
    </row>
    <row r="331" spans="1:79" ht="12.75" x14ac:dyDescent="0.2">
      <c r="A331" s="93">
        <v>325</v>
      </c>
      <c r="B331" s="145" t="s">
        <v>528</v>
      </c>
      <c r="C331" s="141" t="s">
        <v>866</v>
      </c>
      <c r="D331" s="142" t="s">
        <v>868</v>
      </c>
      <c r="E331" s="149" t="s">
        <v>527</v>
      </c>
      <c r="F331" s="543">
        <v>0.5</v>
      </c>
      <c r="G331" s="543">
        <v>0.4</v>
      </c>
      <c r="H331" s="543">
        <v>0.09</v>
      </c>
      <c r="I331" s="543">
        <v>0.01</v>
      </c>
      <c r="J331" s="543">
        <v>1</v>
      </c>
      <c r="K331" s="542">
        <v>12951633</v>
      </c>
      <c r="L331" s="542">
        <v>10361306</v>
      </c>
      <c r="M331" s="542">
        <v>2331294</v>
      </c>
      <c r="N331" s="542">
        <v>259033</v>
      </c>
      <c r="O331" s="542">
        <v>25903266</v>
      </c>
      <c r="P331" s="542">
        <v>0</v>
      </c>
      <c r="Q331" s="542">
        <v>0</v>
      </c>
      <c r="R331" s="542">
        <v>12951633</v>
      </c>
      <c r="S331" s="542">
        <v>154288</v>
      </c>
      <c r="T331" s="542">
        <v>154288</v>
      </c>
      <c r="U331" s="542">
        <v>0</v>
      </c>
      <c r="V331" s="542">
        <v>0</v>
      </c>
      <c r="W331" s="542">
        <v>0</v>
      </c>
      <c r="X331" s="542">
        <v>0</v>
      </c>
      <c r="Y331" s="542">
        <v>0</v>
      </c>
      <c r="Z331" s="542">
        <v>0</v>
      </c>
      <c r="AA331" s="542">
        <v>0</v>
      </c>
      <c r="AB331" s="542">
        <v>0</v>
      </c>
      <c r="AC331" s="542">
        <v>0</v>
      </c>
      <c r="AD331" s="542">
        <v>469728</v>
      </c>
      <c r="AE331" s="542">
        <v>375783</v>
      </c>
      <c r="AF331" s="542">
        <v>84551</v>
      </c>
      <c r="AG331" s="542">
        <v>9395</v>
      </c>
      <c r="AH331" s="542">
        <v>939457</v>
      </c>
      <c r="AI331" s="542">
        <v>-264718</v>
      </c>
      <c r="AJ331" s="542">
        <v>-211774</v>
      </c>
      <c r="AK331" s="542">
        <v>-47649</v>
      </c>
      <c r="AL331" s="542">
        <v>-5294</v>
      </c>
      <c r="AM331" s="542">
        <v>-529435</v>
      </c>
      <c r="AN331" s="542">
        <v>-191608.85</v>
      </c>
      <c r="AO331" s="542">
        <v>-153287</v>
      </c>
      <c r="AP331" s="542">
        <v>-34490</v>
      </c>
      <c r="AQ331" s="542">
        <v>-3832</v>
      </c>
      <c r="AR331" s="542">
        <v>-383217.85</v>
      </c>
      <c r="AS331" s="542">
        <v>103554</v>
      </c>
      <c r="AT331" s="542">
        <v>82844</v>
      </c>
      <c r="AU331" s="542">
        <v>18640</v>
      </c>
      <c r="AV331" s="542">
        <v>2071</v>
      </c>
      <c r="AW331" s="542">
        <v>207109</v>
      </c>
      <c r="AX331" s="542">
        <v>-108103</v>
      </c>
      <c r="AY331" s="542">
        <v>-86482</v>
      </c>
      <c r="AZ331" s="542">
        <v>-19458</v>
      </c>
      <c r="BA331" s="542">
        <v>-2162</v>
      </c>
      <c r="BB331" s="542">
        <v>-216205</v>
      </c>
      <c r="BC331" s="542">
        <v>-196157.85</v>
      </c>
      <c r="BD331" s="542">
        <v>-156925</v>
      </c>
      <c r="BE331" s="542">
        <v>-35308</v>
      </c>
      <c r="BF331" s="542">
        <v>-3923</v>
      </c>
      <c r="BG331" s="542">
        <v>-392313.85</v>
      </c>
      <c r="BH331" s="542">
        <v>-559043.68000000005</v>
      </c>
      <c r="BI331" s="542">
        <v>-447235</v>
      </c>
      <c r="BJ331" s="542">
        <v>-100628</v>
      </c>
      <c r="BK331" s="542">
        <v>-11181</v>
      </c>
      <c r="BL331" s="542">
        <v>-1118087.6000000001</v>
      </c>
      <c r="BM331" s="542">
        <v>0</v>
      </c>
      <c r="BN331" s="542">
        <v>0</v>
      </c>
      <c r="BO331" s="542">
        <v>0</v>
      </c>
      <c r="BP331" s="542">
        <v>0</v>
      </c>
      <c r="BQ331" s="542">
        <v>0</v>
      </c>
      <c r="BR331" s="542">
        <v>-406000</v>
      </c>
      <c r="BS331" s="542">
        <v>-324800</v>
      </c>
      <c r="BT331" s="542">
        <v>-73080</v>
      </c>
      <c r="BU331" s="542">
        <v>-8120</v>
      </c>
      <c r="BV331" s="542">
        <v>-812000</v>
      </c>
      <c r="BW331" s="542">
        <v>-965043.68</v>
      </c>
      <c r="BX331" s="542">
        <v>-772035</v>
      </c>
      <c r="BY331" s="542">
        <v>-173708</v>
      </c>
      <c r="BZ331" s="542">
        <v>-19301</v>
      </c>
      <c r="CA331" s="542">
        <v>-1930087.6</v>
      </c>
    </row>
    <row r="332" spans="1:79" ht="12.75" x14ac:dyDescent="0.2">
      <c r="A332" s="93">
        <v>326</v>
      </c>
      <c r="B332" s="145" t="s">
        <v>530</v>
      </c>
      <c r="C332" s="141" t="s">
        <v>866</v>
      </c>
      <c r="D332" s="142" t="s">
        <v>876</v>
      </c>
      <c r="E332" s="149" t="s">
        <v>529</v>
      </c>
      <c r="F332" s="543">
        <v>0.5</v>
      </c>
      <c r="G332" s="543">
        <v>0.4</v>
      </c>
      <c r="H332" s="543">
        <v>0.09</v>
      </c>
      <c r="I332" s="543">
        <v>0.01</v>
      </c>
      <c r="J332" s="543">
        <v>1</v>
      </c>
      <c r="K332" s="542">
        <v>13129369</v>
      </c>
      <c r="L332" s="542">
        <v>10503496</v>
      </c>
      <c r="M332" s="542">
        <v>2363287</v>
      </c>
      <c r="N332" s="542">
        <v>262587</v>
      </c>
      <c r="O332" s="542">
        <v>26258739</v>
      </c>
      <c r="P332" s="542">
        <v>0</v>
      </c>
      <c r="Q332" s="542">
        <v>0</v>
      </c>
      <c r="R332" s="542">
        <v>13129369</v>
      </c>
      <c r="S332" s="542">
        <v>137170</v>
      </c>
      <c r="T332" s="542">
        <v>137170</v>
      </c>
      <c r="U332" s="542">
        <v>0</v>
      </c>
      <c r="V332" s="542">
        <v>0</v>
      </c>
      <c r="W332" s="542">
        <v>0</v>
      </c>
      <c r="X332" s="542">
        <v>0</v>
      </c>
      <c r="Y332" s="542">
        <v>0</v>
      </c>
      <c r="Z332" s="542">
        <v>0</v>
      </c>
      <c r="AA332" s="542">
        <v>0</v>
      </c>
      <c r="AB332" s="542">
        <v>0</v>
      </c>
      <c r="AC332" s="542">
        <v>0</v>
      </c>
      <c r="AD332" s="542">
        <v>1196146</v>
      </c>
      <c r="AE332" s="542">
        <v>956916</v>
      </c>
      <c r="AF332" s="542">
        <v>215306</v>
      </c>
      <c r="AG332" s="542">
        <v>23923</v>
      </c>
      <c r="AH332" s="542">
        <v>2392291</v>
      </c>
      <c r="AI332" s="542">
        <v>-50557</v>
      </c>
      <c r="AJ332" s="542">
        <v>-40446</v>
      </c>
      <c r="AK332" s="542">
        <v>-9100</v>
      </c>
      <c r="AL332" s="542">
        <v>-1011</v>
      </c>
      <c r="AM332" s="542">
        <v>-101114</v>
      </c>
      <c r="AN332" s="542">
        <v>-634976</v>
      </c>
      <c r="AO332" s="542">
        <v>-507982</v>
      </c>
      <c r="AP332" s="542">
        <v>-114296</v>
      </c>
      <c r="AQ332" s="542">
        <v>-12700</v>
      </c>
      <c r="AR332" s="542">
        <v>-1269954</v>
      </c>
      <c r="AS332" s="542">
        <v>187774</v>
      </c>
      <c r="AT332" s="542">
        <v>150218</v>
      </c>
      <c r="AU332" s="542">
        <v>33799</v>
      </c>
      <c r="AV332" s="542">
        <v>3755</v>
      </c>
      <c r="AW332" s="542">
        <v>375546</v>
      </c>
      <c r="AX332" s="542">
        <v>-187774</v>
      </c>
      <c r="AY332" s="542">
        <v>-150218</v>
      </c>
      <c r="AZ332" s="542">
        <v>-33799</v>
      </c>
      <c r="BA332" s="542">
        <v>-3755</v>
      </c>
      <c r="BB332" s="542">
        <v>-375546</v>
      </c>
      <c r="BC332" s="542">
        <v>-634976</v>
      </c>
      <c r="BD332" s="542">
        <v>-507982</v>
      </c>
      <c r="BE332" s="542">
        <v>-114296</v>
      </c>
      <c r="BF332" s="542">
        <v>-12700</v>
      </c>
      <c r="BG332" s="542">
        <v>-1269954</v>
      </c>
      <c r="BH332" s="542">
        <v>-612704</v>
      </c>
      <c r="BI332" s="542">
        <v>-490163</v>
      </c>
      <c r="BJ332" s="542">
        <v>-110286</v>
      </c>
      <c r="BK332" s="542">
        <v>-12254</v>
      </c>
      <c r="BL332" s="542">
        <v>-1225407</v>
      </c>
      <c r="BM332" s="542">
        <v>413938</v>
      </c>
      <c r="BN332" s="542">
        <v>331151</v>
      </c>
      <c r="BO332" s="542">
        <v>74509</v>
      </c>
      <c r="BP332" s="542">
        <v>8279</v>
      </c>
      <c r="BQ332" s="542">
        <v>827877</v>
      </c>
      <c r="BR332" s="542">
        <v>-1353626</v>
      </c>
      <c r="BS332" s="542">
        <v>-1082901</v>
      </c>
      <c r="BT332" s="542">
        <v>-243653</v>
      </c>
      <c r="BU332" s="542">
        <v>-27073</v>
      </c>
      <c r="BV332" s="542">
        <v>-2707253</v>
      </c>
      <c r="BW332" s="542">
        <v>-1552392</v>
      </c>
      <c r="BX332" s="542">
        <v>-1241913</v>
      </c>
      <c r="BY332" s="542">
        <v>-279430</v>
      </c>
      <c r="BZ332" s="542">
        <v>-31048</v>
      </c>
      <c r="CA332" s="542">
        <v>-3104783</v>
      </c>
    </row>
    <row r="333" spans="1:79" ht="13.5" thickBot="1" x14ac:dyDescent="0.25">
      <c r="A333" s="93">
        <v>327</v>
      </c>
      <c r="B333" s="145" t="s">
        <v>532</v>
      </c>
      <c r="C333" s="141" t="s">
        <v>770</v>
      </c>
      <c r="D333" s="142" t="s">
        <v>874</v>
      </c>
      <c r="E333" s="149" t="s">
        <v>739</v>
      </c>
      <c r="F333" s="543">
        <v>0.5</v>
      </c>
      <c r="G333" s="543">
        <v>0.49</v>
      </c>
      <c r="H333" s="543">
        <v>0</v>
      </c>
      <c r="I333" s="543">
        <v>0.01</v>
      </c>
      <c r="J333" s="543">
        <v>1</v>
      </c>
      <c r="K333" s="542">
        <v>49262948</v>
      </c>
      <c r="L333" s="542">
        <v>48277690</v>
      </c>
      <c r="M333" s="542">
        <v>0</v>
      </c>
      <c r="N333" s="542">
        <v>985259</v>
      </c>
      <c r="O333" s="542">
        <v>98525897</v>
      </c>
      <c r="P333" s="542">
        <v>0</v>
      </c>
      <c r="Q333" s="542">
        <v>0</v>
      </c>
      <c r="R333" s="542">
        <v>49262948</v>
      </c>
      <c r="S333" s="542">
        <v>294970</v>
      </c>
      <c r="T333" s="542">
        <v>294970</v>
      </c>
      <c r="U333" s="542">
        <v>0</v>
      </c>
      <c r="V333" s="542">
        <v>0</v>
      </c>
      <c r="W333" s="542">
        <v>0</v>
      </c>
      <c r="X333" s="542">
        <v>0</v>
      </c>
      <c r="Y333" s="542">
        <v>0</v>
      </c>
      <c r="Z333" s="542">
        <v>0</v>
      </c>
      <c r="AA333" s="542">
        <v>0</v>
      </c>
      <c r="AB333" s="542">
        <v>0</v>
      </c>
      <c r="AC333" s="542">
        <v>0</v>
      </c>
      <c r="AD333" s="542">
        <v>1956465</v>
      </c>
      <c r="AE333" s="542">
        <v>1917336</v>
      </c>
      <c r="AF333" s="542">
        <v>0</v>
      </c>
      <c r="AG333" s="542">
        <v>39129</v>
      </c>
      <c r="AH333" s="542">
        <v>3912930</v>
      </c>
      <c r="AI333" s="542">
        <v>-169337</v>
      </c>
      <c r="AJ333" s="542">
        <v>-165950</v>
      </c>
      <c r="AK333" s="542">
        <v>0</v>
      </c>
      <c r="AL333" s="542">
        <v>-3387</v>
      </c>
      <c r="AM333" s="542">
        <v>-338674</v>
      </c>
      <c r="AN333" s="542">
        <v>-1050268.7</v>
      </c>
      <c r="AO333" s="542">
        <v>-1029263</v>
      </c>
      <c r="AP333" s="542">
        <v>0</v>
      </c>
      <c r="AQ333" s="542">
        <v>-21005</v>
      </c>
      <c r="AR333" s="542">
        <v>-2100536.7000000002</v>
      </c>
      <c r="AS333" s="542">
        <v>162677</v>
      </c>
      <c r="AT333" s="542">
        <v>159424</v>
      </c>
      <c r="AU333" s="542">
        <v>0</v>
      </c>
      <c r="AV333" s="542">
        <v>3254</v>
      </c>
      <c r="AW333" s="542">
        <v>325355</v>
      </c>
      <c r="AX333" s="542">
        <v>-279529</v>
      </c>
      <c r="AY333" s="542">
        <v>-273938</v>
      </c>
      <c r="AZ333" s="542">
        <v>0</v>
      </c>
      <c r="BA333" s="542">
        <v>-5591</v>
      </c>
      <c r="BB333" s="542">
        <v>-559058</v>
      </c>
      <c r="BC333" s="542">
        <v>-1167120.7</v>
      </c>
      <c r="BD333" s="542">
        <v>-1143777</v>
      </c>
      <c r="BE333" s="542">
        <v>0</v>
      </c>
      <c r="BF333" s="542">
        <v>-23342</v>
      </c>
      <c r="BG333" s="542">
        <v>-2334239.7000000002</v>
      </c>
      <c r="BH333" s="542">
        <v>-6091196</v>
      </c>
      <c r="BI333" s="542">
        <v>-5969372</v>
      </c>
      <c r="BJ333" s="542">
        <v>0</v>
      </c>
      <c r="BK333" s="542">
        <v>-121824</v>
      </c>
      <c r="BL333" s="542">
        <v>-12182392</v>
      </c>
      <c r="BM333" s="542">
        <v>1399115</v>
      </c>
      <c r="BN333" s="542">
        <v>1371132</v>
      </c>
      <c r="BO333" s="542">
        <v>0</v>
      </c>
      <c r="BP333" s="542">
        <v>27982</v>
      </c>
      <c r="BQ333" s="542">
        <v>2798229</v>
      </c>
      <c r="BR333" s="542">
        <v>-1758626</v>
      </c>
      <c r="BS333" s="542">
        <v>-1723453</v>
      </c>
      <c r="BT333" s="542">
        <v>0</v>
      </c>
      <c r="BU333" s="542">
        <v>-35173</v>
      </c>
      <c r="BV333" s="542">
        <v>-3517252</v>
      </c>
      <c r="BW333" s="542">
        <v>-6450707</v>
      </c>
      <c r="BX333" s="542">
        <v>-6321693</v>
      </c>
      <c r="BY333" s="542">
        <v>0</v>
      </c>
      <c r="BZ333" s="542">
        <v>-129015</v>
      </c>
      <c r="CA333" s="542">
        <v>-12901415</v>
      </c>
    </row>
    <row r="334" spans="1:79" ht="15.75" thickBot="1" x14ac:dyDescent="0.25">
      <c r="A334" s="93">
        <v>1</v>
      </c>
      <c r="B334" s="72"/>
      <c r="D334" s="94" t="s">
        <v>870</v>
      </c>
      <c r="E334" s="94" t="s">
        <v>686</v>
      </c>
      <c r="F334" s="470" t="s">
        <v>1165</v>
      </c>
      <c r="G334" s="470" t="s">
        <v>1165</v>
      </c>
      <c r="H334" s="470" t="s">
        <v>1165</v>
      </c>
      <c r="I334" s="470" t="s">
        <v>1165</v>
      </c>
      <c r="J334" s="470" t="s">
        <v>1165</v>
      </c>
      <c r="K334" s="76">
        <f t="shared" ref="K334:BR334" si="0">SUM(K8:K333)</f>
        <v>10805145805.170002</v>
      </c>
      <c r="L334" s="76">
        <f t="shared" si="0"/>
        <v>8765785790</v>
      </c>
      <c r="M334" s="76">
        <f t="shared" si="0"/>
        <v>1918641203</v>
      </c>
      <c r="N334" s="76">
        <f t="shared" si="0"/>
        <v>120718856</v>
      </c>
      <c r="O334" s="76">
        <f t="shared" si="0"/>
        <v>21610291653.899998</v>
      </c>
      <c r="P334" s="76">
        <f t="shared" si="0"/>
        <v>8835704.5087000001</v>
      </c>
      <c r="Q334" s="76">
        <f t="shared" si="0"/>
        <v>8835704.5087000001</v>
      </c>
      <c r="R334" s="76">
        <f t="shared" si="0"/>
        <v>10796310097.870001</v>
      </c>
      <c r="S334" s="76">
        <f t="shared" si="0"/>
        <v>84048210</v>
      </c>
      <c r="T334" s="76">
        <f t="shared" si="0"/>
        <v>84048210</v>
      </c>
      <c r="U334" s="76">
        <f t="shared" si="0"/>
        <v>15279209</v>
      </c>
      <c r="V334" s="76">
        <f t="shared" si="0"/>
        <v>15279209</v>
      </c>
      <c r="W334" s="76">
        <f t="shared" si="0"/>
        <v>21779806</v>
      </c>
      <c r="X334" s="76">
        <f t="shared" si="0"/>
        <v>678589</v>
      </c>
      <c r="Y334" s="76">
        <f t="shared" si="0"/>
        <v>22458395</v>
      </c>
      <c r="Z334" s="76">
        <f t="shared" si="0"/>
        <v>8559486.3887000009</v>
      </c>
      <c r="AA334" s="76">
        <f t="shared" si="0"/>
        <v>245487.769</v>
      </c>
      <c r="AB334" s="76">
        <f t="shared" si="0"/>
        <v>30730.345400000002</v>
      </c>
      <c r="AC334" s="76">
        <f t="shared" si="0"/>
        <v>8835704.5087000001</v>
      </c>
      <c r="AD334" s="76">
        <f t="shared" si="0"/>
        <v>628453842.65999997</v>
      </c>
      <c r="AE334" s="76">
        <f t="shared" si="0"/>
        <v>527423997</v>
      </c>
      <c r="AF334" s="76">
        <f t="shared" si="0"/>
        <v>92978933</v>
      </c>
      <c r="AG334" s="76">
        <f t="shared" si="0"/>
        <v>8050938</v>
      </c>
      <c r="AH334" s="76">
        <f t="shared" si="0"/>
        <v>1256907709.6600001</v>
      </c>
      <c r="AI334" s="76">
        <f t="shared" si="0"/>
        <v>-339770771.5</v>
      </c>
      <c r="AJ334" s="76">
        <f t="shared" si="0"/>
        <v>-251079381</v>
      </c>
      <c r="AK334" s="76">
        <f t="shared" si="0"/>
        <v>-86183452</v>
      </c>
      <c r="AL334" s="76">
        <f t="shared" si="0"/>
        <v>-2507965</v>
      </c>
      <c r="AM334" s="76">
        <f t="shared" si="0"/>
        <v>-679541569.5</v>
      </c>
      <c r="AN334" s="76">
        <f t="shared" si="0"/>
        <v>-332451603.01999992</v>
      </c>
      <c r="AO334" s="76">
        <f t="shared" si="0"/>
        <v>-271576816.75999999</v>
      </c>
      <c r="AP334" s="76">
        <f t="shared" si="0"/>
        <v>-53730988.609999999</v>
      </c>
      <c r="AQ334" s="76">
        <f t="shared" si="0"/>
        <v>-4249420.2300000004</v>
      </c>
      <c r="AR334" s="76">
        <f t="shared" si="0"/>
        <v>-662008829.13000035</v>
      </c>
      <c r="AS334" s="76">
        <f t="shared" si="0"/>
        <v>89385565</v>
      </c>
      <c r="AT334" s="76">
        <f t="shared" si="0"/>
        <v>76562509</v>
      </c>
      <c r="AU334" s="76">
        <f t="shared" si="0"/>
        <v>11631210</v>
      </c>
      <c r="AV334" s="76">
        <f t="shared" si="0"/>
        <v>1191876</v>
      </c>
      <c r="AW334" s="76">
        <f t="shared" si="0"/>
        <v>178771159</v>
      </c>
      <c r="AX334" s="76">
        <f t="shared" si="0"/>
        <v>-95520396.949999988</v>
      </c>
      <c r="AY334" s="76">
        <f t="shared" si="0"/>
        <v>-84054984</v>
      </c>
      <c r="AZ334" s="76">
        <f t="shared" si="0"/>
        <v>-10018155</v>
      </c>
      <c r="BA334" s="76">
        <f t="shared" si="0"/>
        <v>-1447264</v>
      </c>
      <c r="BB334" s="76">
        <f t="shared" si="0"/>
        <v>-191040797.94</v>
      </c>
      <c r="BC334" s="76">
        <f t="shared" si="0"/>
        <v>-338586435.25</v>
      </c>
      <c r="BD334" s="76">
        <f t="shared" si="0"/>
        <v>-279069291.75999999</v>
      </c>
      <c r="BE334" s="76">
        <f t="shared" si="0"/>
        <v>-52117933.609999999</v>
      </c>
      <c r="BF334" s="76">
        <f>SUM(BF8:BF333)</f>
        <v>-4504808.2300000004</v>
      </c>
      <c r="BG334" s="76">
        <f t="shared" si="0"/>
        <v>-674278468.11000025</v>
      </c>
      <c r="BH334" s="76">
        <f t="shared" si="0"/>
        <v>-872390996.26999986</v>
      </c>
      <c r="BI334" s="76">
        <f t="shared" si="0"/>
        <v>-706743024</v>
      </c>
      <c r="BJ334" s="76">
        <f t="shared" si="0"/>
        <v>-156063647</v>
      </c>
      <c r="BK334" s="76">
        <f t="shared" si="0"/>
        <v>-9584324</v>
      </c>
      <c r="BL334" s="76">
        <f t="shared" si="0"/>
        <v>-1744781990.54</v>
      </c>
      <c r="BM334" s="76">
        <f t="shared" si="0"/>
        <v>349542086.80000001</v>
      </c>
      <c r="BN334" s="76">
        <f t="shared" si="0"/>
        <v>283784459</v>
      </c>
      <c r="BO334" s="76">
        <f t="shared" si="0"/>
        <v>61754819</v>
      </c>
      <c r="BP334" s="76">
        <f t="shared" si="0"/>
        <v>4002812</v>
      </c>
      <c r="BQ334" s="76">
        <f t="shared" si="0"/>
        <v>699084175.79999995</v>
      </c>
      <c r="BR334" s="76">
        <f t="shared" si="0"/>
        <v>-734517991.75</v>
      </c>
      <c r="BS334" s="76">
        <f t="shared" ref="BS334:CA334" si="1">SUM(BS8:BS333)</f>
        <v>-585922904</v>
      </c>
      <c r="BT334" s="76">
        <f t="shared" si="1"/>
        <v>-140669974</v>
      </c>
      <c r="BU334" s="76">
        <f t="shared" si="1"/>
        <v>-7925142</v>
      </c>
      <c r="BV334" s="76">
        <f t="shared" si="1"/>
        <v>-1469036010.7799997</v>
      </c>
      <c r="BW334" s="76">
        <f t="shared" si="1"/>
        <v>-1257366900.9399998</v>
      </c>
      <c r="BX334" s="76">
        <f t="shared" si="1"/>
        <v>-1008881469</v>
      </c>
      <c r="BY334" s="76">
        <f t="shared" si="1"/>
        <v>-234978802</v>
      </c>
      <c r="BZ334" s="76">
        <f t="shared" si="1"/>
        <v>-13506654</v>
      </c>
      <c r="CA334" s="76">
        <f t="shared" si="1"/>
        <v>-2514733823.7000003</v>
      </c>
    </row>
    <row r="335" spans="1:79" x14ac:dyDescent="0.2">
      <c r="D335" s="146"/>
      <c r="E335" s="147"/>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row>
    <row r="336" spans="1:79" x14ac:dyDescent="0.2">
      <c r="D336" s="146"/>
      <c r="E336" s="147"/>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row>
    <row r="337" spans="4:79" x14ac:dyDescent="0.2">
      <c r="D337" s="146"/>
      <c r="E337" s="147"/>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row>
    <row r="338" spans="4:79" x14ac:dyDescent="0.2">
      <c r="D338" s="146"/>
      <c r="E338" s="147"/>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row>
    <row r="339" spans="4:79" x14ac:dyDescent="0.2">
      <c r="D339" s="146"/>
      <c r="E339" s="147"/>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row>
    <row r="340" spans="4:79" x14ac:dyDescent="0.2">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row>
    <row r="341" spans="4:79" x14ac:dyDescent="0.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row>
  </sheetData>
  <mergeCells count="18">
    <mergeCell ref="BC1:BG1"/>
    <mergeCell ref="BH1:BL1"/>
    <mergeCell ref="BM1:BQ1"/>
    <mergeCell ref="BR1:BV1"/>
    <mergeCell ref="BW1:CA1"/>
    <mergeCell ref="A1:E2"/>
    <mergeCell ref="AS1:AW1"/>
    <mergeCell ref="AX1:BB1"/>
    <mergeCell ref="W1:Y1"/>
    <mergeCell ref="Z1:AC1"/>
    <mergeCell ref="AD1:AH1"/>
    <mergeCell ref="AI1:AM1"/>
    <mergeCell ref="AN1:AR1"/>
    <mergeCell ref="F1:J1"/>
    <mergeCell ref="K1:O1"/>
    <mergeCell ref="P1:Q1"/>
    <mergeCell ref="S1:T1"/>
    <mergeCell ref="U1:V1"/>
  </mergeCells>
  <phoneticPr fontId="3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3"/>
  <sheetViews>
    <sheetView workbookViewId="0">
      <selection activeCell="F12" sqref="F12"/>
    </sheetView>
  </sheetViews>
  <sheetFormatPr defaultRowHeight="12.75" x14ac:dyDescent="0.2"/>
  <sheetData>
    <row r="1" spans="1:1" x14ac:dyDescent="0.2">
      <c r="A1" s="154" t="s">
        <v>686</v>
      </c>
    </row>
    <row r="2" spans="1:1" x14ac:dyDescent="0.2">
      <c r="A2" s="153" t="s">
        <v>562</v>
      </c>
    </row>
    <row r="3" spans="1:1" x14ac:dyDescent="0.2">
      <c r="A3" s="153" t="s">
        <v>564</v>
      </c>
    </row>
    <row r="4" spans="1:1" x14ac:dyDescent="0.2">
      <c r="A4" s="153" t="s">
        <v>566</v>
      </c>
    </row>
    <row r="5" spans="1:1" x14ac:dyDescent="0.2">
      <c r="A5" s="153" t="s">
        <v>568</v>
      </c>
    </row>
    <row r="6" spans="1:1" x14ac:dyDescent="0.2">
      <c r="A6" s="153" t="s">
        <v>570</v>
      </c>
    </row>
    <row r="7" spans="1:1" x14ac:dyDescent="0.2">
      <c r="A7" s="153" t="s">
        <v>572</v>
      </c>
    </row>
    <row r="8" spans="1:1" x14ac:dyDescent="0.2">
      <c r="A8" s="153" t="s">
        <v>574</v>
      </c>
    </row>
    <row r="9" spans="1:1" x14ac:dyDescent="0.2">
      <c r="A9" s="153" t="s">
        <v>576</v>
      </c>
    </row>
    <row r="10" spans="1:1" x14ac:dyDescent="0.2">
      <c r="A10" s="153" t="s">
        <v>688</v>
      </c>
    </row>
    <row r="11" spans="1:1" x14ac:dyDescent="0.2">
      <c r="A11" s="153" t="s">
        <v>580</v>
      </c>
    </row>
    <row r="12" spans="1:1" x14ac:dyDescent="0.2">
      <c r="A12" s="153" t="s">
        <v>582</v>
      </c>
    </row>
    <row r="13" spans="1:1" x14ac:dyDescent="0.2">
      <c r="A13" s="153" t="s">
        <v>584</v>
      </c>
    </row>
    <row r="14" spans="1:1" x14ac:dyDescent="0.2">
      <c r="A14" s="153" t="s">
        <v>586</v>
      </c>
    </row>
    <row r="15" spans="1:1" x14ac:dyDescent="0.2">
      <c r="A15" s="153" t="s">
        <v>588</v>
      </c>
    </row>
    <row r="16" spans="1:1" x14ac:dyDescent="0.2">
      <c r="A16" s="153" t="s">
        <v>590</v>
      </c>
    </row>
    <row r="17" spans="1:1" x14ac:dyDescent="0.2">
      <c r="A17" s="153" t="s">
        <v>592</v>
      </c>
    </row>
    <row r="18" spans="1:1" x14ac:dyDescent="0.2">
      <c r="A18" s="153" t="s">
        <v>594</v>
      </c>
    </row>
    <row r="19" spans="1:1" x14ac:dyDescent="0.2">
      <c r="A19" s="153" t="s">
        <v>596</v>
      </c>
    </row>
    <row r="20" spans="1:1" x14ac:dyDescent="0.2">
      <c r="A20" s="153" t="s">
        <v>598</v>
      </c>
    </row>
    <row r="21" spans="1:1" x14ac:dyDescent="0.2">
      <c r="A21" s="153" t="s">
        <v>600</v>
      </c>
    </row>
    <row r="22" spans="1:1" x14ac:dyDescent="0.2">
      <c r="A22" s="153" t="s">
        <v>689</v>
      </c>
    </row>
    <row r="23" spans="1:1" x14ac:dyDescent="0.2">
      <c r="A23" s="153" t="s">
        <v>690</v>
      </c>
    </row>
    <row r="24" spans="1:1" x14ac:dyDescent="0.2">
      <c r="A24" s="153" t="s">
        <v>606</v>
      </c>
    </row>
    <row r="25" spans="1:1" x14ac:dyDescent="0.2">
      <c r="A25" s="153" t="s">
        <v>608</v>
      </c>
    </row>
    <row r="26" spans="1:1" x14ac:dyDescent="0.2">
      <c r="A26" s="153" t="s">
        <v>610</v>
      </c>
    </row>
    <row r="27" spans="1:1" x14ac:dyDescent="0.2">
      <c r="A27" s="153" t="s">
        <v>691</v>
      </c>
    </row>
    <row r="28" spans="1:1" x14ac:dyDescent="0.2">
      <c r="A28" s="153" t="s">
        <v>692</v>
      </c>
    </row>
    <row r="29" spans="1:1" x14ac:dyDescent="0.2">
      <c r="A29" s="153" t="s">
        <v>616</v>
      </c>
    </row>
    <row r="30" spans="1:1" x14ac:dyDescent="0.2">
      <c r="A30" s="153" t="s">
        <v>618</v>
      </c>
    </row>
    <row r="31" spans="1:1" x14ac:dyDescent="0.2">
      <c r="A31" s="153" t="s">
        <v>620</v>
      </c>
    </row>
    <row r="32" spans="1:1" x14ac:dyDescent="0.2">
      <c r="A32" s="153" t="s">
        <v>622</v>
      </c>
    </row>
    <row r="33" spans="1:1" x14ac:dyDescent="0.2">
      <c r="A33" s="153" t="s">
        <v>624</v>
      </c>
    </row>
    <row r="34" spans="1:1" x14ac:dyDescent="0.2">
      <c r="A34" s="153" t="s">
        <v>879</v>
      </c>
    </row>
    <row r="35" spans="1:1" x14ac:dyDescent="0.2">
      <c r="A35" s="153" t="s">
        <v>628</v>
      </c>
    </row>
    <row r="36" spans="1:1" x14ac:dyDescent="0.2">
      <c r="A36" s="153" t="s">
        <v>630</v>
      </c>
    </row>
    <row r="37" spans="1:1" x14ac:dyDescent="0.2">
      <c r="A37" s="153" t="s">
        <v>632</v>
      </c>
    </row>
    <row r="38" spans="1:1" x14ac:dyDescent="0.2">
      <c r="A38" s="153" t="s">
        <v>634</v>
      </c>
    </row>
    <row r="39" spans="1:1" x14ac:dyDescent="0.2">
      <c r="A39" s="153" t="s">
        <v>636</v>
      </c>
    </row>
    <row r="40" spans="1:1" x14ac:dyDescent="0.2">
      <c r="A40" s="153" t="s">
        <v>638</v>
      </c>
    </row>
    <row r="41" spans="1:1" x14ac:dyDescent="0.2">
      <c r="A41" s="153" t="s">
        <v>640</v>
      </c>
    </row>
    <row r="42" spans="1:1" x14ac:dyDescent="0.2">
      <c r="A42" s="153" t="s">
        <v>642</v>
      </c>
    </row>
    <row r="43" spans="1:1" x14ac:dyDescent="0.2">
      <c r="A43" s="153" t="s">
        <v>644</v>
      </c>
    </row>
    <row r="44" spans="1:1" x14ac:dyDescent="0.2">
      <c r="A44" s="153" t="s">
        <v>646</v>
      </c>
    </row>
    <row r="45" spans="1:1" x14ac:dyDescent="0.2">
      <c r="A45" s="153" t="s">
        <v>648</v>
      </c>
    </row>
    <row r="46" spans="1:1" x14ac:dyDescent="0.2">
      <c r="A46" s="153" t="s">
        <v>650</v>
      </c>
    </row>
    <row r="47" spans="1:1" x14ac:dyDescent="0.2">
      <c r="A47" s="153" t="s">
        <v>652</v>
      </c>
    </row>
    <row r="48" spans="1:1" x14ac:dyDescent="0.2">
      <c r="A48" s="153" t="s">
        <v>654</v>
      </c>
    </row>
    <row r="49" spans="1:1" x14ac:dyDescent="0.2">
      <c r="A49" s="153" t="s">
        <v>656</v>
      </c>
    </row>
    <row r="50" spans="1:1" x14ac:dyDescent="0.2">
      <c r="A50" s="153" t="s">
        <v>658</v>
      </c>
    </row>
    <row r="51" spans="1:1" x14ac:dyDescent="0.2">
      <c r="A51" s="153" t="s">
        <v>660</v>
      </c>
    </row>
    <row r="52" spans="1:1" x14ac:dyDescent="0.2">
      <c r="A52" s="153" t="s">
        <v>662</v>
      </c>
    </row>
    <row r="53" spans="1:1" x14ac:dyDescent="0.2">
      <c r="A53" s="153" t="s">
        <v>664</v>
      </c>
    </row>
    <row r="54" spans="1:1" x14ac:dyDescent="0.2">
      <c r="A54" s="153" t="s">
        <v>666</v>
      </c>
    </row>
    <row r="55" spans="1:1" x14ac:dyDescent="0.2">
      <c r="A55" s="153" t="s">
        <v>668</v>
      </c>
    </row>
    <row r="56" spans="1:1" x14ac:dyDescent="0.2">
      <c r="A56" s="153" t="s">
        <v>693</v>
      </c>
    </row>
    <row r="57" spans="1:1" x14ac:dyDescent="0.2">
      <c r="A57" s="153" t="s">
        <v>672</v>
      </c>
    </row>
    <row r="58" spans="1:1" x14ac:dyDescent="0.2">
      <c r="A58" s="153" t="s">
        <v>674</v>
      </c>
    </row>
    <row r="59" spans="1:1" x14ac:dyDescent="0.2">
      <c r="A59" s="153" t="s">
        <v>676</v>
      </c>
    </row>
    <row r="60" spans="1:1" x14ac:dyDescent="0.2">
      <c r="A60" s="153" t="s">
        <v>678</v>
      </c>
    </row>
    <row r="61" spans="1:1" x14ac:dyDescent="0.2">
      <c r="A61" s="153" t="s">
        <v>680</v>
      </c>
    </row>
    <row r="62" spans="1:1" x14ac:dyDescent="0.2">
      <c r="A62" s="153" t="s">
        <v>682</v>
      </c>
    </row>
    <row r="63" spans="1:1" x14ac:dyDescent="0.2">
      <c r="A63" s="153" t="s">
        <v>1</v>
      </c>
    </row>
    <row r="64" spans="1:1" x14ac:dyDescent="0.2">
      <c r="A64" s="153" t="s">
        <v>3</v>
      </c>
    </row>
    <row r="65" spans="1:1" x14ac:dyDescent="0.2">
      <c r="A65" s="153" t="s">
        <v>5</v>
      </c>
    </row>
    <row r="66" spans="1:1" x14ac:dyDescent="0.2">
      <c r="A66" s="153" t="s">
        <v>7</v>
      </c>
    </row>
    <row r="67" spans="1:1" x14ac:dyDescent="0.2">
      <c r="A67" s="153" t="s">
        <v>9</v>
      </c>
    </row>
    <row r="68" spans="1:1" x14ac:dyDescent="0.2">
      <c r="A68" s="153" t="s">
        <v>11</v>
      </c>
    </row>
    <row r="69" spans="1:1" x14ac:dyDescent="0.2">
      <c r="A69" s="153" t="s">
        <v>13</v>
      </c>
    </row>
    <row r="70" spans="1:1" x14ac:dyDescent="0.2">
      <c r="A70" s="153" t="s">
        <v>15</v>
      </c>
    </row>
    <row r="71" spans="1:1" x14ac:dyDescent="0.2">
      <c r="A71" s="153" t="s">
        <v>17</v>
      </c>
    </row>
    <row r="72" spans="1:1" x14ac:dyDescent="0.2">
      <c r="A72" s="153" t="s">
        <v>19</v>
      </c>
    </row>
    <row r="73" spans="1:1" x14ac:dyDescent="0.2">
      <c r="A73" s="153" t="s">
        <v>694</v>
      </c>
    </row>
    <row r="74" spans="1:1" x14ac:dyDescent="0.2">
      <c r="A74" s="153" t="s">
        <v>23</v>
      </c>
    </row>
    <row r="75" spans="1:1" x14ac:dyDescent="0.2">
      <c r="A75" s="153" t="s">
        <v>25</v>
      </c>
    </row>
    <row r="76" spans="1:1" x14ac:dyDescent="0.2">
      <c r="A76" s="153" t="s">
        <v>695</v>
      </c>
    </row>
    <row r="77" spans="1:1" x14ac:dyDescent="0.2">
      <c r="A77" s="153" t="s">
        <v>29</v>
      </c>
    </row>
    <row r="78" spans="1:1" x14ac:dyDescent="0.2">
      <c r="A78" s="153" t="s">
        <v>31</v>
      </c>
    </row>
    <row r="79" spans="1:1" x14ac:dyDescent="0.2">
      <c r="A79" s="153" t="s">
        <v>35</v>
      </c>
    </row>
    <row r="80" spans="1:1" x14ac:dyDescent="0.2">
      <c r="A80" s="153" t="s">
        <v>37</v>
      </c>
    </row>
    <row r="81" spans="1:1" x14ac:dyDescent="0.2">
      <c r="A81" s="153" t="s">
        <v>39</v>
      </c>
    </row>
    <row r="82" spans="1:1" x14ac:dyDescent="0.2">
      <c r="A82" s="153" t="s">
        <v>41</v>
      </c>
    </row>
    <row r="83" spans="1:1" x14ac:dyDescent="0.2">
      <c r="A83" s="153" t="s">
        <v>43</v>
      </c>
    </row>
    <row r="84" spans="1:1" x14ac:dyDescent="0.2">
      <c r="A84" s="153" t="s">
        <v>45</v>
      </c>
    </row>
    <row r="85" spans="1:1" x14ac:dyDescent="0.2">
      <c r="A85" s="153" t="s">
        <v>47</v>
      </c>
    </row>
    <row r="86" spans="1:1" x14ac:dyDescent="0.2">
      <c r="A86" s="153" t="s">
        <v>49</v>
      </c>
    </row>
    <row r="87" spans="1:1" x14ac:dyDescent="0.2">
      <c r="A87" s="153" t="s">
        <v>51</v>
      </c>
    </row>
    <row r="88" spans="1:1" x14ac:dyDescent="0.2">
      <c r="A88" s="153" t="s">
        <v>53</v>
      </c>
    </row>
    <row r="89" spans="1:1" x14ac:dyDescent="0.2">
      <c r="A89" s="153" t="s">
        <v>55</v>
      </c>
    </row>
    <row r="90" spans="1:1" x14ac:dyDescent="0.2">
      <c r="A90" s="153" t="s">
        <v>696</v>
      </c>
    </row>
    <row r="91" spans="1:1" x14ac:dyDescent="0.2">
      <c r="A91" s="153" t="s">
        <v>59</v>
      </c>
    </row>
    <row r="92" spans="1:1" x14ac:dyDescent="0.2">
      <c r="A92" s="153" t="s">
        <v>61</v>
      </c>
    </row>
    <row r="93" spans="1:1" x14ac:dyDescent="0.2">
      <c r="A93" s="153" t="s">
        <v>63</v>
      </c>
    </row>
    <row r="94" spans="1:1" x14ac:dyDescent="0.2">
      <c r="A94" s="153" t="s">
        <v>65</v>
      </c>
    </row>
    <row r="95" spans="1:1" x14ac:dyDescent="0.2">
      <c r="A95" s="153" t="s">
        <v>67</v>
      </c>
    </row>
    <row r="96" spans="1:1" x14ac:dyDescent="0.2">
      <c r="A96" s="153" t="s">
        <v>69</v>
      </c>
    </row>
    <row r="97" spans="1:1" x14ac:dyDescent="0.2">
      <c r="A97" s="153" t="s">
        <v>71</v>
      </c>
    </row>
    <row r="98" spans="1:1" x14ac:dyDescent="0.2">
      <c r="A98" s="153" t="s">
        <v>880</v>
      </c>
    </row>
    <row r="99" spans="1:1" x14ac:dyDescent="0.2">
      <c r="A99" s="153" t="s">
        <v>75</v>
      </c>
    </row>
    <row r="100" spans="1:1" x14ac:dyDescent="0.2">
      <c r="A100" s="153" t="s">
        <v>77</v>
      </c>
    </row>
    <row r="101" spans="1:1" x14ac:dyDescent="0.2">
      <c r="A101" s="153" t="s">
        <v>79</v>
      </c>
    </row>
    <row r="102" spans="1:1" x14ac:dyDescent="0.2">
      <c r="A102" s="153" t="s">
        <v>81</v>
      </c>
    </row>
    <row r="103" spans="1:1" x14ac:dyDescent="0.2">
      <c r="A103" s="153" t="s">
        <v>83</v>
      </c>
    </row>
    <row r="104" spans="1:1" x14ac:dyDescent="0.2">
      <c r="A104" s="153" t="s">
        <v>85</v>
      </c>
    </row>
    <row r="105" spans="1:1" x14ac:dyDescent="0.2">
      <c r="A105" s="153" t="s">
        <v>87</v>
      </c>
    </row>
    <row r="106" spans="1:1" x14ac:dyDescent="0.2">
      <c r="A106" s="153" t="s">
        <v>89</v>
      </c>
    </row>
    <row r="107" spans="1:1" x14ac:dyDescent="0.2">
      <c r="A107" s="153" t="s">
        <v>91</v>
      </c>
    </row>
    <row r="108" spans="1:1" x14ac:dyDescent="0.2">
      <c r="A108" s="153" t="s">
        <v>93</v>
      </c>
    </row>
    <row r="109" spans="1:1" x14ac:dyDescent="0.2">
      <c r="A109" s="153" t="s">
        <v>95</v>
      </c>
    </row>
    <row r="110" spans="1:1" x14ac:dyDescent="0.2">
      <c r="A110" s="153" t="s">
        <v>97</v>
      </c>
    </row>
    <row r="111" spans="1:1" x14ac:dyDescent="0.2">
      <c r="A111" s="153" t="s">
        <v>99</v>
      </c>
    </row>
    <row r="112" spans="1:1" x14ac:dyDescent="0.2">
      <c r="A112" s="153" t="s">
        <v>101</v>
      </c>
    </row>
    <row r="113" spans="1:1" x14ac:dyDescent="0.2">
      <c r="A113" s="153" t="s">
        <v>103</v>
      </c>
    </row>
    <row r="114" spans="1:1" x14ac:dyDescent="0.2">
      <c r="A114" s="153" t="s">
        <v>105</v>
      </c>
    </row>
    <row r="115" spans="1:1" x14ac:dyDescent="0.2">
      <c r="A115" s="153" t="s">
        <v>697</v>
      </c>
    </row>
    <row r="116" spans="1:1" x14ac:dyDescent="0.2">
      <c r="A116" s="153" t="s">
        <v>109</v>
      </c>
    </row>
    <row r="117" spans="1:1" x14ac:dyDescent="0.2">
      <c r="A117" s="153" t="s">
        <v>698</v>
      </c>
    </row>
    <row r="118" spans="1:1" x14ac:dyDescent="0.2">
      <c r="A118" s="153" t="s">
        <v>113</v>
      </c>
    </row>
    <row r="119" spans="1:1" x14ac:dyDescent="0.2">
      <c r="A119" s="153" t="s">
        <v>115</v>
      </c>
    </row>
    <row r="120" spans="1:1" x14ac:dyDescent="0.2">
      <c r="A120" s="153" t="s">
        <v>117</v>
      </c>
    </row>
    <row r="121" spans="1:1" x14ac:dyDescent="0.2">
      <c r="A121" s="153" t="s">
        <v>119</v>
      </c>
    </row>
    <row r="122" spans="1:1" x14ac:dyDescent="0.2">
      <c r="A122" s="153" t="s">
        <v>121</v>
      </c>
    </row>
    <row r="123" spans="1:1" x14ac:dyDescent="0.2">
      <c r="A123" s="153" t="s">
        <v>123</v>
      </c>
    </row>
    <row r="124" spans="1:1" x14ac:dyDescent="0.2">
      <c r="A124" s="153" t="s">
        <v>699</v>
      </c>
    </row>
    <row r="125" spans="1:1" x14ac:dyDescent="0.2">
      <c r="A125" s="153" t="s">
        <v>127</v>
      </c>
    </row>
    <row r="126" spans="1:1" x14ac:dyDescent="0.2">
      <c r="A126" s="153" t="s">
        <v>129</v>
      </c>
    </row>
    <row r="127" spans="1:1" x14ac:dyDescent="0.2">
      <c r="A127" s="153" t="s">
        <v>131</v>
      </c>
    </row>
    <row r="128" spans="1:1" x14ac:dyDescent="0.2">
      <c r="A128" s="153" t="s">
        <v>700</v>
      </c>
    </row>
    <row r="129" spans="1:1" x14ac:dyDescent="0.2">
      <c r="A129" s="153" t="s">
        <v>135</v>
      </c>
    </row>
    <row r="130" spans="1:1" x14ac:dyDescent="0.2">
      <c r="A130" s="153" t="s">
        <v>137</v>
      </c>
    </row>
    <row r="131" spans="1:1" x14ac:dyDescent="0.2">
      <c r="A131" s="153" t="s">
        <v>139</v>
      </c>
    </row>
    <row r="132" spans="1:1" x14ac:dyDescent="0.2">
      <c r="A132" s="153" t="s">
        <v>701</v>
      </c>
    </row>
    <row r="133" spans="1:1" x14ac:dyDescent="0.2">
      <c r="A133" s="153" t="s">
        <v>143</v>
      </c>
    </row>
    <row r="134" spans="1:1" x14ac:dyDescent="0.2">
      <c r="A134" s="153" t="s">
        <v>145</v>
      </c>
    </row>
    <row r="135" spans="1:1" x14ac:dyDescent="0.2">
      <c r="A135" s="153" t="s">
        <v>881</v>
      </c>
    </row>
    <row r="136" spans="1:1" x14ac:dyDescent="0.2">
      <c r="A136" s="153" t="s">
        <v>149</v>
      </c>
    </row>
    <row r="137" spans="1:1" x14ac:dyDescent="0.2">
      <c r="A137" s="153" t="s">
        <v>151</v>
      </c>
    </row>
    <row r="138" spans="1:1" x14ac:dyDescent="0.2">
      <c r="A138" s="153" t="s">
        <v>882</v>
      </c>
    </row>
    <row r="139" spans="1:1" x14ac:dyDescent="0.2">
      <c r="A139" s="153" t="s">
        <v>155</v>
      </c>
    </row>
    <row r="140" spans="1:1" x14ac:dyDescent="0.2">
      <c r="A140" s="153" t="s">
        <v>157</v>
      </c>
    </row>
    <row r="141" spans="1:1" x14ac:dyDescent="0.2">
      <c r="A141" s="153" t="s">
        <v>702</v>
      </c>
    </row>
    <row r="142" spans="1:1" x14ac:dyDescent="0.2">
      <c r="A142" s="153" t="s">
        <v>161</v>
      </c>
    </row>
    <row r="143" spans="1:1" x14ac:dyDescent="0.2">
      <c r="A143" s="153" t="s">
        <v>883</v>
      </c>
    </row>
    <row r="144" spans="1:1" x14ac:dyDescent="0.2">
      <c r="A144" s="153" t="s">
        <v>884</v>
      </c>
    </row>
    <row r="145" spans="1:1" x14ac:dyDescent="0.2">
      <c r="A145" s="153" t="s">
        <v>167</v>
      </c>
    </row>
    <row r="146" spans="1:1" x14ac:dyDescent="0.2">
      <c r="A146" s="153" t="s">
        <v>169</v>
      </c>
    </row>
    <row r="147" spans="1:1" x14ac:dyDescent="0.2">
      <c r="A147" s="153" t="s">
        <v>171</v>
      </c>
    </row>
    <row r="148" spans="1:1" x14ac:dyDescent="0.2">
      <c r="A148" s="153" t="s">
        <v>173</v>
      </c>
    </row>
    <row r="149" spans="1:1" x14ac:dyDescent="0.2">
      <c r="A149" s="153" t="s">
        <v>175</v>
      </c>
    </row>
    <row r="150" spans="1:1" x14ac:dyDescent="0.2">
      <c r="A150" s="153" t="s">
        <v>177</v>
      </c>
    </row>
    <row r="151" spans="1:1" x14ac:dyDescent="0.2">
      <c r="A151" s="153" t="s">
        <v>703</v>
      </c>
    </row>
    <row r="152" spans="1:1" x14ac:dyDescent="0.2">
      <c r="A152" s="153" t="s">
        <v>181</v>
      </c>
    </row>
    <row r="153" spans="1:1" x14ac:dyDescent="0.2">
      <c r="A153" s="153" t="s">
        <v>183</v>
      </c>
    </row>
    <row r="154" spans="1:1" x14ac:dyDescent="0.2">
      <c r="A154" s="153" t="s">
        <v>185</v>
      </c>
    </row>
    <row r="155" spans="1:1" x14ac:dyDescent="0.2">
      <c r="A155" s="153" t="s">
        <v>187</v>
      </c>
    </row>
    <row r="156" spans="1:1" x14ac:dyDescent="0.2">
      <c r="A156" s="153" t="s">
        <v>189</v>
      </c>
    </row>
    <row r="157" spans="1:1" x14ac:dyDescent="0.2">
      <c r="A157" s="153" t="s">
        <v>704</v>
      </c>
    </row>
    <row r="158" spans="1:1" x14ac:dyDescent="0.2">
      <c r="A158" s="153" t="s">
        <v>193</v>
      </c>
    </row>
    <row r="159" spans="1:1" x14ac:dyDescent="0.2">
      <c r="A159" s="153" t="s">
        <v>195</v>
      </c>
    </row>
    <row r="160" spans="1:1" x14ac:dyDescent="0.2">
      <c r="A160" s="153" t="s">
        <v>885</v>
      </c>
    </row>
    <row r="161" spans="1:1" x14ac:dyDescent="0.2">
      <c r="A161" s="153" t="s">
        <v>199</v>
      </c>
    </row>
    <row r="162" spans="1:1" x14ac:dyDescent="0.2">
      <c r="A162" s="153" t="s">
        <v>201</v>
      </c>
    </row>
    <row r="163" spans="1:1" x14ac:dyDescent="0.2">
      <c r="A163" s="153" t="s">
        <v>705</v>
      </c>
    </row>
    <row r="164" spans="1:1" x14ac:dyDescent="0.2">
      <c r="A164" s="153" t="s">
        <v>205</v>
      </c>
    </row>
    <row r="165" spans="1:1" x14ac:dyDescent="0.2">
      <c r="A165" s="153" t="s">
        <v>207</v>
      </c>
    </row>
    <row r="166" spans="1:1" x14ac:dyDescent="0.2">
      <c r="A166" s="153" t="s">
        <v>209</v>
      </c>
    </row>
    <row r="167" spans="1:1" x14ac:dyDescent="0.2">
      <c r="A167" s="153" t="s">
        <v>211</v>
      </c>
    </row>
    <row r="168" spans="1:1" x14ac:dyDescent="0.2">
      <c r="A168" s="153" t="s">
        <v>213</v>
      </c>
    </row>
    <row r="169" spans="1:1" x14ac:dyDescent="0.2">
      <c r="A169" s="153" t="s">
        <v>215</v>
      </c>
    </row>
    <row r="170" spans="1:1" x14ac:dyDescent="0.2">
      <c r="A170" s="153" t="s">
        <v>706</v>
      </c>
    </row>
    <row r="171" spans="1:1" x14ac:dyDescent="0.2">
      <c r="A171" s="153" t="s">
        <v>707</v>
      </c>
    </row>
    <row r="172" spans="1:1" x14ac:dyDescent="0.2">
      <c r="A172" s="153" t="s">
        <v>221</v>
      </c>
    </row>
    <row r="173" spans="1:1" x14ac:dyDescent="0.2">
      <c r="A173" s="153" t="s">
        <v>223</v>
      </c>
    </row>
    <row r="174" spans="1:1" x14ac:dyDescent="0.2">
      <c r="A174" s="153" t="s">
        <v>708</v>
      </c>
    </row>
    <row r="175" spans="1:1" x14ac:dyDescent="0.2">
      <c r="A175" s="153" t="s">
        <v>886</v>
      </c>
    </row>
    <row r="176" spans="1:1" x14ac:dyDescent="0.2">
      <c r="A176" s="153" t="s">
        <v>229</v>
      </c>
    </row>
    <row r="177" spans="1:1" x14ac:dyDescent="0.2">
      <c r="A177" s="153" t="s">
        <v>231</v>
      </c>
    </row>
    <row r="178" spans="1:1" x14ac:dyDescent="0.2">
      <c r="A178" s="153" t="s">
        <v>233</v>
      </c>
    </row>
    <row r="179" spans="1:1" x14ac:dyDescent="0.2">
      <c r="A179" s="153" t="s">
        <v>235</v>
      </c>
    </row>
    <row r="180" spans="1:1" x14ac:dyDescent="0.2">
      <c r="A180" s="153" t="s">
        <v>237</v>
      </c>
    </row>
    <row r="181" spans="1:1" x14ac:dyDescent="0.2">
      <c r="A181" s="153" t="s">
        <v>709</v>
      </c>
    </row>
    <row r="182" spans="1:1" x14ac:dyDescent="0.2">
      <c r="A182" s="153" t="s">
        <v>241</v>
      </c>
    </row>
    <row r="183" spans="1:1" x14ac:dyDescent="0.2">
      <c r="A183" s="153" t="s">
        <v>243</v>
      </c>
    </row>
    <row r="184" spans="1:1" x14ac:dyDescent="0.2">
      <c r="A184" s="153" t="s">
        <v>710</v>
      </c>
    </row>
    <row r="185" spans="1:1" x14ac:dyDescent="0.2">
      <c r="A185" s="153" t="s">
        <v>247</v>
      </c>
    </row>
    <row r="186" spans="1:1" x14ac:dyDescent="0.2">
      <c r="A186" s="153" t="s">
        <v>711</v>
      </c>
    </row>
    <row r="187" spans="1:1" x14ac:dyDescent="0.2">
      <c r="A187" s="153" t="s">
        <v>251</v>
      </c>
    </row>
    <row r="188" spans="1:1" x14ac:dyDescent="0.2">
      <c r="A188" s="153" t="s">
        <v>253</v>
      </c>
    </row>
    <row r="189" spans="1:1" x14ac:dyDescent="0.2">
      <c r="A189" s="153" t="s">
        <v>255</v>
      </c>
    </row>
    <row r="190" spans="1:1" x14ac:dyDescent="0.2">
      <c r="A190" s="153" t="s">
        <v>257</v>
      </c>
    </row>
    <row r="191" spans="1:1" x14ac:dyDescent="0.2">
      <c r="A191" s="153" t="s">
        <v>259</v>
      </c>
    </row>
    <row r="192" spans="1:1" x14ac:dyDescent="0.2">
      <c r="A192" s="153" t="s">
        <v>261</v>
      </c>
    </row>
    <row r="193" spans="1:1" x14ac:dyDescent="0.2">
      <c r="A193" s="153" t="s">
        <v>712</v>
      </c>
    </row>
    <row r="194" spans="1:1" x14ac:dyDescent="0.2">
      <c r="A194" s="153" t="s">
        <v>713</v>
      </c>
    </row>
    <row r="195" spans="1:1" x14ac:dyDescent="0.2">
      <c r="A195" s="153" t="s">
        <v>714</v>
      </c>
    </row>
    <row r="196" spans="1:1" x14ac:dyDescent="0.2">
      <c r="A196" s="153" t="s">
        <v>269</v>
      </c>
    </row>
    <row r="197" spans="1:1" x14ac:dyDescent="0.2">
      <c r="A197" s="153" t="s">
        <v>271</v>
      </c>
    </row>
    <row r="198" spans="1:1" x14ac:dyDescent="0.2">
      <c r="A198" s="153" t="s">
        <v>273</v>
      </c>
    </row>
    <row r="199" spans="1:1" x14ac:dyDescent="0.2">
      <c r="A199" s="153" t="s">
        <v>715</v>
      </c>
    </row>
    <row r="200" spans="1:1" x14ac:dyDescent="0.2">
      <c r="A200" s="153" t="s">
        <v>716</v>
      </c>
    </row>
    <row r="201" spans="1:1" x14ac:dyDescent="0.2">
      <c r="A201" s="153" t="s">
        <v>717</v>
      </c>
    </row>
    <row r="202" spans="1:1" x14ac:dyDescent="0.2">
      <c r="A202" s="153" t="s">
        <v>718</v>
      </c>
    </row>
    <row r="203" spans="1:1" x14ac:dyDescent="0.2">
      <c r="A203" s="153" t="s">
        <v>283</v>
      </c>
    </row>
    <row r="204" spans="1:1" x14ac:dyDescent="0.2">
      <c r="A204" s="153" t="s">
        <v>285</v>
      </c>
    </row>
    <row r="205" spans="1:1" x14ac:dyDescent="0.2">
      <c r="A205" s="153" t="s">
        <v>719</v>
      </c>
    </row>
    <row r="206" spans="1:1" x14ac:dyDescent="0.2">
      <c r="A206" s="153" t="s">
        <v>289</v>
      </c>
    </row>
    <row r="207" spans="1:1" x14ac:dyDescent="0.2">
      <c r="A207" s="153" t="s">
        <v>720</v>
      </c>
    </row>
    <row r="208" spans="1:1" x14ac:dyDescent="0.2">
      <c r="A208" s="153" t="s">
        <v>293</v>
      </c>
    </row>
    <row r="209" spans="1:1" x14ac:dyDescent="0.2">
      <c r="A209" s="153" t="s">
        <v>721</v>
      </c>
    </row>
    <row r="210" spans="1:1" x14ac:dyDescent="0.2">
      <c r="A210" s="153" t="s">
        <v>297</v>
      </c>
    </row>
    <row r="211" spans="1:1" x14ac:dyDescent="0.2">
      <c r="A211" s="153" t="s">
        <v>299</v>
      </c>
    </row>
    <row r="212" spans="1:1" x14ac:dyDescent="0.2">
      <c r="A212" s="153" t="s">
        <v>301</v>
      </c>
    </row>
    <row r="213" spans="1:1" x14ac:dyDescent="0.2">
      <c r="A213" s="153" t="s">
        <v>303</v>
      </c>
    </row>
    <row r="214" spans="1:1" x14ac:dyDescent="0.2">
      <c r="A214" s="153" t="s">
        <v>305</v>
      </c>
    </row>
    <row r="215" spans="1:1" x14ac:dyDescent="0.2">
      <c r="A215" s="153" t="s">
        <v>307</v>
      </c>
    </row>
    <row r="216" spans="1:1" x14ac:dyDescent="0.2">
      <c r="A216" s="153" t="s">
        <v>309</v>
      </c>
    </row>
    <row r="217" spans="1:1" x14ac:dyDescent="0.2">
      <c r="A217" s="153" t="s">
        <v>311</v>
      </c>
    </row>
    <row r="218" spans="1:1" x14ac:dyDescent="0.2">
      <c r="A218" s="153" t="s">
        <v>313</v>
      </c>
    </row>
    <row r="219" spans="1:1" x14ac:dyDescent="0.2">
      <c r="A219" s="153" t="s">
        <v>315</v>
      </c>
    </row>
    <row r="220" spans="1:1" x14ac:dyDescent="0.2">
      <c r="A220" s="153" t="s">
        <v>317</v>
      </c>
    </row>
    <row r="221" spans="1:1" x14ac:dyDescent="0.2">
      <c r="A221" s="153" t="s">
        <v>319</v>
      </c>
    </row>
    <row r="222" spans="1:1" x14ac:dyDescent="0.2">
      <c r="A222" s="153" t="s">
        <v>722</v>
      </c>
    </row>
    <row r="223" spans="1:1" x14ac:dyDescent="0.2">
      <c r="A223" s="153" t="s">
        <v>323</v>
      </c>
    </row>
    <row r="224" spans="1:1" x14ac:dyDescent="0.2">
      <c r="A224" s="153" t="s">
        <v>325</v>
      </c>
    </row>
    <row r="225" spans="1:1" x14ac:dyDescent="0.2">
      <c r="A225" s="153" t="s">
        <v>327</v>
      </c>
    </row>
    <row r="226" spans="1:1" x14ac:dyDescent="0.2">
      <c r="A226" s="153" t="s">
        <v>329</v>
      </c>
    </row>
    <row r="227" spans="1:1" x14ac:dyDescent="0.2">
      <c r="A227" s="153" t="s">
        <v>331</v>
      </c>
    </row>
    <row r="228" spans="1:1" x14ac:dyDescent="0.2">
      <c r="A228" s="153" t="s">
        <v>333</v>
      </c>
    </row>
    <row r="229" spans="1:1" x14ac:dyDescent="0.2">
      <c r="A229" s="153" t="s">
        <v>335</v>
      </c>
    </row>
    <row r="230" spans="1:1" x14ac:dyDescent="0.2">
      <c r="A230" s="153" t="s">
        <v>337</v>
      </c>
    </row>
    <row r="231" spans="1:1" x14ac:dyDescent="0.2">
      <c r="A231" s="153" t="s">
        <v>339</v>
      </c>
    </row>
    <row r="232" spans="1:1" x14ac:dyDescent="0.2">
      <c r="A232" s="153" t="s">
        <v>341</v>
      </c>
    </row>
    <row r="233" spans="1:1" x14ac:dyDescent="0.2">
      <c r="A233" s="153" t="s">
        <v>343</v>
      </c>
    </row>
    <row r="234" spans="1:1" x14ac:dyDescent="0.2">
      <c r="A234" s="153" t="s">
        <v>723</v>
      </c>
    </row>
    <row r="235" spans="1:1" x14ac:dyDescent="0.2">
      <c r="A235" s="153" t="s">
        <v>347</v>
      </c>
    </row>
    <row r="236" spans="1:1" x14ac:dyDescent="0.2">
      <c r="A236" s="153" t="s">
        <v>349</v>
      </c>
    </row>
    <row r="237" spans="1:1" x14ac:dyDescent="0.2">
      <c r="A237" s="153" t="s">
        <v>351</v>
      </c>
    </row>
    <row r="238" spans="1:1" x14ac:dyDescent="0.2">
      <c r="A238" s="153" t="s">
        <v>353</v>
      </c>
    </row>
    <row r="239" spans="1:1" x14ac:dyDescent="0.2">
      <c r="A239" s="153" t="s">
        <v>724</v>
      </c>
    </row>
    <row r="240" spans="1:1" x14ac:dyDescent="0.2">
      <c r="A240" s="153" t="s">
        <v>357</v>
      </c>
    </row>
    <row r="241" spans="1:1" x14ac:dyDescent="0.2">
      <c r="A241" s="153" t="s">
        <v>359</v>
      </c>
    </row>
    <row r="242" spans="1:1" x14ac:dyDescent="0.2">
      <c r="A242" s="153" t="s">
        <v>361</v>
      </c>
    </row>
    <row r="243" spans="1:1" x14ac:dyDescent="0.2">
      <c r="A243" s="153" t="s">
        <v>363</v>
      </c>
    </row>
    <row r="244" spans="1:1" x14ac:dyDescent="0.2">
      <c r="A244" s="153" t="s">
        <v>365</v>
      </c>
    </row>
    <row r="245" spans="1:1" x14ac:dyDescent="0.2">
      <c r="A245" s="153" t="s">
        <v>367</v>
      </c>
    </row>
    <row r="246" spans="1:1" x14ac:dyDescent="0.2">
      <c r="A246" s="153" t="s">
        <v>369</v>
      </c>
    </row>
    <row r="247" spans="1:1" x14ac:dyDescent="0.2">
      <c r="A247" s="153" t="s">
        <v>371</v>
      </c>
    </row>
    <row r="248" spans="1:1" x14ac:dyDescent="0.2">
      <c r="A248" s="153" t="s">
        <v>373</v>
      </c>
    </row>
    <row r="249" spans="1:1" x14ac:dyDescent="0.2">
      <c r="A249" s="153" t="s">
        <v>375</v>
      </c>
    </row>
    <row r="250" spans="1:1" x14ac:dyDescent="0.2">
      <c r="A250" s="153" t="s">
        <v>377</v>
      </c>
    </row>
    <row r="251" spans="1:1" x14ac:dyDescent="0.2">
      <c r="A251" s="153" t="s">
        <v>725</v>
      </c>
    </row>
    <row r="252" spans="1:1" x14ac:dyDescent="0.2">
      <c r="A252" s="153" t="s">
        <v>726</v>
      </c>
    </row>
    <row r="253" spans="1:1" x14ac:dyDescent="0.2">
      <c r="A253" s="153" t="s">
        <v>383</v>
      </c>
    </row>
    <row r="254" spans="1:1" x14ac:dyDescent="0.2">
      <c r="A254" s="153" t="s">
        <v>385</v>
      </c>
    </row>
    <row r="255" spans="1:1" x14ac:dyDescent="0.2">
      <c r="A255" s="153" t="s">
        <v>387</v>
      </c>
    </row>
    <row r="256" spans="1:1" x14ac:dyDescent="0.2">
      <c r="A256" s="153" t="s">
        <v>389</v>
      </c>
    </row>
    <row r="257" spans="1:1" x14ac:dyDescent="0.2">
      <c r="A257" s="153" t="s">
        <v>391</v>
      </c>
    </row>
    <row r="258" spans="1:1" x14ac:dyDescent="0.2">
      <c r="A258" s="153" t="s">
        <v>393</v>
      </c>
    </row>
    <row r="259" spans="1:1" x14ac:dyDescent="0.2">
      <c r="A259" s="153" t="s">
        <v>395</v>
      </c>
    </row>
    <row r="260" spans="1:1" x14ac:dyDescent="0.2">
      <c r="A260" s="153" t="s">
        <v>397</v>
      </c>
    </row>
    <row r="261" spans="1:1" x14ac:dyDescent="0.2">
      <c r="A261" s="153" t="s">
        <v>399</v>
      </c>
    </row>
    <row r="262" spans="1:1" x14ac:dyDescent="0.2">
      <c r="A262" s="153" t="s">
        <v>727</v>
      </c>
    </row>
    <row r="263" spans="1:1" x14ac:dyDescent="0.2">
      <c r="A263" s="153" t="s">
        <v>728</v>
      </c>
    </row>
    <row r="264" spans="1:1" x14ac:dyDescent="0.2">
      <c r="A264" s="153" t="s">
        <v>405</v>
      </c>
    </row>
    <row r="265" spans="1:1" x14ac:dyDescent="0.2">
      <c r="A265" s="153" t="s">
        <v>407</v>
      </c>
    </row>
    <row r="266" spans="1:1" x14ac:dyDescent="0.2">
      <c r="A266" s="153" t="s">
        <v>409</v>
      </c>
    </row>
    <row r="267" spans="1:1" x14ac:dyDescent="0.2">
      <c r="A267" s="153" t="s">
        <v>411</v>
      </c>
    </row>
    <row r="268" spans="1:1" x14ac:dyDescent="0.2">
      <c r="A268" s="153" t="s">
        <v>413</v>
      </c>
    </row>
    <row r="269" spans="1:1" x14ac:dyDescent="0.2">
      <c r="A269" s="153" t="s">
        <v>415</v>
      </c>
    </row>
    <row r="270" spans="1:1" x14ac:dyDescent="0.2">
      <c r="A270" s="153" t="s">
        <v>417</v>
      </c>
    </row>
    <row r="271" spans="1:1" x14ac:dyDescent="0.2">
      <c r="A271" s="153" t="s">
        <v>729</v>
      </c>
    </row>
    <row r="272" spans="1:1" x14ac:dyDescent="0.2">
      <c r="A272" s="153" t="s">
        <v>421</v>
      </c>
    </row>
    <row r="273" spans="1:1" x14ac:dyDescent="0.2">
      <c r="A273" s="153" t="s">
        <v>423</v>
      </c>
    </row>
    <row r="274" spans="1:1" x14ac:dyDescent="0.2">
      <c r="A274" s="153" t="s">
        <v>425</v>
      </c>
    </row>
    <row r="275" spans="1:1" x14ac:dyDescent="0.2">
      <c r="A275" s="153" t="s">
        <v>427</v>
      </c>
    </row>
    <row r="276" spans="1:1" x14ac:dyDescent="0.2">
      <c r="A276" s="153" t="s">
        <v>429</v>
      </c>
    </row>
    <row r="277" spans="1:1" x14ac:dyDescent="0.2">
      <c r="A277" s="153" t="s">
        <v>730</v>
      </c>
    </row>
    <row r="278" spans="1:1" x14ac:dyDescent="0.2">
      <c r="A278" s="153" t="s">
        <v>433</v>
      </c>
    </row>
    <row r="279" spans="1:1" x14ac:dyDescent="0.2">
      <c r="A279" s="153" t="s">
        <v>435</v>
      </c>
    </row>
    <row r="280" spans="1:1" x14ac:dyDescent="0.2">
      <c r="A280" s="153" t="s">
        <v>437</v>
      </c>
    </row>
    <row r="281" spans="1:1" x14ac:dyDescent="0.2">
      <c r="A281" s="153" t="s">
        <v>439</v>
      </c>
    </row>
    <row r="282" spans="1:1" x14ac:dyDescent="0.2">
      <c r="A282" s="153" t="s">
        <v>441</v>
      </c>
    </row>
    <row r="283" spans="1:1" x14ac:dyDescent="0.2">
      <c r="A283" s="153" t="s">
        <v>731</v>
      </c>
    </row>
    <row r="284" spans="1:1" x14ac:dyDescent="0.2">
      <c r="A284" s="153" t="s">
        <v>732</v>
      </c>
    </row>
    <row r="285" spans="1:1" x14ac:dyDescent="0.2">
      <c r="A285" s="153" t="s">
        <v>733</v>
      </c>
    </row>
    <row r="286" spans="1:1" x14ac:dyDescent="0.2">
      <c r="A286" s="153" t="s">
        <v>449</v>
      </c>
    </row>
    <row r="287" spans="1:1" x14ac:dyDescent="0.2">
      <c r="A287" s="153" t="s">
        <v>451</v>
      </c>
    </row>
    <row r="288" spans="1:1" x14ac:dyDescent="0.2">
      <c r="A288" s="153" t="s">
        <v>453</v>
      </c>
    </row>
    <row r="289" spans="1:1" x14ac:dyDescent="0.2">
      <c r="A289" s="153" t="s">
        <v>455</v>
      </c>
    </row>
    <row r="290" spans="1:1" x14ac:dyDescent="0.2">
      <c r="A290" s="153" t="s">
        <v>457</v>
      </c>
    </row>
    <row r="291" spans="1:1" x14ac:dyDescent="0.2">
      <c r="A291" s="153" t="s">
        <v>459</v>
      </c>
    </row>
    <row r="292" spans="1:1" x14ac:dyDescent="0.2">
      <c r="A292" s="153" t="s">
        <v>461</v>
      </c>
    </row>
    <row r="293" spans="1:1" x14ac:dyDescent="0.2">
      <c r="A293" s="153" t="s">
        <v>463</v>
      </c>
    </row>
    <row r="294" spans="1:1" x14ac:dyDescent="0.2">
      <c r="A294" s="153" t="s">
        <v>465</v>
      </c>
    </row>
    <row r="295" spans="1:1" x14ac:dyDescent="0.2">
      <c r="A295" s="153" t="s">
        <v>467</v>
      </c>
    </row>
    <row r="296" spans="1:1" x14ac:dyDescent="0.2">
      <c r="A296" s="153" t="s">
        <v>734</v>
      </c>
    </row>
    <row r="297" spans="1:1" x14ac:dyDescent="0.2">
      <c r="A297" s="153" t="s">
        <v>471</v>
      </c>
    </row>
    <row r="298" spans="1:1" x14ac:dyDescent="0.2">
      <c r="A298" s="153" t="s">
        <v>473</v>
      </c>
    </row>
    <row r="299" spans="1:1" x14ac:dyDescent="0.2">
      <c r="A299" s="153" t="s">
        <v>475</v>
      </c>
    </row>
    <row r="300" spans="1:1" x14ac:dyDescent="0.2">
      <c r="A300" s="153" t="s">
        <v>477</v>
      </c>
    </row>
    <row r="301" spans="1:1" x14ac:dyDescent="0.2">
      <c r="A301" s="153" t="s">
        <v>479</v>
      </c>
    </row>
    <row r="302" spans="1:1" x14ac:dyDescent="0.2">
      <c r="A302" s="153" t="s">
        <v>481</v>
      </c>
    </row>
    <row r="303" spans="1:1" x14ac:dyDescent="0.2">
      <c r="A303" s="153" t="s">
        <v>483</v>
      </c>
    </row>
    <row r="304" spans="1:1" x14ac:dyDescent="0.2">
      <c r="A304" s="153" t="s">
        <v>735</v>
      </c>
    </row>
    <row r="305" spans="1:1" x14ac:dyDescent="0.2">
      <c r="A305" s="153" t="s">
        <v>487</v>
      </c>
    </row>
    <row r="306" spans="1:1" x14ac:dyDescent="0.2">
      <c r="A306" s="153" t="s">
        <v>489</v>
      </c>
    </row>
    <row r="307" spans="1:1" x14ac:dyDescent="0.2">
      <c r="A307" s="153" t="s">
        <v>491</v>
      </c>
    </row>
    <row r="308" spans="1:1" x14ac:dyDescent="0.2">
      <c r="A308" s="153" t="s">
        <v>493</v>
      </c>
    </row>
    <row r="309" spans="1:1" x14ac:dyDescent="0.2">
      <c r="A309" s="153" t="s">
        <v>495</v>
      </c>
    </row>
    <row r="310" spans="1:1" x14ac:dyDescent="0.2">
      <c r="A310" s="153" t="s">
        <v>497</v>
      </c>
    </row>
    <row r="311" spans="1:1" x14ac:dyDescent="0.2">
      <c r="A311" s="153" t="s">
        <v>499</v>
      </c>
    </row>
    <row r="312" spans="1:1" x14ac:dyDescent="0.2">
      <c r="A312" s="153" t="s">
        <v>736</v>
      </c>
    </row>
    <row r="313" spans="1:1" x14ac:dyDescent="0.2">
      <c r="A313" s="153" t="s">
        <v>503</v>
      </c>
    </row>
    <row r="314" spans="1:1" x14ac:dyDescent="0.2">
      <c r="A314" s="153" t="s">
        <v>505</v>
      </c>
    </row>
    <row r="315" spans="1:1" x14ac:dyDescent="0.2">
      <c r="A315" s="153" t="s">
        <v>507</v>
      </c>
    </row>
    <row r="316" spans="1:1" x14ac:dyDescent="0.2">
      <c r="A316" s="153" t="s">
        <v>737</v>
      </c>
    </row>
    <row r="317" spans="1:1" x14ac:dyDescent="0.2">
      <c r="A317" s="153" t="s">
        <v>511</v>
      </c>
    </row>
    <row r="318" spans="1:1" x14ac:dyDescent="0.2">
      <c r="A318" s="153" t="s">
        <v>513</v>
      </c>
    </row>
    <row r="319" spans="1:1" x14ac:dyDescent="0.2">
      <c r="A319" s="153" t="s">
        <v>738</v>
      </c>
    </row>
    <row r="320" spans="1:1" x14ac:dyDescent="0.2">
      <c r="A320" s="153" t="s">
        <v>517</v>
      </c>
    </row>
    <row r="321" spans="1:2" x14ac:dyDescent="0.2">
      <c r="A321" s="153" t="s">
        <v>519</v>
      </c>
    </row>
    <row r="322" spans="1:2" x14ac:dyDescent="0.2">
      <c r="A322" s="153" t="s">
        <v>521</v>
      </c>
    </row>
    <row r="323" spans="1:2" x14ac:dyDescent="0.2">
      <c r="A323" s="153" t="s">
        <v>523</v>
      </c>
    </row>
    <row r="324" spans="1:2" x14ac:dyDescent="0.2">
      <c r="A324" s="153" t="s">
        <v>525</v>
      </c>
    </row>
    <row r="325" spans="1:2" x14ac:dyDescent="0.2">
      <c r="A325" s="153" t="s">
        <v>527</v>
      </c>
    </row>
    <row r="326" spans="1:2" x14ac:dyDescent="0.2">
      <c r="A326" s="153" t="s">
        <v>529</v>
      </c>
    </row>
    <row r="327" spans="1:2" x14ac:dyDescent="0.2">
      <c r="A327" s="153" t="s">
        <v>739</v>
      </c>
    </row>
    <row r="328" spans="1:2" x14ac:dyDescent="0.2">
      <c r="A328" s="154" t="s">
        <v>686</v>
      </c>
      <c r="B328" s="127"/>
    </row>
    <row r="329" spans="1:2" x14ac:dyDescent="0.2">
      <c r="A329" s="417"/>
    </row>
    <row r="330" spans="1:2" x14ac:dyDescent="0.2">
      <c r="A330" s="417"/>
    </row>
    <row r="331" spans="1:2" x14ac:dyDescent="0.2">
      <c r="A331" s="417"/>
    </row>
    <row r="332" spans="1:2" x14ac:dyDescent="0.2">
      <c r="A332" s="417"/>
    </row>
    <row r="333" spans="1:2" x14ac:dyDescent="0.2">
      <c r="A333" s="41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85"/>
  <sheetViews>
    <sheetView showGridLines="0" topLeftCell="A49" zoomScaleNormal="100" zoomScaleSheetLayoutView="100" workbookViewId="0">
      <selection activeCell="AB33" sqref="AB33"/>
    </sheetView>
  </sheetViews>
  <sheetFormatPr defaultColWidth="9.140625" defaultRowHeight="15" x14ac:dyDescent="0.2"/>
  <cols>
    <col min="1" max="2" width="1.7109375" style="5" customWidth="1"/>
    <col min="3" max="3" width="21.42578125" style="5" customWidth="1"/>
    <col min="4" max="4" width="11" style="5" customWidth="1"/>
    <col min="5" max="5" width="21.42578125" style="5" customWidth="1"/>
    <col min="6" max="6" width="3.7109375" style="5" customWidth="1"/>
    <col min="7" max="8" width="10.7109375" style="5" customWidth="1"/>
    <col min="9" max="9" width="5.5703125" style="5" customWidth="1"/>
    <col min="10" max="10" width="5.42578125" style="5" customWidth="1"/>
    <col min="11" max="12" width="10.5703125" style="5" customWidth="1"/>
    <col min="13" max="14" width="5.42578125" style="5" customWidth="1"/>
    <col min="15" max="16" width="10.7109375" style="5" customWidth="1"/>
    <col min="17" max="18" width="5.42578125" style="5" customWidth="1"/>
    <col min="19" max="19" width="9.140625" style="5"/>
    <col min="20" max="20" width="11" style="5" customWidth="1"/>
    <col min="21" max="22" width="1.7109375" style="5" customWidth="1"/>
    <col min="23" max="23" width="17" style="215" customWidth="1"/>
    <col min="24" max="24" width="11.7109375" style="216" customWidth="1"/>
    <col min="25" max="16384" width="9.140625" style="5"/>
  </cols>
  <sheetData>
    <row r="1" spans="1:30" x14ac:dyDescent="0.2">
      <c r="A1" s="478"/>
      <c r="B1" s="372"/>
      <c r="C1" s="372"/>
      <c r="D1" s="372"/>
      <c r="E1" s="372"/>
      <c r="F1" s="479">
        <f>+'Part 1'!F1</f>
        <v>35</v>
      </c>
      <c r="G1" s="372"/>
      <c r="H1" s="372"/>
      <c r="I1" s="372"/>
      <c r="J1" s="372"/>
      <c r="K1" s="372"/>
      <c r="L1" s="372"/>
      <c r="M1" s="372"/>
      <c r="N1" s="372"/>
      <c r="O1" s="372"/>
      <c r="P1" s="372"/>
      <c r="Q1" s="372"/>
      <c r="R1" s="372"/>
      <c r="S1" s="372"/>
      <c r="T1" s="556"/>
      <c r="U1" s="556"/>
      <c r="V1" s="480"/>
    </row>
    <row r="2" spans="1:30" ht="20.25" x14ac:dyDescent="0.3">
      <c r="A2" s="690" t="s">
        <v>826</v>
      </c>
      <c r="B2" s="691"/>
      <c r="C2" s="691"/>
      <c r="D2" s="691"/>
      <c r="E2" s="691"/>
      <c r="F2" s="691"/>
      <c r="G2" s="691"/>
      <c r="H2" s="691"/>
      <c r="I2" s="691"/>
      <c r="J2" s="691"/>
      <c r="K2" s="691"/>
      <c r="L2" s="691"/>
      <c r="M2" s="691"/>
      <c r="N2" s="691"/>
      <c r="O2" s="691"/>
      <c r="P2" s="691"/>
      <c r="Q2" s="691"/>
      <c r="R2" s="691"/>
      <c r="S2" s="691"/>
      <c r="T2" s="691"/>
      <c r="U2" s="691"/>
      <c r="V2" s="692"/>
    </row>
    <row r="3" spans="1:30" ht="20.25" x14ac:dyDescent="0.3">
      <c r="A3" s="690" t="s">
        <v>927</v>
      </c>
      <c r="B3" s="691"/>
      <c r="C3" s="691"/>
      <c r="D3" s="691"/>
      <c r="E3" s="691"/>
      <c r="F3" s="691"/>
      <c r="G3" s="691"/>
      <c r="H3" s="691"/>
      <c r="I3" s="691"/>
      <c r="J3" s="691"/>
      <c r="K3" s="691"/>
      <c r="L3" s="691"/>
      <c r="M3" s="691"/>
      <c r="N3" s="691"/>
      <c r="O3" s="691"/>
      <c r="P3" s="691"/>
      <c r="Q3" s="691"/>
      <c r="R3" s="691"/>
      <c r="S3" s="691"/>
      <c r="T3" s="691"/>
      <c r="U3" s="691"/>
      <c r="V3" s="692"/>
    </row>
    <row r="4" spans="1:30" ht="20.25" x14ac:dyDescent="0.3">
      <c r="A4" s="534"/>
      <c r="B4" s="379"/>
      <c r="C4" s="379"/>
      <c r="D4" s="379"/>
      <c r="E4" s="379"/>
      <c r="F4" s="379"/>
      <c r="G4" s="379"/>
      <c r="H4" s="379"/>
      <c r="I4" s="379"/>
      <c r="J4" s="379"/>
      <c r="K4" s="379"/>
      <c r="L4" s="379"/>
      <c r="M4" s="379"/>
      <c r="N4" s="379"/>
      <c r="O4" s="379"/>
      <c r="P4" s="379"/>
      <c r="Q4" s="379"/>
      <c r="R4" s="379"/>
      <c r="S4" s="379"/>
      <c r="T4" s="379"/>
      <c r="U4" s="379"/>
      <c r="V4" s="380"/>
    </row>
    <row r="5" spans="1:30" x14ac:dyDescent="0.2">
      <c r="A5" s="693"/>
      <c r="B5" s="652"/>
      <c r="C5" s="652"/>
      <c r="D5" s="652"/>
      <c r="E5" s="652"/>
      <c r="F5" s="652"/>
      <c r="G5" s="652"/>
      <c r="H5" s="652"/>
      <c r="I5" s="652"/>
      <c r="J5" s="652"/>
      <c r="K5" s="652"/>
      <c r="L5" s="652"/>
      <c r="M5" s="652"/>
      <c r="N5" s="652"/>
      <c r="O5" s="652"/>
      <c r="P5" s="652"/>
      <c r="Q5" s="652"/>
      <c r="R5" s="652"/>
      <c r="S5" s="652"/>
      <c r="T5" s="652"/>
      <c r="U5" s="652"/>
      <c r="V5" s="653"/>
    </row>
    <row r="6" spans="1:30" x14ac:dyDescent="0.2">
      <c r="A6" s="535"/>
      <c r="B6" s="523"/>
      <c r="C6" s="523"/>
      <c r="D6" s="523"/>
      <c r="E6" s="523"/>
      <c r="F6" s="523"/>
      <c r="G6" s="523"/>
      <c r="H6" s="523"/>
      <c r="I6" s="523"/>
      <c r="J6" s="523"/>
      <c r="K6" s="523"/>
      <c r="L6" s="523"/>
      <c r="M6" s="523"/>
      <c r="N6" s="523"/>
      <c r="O6" s="523"/>
      <c r="P6" s="523"/>
      <c r="Q6" s="523"/>
      <c r="R6" s="523"/>
      <c r="S6" s="523"/>
      <c r="T6" s="523"/>
      <c r="U6" s="523"/>
      <c r="V6" s="524"/>
    </row>
    <row r="7" spans="1:30" x14ac:dyDescent="0.2">
      <c r="A7" s="693"/>
      <c r="B7" s="652"/>
      <c r="C7" s="652"/>
      <c r="D7" s="652"/>
      <c r="E7" s="652"/>
      <c r="F7" s="652"/>
      <c r="G7" s="652"/>
      <c r="H7" s="652"/>
      <c r="I7" s="652"/>
      <c r="J7" s="652"/>
      <c r="K7" s="652"/>
      <c r="L7" s="652"/>
      <c r="M7" s="652"/>
      <c r="N7" s="652"/>
      <c r="O7" s="652"/>
      <c r="P7" s="652"/>
      <c r="Q7" s="652"/>
      <c r="R7" s="652"/>
      <c r="S7" s="652"/>
      <c r="T7" s="652"/>
      <c r="U7" s="652"/>
      <c r="V7" s="653"/>
    </row>
    <row r="8" spans="1:30" ht="15.75" thickBot="1" x14ac:dyDescent="0.25">
      <c r="A8" s="37"/>
      <c r="B8" s="218"/>
      <c r="C8" s="218"/>
      <c r="D8" s="218"/>
      <c r="E8" s="218"/>
      <c r="F8" s="218"/>
      <c r="G8" s="218"/>
      <c r="H8" s="218"/>
      <c r="I8" s="218"/>
      <c r="J8" s="218"/>
      <c r="K8" s="218"/>
      <c r="L8" s="218"/>
      <c r="M8" s="218"/>
      <c r="N8" s="218"/>
      <c r="O8" s="218"/>
      <c r="P8" s="218"/>
      <c r="Q8" s="218"/>
      <c r="R8" s="218"/>
      <c r="S8" s="218"/>
      <c r="T8" s="370"/>
      <c r="U8" s="219"/>
      <c r="V8" s="38"/>
    </row>
    <row r="9" spans="1:30" ht="15.75" customHeight="1" x14ac:dyDescent="0.2">
      <c r="A9" s="15"/>
      <c r="B9" s="2"/>
      <c r="C9" s="694"/>
      <c r="D9" s="694"/>
      <c r="E9" s="694"/>
      <c r="F9" s="694"/>
      <c r="G9" s="694"/>
      <c r="H9" s="2"/>
      <c r="I9" s="2"/>
      <c r="J9" s="2"/>
      <c r="K9" s="2"/>
      <c r="L9" s="2"/>
      <c r="M9" s="2"/>
      <c r="N9" s="2"/>
      <c r="O9" s="2"/>
      <c r="P9" s="2"/>
      <c r="Q9" s="2"/>
      <c r="R9" s="2"/>
      <c r="S9" s="2"/>
      <c r="T9" s="2"/>
      <c r="U9" s="2"/>
      <c r="V9" s="35"/>
      <c r="W9" s="220"/>
      <c r="X9" s="695"/>
      <c r="Y9" s="695"/>
      <c r="Z9" s="695"/>
      <c r="AA9" s="695"/>
      <c r="AB9" s="695"/>
      <c r="AC9" s="695"/>
      <c r="AD9" s="695"/>
    </row>
    <row r="10" spans="1:30" ht="18" x14ac:dyDescent="0.25">
      <c r="A10" s="7"/>
      <c r="B10" s="6"/>
      <c r="C10" s="39" t="str">
        <f>+CONCATENATE("Local Authority : ",VLOOKUP(F1,Part2,5,FALSE))</f>
        <v>Local Authority : Bristol</v>
      </c>
      <c r="D10" s="39"/>
      <c r="E10" s="39"/>
      <c r="F10" s="531"/>
      <c r="G10" s="531"/>
      <c r="H10" s="6"/>
      <c r="I10" s="6"/>
      <c r="J10" s="6"/>
      <c r="K10" s="6"/>
      <c r="L10" s="6"/>
      <c r="M10" s="6"/>
      <c r="N10" s="6"/>
      <c r="O10" s="6"/>
      <c r="P10" s="6"/>
      <c r="Q10" s="6"/>
      <c r="R10" s="6"/>
      <c r="S10" s="6"/>
      <c r="T10" s="6"/>
      <c r="U10" s="6"/>
      <c r="V10" s="8"/>
      <c r="W10" s="220"/>
      <c r="X10" s="695"/>
      <c r="Y10" s="695"/>
      <c r="Z10" s="695"/>
      <c r="AA10" s="695"/>
      <c r="AB10" s="695"/>
      <c r="AC10" s="695"/>
      <c r="AD10" s="695"/>
    </row>
    <row r="11" spans="1:30" ht="15.75" x14ac:dyDescent="0.25">
      <c r="A11" s="112"/>
      <c r="B11" s="531"/>
      <c r="C11" s="531"/>
      <c r="D11" s="531"/>
      <c r="E11" s="113"/>
      <c r="F11" s="11"/>
      <c r="G11" s="11"/>
      <c r="H11" s="11"/>
      <c r="I11" s="11"/>
      <c r="J11" s="6"/>
      <c r="K11" s="6"/>
      <c r="L11" s="6"/>
      <c r="M11" s="6"/>
      <c r="N11" s="6"/>
      <c r="O11" s="6"/>
      <c r="P11" s="6"/>
      <c r="Q11" s="6"/>
      <c r="R11" s="6"/>
      <c r="S11" s="6"/>
      <c r="T11" s="6"/>
      <c r="U11" s="6"/>
      <c r="V11" s="8"/>
      <c r="W11" s="220"/>
      <c r="X11" s="695"/>
      <c r="Y11" s="695"/>
      <c r="Z11" s="695"/>
      <c r="AA11" s="695"/>
      <c r="AB11" s="695"/>
      <c r="AC11" s="695"/>
      <c r="AD11" s="695"/>
    </row>
    <row r="12" spans="1:30" ht="15.75" x14ac:dyDescent="0.25">
      <c r="A12" s="112"/>
      <c r="B12" s="531"/>
      <c r="C12" s="531" t="s">
        <v>827</v>
      </c>
      <c r="D12" s="531"/>
      <c r="E12" s="113"/>
      <c r="F12" s="11"/>
      <c r="G12" s="11"/>
      <c r="H12" s="11"/>
      <c r="I12" s="11"/>
      <c r="J12" s="6"/>
      <c r="K12" s="6"/>
      <c r="L12" s="6"/>
      <c r="M12" s="6"/>
      <c r="N12" s="6"/>
      <c r="O12" s="6"/>
      <c r="P12" s="6"/>
      <c r="Q12" s="6"/>
      <c r="R12" s="6"/>
      <c r="S12" s="6"/>
      <c r="T12" s="6"/>
      <c r="U12" s="6"/>
      <c r="V12" s="8"/>
      <c r="W12" s="220"/>
      <c r="X12" s="695"/>
      <c r="Y12" s="695"/>
      <c r="Z12" s="695"/>
      <c r="AA12" s="695"/>
      <c r="AB12" s="695"/>
      <c r="AC12" s="695"/>
      <c r="AD12" s="695"/>
    </row>
    <row r="13" spans="1:30" ht="15.75" x14ac:dyDescent="0.2">
      <c r="A13" s="114"/>
      <c r="B13" s="113"/>
      <c r="C13" s="696"/>
      <c r="D13" s="696"/>
      <c r="E13" s="696"/>
      <c r="F13" s="696"/>
      <c r="G13" s="696"/>
      <c r="H13" s="696"/>
      <c r="I13" s="536"/>
      <c r="J13" s="536"/>
      <c r="K13" s="697" t="s">
        <v>539</v>
      </c>
      <c r="L13" s="697"/>
      <c r="M13" s="536"/>
      <c r="N13" s="536"/>
      <c r="O13" s="697" t="s">
        <v>540</v>
      </c>
      <c r="P13" s="697"/>
      <c r="Q13" s="6"/>
      <c r="R13" s="6"/>
      <c r="S13" s="697" t="s">
        <v>541</v>
      </c>
      <c r="T13" s="697"/>
      <c r="U13" s="536"/>
      <c r="V13" s="8"/>
      <c r="W13" s="220"/>
      <c r="X13" s="695"/>
      <c r="Y13" s="695"/>
      <c r="Z13" s="695"/>
      <c r="AA13" s="695"/>
      <c r="AB13" s="695"/>
      <c r="AC13" s="695"/>
      <c r="AD13" s="695"/>
    </row>
    <row r="14" spans="1:30" ht="15.75" customHeight="1" x14ac:dyDescent="0.25">
      <c r="A14" s="114"/>
      <c r="B14" s="113"/>
      <c r="C14" s="113"/>
      <c r="D14" s="113"/>
      <c r="E14" s="113"/>
      <c r="F14" s="113"/>
      <c r="G14" s="685"/>
      <c r="H14" s="685"/>
      <c r="I14" s="532"/>
      <c r="J14" s="521"/>
      <c r="K14" s="687" t="s">
        <v>896</v>
      </c>
      <c r="L14" s="687"/>
      <c r="M14" s="521"/>
      <c r="N14" s="521"/>
      <c r="O14" s="685" t="s">
        <v>897</v>
      </c>
      <c r="P14" s="685"/>
      <c r="Q14" s="6"/>
      <c r="R14" s="521"/>
      <c r="S14" s="685" t="s">
        <v>898</v>
      </c>
      <c r="T14" s="685"/>
      <c r="U14" s="521"/>
      <c r="V14" s="8"/>
      <c r="W14" s="221"/>
    </row>
    <row r="15" spans="1:30" ht="15.75" x14ac:dyDescent="0.25">
      <c r="A15" s="114"/>
      <c r="B15" s="113"/>
      <c r="C15" s="113"/>
      <c r="D15" s="113"/>
      <c r="E15" s="113"/>
      <c r="F15" s="113"/>
      <c r="G15" s="686"/>
      <c r="H15" s="686"/>
      <c r="I15" s="532"/>
      <c r="J15" s="521"/>
      <c r="K15" s="687"/>
      <c r="L15" s="687"/>
      <c r="M15" s="521"/>
      <c r="N15" s="521"/>
      <c r="O15" s="685"/>
      <c r="P15" s="685"/>
      <c r="Q15" s="6"/>
      <c r="R15" s="6"/>
      <c r="S15" s="685"/>
      <c r="T15" s="685"/>
      <c r="U15" s="6"/>
      <c r="V15" s="8"/>
    </row>
    <row r="16" spans="1:30" ht="15.75" x14ac:dyDescent="0.25">
      <c r="A16" s="114"/>
      <c r="B16" s="113"/>
      <c r="C16" s="113"/>
      <c r="D16" s="113"/>
      <c r="E16" s="113"/>
      <c r="F16" s="113"/>
      <c r="G16" s="646"/>
      <c r="H16" s="646"/>
      <c r="I16" s="532"/>
      <c r="J16" s="521"/>
      <c r="K16" s="688"/>
      <c r="L16" s="688"/>
      <c r="M16" s="113"/>
      <c r="N16" s="113"/>
      <c r="O16" s="688"/>
      <c r="P16" s="688"/>
      <c r="Q16" s="113"/>
      <c r="R16" s="689"/>
      <c r="S16" s="689"/>
      <c r="T16" s="689"/>
      <c r="U16" s="689"/>
      <c r="V16" s="8"/>
      <c r="X16" s="381"/>
    </row>
    <row r="17" spans="1:27" ht="16.5" thickBot="1" x14ac:dyDescent="0.3">
      <c r="A17" s="114"/>
      <c r="B17" s="522" t="s">
        <v>899</v>
      </c>
      <c r="C17" s="113"/>
      <c r="D17" s="522"/>
      <c r="E17" s="47"/>
      <c r="F17" s="113"/>
      <c r="G17" s="646"/>
      <c r="H17" s="646"/>
      <c r="I17" s="532"/>
      <c r="J17" s="6"/>
      <c r="K17" s="682" t="s">
        <v>538</v>
      </c>
      <c r="L17" s="682"/>
      <c r="M17" s="6"/>
      <c r="N17" s="6"/>
      <c r="O17" s="646" t="s">
        <v>538</v>
      </c>
      <c r="P17" s="646"/>
      <c r="Q17" s="6"/>
      <c r="R17" s="178"/>
      <c r="S17" s="683" t="s">
        <v>538</v>
      </c>
      <c r="T17" s="683"/>
      <c r="U17" s="178"/>
      <c r="V17" s="8"/>
      <c r="X17" s="382"/>
    </row>
    <row r="18" spans="1:27" ht="18.75" customHeight="1" thickBot="1" x14ac:dyDescent="0.3">
      <c r="A18" s="114"/>
      <c r="B18" s="113"/>
      <c r="C18" s="684" t="s">
        <v>900</v>
      </c>
      <c r="D18" s="684"/>
      <c r="E18" s="684"/>
      <c r="F18" s="684"/>
      <c r="G18" s="684"/>
      <c r="H18" s="684"/>
      <c r="I18" s="532"/>
      <c r="J18" s="528"/>
      <c r="K18" s="644">
        <f>VLOOKUP($F$1,Part2,6,FALSE)</f>
        <v>183936055</v>
      </c>
      <c r="L18" s="660"/>
      <c r="M18" s="527"/>
      <c r="N18" s="527"/>
      <c r="O18" s="644">
        <f>VLOOKUP($F$1,Part2,7,FALSE)</f>
        <v>25235750</v>
      </c>
      <c r="P18" s="660"/>
      <c r="Q18" s="432"/>
      <c r="R18" s="179"/>
      <c r="S18" s="644">
        <f>VLOOKUP($F$1,Part2,8,FALSE)</f>
        <v>209171805</v>
      </c>
      <c r="T18" s="660"/>
      <c r="U18" s="433"/>
      <c r="V18" s="8"/>
      <c r="W18" s="222" t="str">
        <f>+IF(X18=0,"","&lt;===")</f>
        <v/>
      </c>
      <c r="X18" s="383"/>
      <c r="Y18" s="177"/>
      <c r="Z18" s="177"/>
      <c r="AA18" s="177"/>
    </row>
    <row r="19" spans="1:27" x14ac:dyDescent="0.2">
      <c r="A19" s="114"/>
      <c r="B19" s="113"/>
      <c r="C19" s="684"/>
      <c r="D19" s="684"/>
      <c r="E19" s="684"/>
      <c r="F19" s="684"/>
      <c r="G19" s="684"/>
      <c r="H19" s="684"/>
      <c r="I19" s="528"/>
      <c r="J19" s="528"/>
      <c r="K19" s="527"/>
      <c r="L19" s="527"/>
      <c r="M19" s="527"/>
      <c r="N19" s="527"/>
      <c r="O19" s="527"/>
      <c r="P19" s="527"/>
      <c r="Q19" s="432"/>
      <c r="R19" s="179"/>
      <c r="S19" s="179"/>
      <c r="T19" s="179"/>
      <c r="U19" s="433"/>
      <c r="V19" s="8"/>
      <c r="X19" s="259"/>
      <c r="Y19" s="177"/>
      <c r="Z19" s="177"/>
      <c r="AA19" s="177"/>
    </row>
    <row r="20" spans="1:27" x14ac:dyDescent="0.2">
      <c r="A20" s="114"/>
      <c r="B20" s="113"/>
      <c r="C20" s="684"/>
      <c r="D20" s="684"/>
      <c r="E20" s="684"/>
      <c r="F20" s="684"/>
      <c r="G20" s="684"/>
      <c r="H20" s="684"/>
      <c r="I20" s="528"/>
      <c r="J20" s="528"/>
      <c r="K20" s="527"/>
      <c r="L20" s="527"/>
      <c r="M20" s="527"/>
      <c r="N20" s="527"/>
      <c r="O20" s="527"/>
      <c r="P20" s="527"/>
      <c r="Q20" s="528"/>
      <c r="R20" s="179"/>
      <c r="S20" s="179"/>
      <c r="T20" s="179"/>
      <c r="U20" s="433"/>
      <c r="V20" s="8"/>
      <c r="X20" s="259"/>
      <c r="Y20" s="177"/>
      <c r="Z20" s="177"/>
      <c r="AA20" s="177"/>
    </row>
    <row r="21" spans="1:27" ht="15" customHeight="1" thickBot="1" x14ac:dyDescent="0.25">
      <c r="A21" s="114"/>
      <c r="B21" s="681" t="s">
        <v>901</v>
      </c>
      <c r="C21" s="681"/>
      <c r="D21" s="123"/>
      <c r="E21" s="123"/>
      <c r="F21" s="180"/>
      <c r="G21" s="530"/>
      <c r="H21" s="530"/>
      <c r="I21" s="528"/>
      <c r="J21" s="528"/>
      <c r="K21" s="527"/>
      <c r="L21" s="527"/>
      <c r="M21" s="527"/>
      <c r="N21" s="527"/>
      <c r="O21" s="527"/>
      <c r="P21" s="527"/>
      <c r="Q21" s="528"/>
      <c r="R21" s="179"/>
      <c r="S21" s="179"/>
      <c r="T21" s="179"/>
      <c r="U21" s="433"/>
      <c r="V21" s="8"/>
      <c r="X21" s="259"/>
      <c r="Y21" s="177"/>
      <c r="Z21" s="177"/>
      <c r="AA21" s="177"/>
    </row>
    <row r="22" spans="1:27" ht="18.75" thickBot="1" x14ac:dyDescent="0.3">
      <c r="A22" s="114"/>
      <c r="B22" s="113"/>
      <c r="C22" s="678" t="s">
        <v>902</v>
      </c>
      <c r="D22" s="678"/>
      <c r="E22" s="678"/>
      <c r="F22" s="180"/>
      <c r="G22" s="674"/>
      <c r="H22" s="674"/>
      <c r="I22" s="528"/>
      <c r="J22" s="528"/>
      <c r="K22" s="644">
        <f>VLOOKUP($F$1,Part2,9,FALSE)</f>
        <v>-53520</v>
      </c>
      <c r="L22" s="660"/>
      <c r="M22" s="527"/>
      <c r="N22" s="527"/>
      <c r="O22" s="644">
        <f>VLOOKUP($F$1,Part2,10,FALSE)</f>
        <v>-387</v>
      </c>
      <c r="P22" s="660"/>
      <c r="Q22" s="432"/>
      <c r="R22" s="179"/>
      <c r="S22" s="644">
        <f>VLOOKUP($F$1,Part2,11,FALSE)</f>
        <v>-53907</v>
      </c>
      <c r="T22" s="660"/>
      <c r="U22" s="433"/>
      <c r="V22" s="8"/>
      <c r="W22" s="222" t="str">
        <f>+IF(X22=0,"","&lt;===")</f>
        <v/>
      </c>
      <c r="X22" s="383"/>
      <c r="Y22" s="177"/>
      <c r="Z22" s="177"/>
      <c r="AA22" s="177"/>
    </row>
    <row r="23" spans="1:27" x14ac:dyDescent="0.2">
      <c r="A23" s="114"/>
      <c r="B23" s="113"/>
      <c r="C23" s="123"/>
      <c r="D23" s="123"/>
      <c r="E23" s="123"/>
      <c r="F23" s="180"/>
      <c r="G23" s="530"/>
      <c r="H23" s="530"/>
      <c r="I23" s="528"/>
      <c r="J23" s="528"/>
      <c r="K23" s="527"/>
      <c r="L23" s="527"/>
      <c r="M23" s="527"/>
      <c r="N23" s="527"/>
      <c r="O23" s="527"/>
      <c r="P23" s="527"/>
      <c r="Q23" s="528"/>
      <c r="R23" s="179"/>
      <c r="S23" s="179"/>
      <c r="T23" s="179"/>
      <c r="U23" s="433"/>
      <c r="V23" s="8"/>
      <c r="X23" s="259"/>
      <c r="Y23" s="177"/>
      <c r="Z23" s="177"/>
      <c r="AA23" s="177"/>
    </row>
    <row r="24" spans="1:27" ht="16.5" thickBot="1" x14ac:dyDescent="0.3">
      <c r="A24" s="114"/>
      <c r="B24" s="676" t="s">
        <v>903</v>
      </c>
      <c r="C24" s="677"/>
      <c r="D24" s="677"/>
      <c r="E24" s="123"/>
      <c r="F24" s="180"/>
      <c r="G24" s="530"/>
      <c r="H24" s="530"/>
      <c r="I24" s="528"/>
      <c r="J24" s="528"/>
      <c r="K24" s="527"/>
      <c r="L24" s="527"/>
      <c r="M24" s="527"/>
      <c r="N24" s="527"/>
      <c r="O24" s="527"/>
      <c r="P24" s="527"/>
      <c r="Q24" s="528"/>
      <c r="R24" s="179"/>
      <c r="S24" s="179"/>
      <c r="T24" s="179"/>
      <c r="U24" s="433"/>
      <c r="V24" s="8"/>
      <c r="X24" s="259"/>
      <c r="Y24" s="177"/>
      <c r="Z24" s="177"/>
      <c r="AA24" s="177"/>
    </row>
    <row r="25" spans="1:27" ht="18.75" thickBot="1" x14ac:dyDescent="0.3">
      <c r="A25" s="114"/>
      <c r="B25" s="113"/>
      <c r="C25" s="678" t="s">
        <v>904</v>
      </c>
      <c r="D25" s="679"/>
      <c r="E25" s="679"/>
      <c r="F25" s="180"/>
      <c r="G25" s="674"/>
      <c r="H25" s="674"/>
      <c r="I25" s="528"/>
      <c r="J25" s="528"/>
      <c r="K25" s="644">
        <f>VLOOKUP($F$1,Part2,12,FALSE)</f>
        <v>885918</v>
      </c>
      <c r="L25" s="660"/>
      <c r="M25" s="527"/>
      <c r="N25" s="527"/>
      <c r="O25" s="644">
        <f>VLOOKUP($F$1,Part2,13,FALSE)</f>
        <v>9849</v>
      </c>
      <c r="P25" s="660"/>
      <c r="Q25" s="432"/>
      <c r="R25" s="179"/>
      <c r="S25" s="644">
        <f>VLOOKUP($F$1,Part2,14,FALSE)</f>
        <v>895767</v>
      </c>
      <c r="T25" s="660"/>
      <c r="U25" s="433"/>
      <c r="V25" s="8"/>
      <c r="W25" s="222" t="str">
        <f>+IF(X25=0,"","&lt;===")</f>
        <v/>
      </c>
      <c r="X25" s="383"/>
      <c r="Y25" s="177"/>
      <c r="Z25" s="177"/>
      <c r="AA25" s="177"/>
    </row>
    <row r="26" spans="1:27" x14ac:dyDescent="0.2">
      <c r="A26" s="114"/>
      <c r="B26" s="113"/>
      <c r="C26" s="678" t="s">
        <v>905</v>
      </c>
      <c r="D26" s="678"/>
      <c r="E26" s="678"/>
      <c r="F26" s="180"/>
      <c r="G26" s="530"/>
      <c r="H26" s="530"/>
      <c r="I26" s="528"/>
      <c r="J26" s="528"/>
      <c r="K26" s="527"/>
      <c r="L26" s="527"/>
      <c r="M26" s="527"/>
      <c r="N26" s="527"/>
      <c r="O26" s="527"/>
      <c r="P26" s="527"/>
      <c r="Q26" s="528"/>
      <c r="R26" s="179"/>
      <c r="S26" s="179"/>
      <c r="T26" s="179"/>
      <c r="U26" s="433"/>
      <c r="V26" s="8"/>
      <c r="X26" s="259"/>
      <c r="Y26" s="177"/>
      <c r="Z26" s="177"/>
      <c r="AA26" s="177"/>
    </row>
    <row r="27" spans="1:27" x14ac:dyDescent="0.2">
      <c r="A27" s="114"/>
      <c r="B27" s="113"/>
      <c r="C27" s="123"/>
      <c r="D27" s="123"/>
      <c r="E27" s="123"/>
      <c r="F27" s="113"/>
      <c r="G27" s="530"/>
      <c r="H27" s="530"/>
      <c r="I27" s="528"/>
      <c r="J27" s="528"/>
      <c r="K27" s="527"/>
      <c r="L27" s="527"/>
      <c r="M27" s="527"/>
      <c r="N27" s="527"/>
      <c r="O27" s="527"/>
      <c r="P27" s="527"/>
      <c r="Q27" s="528"/>
      <c r="R27" s="179"/>
      <c r="S27" s="179"/>
      <c r="T27" s="179"/>
      <c r="U27" s="433"/>
      <c r="V27" s="8"/>
      <c r="X27" s="259"/>
      <c r="Y27" s="177"/>
      <c r="Z27" s="177"/>
      <c r="AA27" s="177"/>
    </row>
    <row r="28" spans="1:27" ht="15.75" x14ac:dyDescent="0.2">
      <c r="A28" s="114"/>
      <c r="B28" s="525" t="s">
        <v>906</v>
      </c>
      <c r="C28" s="123"/>
      <c r="D28" s="47"/>
      <c r="E28" s="47"/>
      <c r="F28" s="113"/>
      <c r="G28" s="530"/>
      <c r="H28" s="530"/>
      <c r="I28" s="528"/>
      <c r="J28" s="528"/>
      <c r="K28" s="527"/>
      <c r="L28" s="527"/>
      <c r="M28" s="527"/>
      <c r="N28" s="527"/>
      <c r="O28" s="527"/>
      <c r="P28" s="527"/>
      <c r="Q28" s="528"/>
      <c r="R28" s="179"/>
      <c r="S28" s="179"/>
      <c r="T28" s="179"/>
      <c r="U28" s="433"/>
      <c r="V28" s="8"/>
      <c r="X28" s="259"/>
      <c r="Y28" s="177"/>
      <c r="Z28" s="177"/>
      <c r="AA28" s="177"/>
    </row>
    <row r="29" spans="1:27" ht="14.25" customHeight="1" thickBot="1" x14ac:dyDescent="0.3">
      <c r="A29" s="114"/>
      <c r="B29" s="11"/>
      <c r="C29" s="525" t="s">
        <v>907</v>
      </c>
      <c r="D29" s="111"/>
      <c r="E29" s="47"/>
      <c r="F29" s="113"/>
      <c r="G29" s="530"/>
      <c r="H29" s="530"/>
      <c r="I29" s="528"/>
      <c r="J29" s="528"/>
      <c r="K29" s="527"/>
      <c r="L29" s="527"/>
      <c r="M29" s="527"/>
      <c r="N29" s="527"/>
      <c r="O29" s="527"/>
      <c r="P29" s="527"/>
      <c r="Q29" s="528"/>
      <c r="R29" s="179"/>
      <c r="S29" s="179"/>
      <c r="T29" s="179"/>
      <c r="U29" s="433"/>
      <c r="V29" s="8"/>
      <c r="X29" s="259"/>
      <c r="Y29" s="177"/>
      <c r="Z29" s="177"/>
      <c r="AA29" s="177"/>
    </row>
    <row r="30" spans="1:27" ht="18.75" thickBot="1" x14ac:dyDescent="0.3">
      <c r="A30" s="114"/>
      <c r="B30" s="181"/>
      <c r="C30" s="557" t="s">
        <v>908</v>
      </c>
      <c r="D30" s="182"/>
      <c r="E30" s="182"/>
      <c r="F30" s="181"/>
      <c r="G30" s="680"/>
      <c r="H30" s="680"/>
      <c r="I30" s="475"/>
      <c r="J30" s="183"/>
      <c r="K30" s="644">
        <f>VLOOKUP($F$1,Part2,15,FALSE)</f>
        <v>-2200791</v>
      </c>
      <c r="L30" s="660"/>
      <c r="M30" s="476"/>
      <c r="N30" s="476"/>
      <c r="O30" s="644">
        <f>VLOOKUP($F$1,Part2,16,FALSE)</f>
        <v>-3209</v>
      </c>
      <c r="P30" s="660"/>
      <c r="Q30" s="477"/>
      <c r="R30" s="179"/>
      <c r="S30" s="644">
        <f>VLOOKUP($F$1,Part2,17,FALSE)</f>
        <v>-2204000</v>
      </c>
      <c r="T30" s="660"/>
      <c r="U30" s="434">
        <f>+S30</f>
        <v>-2204000</v>
      </c>
      <c r="V30" s="8"/>
      <c r="W30" s="222" t="str">
        <f>+IF(X30=0,"","&lt;===")</f>
        <v/>
      </c>
      <c r="X30" s="383"/>
      <c r="Y30" s="223"/>
      <c r="Z30" s="224"/>
      <c r="AA30" s="224"/>
    </row>
    <row r="31" spans="1:27" ht="16.5" thickBot="1" x14ac:dyDescent="0.25">
      <c r="A31" s="114"/>
      <c r="B31" s="113"/>
      <c r="C31" s="47"/>
      <c r="D31" s="125"/>
      <c r="E31" s="125"/>
      <c r="F31" s="180"/>
      <c r="G31" s="529"/>
      <c r="H31" s="529"/>
      <c r="I31" s="529"/>
      <c r="J31" s="530"/>
      <c r="K31" s="185"/>
      <c r="L31" s="185"/>
      <c r="M31" s="185"/>
      <c r="N31" s="185"/>
      <c r="O31" s="185"/>
      <c r="P31" s="185"/>
      <c r="Q31" s="529"/>
      <c r="R31" s="179"/>
      <c r="S31" s="186"/>
      <c r="T31" s="179"/>
      <c r="U31" s="433"/>
      <c r="V31" s="8"/>
      <c r="X31" s="259"/>
      <c r="Y31" s="177"/>
      <c r="Z31" s="177"/>
      <c r="AA31" s="177"/>
    </row>
    <row r="32" spans="1:27" ht="18.75" thickBot="1" x14ac:dyDescent="0.3">
      <c r="A32" s="114"/>
      <c r="B32" s="113"/>
      <c r="C32" s="47" t="s">
        <v>909</v>
      </c>
      <c r="D32" s="125"/>
      <c r="E32" s="47"/>
      <c r="F32" s="113"/>
      <c r="G32" s="520"/>
      <c r="H32" s="520"/>
      <c r="I32" s="529"/>
      <c r="J32" s="528"/>
      <c r="K32" s="644">
        <f>VLOOKUP($F$1,Part2,18,FALSE)</f>
        <v>-317474</v>
      </c>
      <c r="L32" s="660"/>
      <c r="M32" s="527"/>
      <c r="N32" s="527"/>
      <c r="O32" s="644">
        <f>VLOOKUP($F$1,Part2,19,FALSE)</f>
        <v>0</v>
      </c>
      <c r="P32" s="660"/>
      <c r="Q32" s="432"/>
      <c r="R32" s="179"/>
      <c r="S32" s="644">
        <f>VLOOKUP($F$1,Part2,20,FALSE)</f>
        <v>-317474</v>
      </c>
      <c r="T32" s="660"/>
      <c r="U32" s="433"/>
      <c r="V32" s="8"/>
      <c r="W32" s="222" t="str">
        <f>+IF(X32=0,"","&lt;===")</f>
        <v/>
      </c>
      <c r="X32" s="383"/>
      <c r="Y32" s="177"/>
      <c r="Z32" s="177"/>
      <c r="AA32" s="177"/>
    </row>
    <row r="33" spans="1:27" ht="16.5" thickBot="1" x14ac:dyDescent="0.25">
      <c r="A33" s="114"/>
      <c r="B33" s="113"/>
      <c r="C33" s="125"/>
      <c r="D33" s="125"/>
      <c r="E33" s="125"/>
      <c r="F33" s="180"/>
      <c r="G33" s="530"/>
      <c r="H33" s="530"/>
      <c r="I33" s="529"/>
      <c r="J33" s="530"/>
      <c r="K33" s="185"/>
      <c r="L33" s="185"/>
      <c r="M33" s="185"/>
      <c r="N33" s="185"/>
      <c r="O33" s="185"/>
      <c r="P33" s="185"/>
      <c r="Q33" s="529"/>
      <c r="R33" s="179"/>
      <c r="S33" s="179"/>
      <c r="T33" s="179"/>
      <c r="U33" s="433"/>
      <c r="V33" s="8"/>
      <c r="X33" s="259"/>
      <c r="Y33" s="177"/>
      <c r="Z33" s="177"/>
      <c r="AA33" s="177"/>
    </row>
    <row r="34" spans="1:27" ht="16.5" customHeight="1" thickBot="1" x14ac:dyDescent="0.3">
      <c r="A34" s="114"/>
      <c r="B34" s="113"/>
      <c r="C34" s="47" t="s">
        <v>910</v>
      </c>
      <c r="D34" s="125"/>
      <c r="E34" s="47"/>
      <c r="F34" s="113"/>
      <c r="G34" s="674"/>
      <c r="H34" s="674"/>
      <c r="I34" s="529"/>
      <c r="J34" s="528"/>
      <c r="K34" s="644">
        <f>VLOOKUP($F$1,Part2,21,FALSE)</f>
        <v>-1536268</v>
      </c>
      <c r="L34" s="660"/>
      <c r="M34" s="527"/>
      <c r="N34" s="527"/>
      <c r="O34" s="644">
        <f>VLOOKUP($F$1,Part2,22,FALSE)</f>
        <v>-8732</v>
      </c>
      <c r="P34" s="660"/>
      <c r="Q34" s="432"/>
      <c r="R34" s="179"/>
      <c r="S34" s="644">
        <f>VLOOKUP($F$1,Part2,23,FALSE)</f>
        <v>-1545000</v>
      </c>
      <c r="T34" s="660"/>
      <c r="U34" s="433"/>
      <c r="V34" s="8"/>
      <c r="W34" s="222" t="str">
        <f>+IF(X34=0,"","&lt;===")</f>
        <v/>
      </c>
      <c r="X34" s="383"/>
      <c r="Y34" s="177"/>
      <c r="Z34" s="177"/>
      <c r="AA34" s="177"/>
    </row>
    <row r="35" spans="1:27" ht="15.75" x14ac:dyDescent="0.2">
      <c r="A35" s="114"/>
      <c r="B35" s="113"/>
      <c r="C35" s="47"/>
      <c r="D35" s="125"/>
      <c r="E35" s="47"/>
      <c r="F35" s="113"/>
      <c r="G35" s="529"/>
      <c r="H35" s="529"/>
      <c r="I35" s="529"/>
      <c r="J35" s="528"/>
      <c r="K35" s="527"/>
      <c r="L35" s="527"/>
      <c r="M35" s="527"/>
      <c r="N35" s="527"/>
      <c r="O35" s="527"/>
      <c r="P35" s="527"/>
      <c r="Q35" s="529"/>
      <c r="R35" s="179"/>
      <c r="S35" s="186"/>
      <c r="T35" s="179"/>
      <c r="U35" s="433"/>
      <c r="V35" s="8"/>
      <c r="X35" s="259"/>
      <c r="Y35" s="177"/>
      <c r="Z35" s="177"/>
      <c r="AA35" s="177"/>
    </row>
    <row r="36" spans="1:27" ht="16.5" thickBot="1" x14ac:dyDescent="0.25">
      <c r="A36" s="114"/>
      <c r="B36" s="113"/>
      <c r="C36" s="525" t="s">
        <v>911</v>
      </c>
      <c r="D36" s="111"/>
      <c r="E36" s="47"/>
      <c r="F36" s="113"/>
      <c r="G36" s="530"/>
      <c r="H36" s="530"/>
      <c r="I36" s="529"/>
      <c r="J36" s="528"/>
      <c r="K36" s="527"/>
      <c r="L36" s="527"/>
      <c r="M36" s="527"/>
      <c r="N36" s="527"/>
      <c r="O36" s="527"/>
      <c r="P36" s="527"/>
      <c r="Q36" s="529"/>
      <c r="R36" s="179"/>
      <c r="S36" s="179"/>
      <c r="T36" s="179"/>
      <c r="U36" s="433"/>
      <c r="V36" s="8"/>
      <c r="X36" s="259"/>
      <c r="Y36" s="177"/>
      <c r="Z36" s="177"/>
      <c r="AA36" s="177"/>
    </row>
    <row r="37" spans="1:27" ht="18.75" thickBot="1" x14ac:dyDescent="0.3">
      <c r="A37" s="114"/>
      <c r="B37" s="113"/>
      <c r="C37" s="47" t="s">
        <v>912</v>
      </c>
      <c r="D37" s="111"/>
      <c r="E37" s="47"/>
      <c r="F37" s="113"/>
      <c r="G37" s="520"/>
      <c r="H37" s="520"/>
      <c r="I37" s="529"/>
      <c r="J37" s="528"/>
      <c r="K37" s="644">
        <f>VLOOKUP($F$1,Part2,24,FALSE)</f>
        <v>2643748</v>
      </c>
      <c r="L37" s="660"/>
      <c r="M37" s="527"/>
      <c r="N37" s="527"/>
      <c r="O37" s="644">
        <f>VLOOKUP($F$1,Part2,25,FALSE)</f>
        <v>937685</v>
      </c>
      <c r="P37" s="660"/>
      <c r="Q37" s="432"/>
      <c r="R37" s="179"/>
      <c r="S37" s="644">
        <f>VLOOKUP($F$1,Part2,26,FALSE)</f>
        <v>3581433</v>
      </c>
      <c r="T37" s="660"/>
      <c r="U37" s="433"/>
      <c r="V37" s="8"/>
      <c r="W37" s="222" t="str">
        <f>+IF(X37=0,"","&lt;===")</f>
        <v/>
      </c>
      <c r="X37" s="383"/>
      <c r="Y37" s="177"/>
      <c r="Z37" s="177"/>
      <c r="AA37" s="177"/>
    </row>
    <row r="38" spans="1:27" ht="16.5" thickBot="1" x14ac:dyDescent="0.25">
      <c r="A38" s="114"/>
      <c r="B38" s="113"/>
      <c r="C38" s="47"/>
      <c r="D38" s="111"/>
      <c r="E38" s="47"/>
      <c r="F38" s="113"/>
      <c r="G38" s="530"/>
      <c r="H38" s="530"/>
      <c r="I38" s="529"/>
      <c r="J38" s="528"/>
      <c r="K38" s="527"/>
      <c r="L38" s="527"/>
      <c r="M38" s="527"/>
      <c r="N38" s="527"/>
      <c r="O38" s="527"/>
      <c r="P38" s="527"/>
      <c r="Q38" s="529"/>
      <c r="R38" s="179"/>
      <c r="S38" s="179"/>
      <c r="T38" s="179"/>
      <c r="U38" s="433"/>
      <c r="V38" s="8"/>
      <c r="X38" s="259"/>
      <c r="Y38" s="177"/>
      <c r="Z38" s="177"/>
      <c r="AA38" s="177"/>
    </row>
    <row r="39" spans="1:27" ht="18.75" thickBot="1" x14ac:dyDescent="0.3">
      <c r="A39" s="114"/>
      <c r="B39" s="113"/>
      <c r="C39" s="47" t="s">
        <v>913</v>
      </c>
      <c r="D39" s="125"/>
      <c r="E39" s="47"/>
      <c r="F39" s="113"/>
      <c r="G39" s="674"/>
      <c r="H39" s="674"/>
      <c r="I39" s="529"/>
      <c r="J39" s="528"/>
      <c r="K39" s="644">
        <f>VLOOKUP($F$1,Part2,27,FALSE)</f>
        <v>-5668567</v>
      </c>
      <c r="L39" s="660"/>
      <c r="M39" s="527"/>
      <c r="N39" s="527"/>
      <c r="O39" s="644">
        <f>VLOOKUP($F$1,Part2,28,FALSE)</f>
        <v>-1426474</v>
      </c>
      <c r="P39" s="660"/>
      <c r="Q39" s="432"/>
      <c r="R39" s="179"/>
      <c r="S39" s="644">
        <f>VLOOKUP($F$1,Part2,29,FALSE)</f>
        <v>-7095041</v>
      </c>
      <c r="T39" s="660"/>
      <c r="U39" s="433"/>
      <c r="V39" s="8"/>
      <c r="W39" s="222" t="str">
        <f>+IF(X39=0,"","&lt;===")</f>
        <v/>
      </c>
      <c r="X39" s="383"/>
      <c r="Y39" s="177"/>
      <c r="Z39" s="177"/>
      <c r="AA39" s="177"/>
    </row>
    <row r="40" spans="1:27" ht="16.5" thickBot="1" x14ac:dyDescent="0.25">
      <c r="A40" s="114"/>
      <c r="B40" s="113"/>
      <c r="C40" s="47"/>
      <c r="D40" s="47"/>
      <c r="E40" s="47"/>
      <c r="F40" s="113"/>
      <c r="G40" s="529"/>
      <c r="H40" s="529"/>
      <c r="I40" s="541"/>
      <c r="J40" s="528"/>
      <c r="K40" s="527"/>
      <c r="L40" s="527"/>
      <c r="M40" s="527"/>
      <c r="N40" s="527"/>
      <c r="O40" s="187"/>
      <c r="P40" s="187"/>
      <c r="Q40" s="529"/>
      <c r="R40" s="179"/>
      <c r="S40" s="186"/>
      <c r="T40" s="179"/>
      <c r="U40" s="433"/>
      <c r="V40" s="8"/>
      <c r="X40" s="259"/>
      <c r="Y40" s="177"/>
      <c r="Z40" s="177"/>
      <c r="AA40" s="177"/>
    </row>
    <row r="41" spans="1:27" ht="15.75" x14ac:dyDescent="0.2">
      <c r="A41" s="114"/>
      <c r="B41" s="558"/>
      <c r="C41" s="559"/>
      <c r="D41" s="559"/>
      <c r="E41" s="559"/>
      <c r="F41" s="560"/>
      <c r="G41" s="561"/>
      <c r="H41" s="561"/>
      <c r="I41" s="562"/>
      <c r="J41" s="563"/>
      <c r="K41" s="564"/>
      <c r="L41" s="564"/>
      <c r="M41" s="564"/>
      <c r="N41" s="564"/>
      <c r="O41" s="565"/>
      <c r="P41" s="565"/>
      <c r="Q41" s="562"/>
      <c r="R41" s="566"/>
      <c r="S41" s="567"/>
      <c r="T41" s="566"/>
      <c r="U41" s="568"/>
      <c r="V41" s="8"/>
      <c r="X41" s="259"/>
      <c r="Y41" s="177"/>
      <c r="Z41" s="177"/>
      <c r="AA41" s="177"/>
    </row>
    <row r="42" spans="1:27" ht="16.5" thickBot="1" x14ac:dyDescent="0.25">
      <c r="A42" s="114"/>
      <c r="B42" s="188"/>
      <c r="C42" s="525" t="s">
        <v>914</v>
      </c>
      <c r="D42" s="47"/>
      <c r="E42" s="47"/>
      <c r="F42" s="113"/>
      <c r="G42" s="530"/>
      <c r="H42" s="530"/>
      <c r="I42" s="528"/>
      <c r="J42" s="528"/>
      <c r="K42" s="527"/>
      <c r="L42" s="527"/>
      <c r="M42" s="527"/>
      <c r="N42" s="527"/>
      <c r="O42" s="527"/>
      <c r="P42" s="527"/>
      <c r="Q42" s="528"/>
      <c r="R42" s="179"/>
      <c r="S42" s="179"/>
      <c r="T42" s="179"/>
      <c r="U42" s="435"/>
      <c r="V42" s="8"/>
      <c r="X42" s="259"/>
      <c r="Y42" s="177"/>
      <c r="Z42" s="177"/>
      <c r="AA42" s="177"/>
    </row>
    <row r="43" spans="1:27" ht="18.75" thickBot="1" x14ac:dyDescent="0.3">
      <c r="A43" s="114"/>
      <c r="B43" s="189"/>
      <c r="C43" s="47" t="s">
        <v>915</v>
      </c>
      <c r="D43" s="47"/>
      <c r="E43" s="47"/>
      <c r="F43" s="113"/>
      <c r="G43" s="674"/>
      <c r="H43" s="675"/>
      <c r="I43" s="529"/>
      <c r="J43" s="528"/>
      <c r="K43" s="644">
        <f>VLOOKUP($F$1,Part2,30,FALSE)</f>
        <v>179889892</v>
      </c>
      <c r="L43" s="660"/>
      <c r="M43" s="527"/>
      <c r="N43" s="527"/>
      <c r="O43" s="644">
        <f>VLOOKUP($F$1,Part2,31,FALSE)</f>
        <v>24747691</v>
      </c>
      <c r="P43" s="660"/>
      <c r="Q43" s="432"/>
      <c r="R43" s="179"/>
      <c r="S43" s="644">
        <f>VLOOKUP($F$1,Part2,32,FALSE)</f>
        <v>204637583</v>
      </c>
      <c r="T43" s="660"/>
      <c r="U43" s="435"/>
      <c r="V43" s="8"/>
      <c r="W43" s="222" t="str">
        <f>+IF(X43=0,"","&lt;===")</f>
        <v/>
      </c>
      <c r="X43" s="383"/>
      <c r="Y43" s="177"/>
      <c r="Z43" s="177"/>
      <c r="AA43" s="177"/>
    </row>
    <row r="44" spans="1:27" ht="16.5" thickBot="1" x14ac:dyDescent="0.3">
      <c r="A44" s="114"/>
      <c r="B44" s="204"/>
      <c r="C44" s="205"/>
      <c r="D44" s="205"/>
      <c r="E44" s="205"/>
      <c r="F44" s="206"/>
      <c r="G44" s="207"/>
      <c r="H44" s="207"/>
      <c r="I44" s="208"/>
      <c r="J44" s="208"/>
      <c r="K44" s="209"/>
      <c r="L44" s="209"/>
      <c r="M44" s="209"/>
      <c r="N44" s="209"/>
      <c r="O44" s="209"/>
      <c r="P44" s="209"/>
      <c r="Q44" s="208"/>
      <c r="R44" s="210"/>
      <c r="S44" s="210"/>
      <c r="T44" s="210"/>
      <c r="U44" s="436"/>
      <c r="V44" s="8"/>
      <c r="X44" s="382"/>
      <c r="Y44" s="225"/>
    </row>
    <row r="45" spans="1:27" ht="15.75" thickBot="1" x14ac:dyDescent="0.25">
      <c r="A45" s="114"/>
      <c r="B45" s="113"/>
      <c r="C45" s="47"/>
      <c r="D45" s="47"/>
      <c r="E45" s="47"/>
      <c r="F45" s="113"/>
      <c r="G45" s="528"/>
      <c r="H45" s="528"/>
      <c r="I45" s="528"/>
      <c r="J45" s="528"/>
      <c r="K45" s="527"/>
      <c r="L45" s="527"/>
      <c r="M45" s="527"/>
      <c r="N45" s="527"/>
      <c r="O45" s="527"/>
      <c r="P45" s="527"/>
      <c r="Q45" s="528"/>
      <c r="R45" s="528"/>
      <c r="S45" s="528"/>
      <c r="T45" s="528"/>
      <c r="U45" s="432"/>
      <c r="V45" s="8"/>
      <c r="X45" s="382"/>
    </row>
    <row r="46" spans="1:27" x14ac:dyDescent="0.2">
      <c r="A46" s="569"/>
      <c r="B46" s="570"/>
      <c r="C46" s="486"/>
      <c r="D46" s="486"/>
      <c r="E46" s="486"/>
      <c r="F46" s="570"/>
      <c r="G46" s="488"/>
      <c r="H46" s="488"/>
      <c r="I46" s="488"/>
      <c r="J46" s="488"/>
      <c r="K46" s="571"/>
      <c r="L46" s="571"/>
      <c r="M46" s="571"/>
      <c r="N46" s="571"/>
      <c r="O46" s="571"/>
      <c r="P46" s="571"/>
      <c r="Q46" s="488"/>
      <c r="R46" s="488"/>
      <c r="S46" s="488"/>
      <c r="T46" s="488"/>
      <c r="U46" s="572"/>
      <c r="V46" s="573"/>
      <c r="X46" s="382"/>
      <c r="Z46" s="226"/>
    </row>
    <row r="47" spans="1:27" ht="15.75" x14ac:dyDescent="0.2">
      <c r="A47" s="114"/>
      <c r="B47" s="113"/>
      <c r="C47" s="525" t="s">
        <v>916</v>
      </c>
      <c r="D47" s="47"/>
      <c r="E47" s="47"/>
      <c r="F47" s="113"/>
      <c r="G47" s="528"/>
      <c r="H47" s="528"/>
      <c r="I47" s="528"/>
      <c r="J47" s="528"/>
      <c r="K47" s="527"/>
      <c r="L47" s="527"/>
      <c r="M47" s="527"/>
      <c r="N47" s="527"/>
      <c r="O47" s="527"/>
      <c r="P47" s="527"/>
      <c r="Q47" s="528"/>
      <c r="R47" s="528"/>
      <c r="S47" s="528"/>
      <c r="T47" s="528"/>
      <c r="U47" s="432"/>
      <c r="V47" s="8"/>
      <c r="X47" s="382"/>
    </row>
    <row r="48" spans="1:27" ht="21.75" customHeight="1" x14ac:dyDescent="0.2">
      <c r="A48" s="114"/>
      <c r="B48" s="113"/>
      <c r="C48" s="191"/>
      <c r="D48" s="47"/>
      <c r="E48" s="47"/>
      <c r="F48" s="113"/>
      <c r="G48" s="671" t="s">
        <v>917</v>
      </c>
      <c r="H48" s="671"/>
      <c r="I48" s="528"/>
      <c r="J48" s="528"/>
      <c r="K48" s="672" t="s">
        <v>539</v>
      </c>
      <c r="L48" s="672"/>
      <c r="M48" s="527"/>
      <c r="N48" s="527"/>
      <c r="O48" s="672" t="s">
        <v>540</v>
      </c>
      <c r="P48" s="672"/>
      <c r="Q48" s="528"/>
      <c r="R48" s="528"/>
      <c r="S48" s="673" t="s">
        <v>541</v>
      </c>
      <c r="T48" s="673"/>
      <c r="U48" s="432"/>
      <c r="V48" s="8"/>
      <c r="X48" s="382"/>
    </row>
    <row r="49" spans="1:29" ht="30.75" customHeight="1" x14ac:dyDescent="0.2">
      <c r="A49" s="114"/>
      <c r="B49" s="113"/>
      <c r="C49" s="525"/>
      <c r="D49" s="47"/>
      <c r="E49" s="47"/>
      <c r="F49" s="113"/>
      <c r="G49" s="528"/>
      <c r="H49" s="528"/>
      <c r="I49" s="528"/>
      <c r="J49" s="528"/>
      <c r="K49" s="667" t="str">
        <f>VLOOKUP(F1,Part4,112,FALSE)</f>
        <v>West of England</v>
      </c>
      <c r="L49" s="667"/>
      <c r="M49" s="527"/>
      <c r="N49" s="527"/>
      <c r="O49" s="667" t="str">
        <f>VLOOKUP(F1,Part4,113,FALSE)</f>
        <v>Enterprise Area</v>
      </c>
      <c r="P49" s="667"/>
      <c r="Q49" s="528"/>
      <c r="R49" s="179"/>
      <c r="S49" s="669" t="s">
        <v>1213</v>
      </c>
      <c r="T49" s="669"/>
      <c r="U49" s="433"/>
      <c r="V49" s="8"/>
      <c r="X49" s="382"/>
    </row>
    <row r="50" spans="1:29" ht="16.5" customHeight="1" thickBot="1" x14ac:dyDescent="0.3">
      <c r="A50" s="114"/>
      <c r="B50" s="113"/>
      <c r="C50" s="11" t="s">
        <v>825</v>
      </c>
      <c r="D50" s="47"/>
      <c r="E50" s="47"/>
      <c r="F50" s="113"/>
      <c r="G50" s="528"/>
      <c r="H50" s="528"/>
      <c r="I50" s="528"/>
      <c r="J50" s="528"/>
      <c r="K50" s="668"/>
      <c r="L50" s="668"/>
      <c r="M50" s="527"/>
      <c r="N50" s="527"/>
      <c r="O50" s="668"/>
      <c r="P50" s="668"/>
      <c r="Q50" s="528"/>
      <c r="R50" s="179"/>
      <c r="S50" s="670"/>
      <c r="T50" s="670"/>
      <c r="U50" s="433"/>
      <c r="V50" s="8"/>
      <c r="X50" s="259"/>
      <c r="Z50" s="177"/>
      <c r="AA50" s="177"/>
      <c r="AB50" s="177"/>
      <c r="AC50" s="177"/>
    </row>
    <row r="51" spans="1:29" ht="18.75" thickBot="1" x14ac:dyDescent="0.3">
      <c r="A51" s="114"/>
      <c r="B51" s="113"/>
      <c r="C51" s="47" t="s">
        <v>918</v>
      </c>
      <c r="D51" s="47"/>
      <c r="E51" s="47"/>
      <c r="F51" s="113"/>
      <c r="G51" s="528"/>
      <c r="H51" s="528"/>
      <c r="I51" s="528"/>
      <c r="J51" s="528"/>
      <c r="K51" s="644">
        <f>VLOOKUP($F$1,Part2,33,FALSE)</f>
        <v>13586809</v>
      </c>
      <c r="L51" s="660"/>
      <c r="M51" s="527"/>
      <c r="N51" s="527"/>
      <c r="O51" s="644">
        <f>VLOOKUP($F$1,Part2,34,FALSE)</f>
        <v>11160882</v>
      </c>
      <c r="P51" s="660"/>
      <c r="Q51" s="432"/>
      <c r="R51" s="179"/>
      <c r="S51" s="644">
        <f>VLOOKUP($F$1,Part2,35,FALSE)</f>
        <v>24747691</v>
      </c>
      <c r="T51" s="660"/>
      <c r="U51" s="437"/>
      <c r="V51" s="8"/>
      <c r="W51" s="222" t="str">
        <f>+IF(X51=0,"","&lt;===")</f>
        <v/>
      </c>
      <c r="X51" s="383"/>
      <c r="Y51" s="227"/>
      <c r="Z51" s="177"/>
      <c r="AA51" s="177"/>
      <c r="AB51" s="177"/>
      <c r="AC51" s="177"/>
    </row>
    <row r="52" spans="1:29" ht="15.75" x14ac:dyDescent="0.2">
      <c r="A52" s="114"/>
      <c r="B52" s="113"/>
      <c r="C52" s="525"/>
      <c r="D52" s="47"/>
      <c r="E52" s="47"/>
      <c r="F52" s="113"/>
      <c r="G52" s="192"/>
      <c r="H52" s="528"/>
      <c r="I52" s="192"/>
      <c r="J52" s="528"/>
      <c r="K52" s="438"/>
      <c r="L52" s="438"/>
      <c r="M52" s="438"/>
      <c r="N52" s="438"/>
      <c r="O52" s="438"/>
      <c r="P52" s="438"/>
      <c r="Q52" s="528"/>
      <c r="R52" s="190"/>
      <c r="S52" s="190"/>
      <c r="T52" s="190"/>
      <c r="U52" s="437"/>
      <c r="V52" s="8"/>
      <c r="X52" s="384"/>
      <c r="Y52" s="177"/>
      <c r="Z52" s="177"/>
      <c r="AA52" s="177"/>
      <c r="AB52" s="177"/>
      <c r="AC52" s="177"/>
    </row>
    <row r="53" spans="1:29" ht="15.75" x14ac:dyDescent="0.2">
      <c r="A53" s="114"/>
      <c r="B53" s="113"/>
      <c r="C53" s="525"/>
      <c r="D53" s="47"/>
      <c r="E53" s="47"/>
      <c r="F53" s="113"/>
      <c r="G53" s="528"/>
      <c r="H53" s="528"/>
      <c r="I53" s="192"/>
      <c r="J53" s="528"/>
      <c r="K53" s="527"/>
      <c r="L53" s="527"/>
      <c r="M53" s="527"/>
      <c r="N53" s="527"/>
      <c r="O53" s="527"/>
      <c r="P53" s="527"/>
      <c r="Q53" s="528"/>
      <c r="R53" s="190"/>
      <c r="S53" s="190"/>
      <c r="T53" s="190"/>
      <c r="U53" s="437"/>
      <c r="V53" s="8"/>
      <c r="X53" s="383"/>
      <c r="Y53" s="177"/>
      <c r="Z53" s="177"/>
      <c r="AA53" s="177"/>
      <c r="AB53" s="177"/>
      <c r="AC53" s="177"/>
    </row>
    <row r="54" spans="1:29" ht="15" customHeight="1" x14ac:dyDescent="0.2">
      <c r="A54" s="114"/>
      <c r="B54" s="113"/>
      <c r="C54" s="525"/>
      <c r="D54" s="47"/>
      <c r="E54" s="47"/>
      <c r="F54" s="113"/>
      <c r="G54" s="664" t="s">
        <v>919</v>
      </c>
      <c r="H54" s="664"/>
      <c r="I54" s="528"/>
      <c r="J54" s="528"/>
      <c r="K54" s="527"/>
      <c r="L54" s="527"/>
      <c r="M54" s="527"/>
      <c r="N54" s="527"/>
      <c r="O54" s="527"/>
      <c r="P54" s="527"/>
      <c r="Q54" s="528"/>
      <c r="R54" s="190"/>
      <c r="S54" s="666" t="s">
        <v>898</v>
      </c>
      <c r="T54" s="666"/>
      <c r="U54" s="437"/>
      <c r="V54" s="8"/>
      <c r="X54" s="383"/>
      <c r="Y54" s="177"/>
      <c r="Z54" s="177"/>
      <c r="AA54" s="177"/>
      <c r="AB54" s="177"/>
      <c r="AC54" s="177"/>
    </row>
    <row r="55" spans="1:29" ht="16.5" customHeight="1" thickBot="1" x14ac:dyDescent="0.3">
      <c r="A55" s="114"/>
      <c r="B55" s="11"/>
      <c r="C55" s="525" t="s">
        <v>1168</v>
      </c>
      <c r="D55" s="47"/>
      <c r="E55" s="47"/>
      <c r="F55" s="113"/>
      <c r="G55" s="665"/>
      <c r="H55" s="665"/>
      <c r="I55" s="528"/>
      <c r="J55" s="528"/>
      <c r="K55" s="527"/>
      <c r="L55" s="527"/>
      <c r="M55" s="527"/>
      <c r="N55" s="527"/>
      <c r="O55" s="527"/>
      <c r="P55" s="527"/>
      <c r="Q55" s="528"/>
      <c r="R55" s="190"/>
      <c r="S55" s="666"/>
      <c r="T55" s="666"/>
      <c r="U55" s="439"/>
      <c r="V55" s="8"/>
      <c r="X55" s="383"/>
      <c r="Y55" s="177"/>
      <c r="Z55" s="177"/>
      <c r="AA55" s="177"/>
      <c r="AB55" s="177"/>
      <c r="AC55" s="177"/>
    </row>
    <row r="56" spans="1:29" ht="18.75" thickBot="1" x14ac:dyDescent="0.3">
      <c r="A56" s="114"/>
      <c r="B56" s="6"/>
      <c r="C56" s="47" t="s">
        <v>920</v>
      </c>
      <c r="D56" s="47"/>
      <c r="E56" s="47"/>
      <c r="F56" s="6"/>
      <c r="G56" s="644">
        <f>VLOOKUP($F$1,Part2,36,FALSE)</f>
        <v>258</v>
      </c>
      <c r="H56" s="660"/>
      <c r="I56" s="528"/>
      <c r="J56" s="528"/>
      <c r="K56" s="644">
        <f>VLOOKUP($F$1,Part2,37,FALSE)</f>
        <v>0</v>
      </c>
      <c r="L56" s="660"/>
      <c r="M56" s="527"/>
      <c r="N56" s="527"/>
      <c r="O56" s="644">
        <f>VLOOKUP($F$1,Part2,38,FALSE)</f>
        <v>0</v>
      </c>
      <c r="P56" s="660"/>
      <c r="Q56" s="432"/>
      <c r="R56" s="179"/>
      <c r="S56" s="644">
        <f>VLOOKUP($F$1,Part2,39,FALSE)</f>
        <v>258</v>
      </c>
      <c r="T56" s="660"/>
      <c r="U56" s="437"/>
      <c r="V56" s="8"/>
      <c r="W56" s="222" t="str">
        <f>+IF(X56=0,"","&lt;===")</f>
        <v/>
      </c>
      <c r="X56" s="383"/>
      <c r="Y56" s="177"/>
      <c r="Z56" s="177"/>
      <c r="AA56" s="177"/>
      <c r="AB56" s="177"/>
      <c r="AC56" s="177"/>
    </row>
    <row r="57" spans="1:29" ht="15.75" thickBot="1" x14ac:dyDescent="0.25">
      <c r="A57" s="114"/>
      <c r="B57" s="6"/>
      <c r="C57" s="47"/>
      <c r="D57" s="47"/>
      <c r="E57" s="47"/>
      <c r="F57" s="6"/>
      <c r="G57" s="528"/>
      <c r="H57" s="528"/>
      <c r="I57" s="528"/>
      <c r="J57" s="528"/>
      <c r="K57" s="527"/>
      <c r="L57" s="527"/>
      <c r="M57" s="527"/>
      <c r="N57" s="527"/>
      <c r="O57" s="527"/>
      <c r="P57" s="527"/>
      <c r="Q57" s="528"/>
      <c r="R57" s="190"/>
      <c r="S57" s="190"/>
      <c r="T57" s="190"/>
      <c r="U57" s="437"/>
      <c r="V57" s="8"/>
      <c r="X57" s="383"/>
      <c r="Y57" s="177"/>
      <c r="Z57" s="177"/>
      <c r="AA57" s="177"/>
      <c r="AB57" s="177"/>
      <c r="AC57" s="177"/>
    </row>
    <row r="58" spans="1:29" ht="18.75" thickBot="1" x14ac:dyDescent="0.3">
      <c r="A58" s="114"/>
      <c r="B58" s="6"/>
      <c r="C58" s="47" t="s">
        <v>921</v>
      </c>
      <c r="D58" s="47"/>
      <c r="E58" s="47"/>
      <c r="F58" s="6"/>
      <c r="G58" s="528"/>
      <c r="H58" s="528"/>
      <c r="I58" s="528"/>
      <c r="J58" s="528"/>
      <c r="K58" s="644">
        <f>VLOOKUP($F$1,Part2,40,FALSE)</f>
        <v>34466</v>
      </c>
      <c r="L58" s="660"/>
      <c r="M58" s="527"/>
      <c r="N58" s="527"/>
      <c r="O58" s="644">
        <f>VLOOKUP($F$1,Part2,41,FALSE)</f>
        <v>2279</v>
      </c>
      <c r="P58" s="660"/>
      <c r="Q58" s="432"/>
      <c r="R58" s="179"/>
      <c r="S58" s="644">
        <f>VLOOKUP($F$1,Part2,42,FALSE)</f>
        <v>36745</v>
      </c>
      <c r="T58" s="660"/>
      <c r="U58" s="437"/>
      <c r="V58" s="8"/>
      <c r="W58" s="222" t="str">
        <f>+IF(X58=0,"","&lt;===")</f>
        <v/>
      </c>
      <c r="X58" s="383"/>
      <c r="Y58" s="177"/>
      <c r="Z58" s="177"/>
      <c r="AA58" s="177"/>
      <c r="AB58" s="177"/>
      <c r="AC58" s="177"/>
    </row>
    <row r="59" spans="1:29" ht="16.5" thickBot="1" x14ac:dyDescent="0.3">
      <c r="A59" s="114"/>
      <c r="B59" s="6"/>
      <c r="C59" s="47"/>
      <c r="D59" s="47"/>
      <c r="E59" s="47"/>
      <c r="F59" s="6"/>
      <c r="G59" s="528"/>
      <c r="H59" s="528"/>
      <c r="I59" s="528"/>
      <c r="J59" s="528"/>
      <c r="K59" s="527"/>
      <c r="L59" s="527"/>
      <c r="M59" s="527"/>
      <c r="N59" s="527"/>
      <c r="O59" s="527"/>
      <c r="P59" s="527"/>
      <c r="Q59" s="528"/>
      <c r="R59" s="190"/>
      <c r="S59" s="190"/>
      <c r="T59" s="190"/>
      <c r="U59" s="437"/>
      <c r="V59" s="8"/>
      <c r="X59" s="259"/>
      <c r="Y59" s="224"/>
      <c r="Z59" s="177"/>
      <c r="AA59" s="177"/>
      <c r="AB59" s="177"/>
      <c r="AC59" s="177"/>
    </row>
    <row r="60" spans="1:29" ht="16.5" thickBot="1" x14ac:dyDescent="0.3">
      <c r="A60" s="7"/>
      <c r="B60" s="6"/>
      <c r="C60" s="47" t="s">
        <v>922</v>
      </c>
      <c r="D60" s="47"/>
      <c r="E60" s="47"/>
      <c r="F60" s="6"/>
      <c r="G60" s="528"/>
      <c r="H60" s="528"/>
      <c r="I60" s="528"/>
      <c r="J60" s="528"/>
      <c r="K60" s="644">
        <f>VLOOKUP($F$1,Part2,43,FALSE)</f>
        <v>12992674</v>
      </c>
      <c r="L60" s="660"/>
      <c r="M60" s="527"/>
      <c r="N60" s="527"/>
      <c r="O60" s="644">
        <f>VLOOKUP($F$1,Part2,44,FALSE)</f>
        <v>6460675</v>
      </c>
      <c r="P60" s="660"/>
      <c r="Q60" s="528"/>
      <c r="R60" s="190"/>
      <c r="S60" s="190"/>
      <c r="T60" s="190"/>
      <c r="U60" s="437"/>
      <c r="V60" s="8"/>
      <c r="W60" s="228"/>
      <c r="X60" s="228"/>
    </row>
    <row r="61" spans="1:29" ht="16.5" thickBot="1" x14ac:dyDescent="0.25">
      <c r="A61" s="7"/>
      <c r="B61" s="6"/>
      <c r="C61" s="47"/>
      <c r="D61" s="47"/>
      <c r="E61" s="47"/>
      <c r="F61" s="6"/>
      <c r="G61" s="528"/>
      <c r="H61" s="528"/>
      <c r="I61" s="528"/>
      <c r="J61" s="528"/>
      <c r="K61" s="527"/>
      <c r="L61" s="527"/>
      <c r="M61" s="527"/>
      <c r="N61" s="527"/>
      <c r="O61" s="187"/>
      <c r="P61" s="527"/>
      <c r="Q61" s="528"/>
      <c r="R61" s="190"/>
      <c r="S61" s="190"/>
      <c r="T61" s="190"/>
      <c r="U61" s="437"/>
      <c r="V61" s="8"/>
      <c r="X61" s="382"/>
    </row>
    <row r="62" spans="1:29" x14ac:dyDescent="0.2">
      <c r="A62" s="7"/>
      <c r="B62" s="574"/>
      <c r="C62" s="575"/>
      <c r="D62" s="575"/>
      <c r="E62" s="575"/>
      <c r="F62" s="576"/>
      <c r="G62" s="577"/>
      <c r="H62" s="577"/>
      <c r="I62" s="577"/>
      <c r="J62" s="577"/>
      <c r="K62" s="578"/>
      <c r="L62" s="578"/>
      <c r="M62" s="578"/>
      <c r="N62" s="578"/>
      <c r="O62" s="578"/>
      <c r="P62" s="578"/>
      <c r="Q62" s="577"/>
      <c r="R62" s="579"/>
      <c r="S62" s="579"/>
      <c r="T62" s="579"/>
      <c r="U62" s="580"/>
      <c r="V62" s="8"/>
      <c r="X62" s="382"/>
    </row>
    <row r="63" spans="1:29" ht="15.75" x14ac:dyDescent="0.2">
      <c r="A63" s="7"/>
      <c r="B63" s="193"/>
      <c r="C63" s="116"/>
      <c r="D63" s="116"/>
      <c r="E63" s="116"/>
      <c r="F63" s="4"/>
      <c r="G63" s="170"/>
      <c r="H63" s="170"/>
      <c r="I63" s="170"/>
      <c r="J63" s="170"/>
      <c r="K63" s="171"/>
      <c r="L63" s="171"/>
      <c r="M63" s="171"/>
      <c r="N63" s="171"/>
      <c r="O63" s="171"/>
      <c r="P63" s="171"/>
      <c r="Q63" s="170"/>
      <c r="R63" s="662" t="s">
        <v>923</v>
      </c>
      <c r="S63" s="662"/>
      <c r="T63" s="662"/>
      <c r="U63" s="663"/>
      <c r="V63" s="8"/>
      <c r="X63" s="382"/>
    </row>
    <row r="64" spans="1:29" ht="16.5" thickBot="1" x14ac:dyDescent="0.25">
      <c r="A64" s="7"/>
      <c r="B64" s="193"/>
      <c r="C64" s="115" t="s">
        <v>558</v>
      </c>
      <c r="D64" s="116"/>
      <c r="E64" s="116"/>
      <c r="F64" s="4"/>
      <c r="G64" s="170"/>
      <c r="H64" s="170"/>
      <c r="I64" s="170"/>
      <c r="J64" s="170"/>
      <c r="K64" s="171"/>
      <c r="L64" s="171"/>
      <c r="M64" s="171"/>
      <c r="N64" s="171"/>
      <c r="O64" s="661"/>
      <c r="P64" s="661"/>
      <c r="Q64" s="440"/>
      <c r="R64" s="441"/>
      <c r="S64" s="662" t="s">
        <v>538</v>
      </c>
      <c r="T64" s="662"/>
      <c r="U64" s="442"/>
      <c r="V64" s="8"/>
      <c r="X64" s="383"/>
    </row>
    <row r="65" spans="1:24" ht="18.75" thickBot="1" x14ac:dyDescent="0.3">
      <c r="A65" s="7"/>
      <c r="B65" s="193"/>
      <c r="C65" s="116" t="s">
        <v>924</v>
      </c>
      <c r="D65" s="116"/>
      <c r="E65" s="116"/>
      <c r="F65" s="4"/>
      <c r="G65" s="170"/>
      <c r="H65" s="170"/>
      <c r="I65" s="170"/>
      <c r="J65" s="170"/>
      <c r="K65" s="644">
        <f>VLOOKUP($F$1,Part2,45,FALSE)</f>
        <v>628601</v>
      </c>
      <c r="L65" s="660"/>
      <c r="M65" s="392"/>
      <c r="N65" s="392"/>
      <c r="O65" s="644">
        <f>VLOOKUP($F$1,Part2,46,FALSE)</f>
        <v>4702486</v>
      </c>
      <c r="P65" s="660"/>
      <c r="Q65" s="443"/>
      <c r="R65" s="391"/>
      <c r="S65" s="644">
        <f>VLOOKUP($F$1,Part2,47,FALSE)</f>
        <v>5331087</v>
      </c>
      <c r="T65" s="660"/>
      <c r="U65" s="442"/>
      <c r="V65" s="8"/>
      <c r="W65" s="222" t="str">
        <f>+IF(X65=0,"","&lt;===")</f>
        <v/>
      </c>
      <c r="X65" s="383"/>
    </row>
    <row r="66" spans="1:24" ht="15.75" thickBot="1" x14ac:dyDescent="0.25">
      <c r="A66" s="7"/>
      <c r="B66" s="211"/>
      <c r="C66" s="212"/>
      <c r="D66" s="212"/>
      <c r="E66" s="212"/>
      <c r="F66" s="213"/>
      <c r="G66" s="214"/>
      <c r="H66" s="214"/>
      <c r="I66" s="214"/>
      <c r="J66" s="214"/>
      <c r="K66" s="214"/>
      <c r="L66" s="214"/>
      <c r="M66" s="214"/>
      <c r="N66" s="214"/>
      <c r="O66" s="214"/>
      <c r="P66" s="214"/>
      <c r="Q66" s="214"/>
      <c r="R66" s="214"/>
      <c r="S66" s="214"/>
      <c r="T66" s="214"/>
      <c r="U66" s="444"/>
      <c r="V66" s="8"/>
      <c r="X66" s="259"/>
    </row>
    <row r="67" spans="1:24" ht="15.75" thickBot="1" x14ac:dyDescent="0.25">
      <c r="A67" s="7"/>
      <c r="B67" s="6"/>
      <c r="C67" s="47"/>
      <c r="D67" s="47"/>
      <c r="E67" s="47"/>
      <c r="F67" s="6"/>
      <c r="G67" s="117"/>
      <c r="H67" s="117"/>
      <c r="I67" s="117"/>
      <c r="J67" s="117"/>
      <c r="K67" s="117"/>
      <c r="L67" s="117"/>
      <c r="M67" s="117"/>
      <c r="N67" s="117"/>
      <c r="O67" s="117"/>
      <c r="P67" s="117"/>
      <c r="Q67" s="117"/>
      <c r="R67" s="117"/>
      <c r="S67" s="117"/>
      <c r="T67" s="117"/>
      <c r="U67" s="432"/>
      <c r="V67" s="8"/>
      <c r="X67" s="383"/>
    </row>
    <row r="68" spans="1:24" x14ac:dyDescent="0.2">
      <c r="A68" s="7"/>
      <c r="B68" s="194"/>
      <c r="C68" s="195"/>
      <c r="D68" s="195"/>
      <c r="E68" s="195"/>
      <c r="F68" s="196"/>
      <c r="G68" s="196"/>
      <c r="H68" s="197"/>
      <c r="I68" s="197"/>
      <c r="J68" s="197"/>
      <c r="K68" s="197"/>
      <c r="L68" s="197"/>
      <c r="M68" s="197"/>
      <c r="N68" s="197"/>
      <c r="O68" s="197"/>
      <c r="P68" s="197"/>
      <c r="Q68" s="197"/>
      <c r="R68" s="197"/>
      <c r="S68" s="197"/>
      <c r="T68" s="197"/>
      <c r="U68" s="445"/>
      <c r="V68" s="8"/>
      <c r="X68" s="259"/>
    </row>
    <row r="69" spans="1:24" ht="16.5" thickBot="1" x14ac:dyDescent="0.25">
      <c r="A69" s="7"/>
      <c r="B69" s="198"/>
      <c r="C69" s="199" t="s">
        <v>1169</v>
      </c>
      <c r="D69" s="182"/>
      <c r="E69" s="182"/>
      <c r="F69" s="181"/>
      <c r="G69" s="181"/>
      <c r="H69" s="181"/>
      <c r="I69" s="181"/>
      <c r="J69" s="181"/>
      <c r="K69" s="446"/>
      <c r="L69" s="446"/>
      <c r="M69" s="446"/>
      <c r="N69" s="446"/>
      <c r="O69" s="446"/>
      <c r="P69" s="446"/>
      <c r="Q69" s="446"/>
      <c r="R69" s="446"/>
      <c r="S69" s="200"/>
      <c r="T69" s="200"/>
      <c r="U69" s="447"/>
      <c r="V69" s="8"/>
      <c r="X69" s="259"/>
    </row>
    <row r="70" spans="1:24" ht="16.5" thickBot="1" x14ac:dyDescent="0.25">
      <c r="A70" s="7"/>
      <c r="B70" s="198"/>
      <c r="C70" s="182" t="s">
        <v>925</v>
      </c>
      <c r="D70" s="182"/>
      <c r="E70" s="182"/>
      <c r="F70" s="181"/>
      <c r="G70" s="181"/>
      <c r="H70" s="181"/>
      <c r="I70" s="181"/>
      <c r="J70" s="181"/>
      <c r="K70" s="446"/>
      <c r="L70" s="446"/>
      <c r="M70" s="446"/>
      <c r="N70" s="446"/>
      <c r="O70" s="446"/>
      <c r="P70" s="446"/>
      <c r="Q70" s="446"/>
      <c r="R70" s="446"/>
      <c r="S70" s="644">
        <f>VLOOKUP($F$1,Part2,48,FALSE)</f>
        <v>4434530</v>
      </c>
      <c r="T70" s="660"/>
      <c r="U70" s="447"/>
      <c r="V70" s="8"/>
      <c r="X70" s="259"/>
    </row>
    <row r="71" spans="1:24" ht="15.75" thickBot="1" x14ac:dyDescent="0.25">
      <c r="A71" s="7"/>
      <c r="B71" s="198"/>
      <c r="C71" s="182"/>
      <c r="D71" s="182"/>
      <c r="E71" s="182"/>
      <c r="F71" s="181"/>
      <c r="G71" s="181"/>
      <c r="H71" s="181"/>
      <c r="I71" s="181"/>
      <c r="J71" s="181"/>
      <c r="K71" s="446"/>
      <c r="L71" s="446"/>
      <c r="M71" s="446"/>
      <c r="N71" s="446"/>
      <c r="O71" s="446"/>
      <c r="P71" s="446"/>
      <c r="Q71" s="446"/>
      <c r="R71" s="446"/>
      <c r="S71" s="183"/>
      <c r="T71" s="183"/>
      <c r="U71" s="447"/>
      <c r="V71" s="8"/>
      <c r="X71" s="259"/>
    </row>
    <row r="72" spans="1:24" ht="16.5" thickBot="1" x14ac:dyDescent="0.25">
      <c r="A72" s="7"/>
      <c r="B72" s="198"/>
      <c r="C72" s="182" t="s">
        <v>926</v>
      </c>
      <c r="D72" s="182"/>
      <c r="E72" s="182"/>
      <c r="F72" s="181"/>
      <c r="G72" s="181"/>
      <c r="H72" s="181"/>
      <c r="I72" s="181"/>
      <c r="J72" s="181"/>
      <c r="K72" s="446"/>
      <c r="L72" s="446"/>
      <c r="M72" s="446"/>
      <c r="N72" s="446"/>
      <c r="O72" s="446"/>
      <c r="P72" s="446"/>
      <c r="Q72" s="446"/>
      <c r="R72" s="446"/>
      <c r="S72" s="644">
        <f>VLOOKUP($F$1,Part2,49,FALSE)</f>
        <v>-2560660</v>
      </c>
      <c r="T72" s="660"/>
      <c r="U72" s="447"/>
      <c r="V72" s="8"/>
      <c r="X72" s="259"/>
    </row>
    <row r="73" spans="1:24" ht="15.75" thickBot="1" x14ac:dyDescent="0.25">
      <c r="A73" s="7"/>
      <c r="B73" s="201"/>
      <c r="C73" s="202"/>
      <c r="D73" s="202"/>
      <c r="E73" s="202"/>
      <c r="F73" s="202"/>
      <c r="G73" s="202"/>
      <c r="H73" s="202"/>
      <c r="I73" s="202"/>
      <c r="J73" s="202"/>
      <c r="K73" s="202"/>
      <c r="L73" s="202"/>
      <c r="M73" s="202"/>
      <c r="N73" s="202"/>
      <c r="O73" s="202"/>
      <c r="P73" s="202"/>
      <c r="Q73" s="202"/>
      <c r="R73" s="202"/>
      <c r="S73" s="202"/>
      <c r="T73" s="202"/>
      <c r="U73" s="203"/>
      <c r="V73" s="8"/>
      <c r="X73" s="215"/>
    </row>
    <row r="74" spans="1:24" ht="15.75" thickBot="1" x14ac:dyDescent="0.25">
      <c r="A74" s="472"/>
      <c r="B74" s="248"/>
      <c r="C74" s="248"/>
      <c r="D74" s="248"/>
      <c r="E74" s="248"/>
      <c r="F74" s="248"/>
      <c r="G74" s="248"/>
      <c r="H74" s="248"/>
      <c r="I74" s="248"/>
      <c r="J74" s="248"/>
      <c r="K74" s="248"/>
      <c r="L74" s="248"/>
      <c r="M74" s="248"/>
      <c r="N74" s="248"/>
      <c r="O74" s="248"/>
      <c r="P74" s="248"/>
      <c r="Q74" s="248"/>
      <c r="R74" s="248"/>
      <c r="S74" s="248"/>
      <c r="T74" s="248"/>
      <c r="U74" s="248"/>
      <c r="V74" s="474"/>
    </row>
    <row r="75" spans="1:24" x14ac:dyDescent="0.2">
      <c r="G75" s="230"/>
    </row>
    <row r="76" spans="1:24" x14ac:dyDescent="0.2">
      <c r="E76" s="230"/>
      <c r="G76" s="230"/>
      <c r="I76" s="230"/>
    </row>
    <row r="77" spans="1:24" x14ac:dyDescent="0.2">
      <c r="G77" s="230"/>
    </row>
    <row r="78" spans="1:24" x14ac:dyDescent="0.2">
      <c r="G78" s="230"/>
    </row>
    <row r="79" spans="1:24" x14ac:dyDescent="0.2">
      <c r="G79" s="230"/>
    </row>
    <row r="80" spans="1:24" x14ac:dyDescent="0.2">
      <c r="C80" s="230"/>
      <c r="D80" s="230"/>
      <c r="E80" s="230"/>
      <c r="F80" s="230"/>
      <c r="G80" s="230"/>
      <c r="H80" s="230"/>
      <c r="I80" s="230"/>
      <c r="J80" s="230"/>
      <c r="K80" s="230"/>
      <c r="L80" s="230"/>
      <c r="M80" s="230"/>
      <c r="N80" s="230"/>
      <c r="O80" s="230"/>
      <c r="P80" s="230"/>
      <c r="Q80" s="230"/>
      <c r="R80" s="230"/>
      <c r="S80" s="230"/>
      <c r="T80" s="230"/>
      <c r="U80" s="230"/>
      <c r="V80" s="230"/>
      <c r="W80" s="230"/>
      <c r="X80" s="231"/>
    </row>
    <row r="81" spans="7:7" x14ac:dyDescent="0.2">
      <c r="G81" s="230"/>
    </row>
    <row r="82" spans="7:7" x14ac:dyDescent="0.2">
      <c r="G82" s="230"/>
    </row>
    <row r="83" spans="7:7" x14ac:dyDescent="0.2">
      <c r="G83" s="230"/>
    </row>
    <row r="84" spans="7:7" x14ac:dyDescent="0.2">
      <c r="G84" s="230"/>
    </row>
    <row r="85" spans="7:7" x14ac:dyDescent="0.2">
      <c r="G85" s="230"/>
    </row>
  </sheetData>
  <mergeCells count="90">
    <mergeCell ref="X9:AD13"/>
    <mergeCell ref="C13:H13"/>
    <mergeCell ref="K13:L13"/>
    <mergeCell ref="O13:P13"/>
    <mergeCell ref="S13:T13"/>
    <mergeCell ref="A2:V2"/>
    <mergeCell ref="A3:V3"/>
    <mergeCell ref="A5:V5"/>
    <mergeCell ref="A7:V7"/>
    <mergeCell ref="C9:G9"/>
    <mergeCell ref="G14:H15"/>
    <mergeCell ref="K14:L15"/>
    <mergeCell ref="O14:P15"/>
    <mergeCell ref="S14:T15"/>
    <mergeCell ref="G16:H16"/>
    <mergeCell ref="K16:L16"/>
    <mergeCell ref="O16:P16"/>
    <mergeCell ref="R16:U16"/>
    <mergeCell ref="S22:T22"/>
    <mergeCell ref="G17:H17"/>
    <mergeCell ref="K17:L17"/>
    <mergeCell ref="O17:P17"/>
    <mergeCell ref="S17:T17"/>
    <mergeCell ref="C18:H20"/>
    <mergeCell ref="K18:L18"/>
    <mergeCell ref="O18:P18"/>
    <mergeCell ref="S18:T18"/>
    <mergeCell ref="B21:C21"/>
    <mergeCell ref="C22:E22"/>
    <mergeCell ref="G22:H22"/>
    <mergeCell ref="K22:L22"/>
    <mergeCell ref="O22:P22"/>
    <mergeCell ref="K32:L32"/>
    <mergeCell ref="O32:P32"/>
    <mergeCell ref="S32:T32"/>
    <mergeCell ref="B24:D24"/>
    <mergeCell ref="C25:E25"/>
    <mergeCell ref="G25:H25"/>
    <mergeCell ref="K25:L25"/>
    <mergeCell ref="O25:P25"/>
    <mergeCell ref="S25:T25"/>
    <mergeCell ref="C26:E26"/>
    <mergeCell ref="G30:H30"/>
    <mergeCell ref="K30:L30"/>
    <mergeCell ref="O30:P30"/>
    <mergeCell ref="S30:T30"/>
    <mergeCell ref="G34:H34"/>
    <mergeCell ref="K34:L34"/>
    <mergeCell ref="O34:P34"/>
    <mergeCell ref="S34:T34"/>
    <mergeCell ref="K37:L37"/>
    <mergeCell ref="O37:P37"/>
    <mergeCell ref="S37:T37"/>
    <mergeCell ref="G48:H48"/>
    <mergeCell ref="K48:L48"/>
    <mergeCell ref="O48:P48"/>
    <mergeCell ref="S48:T48"/>
    <mergeCell ref="G39:H39"/>
    <mergeCell ref="K39:L39"/>
    <mergeCell ref="O39:P39"/>
    <mergeCell ref="S39:T39"/>
    <mergeCell ref="G43:H43"/>
    <mergeCell ref="K43:L43"/>
    <mergeCell ref="O43:P43"/>
    <mergeCell ref="S43:T43"/>
    <mergeCell ref="K51:L51"/>
    <mergeCell ref="O51:P51"/>
    <mergeCell ref="S51:T51"/>
    <mergeCell ref="K49:L50"/>
    <mergeCell ref="O49:P50"/>
    <mergeCell ref="S49:T50"/>
    <mergeCell ref="R63:U63"/>
    <mergeCell ref="G54:H55"/>
    <mergeCell ref="S54:T55"/>
    <mergeCell ref="G56:H56"/>
    <mergeCell ref="K56:L56"/>
    <mergeCell ref="O56:P56"/>
    <mergeCell ref="S56:T56"/>
    <mergeCell ref="K58:L58"/>
    <mergeCell ref="O58:P58"/>
    <mergeCell ref="S58:T58"/>
    <mergeCell ref="K60:L60"/>
    <mergeCell ref="O60:P60"/>
    <mergeCell ref="S72:T72"/>
    <mergeCell ref="O64:P64"/>
    <mergeCell ref="S64:T64"/>
    <mergeCell ref="K65:L65"/>
    <mergeCell ref="O65:P65"/>
    <mergeCell ref="S65:T65"/>
    <mergeCell ref="S70:T70"/>
  </mergeCells>
  <dataValidations count="2">
    <dataValidation type="whole" operator="lessThanOrEqual" allowBlank="1" showInputMessage="1" showErrorMessage="1" error="Total column should be negative_x000a_" sqref="U30">
      <formula1>0</formula1>
    </dataValidation>
    <dataValidation type="whole" operator="greaterThanOrEqual" allowBlank="1" showInputMessage="1" showErrorMessage="1" error="Must be a positive number" sqref="K37:L37 K39:L39 K56:L56 K65:L65 K60:L60 K43:L43 K32:L32 K25:L25 K34:L34 K30:L30 K51:L51 O22:P22 S22:T22 K18:L18 O18:P18 S18:T18 K22:L22 O25:P25 S25:T25 G56:H56 K58:L58">
      <formula1>0</formula1>
    </dataValidation>
  </dataValidations>
  <printOptions horizontalCentered="1" verticalCentered="1"/>
  <pageMargins left="0.39370078740157483" right="0.39370078740157483" top="0.59055118110236227" bottom="0.59055118110236227" header="0.51181102362204722" footer="0.51181102362204722"/>
  <pageSetup paperSize="9" scale="5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03"/>
  <sheetViews>
    <sheetView showGridLines="0" topLeftCell="A154" zoomScaleNormal="100" zoomScaleSheetLayoutView="100" workbookViewId="0"/>
  </sheetViews>
  <sheetFormatPr defaultRowHeight="15" x14ac:dyDescent="0.2"/>
  <cols>
    <col min="1" max="2" width="1.7109375" customWidth="1"/>
    <col min="4" max="6" width="10.140625" customWidth="1"/>
    <col min="7" max="7" width="17.85546875" customWidth="1"/>
    <col min="8" max="8" width="3.85546875" customWidth="1"/>
    <col min="9" max="9" width="2.85546875" customWidth="1"/>
    <col min="10" max="11" width="11.42578125" customWidth="1"/>
    <col min="12" max="13" width="2.7109375" customWidth="1"/>
    <col min="14" max="15" width="11.42578125" customWidth="1"/>
    <col min="16" max="17" width="2.7109375" customWidth="1"/>
    <col min="18" max="19" width="11.42578125" customWidth="1"/>
    <col min="20" max="21" width="1.7109375" customWidth="1"/>
    <col min="22" max="22" width="8.7109375" style="265" customWidth="1"/>
    <col min="23" max="23" width="8.7109375" style="319" customWidth="1"/>
    <col min="24" max="24" width="11.7109375" style="177" bestFit="1" customWidth="1"/>
    <col min="25" max="25" width="13.7109375" style="257" customWidth="1"/>
    <col min="26" max="26" width="13.7109375" customWidth="1"/>
    <col min="27" max="27" width="11" customWidth="1"/>
    <col min="28" max="28" width="9" customWidth="1"/>
    <col min="29" max="29" width="6.28515625" customWidth="1"/>
  </cols>
  <sheetData>
    <row r="1" spans="1:33" x14ac:dyDescent="0.2">
      <c r="A1" s="478"/>
      <c r="B1" s="372"/>
      <c r="C1" s="372"/>
      <c r="D1" s="372"/>
      <c r="E1" s="372"/>
      <c r="F1" s="479">
        <f>+'Part 1'!F1</f>
        <v>35</v>
      </c>
      <c r="G1" s="372"/>
      <c r="H1" s="372"/>
      <c r="I1" s="372"/>
      <c r="J1" s="372"/>
      <c r="K1" s="372"/>
      <c r="L1" s="372"/>
      <c r="M1" s="372"/>
      <c r="N1" s="372"/>
      <c r="O1" s="372"/>
      <c r="P1" s="372"/>
      <c r="Q1" s="372"/>
      <c r="R1" s="372"/>
      <c r="S1" s="372"/>
      <c r="T1" s="372"/>
      <c r="U1" s="480"/>
      <c r="V1" s="255"/>
      <c r="W1" s="256"/>
      <c r="X1" s="255"/>
    </row>
    <row r="2" spans="1:33" ht="20.25" x14ac:dyDescent="0.3">
      <c r="A2" s="690" t="s">
        <v>826</v>
      </c>
      <c r="B2" s="691"/>
      <c r="C2" s="691"/>
      <c r="D2" s="691"/>
      <c r="E2" s="691"/>
      <c r="F2" s="691"/>
      <c r="G2" s="691"/>
      <c r="H2" s="691"/>
      <c r="I2" s="691"/>
      <c r="J2" s="691"/>
      <c r="K2" s="691"/>
      <c r="L2" s="691"/>
      <c r="M2" s="691"/>
      <c r="N2" s="691"/>
      <c r="O2" s="691"/>
      <c r="P2" s="691"/>
      <c r="Q2" s="691"/>
      <c r="R2" s="691"/>
      <c r="S2" s="691"/>
      <c r="T2" s="691"/>
      <c r="U2" s="692"/>
      <c r="V2" s="257"/>
      <c r="W2" s="258"/>
      <c r="X2" s="259"/>
    </row>
    <row r="3" spans="1:33" ht="20.25" x14ac:dyDescent="0.3">
      <c r="A3" s="690" t="s">
        <v>927</v>
      </c>
      <c r="B3" s="691"/>
      <c r="C3" s="691"/>
      <c r="D3" s="691"/>
      <c r="E3" s="691"/>
      <c r="F3" s="691"/>
      <c r="G3" s="691"/>
      <c r="H3" s="691"/>
      <c r="I3" s="691"/>
      <c r="J3" s="691"/>
      <c r="K3" s="691"/>
      <c r="L3" s="691"/>
      <c r="M3" s="691"/>
      <c r="N3" s="691"/>
      <c r="O3" s="691"/>
      <c r="P3" s="691"/>
      <c r="Q3" s="691"/>
      <c r="R3" s="691"/>
      <c r="S3" s="691"/>
      <c r="T3" s="691"/>
      <c r="U3" s="692"/>
      <c r="V3" s="257"/>
      <c r="W3" s="258"/>
      <c r="X3" s="259"/>
    </row>
    <row r="4" spans="1:33" x14ac:dyDescent="0.2">
      <c r="A4" s="693"/>
      <c r="B4" s="652"/>
      <c r="C4" s="652"/>
      <c r="D4" s="652"/>
      <c r="E4" s="652"/>
      <c r="F4" s="652"/>
      <c r="G4" s="652"/>
      <c r="H4" s="652"/>
      <c r="I4" s="652"/>
      <c r="J4" s="652"/>
      <c r="K4" s="652"/>
      <c r="L4" s="652"/>
      <c r="M4" s="652"/>
      <c r="N4" s="652"/>
      <c r="O4" s="652"/>
      <c r="P4" s="652"/>
      <c r="Q4" s="652"/>
      <c r="R4" s="652"/>
      <c r="S4" s="652"/>
      <c r="T4" s="652"/>
      <c r="U4" s="653"/>
      <c r="V4" s="259"/>
      <c r="W4" s="256"/>
      <c r="X4" s="259"/>
    </row>
    <row r="5" spans="1:33" x14ac:dyDescent="0.2">
      <c r="A5" s="693"/>
      <c r="B5" s="652"/>
      <c r="C5" s="652"/>
      <c r="D5" s="652"/>
      <c r="E5" s="652"/>
      <c r="F5" s="652"/>
      <c r="G5" s="652"/>
      <c r="H5" s="652"/>
      <c r="I5" s="652"/>
      <c r="J5" s="652"/>
      <c r="K5" s="652"/>
      <c r="L5" s="652"/>
      <c r="M5" s="652"/>
      <c r="N5" s="652"/>
      <c r="O5" s="652"/>
      <c r="P5" s="652"/>
      <c r="Q5" s="652"/>
      <c r="R5" s="652"/>
      <c r="S5" s="652"/>
      <c r="T5" s="652"/>
      <c r="U5" s="653"/>
      <c r="V5" s="259"/>
      <c r="W5" s="256"/>
      <c r="X5" s="259"/>
    </row>
    <row r="6" spans="1:33" x14ac:dyDescent="0.2">
      <c r="A6" s="693"/>
      <c r="B6" s="652"/>
      <c r="C6" s="652"/>
      <c r="D6" s="652"/>
      <c r="E6" s="652"/>
      <c r="F6" s="652"/>
      <c r="G6" s="652"/>
      <c r="H6" s="652"/>
      <c r="I6" s="652"/>
      <c r="J6" s="652"/>
      <c r="K6" s="652"/>
      <c r="L6" s="652"/>
      <c r="M6" s="652"/>
      <c r="N6" s="652"/>
      <c r="O6" s="652"/>
      <c r="P6" s="652"/>
      <c r="Q6" s="652"/>
      <c r="R6" s="652"/>
      <c r="S6" s="652"/>
      <c r="T6" s="652"/>
      <c r="U6" s="653"/>
      <c r="V6" s="259"/>
      <c r="W6" s="256"/>
      <c r="X6" s="259"/>
      <c r="Y6" s="260"/>
    </row>
    <row r="7" spans="1:33" x14ac:dyDescent="0.2">
      <c r="A7" s="693"/>
      <c r="B7" s="652"/>
      <c r="C7" s="652"/>
      <c r="D7" s="652"/>
      <c r="E7" s="652"/>
      <c r="F7" s="652"/>
      <c r="G7" s="652"/>
      <c r="H7" s="652"/>
      <c r="I7" s="652"/>
      <c r="J7" s="652"/>
      <c r="K7" s="652"/>
      <c r="L7" s="652"/>
      <c r="M7" s="652"/>
      <c r="N7" s="652"/>
      <c r="O7" s="652"/>
      <c r="P7" s="652"/>
      <c r="Q7" s="652"/>
      <c r="R7" s="652"/>
      <c r="S7" s="652"/>
      <c r="T7" s="652"/>
      <c r="U7" s="653"/>
      <c r="V7" s="259"/>
      <c r="W7" s="256"/>
      <c r="X7" s="259"/>
    </row>
    <row r="8" spans="1:33" ht="15.75" thickBot="1" x14ac:dyDescent="0.25">
      <c r="A8" s="37"/>
      <c r="B8" s="218"/>
      <c r="C8" s="218"/>
      <c r="D8" s="218"/>
      <c r="E8" s="218"/>
      <c r="F8" s="218"/>
      <c r="G8" s="218"/>
      <c r="H8" s="218"/>
      <c r="I8" s="218"/>
      <c r="J8" s="218"/>
      <c r="K8" s="218"/>
      <c r="L8" s="218"/>
      <c r="M8" s="218"/>
      <c r="N8" s="218"/>
      <c r="O8" s="218"/>
      <c r="P8" s="218"/>
      <c r="Q8" s="218"/>
      <c r="R8" s="218"/>
      <c r="S8" s="371"/>
      <c r="T8" s="218"/>
      <c r="U8" s="38"/>
      <c r="V8" s="255"/>
      <c r="W8" s="256"/>
      <c r="X8" s="255"/>
    </row>
    <row r="9" spans="1:33" x14ac:dyDescent="0.2">
      <c r="A9" s="481"/>
      <c r="B9" s="373"/>
      <c r="C9" s="705"/>
      <c r="D9" s="705"/>
      <c r="E9" s="705"/>
      <c r="F9" s="705"/>
      <c r="G9" s="705"/>
      <c r="H9" s="705"/>
      <c r="I9" s="373"/>
      <c r="J9" s="373"/>
      <c r="K9" s="373"/>
      <c r="L9" s="373"/>
      <c r="M9" s="373"/>
      <c r="N9" s="373"/>
      <c r="O9" s="373"/>
      <c r="P9" s="373"/>
      <c r="Q9" s="373"/>
      <c r="R9" s="373"/>
      <c r="S9" s="373"/>
      <c r="T9" s="373"/>
      <c r="U9" s="482"/>
      <c r="V9" s="262"/>
      <c r="W9" s="258"/>
      <c r="X9" s="263"/>
    </row>
    <row r="10" spans="1:33" s="5" customFormat="1" ht="18" x14ac:dyDescent="0.25">
      <c r="A10" s="7"/>
      <c r="B10" s="6"/>
      <c r="C10" s="39" t="str">
        <f>+CONCATENATE("Local Authority : ",VLOOKUP(F1,Part3,5,FALSE))</f>
        <v>Local Authority : Bristol</v>
      </c>
      <c r="D10" s="39"/>
      <c r="E10" s="39"/>
      <c r="F10" s="514"/>
      <c r="G10" s="514"/>
      <c r="H10" s="514"/>
      <c r="I10" s="6"/>
      <c r="J10" s="6"/>
      <c r="K10" s="6"/>
      <c r="L10" s="6"/>
      <c r="M10" s="6"/>
      <c r="N10" s="6"/>
      <c r="O10" s="6"/>
      <c r="P10" s="6"/>
      <c r="Q10" s="6"/>
      <c r="R10" s="6"/>
      <c r="S10" s="6"/>
      <c r="T10" s="6"/>
      <c r="U10" s="8"/>
      <c r="V10" s="263"/>
      <c r="W10" s="256"/>
      <c r="X10" s="263"/>
      <c r="Y10" s="259"/>
    </row>
    <row r="11" spans="1:33" s="5" customFormat="1" ht="18" x14ac:dyDescent="0.25">
      <c r="A11" s="7"/>
      <c r="B11" s="6"/>
      <c r="C11" s="39"/>
      <c r="D11" s="39"/>
      <c r="E11" s="39"/>
      <c r="F11" s="514"/>
      <c r="G11" s="514"/>
      <c r="H11" s="514"/>
      <c r="I11" s="6"/>
      <c r="J11" s="6"/>
      <c r="K11" s="6"/>
      <c r="L11" s="6"/>
      <c r="M11" s="6"/>
      <c r="N11" s="6"/>
      <c r="O11" s="6"/>
      <c r="P11" s="6"/>
      <c r="Q11" s="6"/>
      <c r="R11" s="6"/>
      <c r="S11" s="6"/>
      <c r="T11" s="6"/>
      <c r="U11" s="8"/>
      <c r="V11" s="263"/>
      <c r="W11" s="256"/>
      <c r="X11" s="263"/>
      <c r="Y11" s="228"/>
      <c r="Z11" s="225"/>
    </row>
    <row r="12" spans="1:33" ht="15.75" x14ac:dyDescent="0.25">
      <c r="A12" s="15"/>
      <c r="B12" s="2"/>
      <c r="C12" s="676" t="s">
        <v>828</v>
      </c>
      <c r="D12" s="676"/>
      <c r="E12" s="676"/>
      <c r="F12" s="676"/>
      <c r="G12" s="676"/>
      <c r="H12" s="676"/>
      <c r="I12" s="6"/>
      <c r="J12" s="697" t="s">
        <v>539</v>
      </c>
      <c r="K12" s="697"/>
      <c r="L12" s="513"/>
      <c r="M12" s="513"/>
      <c r="N12" s="697" t="s">
        <v>540</v>
      </c>
      <c r="O12" s="697"/>
      <c r="P12" s="513"/>
      <c r="Q12" s="513"/>
      <c r="R12" s="697" t="s">
        <v>541</v>
      </c>
      <c r="S12" s="697"/>
      <c r="T12" s="1"/>
      <c r="U12" s="35"/>
      <c r="V12" s="262"/>
      <c r="W12" s="258"/>
      <c r="X12" s="263"/>
      <c r="Y12" s="228"/>
    </row>
    <row r="13" spans="1:33" ht="15.75" customHeight="1" x14ac:dyDescent="0.25">
      <c r="A13" s="15"/>
      <c r="B13" s="2"/>
      <c r="C13" s="696"/>
      <c r="D13" s="696"/>
      <c r="E13" s="696"/>
      <c r="F13" s="696"/>
      <c r="G13" s="696"/>
      <c r="H13" s="696"/>
      <c r="I13" s="6"/>
      <c r="J13" s="685" t="s">
        <v>990</v>
      </c>
      <c r="K13" s="685"/>
      <c r="L13" s="510"/>
      <c r="M13" s="510"/>
      <c r="N13" s="685" t="s">
        <v>897</v>
      </c>
      <c r="O13" s="685"/>
      <c r="P13" s="510"/>
      <c r="Q13" s="510"/>
      <c r="R13" s="685" t="s">
        <v>898</v>
      </c>
      <c r="S13" s="685"/>
      <c r="T13" s="3"/>
      <c r="U13" s="35"/>
      <c r="V13" s="262"/>
      <c r="W13" s="258"/>
      <c r="X13" s="263"/>
      <c r="Y13" s="228"/>
    </row>
    <row r="14" spans="1:33" ht="15.75" customHeight="1" x14ac:dyDescent="0.25">
      <c r="A14" s="15"/>
      <c r="B14" s="2"/>
      <c r="C14" s="6"/>
      <c r="D14" s="6"/>
      <c r="E14" s="6"/>
      <c r="F14" s="6"/>
      <c r="G14" s="6"/>
      <c r="H14" s="6"/>
      <c r="I14" s="6"/>
      <c r="J14" s="700"/>
      <c r="K14" s="700"/>
      <c r="L14" s="113"/>
      <c r="M14" s="113"/>
      <c r="N14" s="685"/>
      <c r="O14" s="685"/>
      <c r="P14" s="113"/>
      <c r="Q14" s="113"/>
      <c r="R14" s="685"/>
      <c r="S14" s="685"/>
      <c r="T14" s="2"/>
      <c r="U14" s="35"/>
      <c r="V14" s="262"/>
      <c r="W14" s="258"/>
      <c r="X14" s="263"/>
      <c r="Y14" s="228"/>
    </row>
    <row r="15" spans="1:33" ht="21" customHeight="1" x14ac:dyDescent="0.2">
      <c r="A15" s="15"/>
      <c r="B15" s="2"/>
      <c r="C15" s="6"/>
      <c r="D15" s="6"/>
      <c r="E15" s="6"/>
      <c r="F15" s="6"/>
      <c r="G15" s="6"/>
      <c r="H15" s="6"/>
      <c r="I15" s="6"/>
      <c r="J15" s="688"/>
      <c r="K15" s="688"/>
      <c r="L15" s="180"/>
      <c r="M15" s="113"/>
      <c r="N15" s="688"/>
      <c r="O15" s="688"/>
      <c r="P15" s="113"/>
      <c r="Q15" s="689"/>
      <c r="R15" s="689"/>
      <c r="S15" s="689"/>
      <c r="T15" s="689"/>
      <c r="U15" s="35"/>
      <c r="V15" s="262"/>
      <c r="W15" s="258"/>
      <c r="X15" s="374"/>
      <c r="Y15" s="375"/>
      <c r="Z15" s="264"/>
      <c r="AA15" s="265"/>
      <c r="AB15" s="265"/>
      <c r="AC15" s="265"/>
      <c r="AD15" s="265"/>
      <c r="AE15" s="265"/>
      <c r="AF15" s="265"/>
      <c r="AG15" s="265"/>
    </row>
    <row r="16" spans="1:33" ht="16.5" customHeight="1" thickBot="1" x14ac:dyDescent="0.25">
      <c r="A16" s="118"/>
      <c r="B16" s="119"/>
      <c r="C16" s="512" t="s">
        <v>1170</v>
      </c>
      <c r="D16" s="47"/>
      <c r="E16" s="47"/>
      <c r="F16" s="47"/>
      <c r="G16" s="47"/>
      <c r="H16" s="6"/>
      <c r="I16" s="6"/>
      <c r="J16" s="701" t="s">
        <v>538</v>
      </c>
      <c r="K16" s="702"/>
      <c r="L16" s="517"/>
      <c r="M16" s="517"/>
      <c r="N16" s="701" t="s">
        <v>538</v>
      </c>
      <c r="O16" s="702"/>
      <c r="P16" s="517"/>
      <c r="Q16" s="393"/>
      <c r="R16" s="703" t="s">
        <v>538</v>
      </c>
      <c r="S16" s="704"/>
      <c r="T16" s="266"/>
      <c r="U16" s="35"/>
      <c r="V16" s="262"/>
      <c r="W16" s="258"/>
      <c r="X16" s="267"/>
      <c r="Z16" s="265"/>
      <c r="AA16" s="265"/>
      <c r="AB16" s="265"/>
      <c r="AC16" s="265"/>
      <c r="AD16" s="265"/>
      <c r="AE16" s="265"/>
      <c r="AF16" s="265"/>
      <c r="AG16" s="265"/>
    </row>
    <row r="17" spans="1:33" ht="18.75" thickBot="1" x14ac:dyDescent="0.3">
      <c r="A17" s="118"/>
      <c r="B17" s="119"/>
      <c r="C17" s="47" t="s">
        <v>928</v>
      </c>
      <c r="D17" s="47"/>
      <c r="E17" s="47"/>
      <c r="F17" s="47"/>
      <c r="G17" s="47"/>
      <c r="H17" s="6"/>
      <c r="I17" s="6"/>
      <c r="J17" s="644">
        <f>VLOOKUP($F$1,Part3,6,FALSE)</f>
        <v>-1706734</v>
      </c>
      <c r="K17" s="660"/>
      <c r="L17" s="185"/>
      <c r="M17" s="185"/>
      <c r="N17" s="644">
        <f>VLOOKUP($F$1,Part3,7,FALSE)</f>
        <v>-35301</v>
      </c>
      <c r="O17" s="660"/>
      <c r="P17" s="448"/>
      <c r="Q17" s="393"/>
      <c r="R17" s="644">
        <f>VLOOKUP($F$1,Part3,8,FALSE)</f>
        <v>-1742035</v>
      </c>
      <c r="S17" s="660"/>
      <c r="T17" s="266"/>
      <c r="U17" s="35"/>
      <c r="V17" s="262"/>
      <c r="W17" s="376"/>
      <c r="X17" s="377"/>
      <c r="Y17" s="268"/>
      <c r="Z17" s="269"/>
      <c r="AA17" s="265"/>
      <c r="AB17" s="265"/>
      <c r="AC17" s="265"/>
      <c r="AD17" s="265"/>
      <c r="AE17" s="265"/>
      <c r="AF17" s="265"/>
      <c r="AG17" s="265"/>
    </row>
    <row r="18" spans="1:33" ht="15.75" customHeight="1" thickBot="1" x14ac:dyDescent="0.25">
      <c r="A18" s="118"/>
      <c r="B18" s="119"/>
      <c r="C18" s="47"/>
      <c r="D18" s="47"/>
      <c r="E18" s="47"/>
      <c r="F18" s="47"/>
      <c r="G18" s="47"/>
      <c r="H18" s="6"/>
      <c r="I18" s="6"/>
      <c r="J18" s="449"/>
      <c r="K18" s="449"/>
      <c r="L18" s="449"/>
      <c r="M18" s="449"/>
      <c r="N18" s="449"/>
      <c r="O18" s="449"/>
      <c r="P18" s="432"/>
      <c r="Q18" s="433"/>
      <c r="R18" s="186"/>
      <c r="S18" s="179"/>
      <c r="T18" s="266"/>
      <c r="U18" s="35"/>
      <c r="V18" s="262"/>
      <c r="W18" s="258"/>
      <c r="X18" s="267"/>
      <c r="Z18" s="265"/>
      <c r="AA18" s="265"/>
      <c r="AB18" s="265"/>
      <c r="AC18" s="265"/>
      <c r="AD18" s="265"/>
      <c r="AE18" s="265"/>
      <c r="AF18" s="265"/>
      <c r="AG18" s="265"/>
    </row>
    <row r="19" spans="1:33" ht="15.75" customHeight="1" thickBot="1" x14ac:dyDescent="0.3">
      <c r="A19" s="118"/>
      <c r="B19" s="119"/>
      <c r="C19" s="47" t="s">
        <v>929</v>
      </c>
      <c r="D19" s="47"/>
      <c r="E19" s="47"/>
      <c r="F19" s="47"/>
      <c r="G19" s="47"/>
      <c r="H19" s="6"/>
      <c r="I19" s="6"/>
      <c r="J19" s="644">
        <f>VLOOKUP($F$1,Part3,9,FALSE)</f>
        <v>379262</v>
      </c>
      <c r="K19" s="660"/>
      <c r="L19" s="185"/>
      <c r="M19" s="185"/>
      <c r="N19" s="644">
        <f>VLOOKUP($F$1,Part3,10,FALSE)</f>
        <v>1368</v>
      </c>
      <c r="O19" s="660"/>
      <c r="P19" s="448"/>
      <c r="Q19" s="393"/>
      <c r="R19" s="644">
        <f>VLOOKUP($F$1,Part3,11,FALSE)</f>
        <v>380630</v>
      </c>
      <c r="S19" s="660"/>
      <c r="T19" s="266"/>
      <c r="U19" s="35"/>
      <c r="V19" s="262"/>
      <c r="W19" s="376"/>
      <c r="X19" s="377"/>
      <c r="Y19" s="268"/>
      <c r="Z19" s="269"/>
      <c r="AA19" s="265"/>
      <c r="AB19" s="265"/>
      <c r="AC19" s="265"/>
      <c r="AD19" s="265"/>
      <c r="AE19" s="265"/>
      <c r="AF19" s="265"/>
      <c r="AG19" s="265"/>
    </row>
    <row r="20" spans="1:33" ht="15.75" customHeight="1" thickBot="1" x14ac:dyDescent="0.25">
      <c r="A20" s="118"/>
      <c r="B20" s="119"/>
      <c r="C20" s="47"/>
      <c r="D20" s="47"/>
      <c r="E20" s="47"/>
      <c r="F20" s="47"/>
      <c r="G20" s="47"/>
      <c r="H20" s="6"/>
      <c r="I20" s="6"/>
      <c r="J20" s="449"/>
      <c r="K20" s="449"/>
      <c r="L20" s="449"/>
      <c r="M20" s="449"/>
      <c r="N20" s="449"/>
      <c r="O20" s="449"/>
      <c r="P20" s="432"/>
      <c r="Q20" s="433"/>
      <c r="R20" s="186"/>
      <c r="S20" s="179"/>
      <c r="T20" s="266"/>
      <c r="U20" s="35"/>
      <c r="V20" s="262"/>
      <c r="W20" s="258"/>
      <c r="X20" s="267"/>
      <c r="Z20" s="265"/>
      <c r="AA20" s="265"/>
      <c r="AB20" s="265"/>
      <c r="AC20" s="265"/>
      <c r="AD20" s="265"/>
      <c r="AE20" s="265"/>
      <c r="AF20" s="265"/>
      <c r="AG20" s="265"/>
    </row>
    <row r="21" spans="1:33" ht="18.75" thickBot="1" x14ac:dyDescent="0.3">
      <c r="A21" s="118"/>
      <c r="B21" s="119"/>
      <c r="C21" s="638" t="s">
        <v>930</v>
      </c>
      <c r="D21" s="638"/>
      <c r="E21" s="638"/>
      <c r="F21" s="638"/>
      <c r="G21" s="638"/>
      <c r="H21" s="6"/>
      <c r="I21" s="6"/>
      <c r="J21" s="644">
        <f>VLOOKUP($F$1,Part3,12,FALSE)</f>
        <v>30394</v>
      </c>
      <c r="K21" s="660"/>
      <c r="L21" s="185"/>
      <c r="M21" s="185"/>
      <c r="N21" s="644">
        <f>VLOOKUP($F$1,Part3,13,FALSE)</f>
        <v>0</v>
      </c>
      <c r="O21" s="660"/>
      <c r="P21" s="448"/>
      <c r="Q21" s="393"/>
      <c r="R21" s="644">
        <f>VLOOKUP($F$1,Part3,14,FALSE)</f>
        <v>30394</v>
      </c>
      <c r="S21" s="660"/>
      <c r="T21" s="266"/>
      <c r="U21" s="35"/>
      <c r="V21" s="262"/>
      <c r="W21" s="376"/>
      <c r="X21" s="377"/>
      <c r="Y21" s="268"/>
      <c r="Z21" s="269"/>
      <c r="AA21" s="265"/>
      <c r="AB21" s="265"/>
      <c r="AC21" s="265"/>
      <c r="AD21" s="265"/>
      <c r="AE21" s="265"/>
      <c r="AF21" s="265"/>
      <c r="AG21" s="265"/>
    </row>
    <row r="22" spans="1:33" ht="15.75" customHeight="1" x14ac:dyDescent="0.2">
      <c r="A22" s="118"/>
      <c r="B22" s="119"/>
      <c r="C22" s="638"/>
      <c r="D22" s="638"/>
      <c r="E22" s="638"/>
      <c r="F22" s="638"/>
      <c r="G22" s="638"/>
      <c r="H22" s="6"/>
      <c r="I22" s="6"/>
      <c r="J22" s="516"/>
      <c r="K22" s="516"/>
      <c r="L22" s="516"/>
      <c r="M22" s="516"/>
      <c r="N22" s="516"/>
      <c r="O22" s="516"/>
      <c r="P22" s="517"/>
      <c r="Q22" s="179"/>
      <c r="R22" s="179"/>
      <c r="S22" s="179"/>
      <c r="T22" s="266"/>
      <c r="U22" s="35"/>
      <c r="V22" s="262"/>
      <c r="W22" s="258"/>
      <c r="X22" s="267"/>
      <c r="Z22" s="265"/>
      <c r="AA22" s="265"/>
      <c r="AB22" s="265"/>
      <c r="AC22" s="265"/>
      <c r="AD22" s="265"/>
      <c r="AE22" s="265"/>
      <c r="AF22" s="265"/>
      <c r="AG22" s="265"/>
    </row>
    <row r="23" spans="1:33" ht="15.75" customHeight="1" thickBot="1" x14ac:dyDescent="0.25">
      <c r="A23" s="118"/>
      <c r="B23" s="119"/>
      <c r="C23" s="47"/>
      <c r="D23" s="47"/>
      <c r="E23" s="47"/>
      <c r="F23" s="47"/>
      <c r="G23" s="47"/>
      <c r="H23" s="6"/>
      <c r="I23" s="6"/>
      <c r="J23" s="516"/>
      <c r="K23" s="516"/>
      <c r="L23" s="516"/>
      <c r="M23" s="516"/>
      <c r="N23" s="516"/>
      <c r="O23" s="516"/>
      <c r="P23" s="517"/>
      <c r="Q23" s="179"/>
      <c r="R23" s="179"/>
      <c r="S23" s="179"/>
      <c r="T23" s="266"/>
      <c r="U23" s="35"/>
      <c r="V23" s="262"/>
      <c r="W23" s="258"/>
      <c r="X23" s="267"/>
      <c r="Z23" s="265"/>
      <c r="AA23" s="265"/>
      <c r="AB23" s="265"/>
      <c r="AC23" s="265"/>
      <c r="AD23" s="265"/>
      <c r="AE23" s="265"/>
      <c r="AF23" s="265"/>
      <c r="AG23" s="265"/>
    </row>
    <row r="24" spans="1:33" ht="15.75" customHeight="1" thickBot="1" x14ac:dyDescent="0.3">
      <c r="A24" s="118"/>
      <c r="B24" s="119"/>
      <c r="C24" s="638" t="s">
        <v>931</v>
      </c>
      <c r="D24" s="638"/>
      <c r="E24" s="638"/>
      <c r="F24" s="638"/>
      <c r="G24" s="638"/>
      <c r="H24" s="6"/>
      <c r="I24" s="6"/>
      <c r="J24" s="644">
        <f>VLOOKUP($F$1,Part3,15,FALSE)</f>
        <v>1365745</v>
      </c>
      <c r="K24" s="660"/>
      <c r="L24" s="185"/>
      <c r="M24" s="185"/>
      <c r="N24" s="644">
        <f>VLOOKUP($F$1,Part3,16,FALSE)</f>
        <v>-2812</v>
      </c>
      <c r="O24" s="660"/>
      <c r="P24" s="448"/>
      <c r="Q24" s="393"/>
      <c r="R24" s="644">
        <f>VLOOKUP($F$1,Part3,17,FALSE)</f>
        <v>1362933</v>
      </c>
      <c r="S24" s="660"/>
      <c r="T24" s="266"/>
      <c r="U24" s="35"/>
      <c r="V24" s="262"/>
      <c r="W24" s="376"/>
      <c r="X24" s="377"/>
      <c r="Y24" s="268"/>
      <c r="Z24" s="269"/>
      <c r="AA24" s="265"/>
      <c r="AB24" s="265"/>
      <c r="AC24" s="265"/>
      <c r="AD24" s="265"/>
      <c r="AE24" s="265"/>
      <c r="AF24" s="265"/>
      <c r="AG24" s="265"/>
    </row>
    <row r="25" spans="1:33" ht="15.75" customHeight="1" x14ac:dyDescent="0.2">
      <c r="A25" s="118"/>
      <c r="B25" s="119"/>
      <c r="C25" s="638"/>
      <c r="D25" s="638"/>
      <c r="E25" s="638"/>
      <c r="F25" s="638"/>
      <c r="G25" s="638"/>
      <c r="H25" s="6"/>
      <c r="I25" s="6"/>
      <c r="J25" s="517"/>
      <c r="K25" s="517"/>
      <c r="L25" s="517"/>
      <c r="M25" s="517"/>
      <c r="N25" s="517"/>
      <c r="O25" s="517"/>
      <c r="P25" s="517"/>
      <c r="Q25" s="179"/>
      <c r="R25" s="179"/>
      <c r="S25" s="179"/>
      <c r="T25" s="266"/>
      <c r="U25" s="35"/>
      <c r="V25" s="262"/>
      <c r="W25" s="258"/>
      <c r="X25" s="267"/>
      <c r="Z25" s="265"/>
      <c r="AA25" s="265"/>
      <c r="AB25" s="265"/>
      <c r="AC25" s="265"/>
      <c r="AD25" s="265"/>
      <c r="AE25" s="265"/>
      <c r="AF25" s="265"/>
      <c r="AG25" s="265"/>
    </row>
    <row r="26" spans="1:33" ht="15.75" customHeight="1" thickBot="1" x14ac:dyDescent="0.25">
      <c r="A26" s="118"/>
      <c r="B26" s="119"/>
      <c r="C26" s="511"/>
      <c r="D26" s="511"/>
      <c r="E26" s="511"/>
      <c r="F26" s="511"/>
      <c r="G26" s="511"/>
      <c r="H26" s="6"/>
      <c r="I26" s="6"/>
      <c r="J26" s="517"/>
      <c r="K26" s="517"/>
      <c r="L26" s="517"/>
      <c r="M26" s="517"/>
      <c r="N26" s="517"/>
      <c r="O26" s="517"/>
      <c r="P26" s="517"/>
      <c r="Q26" s="179"/>
      <c r="R26" s="179"/>
      <c r="S26" s="179"/>
      <c r="T26" s="266"/>
      <c r="U26" s="35"/>
      <c r="V26" s="262"/>
      <c r="W26" s="258"/>
      <c r="X26" s="267"/>
      <c r="Z26" s="265"/>
      <c r="AA26" s="265"/>
      <c r="AB26" s="265"/>
      <c r="AC26" s="265"/>
      <c r="AD26" s="265"/>
      <c r="AE26" s="265"/>
      <c r="AF26" s="265"/>
      <c r="AG26" s="265"/>
    </row>
    <row r="27" spans="1:33" ht="15.75" customHeight="1" thickBot="1" x14ac:dyDescent="0.25">
      <c r="A27" s="118"/>
      <c r="B27" s="270"/>
      <c r="C27" s="232"/>
      <c r="D27" s="232"/>
      <c r="E27" s="232"/>
      <c r="F27" s="232"/>
      <c r="G27" s="232"/>
      <c r="H27" s="233"/>
      <c r="I27" s="233"/>
      <c r="J27" s="271"/>
      <c r="K27" s="271"/>
      <c r="L27" s="271"/>
      <c r="M27" s="271"/>
      <c r="N27" s="271"/>
      <c r="O27" s="271"/>
      <c r="P27" s="271"/>
      <c r="Q27" s="272"/>
      <c r="R27" s="272"/>
      <c r="S27" s="272"/>
      <c r="T27" s="273"/>
      <c r="U27" s="35"/>
      <c r="V27" s="262"/>
      <c r="W27" s="258"/>
      <c r="X27" s="267"/>
      <c r="Z27" s="265"/>
      <c r="AA27" s="265"/>
      <c r="AB27" s="265"/>
      <c r="AC27" s="265"/>
      <c r="AD27" s="265"/>
      <c r="AE27" s="265"/>
      <c r="AF27" s="265"/>
      <c r="AG27" s="265"/>
    </row>
    <row r="28" spans="1:33" ht="15.75" customHeight="1" thickBot="1" x14ac:dyDescent="0.3">
      <c r="A28" s="118"/>
      <c r="B28" s="274"/>
      <c r="C28" s="684" t="s">
        <v>932</v>
      </c>
      <c r="D28" s="684"/>
      <c r="E28" s="684"/>
      <c r="F28" s="684"/>
      <c r="G28" s="684"/>
      <c r="H28" s="6"/>
      <c r="I28" s="6"/>
      <c r="J28" s="644">
        <f>VLOOKUP($F$1,Part3,18,FALSE)</f>
        <v>68667</v>
      </c>
      <c r="K28" s="660"/>
      <c r="L28" s="185"/>
      <c r="M28" s="185"/>
      <c r="N28" s="644">
        <f>VLOOKUP($F$1,Part3,19,FALSE)</f>
        <v>-36745</v>
      </c>
      <c r="O28" s="660"/>
      <c r="P28" s="448"/>
      <c r="Q28" s="393"/>
      <c r="R28" s="644">
        <f>VLOOKUP($F$1,Part3,20,FALSE)</f>
        <v>31922</v>
      </c>
      <c r="S28" s="660"/>
      <c r="T28" s="275"/>
      <c r="U28" s="35"/>
      <c r="V28" s="262"/>
      <c r="W28" s="376"/>
      <c r="X28" s="377"/>
      <c r="Y28" s="268"/>
      <c r="Z28" s="269"/>
      <c r="AA28" s="265"/>
      <c r="AB28" s="265"/>
      <c r="AC28" s="265"/>
      <c r="AD28" s="265"/>
      <c r="AE28" s="265"/>
      <c r="AF28" s="265"/>
      <c r="AG28" s="265"/>
    </row>
    <row r="29" spans="1:33" ht="15.75" customHeight="1" thickBot="1" x14ac:dyDescent="0.25">
      <c r="A29" s="118"/>
      <c r="B29" s="276"/>
      <c r="C29" s="234"/>
      <c r="D29" s="234"/>
      <c r="E29" s="234"/>
      <c r="F29" s="234"/>
      <c r="G29" s="234"/>
      <c r="H29" s="235"/>
      <c r="I29" s="235"/>
      <c r="J29" s="450"/>
      <c r="K29" s="450"/>
      <c r="L29" s="450"/>
      <c r="M29" s="450"/>
      <c r="N29" s="450"/>
      <c r="O29" s="450"/>
      <c r="P29" s="450"/>
      <c r="Q29" s="451"/>
      <c r="R29" s="451"/>
      <c r="S29" s="451"/>
      <c r="T29" s="277"/>
      <c r="U29" s="35"/>
      <c r="V29" s="262"/>
      <c r="W29" s="258"/>
      <c r="X29" s="267"/>
      <c r="Z29" s="265"/>
      <c r="AA29" s="265"/>
      <c r="AB29" s="265"/>
      <c r="AC29" s="265"/>
      <c r="AD29" s="265"/>
      <c r="AE29" s="265"/>
      <c r="AF29" s="265"/>
      <c r="AG29" s="265"/>
    </row>
    <row r="30" spans="1:33" ht="15.75" customHeight="1" x14ac:dyDescent="0.2">
      <c r="A30" s="118"/>
      <c r="B30" s="119"/>
      <c r="C30" s="511"/>
      <c r="D30" s="511"/>
      <c r="E30" s="511"/>
      <c r="F30" s="511"/>
      <c r="G30" s="511"/>
      <c r="H30" s="6"/>
      <c r="I30" s="6"/>
      <c r="J30" s="517"/>
      <c r="K30" s="517"/>
      <c r="L30" s="517"/>
      <c r="M30" s="517"/>
      <c r="N30" s="517"/>
      <c r="O30" s="517"/>
      <c r="P30" s="517"/>
      <c r="Q30" s="179"/>
      <c r="R30" s="179"/>
      <c r="S30" s="179"/>
      <c r="T30" s="266"/>
      <c r="U30" s="35"/>
      <c r="V30" s="262"/>
      <c r="W30" s="258"/>
      <c r="X30" s="267"/>
      <c r="Z30" s="265"/>
      <c r="AA30" s="265"/>
      <c r="AB30" s="265"/>
      <c r="AC30" s="265"/>
      <c r="AD30" s="265"/>
      <c r="AE30" s="265"/>
      <c r="AF30" s="265"/>
      <c r="AG30" s="265"/>
    </row>
    <row r="31" spans="1:33" ht="15.75" x14ac:dyDescent="0.2">
      <c r="A31" s="120"/>
      <c r="B31" s="121"/>
      <c r="C31" s="512" t="s">
        <v>1171</v>
      </c>
      <c r="D31" s="47"/>
      <c r="E31" s="47"/>
      <c r="F31" s="47"/>
      <c r="G31" s="47"/>
      <c r="H31" s="6"/>
      <c r="I31" s="517"/>
      <c r="J31" s="517"/>
      <c r="K31" s="517"/>
      <c r="L31" s="517"/>
      <c r="M31" s="517"/>
      <c r="N31" s="517"/>
      <c r="O31" s="517"/>
      <c r="P31" s="517"/>
      <c r="Q31" s="179"/>
      <c r="R31" s="179"/>
      <c r="S31" s="179"/>
      <c r="T31" s="266"/>
      <c r="U31" s="35"/>
      <c r="V31" s="262"/>
      <c r="W31" s="258"/>
      <c r="X31" s="267"/>
      <c r="Z31" s="265"/>
      <c r="AA31" s="265"/>
      <c r="AB31" s="265"/>
      <c r="AC31" s="265"/>
      <c r="AD31" s="265"/>
      <c r="AE31" s="265"/>
      <c r="AF31" s="265"/>
      <c r="AG31" s="265"/>
    </row>
    <row r="32" spans="1:33" ht="16.5" thickBot="1" x14ac:dyDescent="0.25">
      <c r="A32" s="118"/>
      <c r="B32" s="119"/>
      <c r="C32" s="512" t="s">
        <v>543</v>
      </c>
      <c r="D32" s="47"/>
      <c r="E32" s="47"/>
      <c r="F32" s="47"/>
      <c r="G32" s="47"/>
      <c r="H32" s="6"/>
      <c r="I32" s="6"/>
      <c r="J32" s="517"/>
      <c r="K32" s="517"/>
      <c r="L32" s="517"/>
      <c r="M32" s="517"/>
      <c r="N32" s="517"/>
      <c r="O32" s="517"/>
      <c r="P32" s="517"/>
      <c r="Q32" s="179"/>
      <c r="R32" s="179"/>
      <c r="S32" s="179"/>
      <c r="T32" s="266"/>
      <c r="U32" s="35"/>
      <c r="V32" s="262"/>
      <c r="W32" s="258"/>
      <c r="X32" s="267"/>
      <c r="Z32" s="265"/>
      <c r="AA32" s="265"/>
      <c r="AB32" s="265"/>
      <c r="AC32" s="265"/>
      <c r="AD32" s="265"/>
      <c r="AE32" s="265"/>
      <c r="AF32" s="265"/>
      <c r="AG32" s="265"/>
    </row>
    <row r="33" spans="1:33" ht="18.75" thickBot="1" x14ac:dyDescent="0.3">
      <c r="A33" s="118"/>
      <c r="B33" s="119"/>
      <c r="C33" s="47" t="s">
        <v>933</v>
      </c>
      <c r="D33" s="47"/>
      <c r="E33" s="47"/>
      <c r="F33" s="47"/>
      <c r="G33" s="47"/>
      <c r="H33" s="6"/>
      <c r="I33" s="6"/>
      <c r="J33" s="644">
        <f>VLOOKUP($F$1,Part3,21,FALSE)</f>
        <v>-7982405</v>
      </c>
      <c r="K33" s="660"/>
      <c r="L33" s="185"/>
      <c r="M33" s="185"/>
      <c r="N33" s="644">
        <f>VLOOKUP($F$1,Part3,22,FALSE)</f>
        <v>-89485</v>
      </c>
      <c r="O33" s="660"/>
      <c r="P33" s="448"/>
      <c r="Q33" s="393"/>
      <c r="R33" s="644">
        <f>VLOOKUP($F$1,Part3,23,FALSE)</f>
        <v>-8071890</v>
      </c>
      <c r="S33" s="660"/>
      <c r="T33" s="266"/>
      <c r="U33" s="35"/>
      <c r="V33" s="262"/>
      <c r="W33" s="376"/>
      <c r="X33" s="377"/>
      <c r="Y33" s="268"/>
      <c r="Z33" s="269"/>
      <c r="AA33" s="265"/>
      <c r="AB33" s="265"/>
      <c r="AC33" s="265"/>
      <c r="AD33" s="265"/>
      <c r="AE33" s="265"/>
      <c r="AF33" s="265"/>
      <c r="AG33" s="265"/>
    </row>
    <row r="34" spans="1:33" ht="16.5" thickBot="1" x14ac:dyDescent="0.25">
      <c r="A34" s="118"/>
      <c r="B34" s="47"/>
      <c r="C34" s="47"/>
      <c r="D34" s="47"/>
      <c r="E34" s="47"/>
      <c r="F34" s="47"/>
      <c r="G34" s="47"/>
      <c r="H34" s="47"/>
      <c r="I34" s="47"/>
      <c r="J34" s="452"/>
      <c r="K34" s="452"/>
      <c r="L34" s="452"/>
      <c r="M34" s="516"/>
      <c r="N34" s="516"/>
      <c r="O34" s="516"/>
      <c r="P34" s="517"/>
      <c r="Q34" s="179"/>
      <c r="R34" s="186"/>
      <c r="S34" s="186"/>
      <c r="T34" s="266"/>
      <c r="U34" s="35"/>
      <c r="V34" s="262"/>
      <c r="W34" s="258"/>
      <c r="X34" s="267"/>
      <c r="Z34" s="265"/>
      <c r="AA34" s="265"/>
      <c r="AB34" s="265"/>
      <c r="AC34" s="265"/>
      <c r="AD34" s="265"/>
      <c r="AE34" s="265"/>
      <c r="AF34" s="265"/>
      <c r="AG34" s="265"/>
    </row>
    <row r="35" spans="1:33" ht="18.75" thickBot="1" x14ac:dyDescent="0.3">
      <c r="A35" s="118"/>
      <c r="B35" s="278"/>
      <c r="C35" s="236" t="s">
        <v>934</v>
      </c>
      <c r="D35" s="182"/>
      <c r="E35" s="182"/>
      <c r="F35" s="182"/>
      <c r="G35" s="182"/>
      <c r="H35" s="237"/>
      <c r="I35" s="237"/>
      <c r="J35" s="644">
        <f>VLOOKUP($F$1,Part3,24,FALSE)</f>
        <v>12106</v>
      </c>
      <c r="K35" s="660"/>
      <c r="L35" s="184"/>
      <c r="M35" s="184"/>
      <c r="N35" s="644">
        <f>VLOOKUP($F$1,Part3,25,FALSE)</f>
        <v>0</v>
      </c>
      <c r="O35" s="660"/>
      <c r="P35" s="183"/>
      <c r="Q35" s="393"/>
      <c r="R35" s="644">
        <f>VLOOKUP($F$1,Part3,26,FALSE)</f>
        <v>12106</v>
      </c>
      <c r="S35" s="660"/>
      <c r="T35" s="266"/>
      <c r="U35" s="35"/>
      <c r="V35" s="262"/>
      <c r="W35" s="376"/>
      <c r="X35" s="377"/>
      <c r="Y35" s="268"/>
      <c r="Z35" s="269"/>
      <c r="AA35" s="265"/>
      <c r="AB35" s="265"/>
      <c r="AC35" s="265"/>
      <c r="AD35" s="265"/>
      <c r="AE35" s="265"/>
      <c r="AF35" s="265"/>
      <c r="AG35" s="265"/>
    </row>
    <row r="36" spans="1:33" ht="15.75" x14ac:dyDescent="0.2">
      <c r="A36" s="118"/>
      <c r="B36" s="278"/>
      <c r="C36" s="236" t="s">
        <v>935</v>
      </c>
      <c r="D36" s="182"/>
      <c r="E36" s="182"/>
      <c r="F36" s="182"/>
      <c r="G36" s="182"/>
      <c r="H36" s="237"/>
      <c r="I36" s="237"/>
      <c r="J36" s="279"/>
      <c r="K36" s="279"/>
      <c r="L36" s="184"/>
      <c r="M36" s="184"/>
      <c r="N36" s="279"/>
      <c r="O36" s="279"/>
      <c r="P36" s="183"/>
      <c r="Q36" s="179"/>
      <c r="R36" s="186"/>
      <c r="S36" s="186"/>
      <c r="T36" s="266"/>
      <c r="U36" s="35"/>
      <c r="V36" s="262"/>
      <c r="W36" s="258"/>
      <c r="X36" s="267"/>
      <c r="Z36" s="265"/>
      <c r="AA36" s="265"/>
      <c r="AB36" s="265"/>
      <c r="AC36" s="265"/>
      <c r="AD36" s="265"/>
      <c r="AE36" s="265"/>
      <c r="AF36" s="265"/>
      <c r="AG36" s="265"/>
    </row>
    <row r="37" spans="1:33" ht="16.5" thickBot="1" x14ac:dyDescent="0.25">
      <c r="A37" s="118"/>
      <c r="B37" s="47"/>
      <c r="C37" s="191"/>
      <c r="D37" s="47"/>
      <c r="E37" s="47"/>
      <c r="F37" s="47"/>
      <c r="G37" s="47"/>
      <c r="H37" s="47"/>
      <c r="I37" s="47"/>
      <c r="J37" s="452"/>
      <c r="K37" s="453"/>
      <c r="L37" s="452"/>
      <c r="M37" s="516"/>
      <c r="N37" s="516"/>
      <c r="O37" s="516"/>
      <c r="P37" s="517"/>
      <c r="Q37" s="179"/>
      <c r="R37" s="186"/>
      <c r="S37" s="186"/>
      <c r="T37" s="266"/>
      <c r="U37" s="35"/>
      <c r="V37" s="262"/>
      <c r="W37" s="258"/>
      <c r="X37" s="267"/>
      <c r="Z37" s="265"/>
      <c r="AA37" s="265"/>
      <c r="AB37" s="265"/>
      <c r="AC37" s="265"/>
      <c r="AD37" s="265"/>
      <c r="AE37" s="265"/>
      <c r="AF37" s="265"/>
      <c r="AG37" s="265"/>
    </row>
    <row r="38" spans="1:33" ht="18.75" thickBot="1" x14ac:dyDescent="0.3">
      <c r="A38" s="118"/>
      <c r="B38" s="119"/>
      <c r="C38" s="47" t="s">
        <v>936</v>
      </c>
      <c r="D38" s="47"/>
      <c r="E38" s="47"/>
      <c r="F38" s="47"/>
      <c r="G38" s="47"/>
      <c r="H38" s="6"/>
      <c r="I38" s="6"/>
      <c r="J38" s="644">
        <f>VLOOKUP($F$1,Part3,27,FALSE)</f>
        <v>-421376</v>
      </c>
      <c r="K38" s="660"/>
      <c r="L38" s="185"/>
      <c r="M38" s="185"/>
      <c r="N38" s="644">
        <f>VLOOKUP($F$1,Part3,28,FALSE)</f>
        <v>-1541</v>
      </c>
      <c r="O38" s="660"/>
      <c r="P38" s="448"/>
      <c r="Q38" s="393"/>
      <c r="R38" s="644">
        <f>VLOOKUP($F$1,Part3,29,FALSE)</f>
        <v>-422917</v>
      </c>
      <c r="S38" s="660"/>
      <c r="T38" s="266"/>
      <c r="U38" s="35"/>
      <c r="V38" s="262"/>
      <c r="W38" s="376"/>
      <c r="X38" s="377"/>
      <c r="Y38" s="268"/>
      <c r="Z38" s="269"/>
      <c r="AA38" s="265"/>
      <c r="AB38" s="265"/>
      <c r="AC38" s="265"/>
      <c r="AD38" s="265"/>
      <c r="AE38" s="265"/>
      <c r="AF38" s="265"/>
      <c r="AG38" s="265"/>
    </row>
    <row r="39" spans="1:33" ht="15.75" x14ac:dyDescent="0.2">
      <c r="A39" s="118"/>
      <c r="B39" s="119"/>
      <c r="C39" s="47" t="s">
        <v>937</v>
      </c>
      <c r="D39" s="47"/>
      <c r="E39" s="47"/>
      <c r="F39" s="47"/>
      <c r="G39" s="47"/>
      <c r="H39" s="6"/>
      <c r="I39" s="6"/>
      <c r="J39" s="280"/>
      <c r="K39" s="280"/>
      <c r="L39" s="185"/>
      <c r="M39" s="185"/>
      <c r="N39" s="280"/>
      <c r="O39" s="280"/>
      <c r="P39" s="515"/>
      <c r="Q39" s="179"/>
      <c r="R39" s="186"/>
      <c r="S39" s="186"/>
      <c r="T39" s="266"/>
      <c r="U39" s="35"/>
      <c r="V39" s="262"/>
      <c r="W39" s="258"/>
      <c r="X39" s="267"/>
      <c r="Z39" s="265"/>
      <c r="AA39" s="265"/>
      <c r="AB39" s="265"/>
      <c r="AC39" s="265"/>
      <c r="AD39" s="265"/>
      <c r="AE39" s="265"/>
      <c r="AF39" s="265"/>
      <c r="AG39" s="265"/>
    </row>
    <row r="40" spans="1:33" ht="16.5" thickBot="1" x14ac:dyDescent="0.25">
      <c r="A40" s="118"/>
      <c r="B40" s="47"/>
      <c r="C40" s="47"/>
      <c r="D40" s="47"/>
      <c r="E40" s="47"/>
      <c r="F40" s="47"/>
      <c r="G40" s="47"/>
      <c r="H40" s="47"/>
      <c r="I40" s="47"/>
      <c r="J40" s="452"/>
      <c r="K40" s="452"/>
      <c r="L40" s="452"/>
      <c r="M40" s="516"/>
      <c r="N40" s="516"/>
      <c r="O40" s="516"/>
      <c r="P40" s="517"/>
      <c r="Q40" s="179"/>
      <c r="R40" s="186"/>
      <c r="S40" s="186"/>
      <c r="T40" s="266"/>
      <c r="U40" s="35"/>
      <c r="V40" s="262"/>
      <c r="W40" s="258"/>
      <c r="X40" s="267"/>
      <c r="Z40" s="265"/>
      <c r="AA40" s="265"/>
      <c r="AB40" s="265"/>
      <c r="AC40" s="265"/>
      <c r="AD40" s="265"/>
      <c r="AE40" s="265"/>
      <c r="AF40" s="265"/>
      <c r="AG40" s="265"/>
    </row>
    <row r="41" spans="1:33" ht="18.75" thickBot="1" x14ac:dyDescent="0.3">
      <c r="A41" s="118"/>
      <c r="B41" s="278"/>
      <c r="C41" s="236" t="s">
        <v>938</v>
      </c>
      <c r="D41" s="182"/>
      <c r="E41" s="182"/>
      <c r="F41" s="182"/>
      <c r="G41" s="182"/>
      <c r="H41" s="237"/>
      <c r="I41" s="237"/>
      <c r="J41" s="644">
        <f>VLOOKUP($F$1,Part3,30,FALSE)</f>
        <v>-156363</v>
      </c>
      <c r="K41" s="660"/>
      <c r="L41" s="184"/>
      <c r="M41" s="184"/>
      <c r="N41" s="644">
        <f>VLOOKUP($F$1,Part3,31,FALSE)</f>
        <v>-1600</v>
      </c>
      <c r="O41" s="660"/>
      <c r="P41" s="183"/>
      <c r="Q41" s="393"/>
      <c r="R41" s="644">
        <f>VLOOKUP($F$1,Part3,32,FALSE)</f>
        <v>-157963</v>
      </c>
      <c r="S41" s="660"/>
      <c r="T41" s="266"/>
      <c r="U41" s="35"/>
      <c r="V41" s="262"/>
      <c r="W41" s="376"/>
      <c r="X41" s="377"/>
      <c r="Y41" s="268"/>
      <c r="Z41" s="269"/>
      <c r="AA41" s="265"/>
      <c r="AB41" s="265"/>
      <c r="AC41" s="265"/>
      <c r="AD41" s="265"/>
      <c r="AE41" s="265"/>
      <c r="AF41" s="265"/>
      <c r="AG41" s="265"/>
    </row>
    <row r="42" spans="1:33" ht="16.5" thickBot="1" x14ac:dyDescent="0.25">
      <c r="A42" s="118"/>
      <c r="B42" s="47"/>
      <c r="C42" s="191"/>
      <c r="D42" s="47"/>
      <c r="E42" s="47"/>
      <c r="F42" s="47"/>
      <c r="G42" s="47"/>
      <c r="H42" s="47"/>
      <c r="I42" s="47"/>
      <c r="J42" s="452"/>
      <c r="K42" s="453"/>
      <c r="L42" s="452"/>
      <c r="M42" s="516"/>
      <c r="N42" s="516"/>
      <c r="O42" s="516"/>
      <c r="P42" s="517"/>
      <c r="Q42" s="179"/>
      <c r="R42" s="186"/>
      <c r="S42" s="186"/>
      <c r="T42" s="266"/>
      <c r="U42" s="35"/>
      <c r="V42" s="262"/>
      <c r="W42" s="258"/>
      <c r="X42" s="267"/>
      <c r="Z42" s="265"/>
      <c r="AA42" s="265"/>
      <c r="AB42" s="265"/>
      <c r="AC42" s="265"/>
      <c r="AD42" s="265"/>
      <c r="AE42" s="265"/>
      <c r="AF42" s="265"/>
      <c r="AG42" s="265"/>
    </row>
    <row r="43" spans="1:33" ht="18.75" thickBot="1" x14ac:dyDescent="0.3">
      <c r="A43" s="118"/>
      <c r="B43" s="119"/>
      <c r="C43" s="638" t="s">
        <v>939</v>
      </c>
      <c r="D43" s="638"/>
      <c r="E43" s="638"/>
      <c r="F43" s="638"/>
      <c r="G43" s="638"/>
      <c r="H43" s="6"/>
      <c r="I43" s="6"/>
      <c r="J43" s="644">
        <f>VLOOKUP($F$1,Part3,33,FALSE)</f>
        <v>4410147</v>
      </c>
      <c r="K43" s="660"/>
      <c r="L43" s="185"/>
      <c r="M43" s="185"/>
      <c r="N43" s="644">
        <f>VLOOKUP($F$1,Part3,34,FALSE)</f>
        <v>586515</v>
      </c>
      <c r="O43" s="660"/>
      <c r="P43" s="448"/>
      <c r="Q43" s="393"/>
      <c r="R43" s="644">
        <f>VLOOKUP($F$1,Part3,35,FALSE)</f>
        <v>4996662</v>
      </c>
      <c r="S43" s="660"/>
      <c r="T43" s="266"/>
      <c r="U43" s="35"/>
      <c r="V43" s="262"/>
      <c r="W43" s="376"/>
      <c r="X43" s="377"/>
      <c r="Y43" s="268"/>
      <c r="Z43" s="269"/>
      <c r="AA43" s="265"/>
      <c r="AB43" s="265"/>
      <c r="AC43" s="265"/>
      <c r="AD43" s="265"/>
      <c r="AE43" s="265"/>
      <c r="AF43" s="265"/>
      <c r="AG43" s="265"/>
    </row>
    <row r="44" spans="1:33" ht="15.75" x14ac:dyDescent="0.2">
      <c r="A44" s="118"/>
      <c r="B44" s="119"/>
      <c r="C44" s="699"/>
      <c r="D44" s="699"/>
      <c r="E44" s="699"/>
      <c r="F44" s="699"/>
      <c r="G44" s="699"/>
      <c r="H44" s="6"/>
      <c r="I44" s="6"/>
      <c r="J44" s="187"/>
      <c r="K44" s="516"/>
      <c r="L44" s="516"/>
      <c r="M44" s="516"/>
      <c r="N44" s="187"/>
      <c r="O44" s="516"/>
      <c r="P44" s="517"/>
      <c r="Q44" s="179"/>
      <c r="R44" s="186"/>
      <c r="S44" s="179"/>
      <c r="T44" s="266"/>
      <c r="U44" s="35"/>
      <c r="V44" s="262"/>
      <c r="W44" s="258"/>
      <c r="X44" s="267"/>
      <c r="Z44" s="265"/>
      <c r="AA44" s="265"/>
      <c r="AB44" s="265"/>
      <c r="AC44" s="265"/>
      <c r="AD44" s="265"/>
      <c r="AE44" s="265"/>
      <c r="AF44" s="265"/>
      <c r="AG44" s="265"/>
    </row>
    <row r="45" spans="1:33" ht="16.5" thickBot="1" x14ac:dyDescent="0.25">
      <c r="A45" s="118"/>
      <c r="B45" s="119"/>
      <c r="C45" s="511"/>
      <c r="D45" s="511"/>
      <c r="E45" s="511"/>
      <c r="F45" s="511"/>
      <c r="G45" s="511"/>
      <c r="H45" s="6"/>
      <c r="I45" s="6"/>
      <c r="J45" s="187"/>
      <c r="K45" s="516"/>
      <c r="L45" s="516"/>
      <c r="M45" s="516"/>
      <c r="N45" s="187"/>
      <c r="O45" s="516"/>
      <c r="P45" s="517"/>
      <c r="Q45" s="179"/>
      <c r="R45" s="186"/>
      <c r="S45" s="179"/>
      <c r="T45" s="266"/>
      <c r="U45" s="35"/>
      <c r="V45" s="262"/>
      <c r="W45" s="258"/>
      <c r="X45" s="267"/>
      <c r="Z45" s="265"/>
      <c r="AA45" s="265"/>
      <c r="AB45" s="265"/>
      <c r="AC45" s="265"/>
      <c r="AD45" s="265"/>
      <c r="AE45" s="265"/>
      <c r="AF45" s="265"/>
      <c r="AG45" s="265"/>
    </row>
    <row r="46" spans="1:33" ht="18.75" thickBot="1" x14ac:dyDescent="0.3">
      <c r="A46" s="118"/>
      <c r="B46" s="119"/>
      <c r="C46" s="638" t="s">
        <v>940</v>
      </c>
      <c r="D46" s="638"/>
      <c r="E46" s="638"/>
      <c r="F46" s="638"/>
      <c r="G46" s="638"/>
      <c r="H46" s="6"/>
      <c r="I46" s="6"/>
      <c r="J46" s="644">
        <f>VLOOKUP($F$1,Part3,36,FALSE)</f>
        <v>191006</v>
      </c>
      <c r="K46" s="660"/>
      <c r="L46" s="185"/>
      <c r="M46" s="185"/>
      <c r="N46" s="644">
        <f>VLOOKUP($F$1,Part3,37,FALSE)</f>
        <v>404</v>
      </c>
      <c r="O46" s="660"/>
      <c r="P46" s="448"/>
      <c r="Q46" s="393"/>
      <c r="R46" s="644">
        <f>VLOOKUP($F$1,Part3,38,FALSE)</f>
        <v>191410</v>
      </c>
      <c r="S46" s="660"/>
      <c r="T46" s="266"/>
      <c r="U46" s="35"/>
      <c r="V46" s="262"/>
      <c r="W46" s="376"/>
      <c r="X46" s="377"/>
      <c r="Y46" s="268"/>
      <c r="Z46" s="269"/>
      <c r="AA46" s="265"/>
      <c r="AB46" s="265"/>
      <c r="AC46" s="265"/>
      <c r="AD46" s="265"/>
      <c r="AE46" s="265"/>
      <c r="AF46" s="265"/>
      <c r="AG46" s="265"/>
    </row>
    <row r="47" spans="1:33" ht="15.75" x14ac:dyDescent="0.2">
      <c r="A47" s="118"/>
      <c r="B47" s="119"/>
      <c r="C47" s="699"/>
      <c r="D47" s="699"/>
      <c r="E47" s="699"/>
      <c r="F47" s="699"/>
      <c r="G47" s="699"/>
      <c r="H47" s="6"/>
      <c r="I47" s="6"/>
      <c r="J47" s="187"/>
      <c r="K47" s="516"/>
      <c r="L47" s="516"/>
      <c r="M47" s="516"/>
      <c r="N47" s="187"/>
      <c r="O47" s="516"/>
      <c r="P47" s="517"/>
      <c r="Q47" s="179"/>
      <c r="R47" s="186"/>
      <c r="S47" s="179"/>
      <c r="T47" s="266"/>
      <c r="U47" s="35"/>
      <c r="V47" s="262"/>
      <c r="W47" s="258"/>
      <c r="X47" s="267"/>
      <c r="Z47" s="265"/>
      <c r="AA47" s="265"/>
      <c r="AB47" s="265"/>
      <c r="AC47" s="265"/>
      <c r="AD47" s="265"/>
      <c r="AE47" s="265"/>
      <c r="AF47" s="265"/>
      <c r="AG47" s="265"/>
    </row>
    <row r="48" spans="1:33" x14ac:dyDescent="0.2">
      <c r="A48" s="118"/>
      <c r="B48" s="119"/>
      <c r="C48" s="47"/>
      <c r="D48" s="47"/>
      <c r="E48" s="47"/>
      <c r="F48" s="47"/>
      <c r="G48" s="47"/>
      <c r="H48" s="6"/>
      <c r="I48" s="6"/>
      <c r="J48" s="516"/>
      <c r="K48" s="516"/>
      <c r="L48" s="516"/>
      <c r="M48" s="516"/>
      <c r="N48" s="516"/>
      <c r="O48" s="516"/>
      <c r="P48" s="517"/>
      <c r="Q48" s="179"/>
      <c r="R48" s="179"/>
      <c r="S48" s="179"/>
      <c r="T48" s="266"/>
      <c r="U48" s="35"/>
      <c r="V48" s="262"/>
      <c r="W48" s="258"/>
      <c r="X48" s="267"/>
      <c r="Z48" s="265"/>
      <c r="AA48" s="265"/>
      <c r="AB48" s="265"/>
      <c r="AC48" s="265"/>
      <c r="AD48" s="265"/>
      <c r="AE48" s="265"/>
      <c r="AF48" s="265"/>
      <c r="AG48" s="265"/>
    </row>
    <row r="49" spans="1:33" ht="16.5" thickBot="1" x14ac:dyDescent="0.25">
      <c r="A49" s="118"/>
      <c r="B49" s="119"/>
      <c r="C49" s="512" t="s">
        <v>552</v>
      </c>
      <c r="D49" s="47"/>
      <c r="E49" s="47"/>
      <c r="F49" s="47"/>
      <c r="G49" s="47"/>
      <c r="H49" s="6"/>
      <c r="I49" s="6"/>
      <c r="J49" s="516"/>
      <c r="K49" s="516"/>
      <c r="L49" s="516"/>
      <c r="M49" s="516"/>
      <c r="N49" s="516"/>
      <c r="O49" s="516"/>
      <c r="P49" s="517"/>
      <c r="Q49" s="179"/>
      <c r="R49" s="179"/>
      <c r="S49" s="179"/>
      <c r="T49" s="266"/>
      <c r="U49" s="35"/>
      <c r="V49" s="262"/>
      <c r="W49" s="258"/>
      <c r="X49" s="267"/>
      <c r="Z49" s="265"/>
      <c r="AA49" s="265"/>
      <c r="AB49" s="265"/>
      <c r="AC49" s="265"/>
      <c r="AD49" s="265"/>
      <c r="AE49" s="265"/>
      <c r="AF49" s="265"/>
      <c r="AG49" s="265"/>
    </row>
    <row r="50" spans="1:33" ht="18.75" thickBot="1" x14ac:dyDescent="0.3">
      <c r="A50" s="118"/>
      <c r="B50" s="119"/>
      <c r="C50" s="47" t="s">
        <v>941</v>
      </c>
      <c r="D50" s="47"/>
      <c r="E50" s="47"/>
      <c r="F50" s="47"/>
      <c r="G50" s="47"/>
      <c r="H50" s="6"/>
      <c r="I50" s="6"/>
      <c r="J50" s="644">
        <f>VLOOKUP($F$1,Part3,39,FALSE)</f>
        <v>-15697575</v>
      </c>
      <c r="K50" s="660"/>
      <c r="L50" s="185"/>
      <c r="M50" s="185"/>
      <c r="N50" s="644">
        <f>VLOOKUP($F$1,Part3,40,FALSE)</f>
        <v>-35836</v>
      </c>
      <c r="O50" s="660"/>
      <c r="P50" s="448"/>
      <c r="Q50" s="393"/>
      <c r="R50" s="644">
        <f>VLOOKUP($F$1,Part3,41,FALSE)</f>
        <v>-15733411</v>
      </c>
      <c r="S50" s="660"/>
      <c r="T50" s="266"/>
      <c r="U50" s="35"/>
      <c r="V50" s="262"/>
      <c r="W50" s="376"/>
      <c r="X50" s="377"/>
      <c r="Y50" s="268"/>
      <c r="Z50" s="269"/>
      <c r="AA50" s="265"/>
      <c r="AB50" s="265"/>
      <c r="AC50" s="265"/>
      <c r="AD50" s="265"/>
      <c r="AE50" s="265"/>
      <c r="AF50" s="265"/>
      <c r="AG50" s="265"/>
    </row>
    <row r="51" spans="1:33" ht="15.75" thickBot="1" x14ac:dyDescent="0.25">
      <c r="A51" s="118"/>
      <c r="B51" s="119"/>
      <c r="C51" s="47"/>
      <c r="D51" s="47"/>
      <c r="E51" s="47"/>
      <c r="F51" s="47"/>
      <c r="G51" s="47"/>
      <c r="H51" s="6"/>
      <c r="I51" s="6"/>
      <c r="J51" s="516"/>
      <c r="K51" s="516"/>
      <c r="L51" s="516"/>
      <c r="M51" s="516"/>
      <c r="N51" s="516"/>
      <c r="O51" s="516"/>
      <c r="P51" s="517"/>
      <c r="Q51" s="179"/>
      <c r="R51" s="179"/>
      <c r="S51" s="179"/>
      <c r="T51" s="266"/>
      <c r="U51" s="35"/>
      <c r="V51" s="262"/>
      <c r="W51" s="258"/>
      <c r="X51" s="267"/>
      <c r="Z51" s="265"/>
      <c r="AA51" s="265"/>
      <c r="AB51" s="265"/>
      <c r="AC51" s="265"/>
      <c r="AD51" s="265"/>
      <c r="AE51" s="265"/>
      <c r="AF51" s="265"/>
      <c r="AG51" s="265"/>
    </row>
    <row r="52" spans="1:33" ht="18.75" thickBot="1" x14ac:dyDescent="0.3">
      <c r="A52" s="118"/>
      <c r="B52" s="119"/>
      <c r="C52" s="638" t="s">
        <v>942</v>
      </c>
      <c r="D52" s="638"/>
      <c r="E52" s="638"/>
      <c r="F52" s="638"/>
      <c r="G52" s="638"/>
      <c r="H52" s="6"/>
      <c r="I52" s="6"/>
      <c r="J52" s="644">
        <f>VLOOKUP($F$1,Part3,42,FALSE)</f>
        <v>1106487</v>
      </c>
      <c r="K52" s="660"/>
      <c r="L52" s="185"/>
      <c r="M52" s="185"/>
      <c r="N52" s="644">
        <f>VLOOKUP($F$1,Part3,43,FALSE)</f>
        <v>1651</v>
      </c>
      <c r="O52" s="660"/>
      <c r="P52" s="448"/>
      <c r="Q52" s="393"/>
      <c r="R52" s="644">
        <f>VLOOKUP($F$1,Part3,44,FALSE)</f>
        <v>1108138</v>
      </c>
      <c r="S52" s="660"/>
      <c r="T52" s="266"/>
      <c r="U52" s="35"/>
      <c r="V52" s="262"/>
      <c r="W52" s="376"/>
      <c r="X52" s="377"/>
      <c r="Y52" s="268"/>
      <c r="Z52" s="269"/>
      <c r="AA52" s="265"/>
      <c r="AB52" s="265"/>
      <c r="AC52" s="265"/>
      <c r="AD52" s="265"/>
      <c r="AE52" s="265"/>
      <c r="AF52" s="265"/>
      <c r="AG52" s="265"/>
    </row>
    <row r="53" spans="1:33" ht="15.75" x14ac:dyDescent="0.2">
      <c r="A53" s="118"/>
      <c r="B53" s="119"/>
      <c r="C53" s="699"/>
      <c r="D53" s="699"/>
      <c r="E53" s="699"/>
      <c r="F53" s="699"/>
      <c r="G53" s="699"/>
      <c r="H53" s="6"/>
      <c r="I53" s="6"/>
      <c r="J53" s="187"/>
      <c r="K53" s="516"/>
      <c r="L53" s="516"/>
      <c r="M53" s="516"/>
      <c r="N53" s="187"/>
      <c r="O53" s="516"/>
      <c r="P53" s="517"/>
      <c r="Q53" s="179"/>
      <c r="R53" s="186"/>
      <c r="S53" s="179"/>
      <c r="T53" s="266"/>
      <c r="U53" s="35"/>
      <c r="V53" s="262"/>
      <c r="W53" s="258"/>
      <c r="X53" s="267"/>
      <c r="Z53" s="265"/>
      <c r="AA53" s="265"/>
      <c r="AB53" s="265"/>
      <c r="AC53" s="265"/>
      <c r="AD53" s="265"/>
      <c r="AE53" s="265"/>
      <c r="AF53" s="265"/>
      <c r="AG53" s="265"/>
    </row>
    <row r="54" spans="1:33" x14ac:dyDescent="0.2">
      <c r="A54" s="118"/>
      <c r="B54" s="119"/>
      <c r="C54" s="47"/>
      <c r="D54" s="47"/>
      <c r="E54" s="47"/>
      <c r="F54" s="47"/>
      <c r="G54" s="47"/>
      <c r="H54" s="6"/>
      <c r="I54" s="6"/>
      <c r="J54" s="516"/>
      <c r="K54" s="516"/>
      <c r="L54" s="516"/>
      <c r="M54" s="516"/>
      <c r="N54" s="516"/>
      <c r="O54" s="516"/>
      <c r="P54" s="517"/>
      <c r="Q54" s="179"/>
      <c r="R54" s="179"/>
      <c r="S54" s="179"/>
      <c r="T54" s="266"/>
      <c r="U54" s="35"/>
      <c r="V54" s="262"/>
      <c r="W54" s="258"/>
      <c r="X54" s="267"/>
      <c r="Z54" s="265"/>
      <c r="AA54" s="265"/>
      <c r="AB54" s="265"/>
      <c r="AC54" s="265"/>
      <c r="AD54" s="265"/>
      <c r="AE54" s="265"/>
      <c r="AF54" s="265"/>
      <c r="AG54" s="265"/>
    </row>
    <row r="55" spans="1:33" ht="16.5" thickBot="1" x14ac:dyDescent="0.25">
      <c r="A55" s="118"/>
      <c r="B55" s="119"/>
      <c r="C55" s="512" t="s">
        <v>544</v>
      </c>
      <c r="D55" s="47"/>
      <c r="E55" s="47"/>
      <c r="F55" s="47"/>
      <c r="G55" s="47"/>
      <c r="H55" s="6"/>
      <c r="I55" s="6"/>
      <c r="J55" s="516"/>
      <c r="K55" s="516"/>
      <c r="L55" s="516"/>
      <c r="M55" s="516"/>
      <c r="N55" s="516"/>
      <c r="O55" s="516"/>
      <c r="P55" s="517"/>
      <c r="Q55" s="179"/>
      <c r="R55" s="179"/>
      <c r="S55" s="179"/>
      <c r="T55" s="266"/>
      <c r="U55" s="35"/>
      <c r="V55" s="262"/>
      <c r="W55" s="258"/>
      <c r="X55" s="267"/>
      <c r="Z55" s="265"/>
      <c r="AA55" s="265"/>
      <c r="AB55" s="265"/>
      <c r="AC55" s="265"/>
      <c r="AD55" s="265"/>
      <c r="AE55" s="265"/>
      <c r="AF55" s="265"/>
      <c r="AG55" s="265"/>
    </row>
    <row r="56" spans="1:33" ht="18.75" thickBot="1" x14ac:dyDescent="0.3">
      <c r="A56" s="118"/>
      <c r="B56" s="119"/>
      <c r="C56" s="47" t="s">
        <v>943</v>
      </c>
      <c r="D56" s="47"/>
      <c r="E56" s="47"/>
      <c r="F56" s="47"/>
      <c r="G56" s="47"/>
      <c r="H56" s="6"/>
      <c r="I56" s="6"/>
      <c r="J56" s="644">
        <f>VLOOKUP($F$1,Part3,45,FALSE)</f>
        <v>-146597</v>
      </c>
      <c r="K56" s="660"/>
      <c r="L56" s="185"/>
      <c r="M56" s="185"/>
      <c r="N56" s="644">
        <f>VLOOKUP($F$1,Part3,46,FALSE)</f>
        <v>0</v>
      </c>
      <c r="O56" s="660"/>
      <c r="P56" s="448"/>
      <c r="Q56" s="393"/>
      <c r="R56" s="644">
        <f>VLOOKUP($F$1,Part3,47,FALSE)</f>
        <v>-146597</v>
      </c>
      <c r="S56" s="660"/>
      <c r="T56" s="266"/>
      <c r="U56" s="35"/>
      <c r="V56" s="262"/>
      <c r="W56" s="376"/>
      <c r="X56" s="377"/>
      <c r="Y56" s="268"/>
      <c r="Z56" s="269"/>
      <c r="AA56" s="265"/>
      <c r="AB56" s="265"/>
      <c r="AC56" s="265"/>
      <c r="AD56" s="265"/>
      <c r="AE56" s="265"/>
      <c r="AF56" s="265"/>
      <c r="AG56" s="265"/>
    </row>
    <row r="57" spans="1:33" ht="15.75" thickBot="1" x14ac:dyDescent="0.25">
      <c r="A57" s="118"/>
      <c r="B57" s="119"/>
      <c r="C57" s="47"/>
      <c r="D57" s="47"/>
      <c r="E57" s="47"/>
      <c r="F57" s="47"/>
      <c r="G57" s="47"/>
      <c r="H57" s="6"/>
      <c r="I57" s="6"/>
      <c r="J57" s="449"/>
      <c r="K57" s="449"/>
      <c r="L57" s="449"/>
      <c r="M57" s="449"/>
      <c r="N57" s="449"/>
      <c r="O57" s="449"/>
      <c r="P57" s="432"/>
      <c r="Q57" s="433"/>
      <c r="R57" s="433"/>
      <c r="S57" s="433"/>
      <c r="T57" s="266"/>
      <c r="U57" s="35"/>
      <c r="V57" s="262"/>
      <c r="W57" s="258"/>
      <c r="X57" s="267"/>
      <c r="Z57" s="265"/>
      <c r="AA57" s="265"/>
      <c r="AB57" s="265"/>
      <c r="AC57" s="265"/>
      <c r="AD57" s="265"/>
      <c r="AE57" s="265"/>
      <c r="AF57" s="265"/>
      <c r="AG57" s="265"/>
    </row>
    <row r="58" spans="1:33" ht="18.75" thickBot="1" x14ac:dyDescent="0.3">
      <c r="A58" s="118"/>
      <c r="B58" s="119"/>
      <c r="C58" s="638" t="s">
        <v>944</v>
      </c>
      <c r="D58" s="638"/>
      <c r="E58" s="638"/>
      <c r="F58" s="638"/>
      <c r="G58" s="638"/>
      <c r="H58" s="6"/>
      <c r="I58" s="6"/>
      <c r="J58" s="644">
        <f>VLOOKUP($F$1,Part3,48,FALSE)</f>
        <v>526</v>
      </c>
      <c r="K58" s="660"/>
      <c r="L58" s="185"/>
      <c r="M58" s="185"/>
      <c r="N58" s="644">
        <f>VLOOKUP($F$1,Part3,49,FALSE)</f>
        <v>0</v>
      </c>
      <c r="O58" s="660"/>
      <c r="P58" s="448"/>
      <c r="Q58" s="393"/>
      <c r="R58" s="644">
        <f>VLOOKUP($F$1,Part3,50,FALSE)</f>
        <v>526</v>
      </c>
      <c r="S58" s="660"/>
      <c r="T58" s="266"/>
      <c r="U58" s="35"/>
      <c r="V58" s="262"/>
      <c r="W58" s="376"/>
      <c r="X58" s="377"/>
      <c r="Y58" s="268"/>
      <c r="Z58" s="269"/>
      <c r="AA58" s="265"/>
      <c r="AB58" s="265"/>
      <c r="AC58" s="265"/>
      <c r="AD58" s="265"/>
      <c r="AE58" s="265"/>
      <c r="AF58" s="265"/>
      <c r="AG58" s="265"/>
    </row>
    <row r="59" spans="1:33" ht="15.75" x14ac:dyDescent="0.2">
      <c r="A59" s="118"/>
      <c r="B59" s="119"/>
      <c r="C59" s="699"/>
      <c r="D59" s="699"/>
      <c r="E59" s="699"/>
      <c r="F59" s="699"/>
      <c r="G59" s="699"/>
      <c r="H59" s="6"/>
      <c r="I59" s="6"/>
      <c r="J59" s="187"/>
      <c r="K59" s="516"/>
      <c r="L59" s="516"/>
      <c r="M59" s="516"/>
      <c r="N59" s="187"/>
      <c r="O59" s="516"/>
      <c r="P59" s="517"/>
      <c r="Q59" s="179"/>
      <c r="R59" s="186"/>
      <c r="S59" s="179"/>
      <c r="T59" s="266"/>
      <c r="U59" s="35"/>
      <c r="V59" s="262"/>
      <c r="W59" s="258"/>
      <c r="X59" s="267"/>
      <c r="Z59" s="265"/>
      <c r="AA59" s="265"/>
      <c r="AB59" s="265"/>
      <c r="AC59" s="265"/>
      <c r="AD59" s="265"/>
      <c r="AE59" s="265"/>
      <c r="AF59" s="265"/>
      <c r="AG59" s="265"/>
    </row>
    <row r="60" spans="1:33" x14ac:dyDescent="0.2">
      <c r="A60" s="118"/>
      <c r="B60" s="119"/>
      <c r="C60" s="47"/>
      <c r="D60" s="47"/>
      <c r="E60" s="47"/>
      <c r="F60" s="47"/>
      <c r="G60" s="47"/>
      <c r="H60" s="6"/>
      <c r="I60" s="6"/>
      <c r="J60" s="449"/>
      <c r="K60" s="449"/>
      <c r="L60" s="449"/>
      <c r="M60" s="449"/>
      <c r="N60" s="449"/>
      <c r="O60" s="449"/>
      <c r="P60" s="432"/>
      <c r="Q60" s="433"/>
      <c r="R60" s="433"/>
      <c r="S60" s="433"/>
      <c r="T60" s="178"/>
      <c r="U60" s="35"/>
      <c r="V60" s="262"/>
      <c r="W60" s="258"/>
      <c r="X60" s="267"/>
      <c r="Z60" s="265"/>
      <c r="AA60" s="265"/>
      <c r="AB60" s="265"/>
      <c r="AC60" s="265"/>
      <c r="AD60" s="265"/>
      <c r="AE60" s="265"/>
      <c r="AF60" s="265"/>
      <c r="AG60" s="265"/>
    </row>
    <row r="61" spans="1:33" ht="16.5" thickBot="1" x14ac:dyDescent="0.25">
      <c r="A61" s="118"/>
      <c r="B61" s="119"/>
      <c r="C61" s="512" t="s">
        <v>554</v>
      </c>
      <c r="D61" s="47"/>
      <c r="E61" s="47"/>
      <c r="F61" s="47"/>
      <c r="G61" s="47"/>
      <c r="H61" s="6"/>
      <c r="I61" s="6"/>
      <c r="J61" s="516"/>
      <c r="K61" s="516"/>
      <c r="L61" s="516"/>
      <c r="M61" s="516"/>
      <c r="N61" s="516"/>
      <c r="O61" s="516"/>
      <c r="P61" s="517"/>
      <c r="Q61" s="179"/>
      <c r="R61" s="179"/>
      <c r="S61" s="179"/>
      <c r="T61" s="266"/>
      <c r="U61" s="35"/>
      <c r="V61" s="262"/>
      <c r="W61" s="258"/>
      <c r="X61" s="267"/>
      <c r="Z61" s="265"/>
      <c r="AA61" s="265"/>
      <c r="AB61" s="265"/>
      <c r="AC61" s="265"/>
      <c r="AD61" s="265"/>
      <c r="AE61" s="265"/>
      <c r="AF61" s="265"/>
      <c r="AG61" s="265"/>
    </row>
    <row r="62" spans="1:33" ht="18.75" thickBot="1" x14ac:dyDescent="0.3">
      <c r="A62" s="118"/>
      <c r="B62" s="119"/>
      <c r="C62" s="47" t="s">
        <v>945</v>
      </c>
      <c r="D62" s="47"/>
      <c r="E62" s="47"/>
      <c r="F62" s="47"/>
      <c r="G62" s="47"/>
      <c r="H62" s="6"/>
      <c r="I62" s="6"/>
      <c r="J62" s="644">
        <f>VLOOKUP($F$1,Part3,51,FALSE)</f>
        <v>0</v>
      </c>
      <c r="K62" s="660"/>
      <c r="L62" s="185"/>
      <c r="M62" s="185"/>
      <c r="N62" s="644">
        <f>VLOOKUP($F$1,Part3,52,FALSE)</f>
        <v>0</v>
      </c>
      <c r="O62" s="660"/>
      <c r="P62" s="448"/>
      <c r="Q62" s="393"/>
      <c r="R62" s="644">
        <f>VLOOKUP($F$1,Part3,53,FALSE)</f>
        <v>0</v>
      </c>
      <c r="S62" s="660"/>
      <c r="T62" s="266"/>
      <c r="U62" s="35"/>
      <c r="V62" s="262"/>
      <c r="W62" s="376"/>
      <c r="X62" s="377"/>
      <c r="Y62" s="268"/>
      <c r="Z62" s="269"/>
      <c r="AA62" s="265"/>
      <c r="AB62" s="265"/>
      <c r="AC62" s="265"/>
      <c r="AD62" s="265"/>
      <c r="AE62" s="265"/>
      <c r="AF62" s="265"/>
      <c r="AG62" s="265"/>
    </row>
    <row r="63" spans="1:33" ht="15.75" thickBot="1" x14ac:dyDescent="0.25">
      <c r="A63" s="118"/>
      <c r="B63" s="119"/>
      <c r="C63" s="47"/>
      <c r="D63" s="47"/>
      <c r="E63" s="47"/>
      <c r="F63" s="47"/>
      <c r="G63" s="47"/>
      <c r="H63" s="6"/>
      <c r="I63" s="6"/>
      <c r="J63" s="449"/>
      <c r="K63" s="449"/>
      <c r="L63" s="449"/>
      <c r="M63" s="449"/>
      <c r="N63" s="449"/>
      <c r="O63" s="449"/>
      <c r="P63" s="432"/>
      <c r="Q63" s="433"/>
      <c r="R63" s="433"/>
      <c r="S63" s="433"/>
      <c r="T63" s="266"/>
      <c r="U63" s="35"/>
      <c r="V63" s="262"/>
      <c r="W63" s="258"/>
      <c r="X63" s="267"/>
      <c r="Z63" s="265"/>
      <c r="AA63" s="265"/>
      <c r="AB63" s="265"/>
      <c r="AC63" s="265"/>
      <c r="AD63" s="265"/>
      <c r="AE63" s="265"/>
      <c r="AF63" s="265"/>
      <c r="AG63" s="265"/>
    </row>
    <row r="64" spans="1:33" ht="18.75" thickBot="1" x14ac:dyDescent="0.3">
      <c r="A64" s="118"/>
      <c r="B64" s="119"/>
      <c r="C64" s="638" t="s">
        <v>946</v>
      </c>
      <c r="D64" s="638"/>
      <c r="E64" s="638"/>
      <c r="F64" s="638"/>
      <c r="G64" s="638"/>
      <c r="H64" s="6"/>
      <c r="I64" s="6"/>
      <c r="J64" s="644">
        <f>VLOOKUP($F$1,Part3,54,FALSE)</f>
        <v>0</v>
      </c>
      <c r="K64" s="660"/>
      <c r="L64" s="185"/>
      <c r="M64" s="185"/>
      <c r="N64" s="644">
        <f>VLOOKUP($F$1,Part3,55,FALSE)</f>
        <v>0</v>
      </c>
      <c r="O64" s="660"/>
      <c r="P64" s="448"/>
      <c r="Q64" s="393"/>
      <c r="R64" s="644">
        <f>VLOOKUP($F$1,Part3,56,FALSE)</f>
        <v>0</v>
      </c>
      <c r="S64" s="660"/>
      <c r="T64" s="266"/>
      <c r="U64" s="35"/>
      <c r="V64" s="262"/>
      <c r="W64" s="376"/>
      <c r="X64" s="377"/>
      <c r="Y64" s="268"/>
      <c r="Z64" s="269"/>
      <c r="AA64" s="265"/>
      <c r="AB64" s="265"/>
      <c r="AC64" s="265"/>
      <c r="AD64" s="265"/>
      <c r="AE64" s="265"/>
      <c r="AF64" s="265"/>
      <c r="AG64" s="265"/>
    </row>
    <row r="65" spans="1:35" ht="15.75" x14ac:dyDescent="0.2">
      <c r="A65" s="118"/>
      <c r="B65" s="119"/>
      <c r="C65" s="699"/>
      <c r="D65" s="699"/>
      <c r="E65" s="699"/>
      <c r="F65" s="699"/>
      <c r="G65" s="699"/>
      <c r="H65" s="6"/>
      <c r="I65" s="6"/>
      <c r="J65" s="518"/>
      <c r="K65" s="517"/>
      <c r="L65" s="517"/>
      <c r="M65" s="517"/>
      <c r="N65" s="518"/>
      <c r="O65" s="517"/>
      <c r="P65" s="517"/>
      <c r="Q65" s="179"/>
      <c r="R65" s="186"/>
      <c r="S65" s="179"/>
      <c r="T65" s="266"/>
      <c r="U65" s="35"/>
      <c r="V65" s="262"/>
      <c r="W65" s="258"/>
      <c r="X65" s="267"/>
      <c r="Z65" s="265"/>
      <c r="AA65" s="265"/>
      <c r="AB65" s="265"/>
      <c r="AC65" s="265"/>
      <c r="AD65" s="265"/>
      <c r="AE65" s="265"/>
      <c r="AF65" s="265"/>
      <c r="AG65" s="265"/>
    </row>
    <row r="66" spans="1:35" ht="16.5" thickBot="1" x14ac:dyDescent="0.25">
      <c r="A66" s="118"/>
      <c r="B66" s="281"/>
      <c r="C66" s="123"/>
      <c r="D66" s="123"/>
      <c r="E66" s="123"/>
      <c r="F66" s="123"/>
      <c r="G66" s="123"/>
      <c r="H66" s="111"/>
      <c r="I66" s="6"/>
      <c r="J66" s="518"/>
      <c r="K66" s="517"/>
      <c r="L66" s="517"/>
      <c r="M66" s="517"/>
      <c r="N66" s="518"/>
      <c r="O66" s="517"/>
      <c r="P66" s="517"/>
      <c r="Q66" s="179"/>
      <c r="R66" s="186"/>
      <c r="S66" s="179"/>
      <c r="T66" s="266"/>
      <c r="U66" s="35"/>
      <c r="V66" s="262"/>
      <c r="W66" s="258"/>
      <c r="X66" s="267"/>
      <c r="Z66" s="265"/>
      <c r="AA66" s="265"/>
      <c r="AB66" s="265"/>
      <c r="AC66" s="265"/>
      <c r="AD66" s="265"/>
      <c r="AE66" s="265"/>
      <c r="AF66" s="265"/>
      <c r="AG66" s="265"/>
    </row>
    <row r="67" spans="1:35" ht="16.5" thickBot="1" x14ac:dyDescent="0.25">
      <c r="A67" s="118"/>
      <c r="B67" s="282"/>
      <c r="C67" s="238"/>
      <c r="D67" s="238"/>
      <c r="E67" s="238"/>
      <c r="F67" s="238"/>
      <c r="G67" s="238"/>
      <c r="H67" s="239"/>
      <c r="I67" s="233"/>
      <c r="J67" s="283"/>
      <c r="K67" s="271"/>
      <c r="L67" s="271"/>
      <c r="M67" s="271"/>
      <c r="N67" s="283"/>
      <c r="O67" s="271"/>
      <c r="P67" s="271"/>
      <c r="Q67" s="272"/>
      <c r="R67" s="284"/>
      <c r="S67" s="272"/>
      <c r="T67" s="273"/>
      <c r="U67" s="35"/>
      <c r="V67" s="262"/>
      <c r="W67" s="258"/>
      <c r="X67" s="267"/>
      <c r="Z67" s="265"/>
      <c r="AA67" s="265"/>
      <c r="AB67" s="265"/>
      <c r="AC67" s="265"/>
      <c r="AD67" s="265"/>
      <c r="AE67" s="265"/>
      <c r="AF67" s="265"/>
      <c r="AG67" s="265"/>
    </row>
    <row r="68" spans="1:35" ht="18.75" thickBot="1" x14ac:dyDescent="0.3">
      <c r="A68" s="118"/>
      <c r="B68" s="285"/>
      <c r="C68" s="681" t="s">
        <v>947</v>
      </c>
      <c r="D68" s="681"/>
      <c r="E68" s="681"/>
      <c r="F68" s="681"/>
      <c r="G68" s="123"/>
      <c r="H68" s="111"/>
      <c r="I68" s="6"/>
      <c r="J68" s="644">
        <f>VLOOKUP($F$1,Part3,57,FALSE)</f>
        <v>-18539787</v>
      </c>
      <c r="K68" s="660"/>
      <c r="L68" s="185"/>
      <c r="M68" s="185"/>
      <c r="N68" s="644">
        <f>VLOOKUP($F$1,Part3,58,FALSE)</f>
        <v>461708</v>
      </c>
      <c r="O68" s="660"/>
      <c r="P68" s="448"/>
      <c r="Q68" s="393"/>
      <c r="R68" s="644">
        <f>VLOOKUP($F$1,Part3,59,FALSE)</f>
        <v>-18078079</v>
      </c>
      <c r="S68" s="660"/>
      <c r="T68" s="275"/>
      <c r="U68" s="35"/>
      <c r="V68" s="262"/>
      <c r="W68" s="376"/>
      <c r="X68" s="377"/>
      <c r="Y68" s="268"/>
      <c r="Z68" s="269"/>
      <c r="AA68" s="265"/>
      <c r="AB68" s="265"/>
      <c r="AC68" s="265"/>
      <c r="AD68" s="265"/>
      <c r="AE68" s="265"/>
      <c r="AF68" s="265"/>
      <c r="AG68" s="265"/>
      <c r="AI68" s="286"/>
    </row>
    <row r="69" spans="1:35" ht="16.5" thickBot="1" x14ac:dyDescent="0.25">
      <c r="A69" s="118"/>
      <c r="B69" s="287"/>
      <c r="C69" s="240"/>
      <c r="D69" s="240"/>
      <c r="E69" s="240"/>
      <c r="F69" s="240"/>
      <c r="G69" s="240"/>
      <c r="H69" s="241"/>
      <c r="I69" s="235"/>
      <c r="J69" s="288"/>
      <c r="K69" s="289"/>
      <c r="L69" s="289"/>
      <c r="M69" s="289"/>
      <c r="N69" s="288"/>
      <c r="O69" s="289"/>
      <c r="P69" s="289"/>
      <c r="Q69" s="290"/>
      <c r="R69" s="291"/>
      <c r="S69" s="290"/>
      <c r="T69" s="277"/>
      <c r="U69" s="35"/>
      <c r="V69" s="262"/>
      <c r="W69" s="258"/>
      <c r="X69" s="267"/>
      <c r="Z69" s="265"/>
      <c r="AA69" s="265"/>
      <c r="AB69" s="265"/>
      <c r="AC69" s="265"/>
      <c r="AD69" s="265"/>
      <c r="AE69" s="265"/>
      <c r="AF69" s="265"/>
      <c r="AG69" s="265"/>
    </row>
    <row r="70" spans="1:35" ht="16.5" thickBot="1" x14ac:dyDescent="0.25">
      <c r="A70" s="122"/>
      <c r="B70" s="292"/>
      <c r="C70" s="242"/>
      <c r="D70" s="242"/>
      <c r="E70" s="242"/>
      <c r="F70" s="242"/>
      <c r="G70" s="242"/>
      <c r="H70" s="243"/>
      <c r="I70" s="248"/>
      <c r="J70" s="293"/>
      <c r="K70" s="294"/>
      <c r="L70" s="294"/>
      <c r="M70" s="294"/>
      <c r="N70" s="293"/>
      <c r="O70" s="294"/>
      <c r="P70" s="294"/>
      <c r="Q70" s="295"/>
      <c r="R70" s="296"/>
      <c r="S70" s="295"/>
      <c r="T70" s="297"/>
      <c r="U70" s="36"/>
      <c r="V70" s="262"/>
      <c r="W70" s="258"/>
      <c r="X70" s="267"/>
      <c r="Z70" s="265"/>
      <c r="AA70" s="265"/>
      <c r="AB70" s="265"/>
      <c r="AC70" s="265"/>
      <c r="AD70" s="265"/>
      <c r="AE70" s="265"/>
      <c r="AF70" s="265"/>
      <c r="AG70" s="265"/>
    </row>
    <row r="71" spans="1:35" ht="15.75" hidden="1" customHeight="1" x14ac:dyDescent="0.2">
      <c r="A71" s="118"/>
      <c r="B71" s="119"/>
      <c r="C71" s="47"/>
      <c r="D71" s="47"/>
      <c r="E71" s="47"/>
      <c r="F71" s="47"/>
      <c r="G71" s="47"/>
      <c r="H71" s="6"/>
      <c r="I71" s="6"/>
      <c r="J71" s="518"/>
      <c r="K71" s="517"/>
      <c r="L71" s="517"/>
      <c r="M71" s="517"/>
      <c r="N71" s="518"/>
      <c r="O71" s="517"/>
      <c r="P71" s="517"/>
      <c r="Q71" s="179"/>
      <c r="R71" s="186"/>
      <c r="S71" s="179"/>
      <c r="T71" s="266"/>
      <c r="U71" s="35"/>
      <c r="V71" s="262"/>
      <c r="W71" s="258"/>
      <c r="X71" s="267"/>
      <c r="Z71" s="265"/>
      <c r="AA71" s="265"/>
      <c r="AB71" s="265"/>
      <c r="AC71" s="265"/>
      <c r="AD71" s="265"/>
      <c r="AE71" s="265"/>
      <c r="AF71" s="265"/>
      <c r="AG71" s="265"/>
    </row>
    <row r="72" spans="1:35" ht="15.75" x14ac:dyDescent="0.2">
      <c r="A72" s="483"/>
      <c r="B72" s="484"/>
      <c r="C72" s="485" t="s">
        <v>1174</v>
      </c>
      <c r="D72" s="486"/>
      <c r="E72" s="486"/>
      <c r="F72" s="486"/>
      <c r="G72" s="486"/>
      <c r="H72" s="487"/>
      <c r="I72" s="487"/>
      <c r="J72" s="488"/>
      <c r="K72" s="488"/>
      <c r="L72" s="488"/>
      <c r="M72" s="488"/>
      <c r="N72" s="488"/>
      <c r="O72" s="488"/>
      <c r="P72" s="488"/>
      <c r="Q72" s="489"/>
      <c r="R72" s="489"/>
      <c r="S72" s="489"/>
      <c r="T72" s="490"/>
      <c r="U72" s="482"/>
      <c r="V72" s="262"/>
      <c r="W72" s="258"/>
      <c r="X72" s="267"/>
      <c r="Z72" s="265"/>
      <c r="AA72" s="265"/>
      <c r="AB72" s="265"/>
      <c r="AC72" s="265"/>
      <c r="AD72" s="265"/>
      <c r="AE72" s="265"/>
      <c r="AF72" s="265"/>
      <c r="AG72" s="265"/>
    </row>
    <row r="73" spans="1:35" ht="16.5" thickBot="1" x14ac:dyDescent="0.25">
      <c r="A73" s="118"/>
      <c r="B73" s="119"/>
      <c r="C73" s="512" t="s">
        <v>535</v>
      </c>
      <c r="D73" s="47"/>
      <c r="E73" s="47"/>
      <c r="F73" s="47"/>
      <c r="G73" s="47"/>
      <c r="H73" s="6"/>
      <c r="I73" s="6"/>
      <c r="J73" s="517"/>
      <c r="K73" s="517"/>
      <c r="L73" s="517"/>
      <c r="M73" s="517"/>
      <c r="N73" s="517"/>
      <c r="O73" s="517"/>
      <c r="P73" s="517"/>
      <c r="Q73" s="179"/>
      <c r="R73" s="179"/>
      <c r="S73" s="179"/>
      <c r="T73" s="266"/>
      <c r="U73" s="35"/>
      <c r="V73" s="262"/>
      <c r="W73" s="258"/>
      <c r="X73" s="267"/>
      <c r="Z73" s="265"/>
      <c r="AA73" s="265"/>
      <c r="AB73" s="265"/>
      <c r="AC73" s="265"/>
      <c r="AD73" s="265"/>
      <c r="AE73" s="265"/>
      <c r="AF73" s="265"/>
      <c r="AG73" s="265"/>
    </row>
    <row r="74" spans="1:35" ht="18.75" thickBot="1" x14ac:dyDescent="0.3">
      <c r="A74" s="118"/>
      <c r="B74" s="119"/>
      <c r="C74" s="47" t="s">
        <v>948</v>
      </c>
      <c r="D74" s="47"/>
      <c r="E74" s="47"/>
      <c r="F74" s="47"/>
      <c r="G74" s="47"/>
      <c r="H74" s="6"/>
      <c r="I74" s="6"/>
      <c r="J74" s="644">
        <f>VLOOKUP($F$1,Part3,60,FALSE)</f>
        <v>-540119</v>
      </c>
      <c r="K74" s="660"/>
      <c r="L74" s="185"/>
      <c r="M74" s="185"/>
      <c r="N74" s="644">
        <f>VLOOKUP($F$1,Part3,61,FALSE)</f>
        <v>-113066</v>
      </c>
      <c r="O74" s="660"/>
      <c r="P74" s="448"/>
      <c r="Q74" s="393"/>
      <c r="R74" s="644">
        <f>VLOOKUP($F$1,Part3,62,FALSE)</f>
        <v>-653185</v>
      </c>
      <c r="S74" s="660"/>
      <c r="T74" s="266"/>
      <c r="U74" s="35"/>
      <c r="V74" s="262"/>
      <c r="W74" s="376"/>
      <c r="X74" s="377"/>
      <c r="Y74" s="268"/>
      <c r="Z74" s="269"/>
      <c r="AA74" s="265"/>
      <c r="AB74" s="265"/>
      <c r="AC74" s="265"/>
      <c r="AD74" s="265"/>
      <c r="AE74" s="265"/>
      <c r="AF74" s="265"/>
      <c r="AG74" s="265"/>
    </row>
    <row r="75" spans="1:35" ht="15.75" thickBot="1" x14ac:dyDescent="0.25">
      <c r="A75" s="118"/>
      <c r="B75" s="119"/>
      <c r="C75" s="47"/>
      <c r="D75" s="47"/>
      <c r="E75" s="47"/>
      <c r="F75" s="47"/>
      <c r="G75" s="47"/>
      <c r="H75" s="6"/>
      <c r="I75" s="6"/>
      <c r="J75" s="449"/>
      <c r="K75" s="449"/>
      <c r="L75" s="449"/>
      <c r="M75" s="449"/>
      <c r="N75" s="449"/>
      <c r="O75" s="449"/>
      <c r="P75" s="432"/>
      <c r="Q75" s="433"/>
      <c r="R75" s="433"/>
      <c r="S75" s="433"/>
      <c r="T75" s="178"/>
      <c r="U75" s="35"/>
      <c r="V75" s="262"/>
      <c r="W75" s="258"/>
      <c r="X75" s="267"/>
      <c r="Z75" s="265"/>
      <c r="AA75" s="265"/>
      <c r="AB75" s="265"/>
      <c r="AC75" s="265"/>
      <c r="AD75" s="265"/>
      <c r="AE75" s="265"/>
      <c r="AF75" s="265"/>
      <c r="AG75" s="265"/>
    </row>
    <row r="76" spans="1:35" ht="18.75" thickBot="1" x14ac:dyDescent="0.3">
      <c r="A76" s="118"/>
      <c r="B76" s="119"/>
      <c r="C76" s="638" t="s">
        <v>829</v>
      </c>
      <c r="D76" s="638"/>
      <c r="E76" s="638"/>
      <c r="F76" s="638"/>
      <c r="G76" s="638"/>
      <c r="H76" s="6"/>
      <c r="I76" s="6"/>
      <c r="J76" s="644">
        <f>VLOOKUP($F$1,Part3,63,FALSE)</f>
        <v>-168199</v>
      </c>
      <c r="K76" s="660"/>
      <c r="L76" s="185"/>
      <c r="M76" s="185"/>
      <c r="N76" s="644">
        <f>VLOOKUP($F$1,Part3,64,FALSE)</f>
        <v>-217893</v>
      </c>
      <c r="O76" s="660"/>
      <c r="P76" s="448"/>
      <c r="Q76" s="393"/>
      <c r="R76" s="644">
        <f>VLOOKUP($F$1,Part3,65,FALSE)</f>
        <v>-386092</v>
      </c>
      <c r="S76" s="660"/>
      <c r="T76" s="266"/>
      <c r="U76" s="35"/>
      <c r="V76" s="262"/>
      <c r="W76" s="376"/>
      <c r="X76" s="377"/>
      <c r="Y76" s="268"/>
      <c r="Z76" s="269"/>
      <c r="AA76" s="265"/>
      <c r="AB76" s="265"/>
      <c r="AC76" s="265"/>
      <c r="AD76" s="265"/>
      <c r="AE76" s="265"/>
      <c r="AF76" s="265"/>
      <c r="AG76" s="265"/>
    </row>
    <row r="77" spans="1:35" ht="15.75" x14ac:dyDescent="0.2">
      <c r="A77" s="118"/>
      <c r="B77" s="119"/>
      <c r="C77" s="699"/>
      <c r="D77" s="699"/>
      <c r="E77" s="699"/>
      <c r="F77" s="699"/>
      <c r="G77" s="699"/>
      <c r="H77" s="6"/>
      <c r="I77" s="6"/>
      <c r="J77" s="187"/>
      <c r="K77" s="516"/>
      <c r="L77" s="516"/>
      <c r="M77" s="516"/>
      <c r="N77" s="187"/>
      <c r="O77" s="516"/>
      <c r="P77" s="517"/>
      <c r="Q77" s="179"/>
      <c r="R77" s="186"/>
      <c r="S77" s="179"/>
      <c r="T77" s="266"/>
      <c r="U77" s="35"/>
      <c r="V77" s="262"/>
      <c r="W77" s="258"/>
      <c r="X77" s="267"/>
      <c r="Z77" s="265"/>
      <c r="AA77" s="265"/>
      <c r="AB77" s="265"/>
      <c r="AC77" s="265"/>
      <c r="AD77" s="265"/>
      <c r="AE77" s="265"/>
      <c r="AF77" s="265"/>
      <c r="AG77" s="265"/>
    </row>
    <row r="78" spans="1:35" x14ac:dyDescent="0.2">
      <c r="A78" s="118"/>
      <c r="B78" s="119"/>
      <c r="C78" s="47"/>
      <c r="D78" s="47"/>
      <c r="E78" s="47"/>
      <c r="F78" s="47"/>
      <c r="G78" s="47"/>
      <c r="H78" s="6"/>
      <c r="I78" s="6"/>
      <c r="J78" s="449"/>
      <c r="K78" s="449"/>
      <c r="L78" s="449"/>
      <c r="M78" s="449"/>
      <c r="N78" s="449"/>
      <c r="O78" s="449"/>
      <c r="P78" s="432"/>
      <c r="Q78" s="433"/>
      <c r="R78" s="433"/>
      <c r="S78" s="433"/>
      <c r="T78" s="266"/>
      <c r="U78" s="35"/>
      <c r="V78" s="262"/>
      <c r="W78" s="258"/>
      <c r="X78" s="267"/>
      <c r="Z78" s="265"/>
      <c r="AA78" s="265"/>
      <c r="AB78" s="265"/>
      <c r="AC78" s="265"/>
      <c r="AD78" s="265"/>
      <c r="AE78" s="265"/>
      <c r="AF78" s="265"/>
      <c r="AG78" s="265"/>
    </row>
    <row r="79" spans="1:35" ht="16.5" thickBot="1" x14ac:dyDescent="0.25">
      <c r="A79" s="118"/>
      <c r="B79" s="119"/>
      <c r="C79" s="512" t="s">
        <v>536</v>
      </c>
      <c r="D79" s="47"/>
      <c r="E79" s="47"/>
      <c r="F79" s="47"/>
      <c r="G79" s="47"/>
      <c r="H79" s="6"/>
      <c r="I79" s="6"/>
      <c r="J79" s="516"/>
      <c r="K79" s="516"/>
      <c r="L79" s="516"/>
      <c r="M79" s="516"/>
      <c r="N79" s="516"/>
      <c r="O79" s="516"/>
      <c r="P79" s="517"/>
      <c r="Q79" s="179"/>
      <c r="R79" s="179"/>
      <c r="S79" s="179"/>
      <c r="T79" s="266"/>
      <c r="U79" s="35"/>
      <c r="V79" s="262"/>
      <c r="W79" s="258"/>
      <c r="X79" s="267"/>
      <c r="Z79" s="265"/>
      <c r="AA79" s="265"/>
      <c r="AB79" s="265"/>
      <c r="AC79" s="265"/>
      <c r="AD79" s="265"/>
      <c r="AE79" s="265"/>
      <c r="AF79" s="265"/>
      <c r="AG79" s="265"/>
    </row>
    <row r="80" spans="1:35" ht="16.5" customHeight="1" thickBot="1" x14ac:dyDescent="0.3">
      <c r="A80" s="118"/>
      <c r="B80" s="119"/>
      <c r="C80" s="47" t="s">
        <v>949</v>
      </c>
      <c r="D80" s="47"/>
      <c r="E80" s="47"/>
      <c r="F80" s="47"/>
      <c r="G80" s="47"/>
      <c r="H80" s="6"/>
      <c r="I80" s="6"/>
      <c r="J80" s="644">
        <f>VLOOKUP($F$1,Part3,66,FALSE)</f>
        <v>-11307703</v>
      </c>
      <c r="K80" s="660"/>
      <c r="L80" s="185"/>
      <c r="M80" s="185"/>
      <c r="N80" s="644">
        <f>VLOOKUP($F$1,Part3,67,FALSE)</f>
        <v>-442749</v>
      </c>
      <c r="O80" s="660"/>
      <c r="P80" s="448"/>
      <c r="Q80" s="393"/>
      <c r="R80" s="644">
        <f>VLOOKUP($F$1,Part3,68,FALSE)</f>
        <v>-11750452</v>
      </c>
      <c r="S80" s="660"/>
      <c r="T80" s="266"/>
      <c r="U80" s="35"/>
      <c r="V80" s="262"/>
      <c r="W80" s="376"/>
      <c r="X80" s="377"/>
      <c r="Y80" s="268"/>
      <c r="Z80" s="269"/>
      <c r="AA80" s="265"/>
      <c r="AB80" s="265"/>
      <c r="AC80" s="265"/>
      <c r="AD80" s="265"/>
      <c r="AE80" s="265"/>
      <c r="AF80" s="265"/>
      <c r="AG80" s="265"/>
    </row>
    <row r="81" spans="1:33" ht="16.5" customHeight="1" thickBot="1" x14ac:dyDescent="0.25">
      <c r="A81" s="118"/>
      <c r="B81" s="119"/>
      <c r="C81" s="47"/>
      <c r="D81" s="47"/>
      <c r="E81" s="47"/>
      <c r="F81" s="47"/>
      <c r="G81" s="47"/>
      <c r="H81" s="6"/>
      <c r="I81" s="6"/>
      <c r="J81" s="449"/>
      <c r="K81" s="449"/>
      <c r="L81" s="449"/>
      <c r="M81" s="449"/>
      <c r="N81" s="449"/>
      <c r="O81" s="449"/>
      <c r="P81" s="432"/>
      <c r="Q81" s="433"/>
      <c r="R81" s="433"/>
      <c r="S81" s="433"/>
      <c r="T81" s="178"/>
      <c r="U81" s="35"/>
      <c r="V81" s="262"/>
      <c r="W81" s="258"/>
      <c r="X81" s="267"/>
      <c r="Z81" s="265"/>
      <c r="AA81" s="265"/>
      <c r="AB81" s="265"/>
      <c r="AC81" s="265"/>
      <c r="AD81" s="265"/>
      <c r="AE81" s="265"/>
      <c r="AF81" s="265"/>
      <c r="AG81" s="265"/>
    </row>
    <row r="82" spans="1:33" ht="16.5" customHeight="1" thickBot="1" x14ac:dyDescent="0.3">
      <c r="A82" s="118"/>
      <c r="B82" s="119"/>
      <c r="C82" s="638" t="s">
        <v>830</v>
      </c>
      <c r="D82" s="638"/>
      <c r="E82" s="638"/>
      <c r="F82" s="638"/>
      <c r="G82" s="638"/>
      <c r="H82" s="6"/>
      <c r="I82" s="6"/>
      <c r="J82" s="644">
        <f>VLOOKUP($F$1,Part3,69,FALSE)</f>
        <v>-129728</v>
      </c>
      <c r="K82" s="660"/>
      <c r="L82" s="185"/>
      <c r="M82" s="185"/>
      <c r="N82" s="644">
        <f>VLOOKUP($F$1,Part3,70,FALSE)</f>
        <v>-86744</v>
      </c>
      <c r="O82" s="660"/>
      <c r="P82" s="448"/>
      <c r="Q82" s="393"/>
      <c r="R82" s="644">
        <f>VLOOKUP($F$1,Part3,71,FALSE)</f>
        <v>-216472</v>
      </c>
      <c r="S82" s="660"/>
      <c r="T82" s="266"/>
      <c r="U82" s="35"/>
      <c r="V82" s="262"/>
      <c r="W82" s="376"/>
      <c r="X82" s="377"/>
      <c r="Y82" s="268"/>
      <c r="Z82" s="269"/>
      <c r="AA82" s="265"/>
      <c r="AB82" s="265"/>
      <c r="AC82" s="265"/>
      <c r="AD82" s="265"/>
      <c r="AE82" s="265"/>
      <c r="AF82" s="265"/>
      <c r="AG82" s="265"/>
    </row>
    <row r="83" spans="1:33" ht="16.5" customHeight="1" x14ac:dyDescent="0.2">
      <c r="A83" s="118"/>
      <c r="B83" s="119"/>
      <c r="C83" s="699"/>
      <c r="D83" s="699"/>
      <c r="E83" s="699"/>
      <c r="F83" s="699"/>
      <c r="G83" s="699"/>
      <c r="H83" s="6"/>
      <c r="I83" s="6"/>
      <c r="J83" s="518"/>
      <c r="K83" s="517"/>
      <c r="L83" s="517"/>
      <c r="M83" s="517"/>
      <c r="N83" s="518"/>
      <c r="O83" s="517"/>
      <c r="P83" s="517"/>
      <c r="Q83" s="179"/>
      <c r="R83" s="186"/>
      <c r="S83" s="179"/>
      <c r="T83" s="266"/>
      <c r="U83" s="35"/>
      <c r="V83" s="262"/>
      <c r="W83" s="258"/>
      <c r="X83" s="267"/>
      <c r="Z83" s="265"/>
      <c r="AA83" s="265"/>
      <c r="AB83" s="265"/>
      <c r="AC83" s="265"/>
      <c r="AD83" s="265"/>
      <c r="AE83" s="265"/>
      <c r="AF83" s="265"/>
      <c r="AG83" s="265"/>
    </row>
    <row r="84" spans="1:33" ht="16.5" customHeight="1" thickBot="1" x14ac:dyDescent="0.25">
      <c r="A84" s="118"/>
      <c r="B84" s="119"/>
      <c r="C84" s="123"/>
      <c r="D84" s="123"/>
      <c r="E84" s="123"/>
      <c r="F84" s="123"/>
      <c r="G84" s="123"/>
      <c r="H84" s="6"/>
      <c r="I84" s="6"/>
      <c r="J84" s="518"/>
      <c r="K84" s="517"/>
      <c r="L84" s="517"/>
      <c r="M84" s="517"/>
      <c r="N84" s="518"/>
      <c r="O84" s="517"/>
      <c r="P84" s="517"/>
      <c r="Q84" s="179"/>
      <c r="R84" s="186"/>
      <c r="S84" s="179"/>
      <c r="T84" s="266"/>
      <c r="U84" s="35"/>
      <c r="V84" s="262"/>
      <c r="W84" s="258"/>
      <c r="X84" s="267"/>
      <c r="Z84" s="265"/>
      <c r="AA84" s="265"/>
      <c r="AB84" s="265"/>
      <c r="AC84" s="265"/>
      <c r="AD84" s="265"/>
      <c r="AE84" s="265"/>
      <c r="AF84" s="265"/>
      <c r="AG84" s="265"/>
    </row>
    <row r="85" spans="1:33" ht="16.5" customHeight="1" thickBot="1" x14ac:dyDescent="0.25">
      <c r="A85" s="118"/>
      <c r="B85" s="270"/>
      <c r="C85" s="238"/>
      <c r="D85" s="238"/>
      <c r="E85" s="238"/>
      <c r="F85" s="238"/>
      <c r="G85" s="238"/>
      <c r="H85" s="233"/>
      <c r="I85" s="233"/>
      <c r="J85" s="283"/>
      <c r="K85" s="271"/>
      <c r="L85" s="271"/>
      <c r="M85" s="271"/>
      <c r="N85" s="283"/>
      <c r="O85" s="271"/>
      <c r="P85" s="271"/>
      <c r="Q85" s="272"/>
      <c r="R85" s="284"/>
      <c r="S85" s="272"/>
      <c r="T85" s="273"/>
      <c r="U85" s="35"/>
      <c r="V85" s="262"/>
      <c r="W85" s="258"/>
      <c r="X85" s="267"/>
      <c r="Z85" s="265"/>
      <c r="AA85" s="265"/>
      <c r="AB85" s="265"/>
      <c r="AC85" s="265"/>
      <c r="AD85" s="265"/>
      <c r="AE85" s="265"/>
      <c r="AF85" s="265"/>
      <c r="AG85" s="265"/>
    </row>
    <row r="86" spans="1:33" ht="16.5" customHeight="1" thickBot="1" x14ac:dyDescent="0.3">
      <c r="A86" s="118"/>
      <c r="B86" s="274"/>
      <c r="C86" s="681" t="s">
        <v>950</v>
      </c>
      <c r="D86" s="681"/>
      <c r="E86" s="681"/>
      <c r="F86" s="681"/>
      <c r="G86" s="681"/>
      <c r="H86" s="6"/>
      <c r="I86" s="6"/>
      <c r="J86" s="644">
        <f>VLOOKUP($F$1,Part3,72,FALSE)</f>
        <v>-12145749</v>
      </c>
      <c r="K86" s="660"/>
      <c r="L86" s="185"/>
      <c r="M86" s="185"/>
      <c r="N86" s="644">
        <f>VLOOKUP($F$1,Part3,73,FALSE)</f>
        <v>-860452</v>
      </c>
      <c r="O86" s="660"/>
      <c r="P86" s="448"/>
      <c r="Q86" s="393"/>
      <c r="R86" s="644">
        <f>VLOOKUP($F$1,Part3,74,FALSE)</f>
        <v>-13006201</v>
      </c>
      <c r="S86" s="660"/>
      <c r="T86" s="275"/>
      <c r="U86" s="35"/>
      <c r="V86" s="262"/>
      <c r="W86" s="376"/>
      <c r="X86" s="377"/>
      <c r="Y86" s="268"/>
      <c r="Z86" s="269"/>
      <c r="AA86" s="265"/>
      <c r="AB86" s="265"/>
      <c r="AC86" s="265"/>
      <c r="AD86" s="265"/>
      <c r="AE86" s="265"/>
      <c r="AF86" s="265"/>
      <c r="AG86" s="265"/>
    </row>
    <row r="87" spans="1:33" ht="16.5" customHeight="1" thickBot="1" x14ac:dyDescent="0.25">
      <c r="A87" s="118"/>
      <c r="B87" s="276"/>
      <c r="C87" s="240"/>
      <c r="D87" s="240"/>
      <c r="E87" s="240"/>
      <c r="F87" s="240"/>
      <c r="G87" s="240"/>
      <c r="H87" s="235"/>
      <c r="I87" s="235"/>
      <c r="J87" s="288"/>
      <c r="K87" s="289"/>
      <c r="L87" s="289"/>
      <c r="M87" s="289"/>
      <c r="N87" s="288"/>
      <c r="O87" s="289"/>
      <c r="P87" s="289"/>
      <c r="Q87" s="290"/>
      <c r="R87" s="291"/>
      <c r="S87" s="290"/>
      <c r="T87" s="277"/>
      <c r="U87" s="35"/>
      <c r="V87" s="262"/>
      <c r="W87" s="258"/>
      <c r="X87" s="267"/>
      <c r="Z87" s="265"/>
      <c r="AA87" s="265"/>
      <c r="AB87" s="265"/>
      <c r="AC87" s="265"/>
      <c r="AD87" s="265"/>
      <c r="AE87" s="265"/>
      <c r="AF87" s="265"/>
      <c r="AG87" s="265"/>
    </row>
    <row r="88" spans="1:33" x14ac:dyDescent="0.2">
      <c r="A88" s="118"/>
      <c r="B88" s="119"/>
      <c r="C88" s="47"/>
      <c r="D88" s="47"/>
      <c r="E88" s="47"/>
      <c r="F88" s="47"/>
      <c r="G88" s="47"/>
      <c r="H88" s="6"/>
      <c r="I88" s="6"/>
      <c r="J88" s="517"/>
      <c r="K88" s="517"/>
      <c r="L88" s="517"/>
      <c r="M88" s="517"/>
      <c r="N88" s="517"/>
      <c r="O88" s="517"/>
      <c r="P88" s="517"/>
      <c r="Q88" s="179"/>
      <c r="R88" s="179"/>
      <c r="S88" s="179"/>
      <c r="T88" s="266"/>
      <c r="U88" s="35"/>
      <c r="V88" s="262"/>
      <c r="W88" s="258"/>
      <c r="X88" s="267"/>
      <c r="Z88" s="265"/>
      <c r="AA88" s="265"/>
      <c r="AB88" s="265"/>
      <c r="AC88" s="265"/>
      <c r="AD88" s="265"/>
      <c r="AE88" s="265"/>
      <c r="AF88" s="265"/>
      <c r="AG88" s="265"/>
    </row>
    <row r="89" spans="1:33" ht="15.75" x14ac:dyDescent="0.2">
      <c r="A89" s="118"/>
      <c r="B89" s="119"/>
      <c r="C89" s="512" t="s">
        <v>1172</v>
      </c>
      <c r="D89" s="47"/>
      <c r="E89" s="47"/>
      <c r="F89" s="47"/>
      <c r="G89" s="47"/>
      <c r="H89" s="6"/>
      <c r="I89" s="6"/>
      <c r="J89" s="517"/>
      <c r="K89" s="517"/>
      <c r="L89" s="517"/>
      <c r="M89" s="517"/>
      <c r="N89" s="517"/>
      <c r="O89" s="517"/>
      <c r="P89" s="517"/>
      <c r="Q89" s="179"/>
      <c r="R89" s="179"/>
      <c r="S89" s="179"/>
      <c r="T89" s="266"/>
      <c r="U89" s="35"/>
      <c r="V89" s="262"/>
      <c r="W89" s="258"/>
      <c r="X89" s="267"/>
      <c r="Z89" s="265"/>
      <c r="AA89" s="265"/>
      <c r="AB89" s="265"/>
      <c r="AC89" s="265"/>
      <c r="AD89" s="265"/>
      <c r="AE89" s="265"/>
      <c r="AF89" s="265"/>
      <c r="AG89" s="265"/>
    </row>
    <row r="90" spans="1:33" ht="16.5" thickBot="1" x14ac:dyDescent="0.25">
      <c r="A90" s="118"/>
      <c r="B90" s="119"/>
      <c r="C90" s="512" t="s">
        <v>552</v>
      </c>
      <c r="D90" s="47"/>
      <c r="E90" s="47"/>
      <c r="F90" s="47"/>
      <c r="G90" s="47"/>
      <c r="H90" s="6"/>
      <c r="I90" s="6"/>
      <c r="J90" s="517"/>
      <c r="K90" s="517"/>
      <c r="L90" s="517"/>
      <c r="M90" s="517"/>
      <c r="N90" s="517"/>
      <c r="O90" s="517"/>
      <c r="P90" s="517"/>
      <c r="Q90" s="179"/>
      <c r="R90" s="179"/>
      <c r="S90" s="179"/>
      <c r="T90" s="266"/>
      <c r="U90" s="35"/>
      <c r="V90" s="262"/>
      <c r="W90" s="258"/>
      <c r="X90" s="267"/>
      <c r="Z90" s="265"/>
      <c r="AA90" s="265"/>
      <c r="AB90" s="265"/>
      <c r="AC90" s="265"/>
      <c r="AD90" s="265"/>
      <c r="AE90" s="265"/>
      <c r="AF90" s="265"/>
      <c r="AG90" s="265"/>
    </row>
    <row r="91" spans="1:33" ht="18.75" thickBot="1" x14ac:dyDescent="0.3">
      <c r="A91" s="118"/>
      <c r="B91" s="119"/>
      <c r="C91" s="47" t="s">
        <v>951</v>
      </c>
      <c r="D91" s="47"/>
      <c r="E91" s="47"/>
      <c r="F91" s="47"/>
      <c r="G91" s="47"/>
      <c r="H91" s="6"/>
      <c r="I91" s="6"/>
      <c r="J91" s="644">
        <f>VLOOKUP($F$1,Part3,75,FALSE)</f>
        <v>-247900</v>
      </c>
      <c r="K91" s="660"/>
      <c r="L91" s="185"/>
      <c r="M91" s="185"/>
      <c r="N91" s="644">
        <f>VLOOKUP($F$1,Part3,76,FALSE)</f>
        <v>0</v>
      </c>
      <c r="O91" s="660"/>
      <c r="P91" s="448"/>
      <c r="Q91" s="393"/>
      <c r="R91" s="644">
        <f>VLOOKUP($F$1,Part3,77,FALSE)</f>
        <v>-247900</v>
      </c>
      <c r="S91" s="660"/>
      <c r="T91" s="266"/>
      <c r="U91" s="35"/>
      <c r="V91" s="262"/>
      <c r="W91" s="376"/>
      <c r="X91" s="377"/>
      <c r="Y91" s="268"/>
      <c r="Z91" s="269"/>
      <c r="AA91" s="265"/>
      <c r="AB91" s="265"/>
      <c r="AC91" s="265"/>
      <c r="AD91" s="265"/>
      <c r="AE91" s="265"/>
      <c r="AF91" s="265"/>
      <c r="AG91" s="265"/>
    </row>
    <row r="92" spans="1:33" ht="15.75" thickBot="1" x14ac:dyDescent="0.25">
      <c r="A92" s="118"/>
      <c r="B92" s="119"/>
      <c r="C92" s="47"/>
      <c r="D92" s="47"/>
      <c r="E92" s="47"/>
      <c r="F92" s="47"/>
      <c r="G92" s="47"/>
      <c r="H92" s="6"/>
      <c r="I92" s="6"/>
      <c r="J92" s="449"/>
      <c r="K92" s="449"/>
      <c r="L92" s="449"/>
      <c r="M92" s="449"/>
      <c r="N92" s="449"/>
      <c r="O92" s="449"/>
      <c r="P92" s="432"/>
      <c r="Q92" s="433"/>
      <c r="R92" s="433"/>
      <c r="S92" s="433"/>
      <c r="T92" s="178"/>
      <c r="U92" s="35"/>
      <c r="V92" s="262"/>
      <c r="W92" s="258"/>
      <c r="X92" s="267"/>
      <c r="Z92" s="265"/>
      <c r="AA92" s="265"/>
      <c r="AB92" s="265"/>
      <c r="AC92" s="265"/>
      <c r="AD92" s="265"/>
      <c r="AE92" s="265"/>
      <c r="AF92" s="265"/>
      <c r="AG92" s="265"/>
    </row>
    <row r="93" spans="1:33" ht="18.75" thickBot="1" x14ac:dyDescent="0.3">
      <c r="A93" s="118"/>
      <c r="B93" s="119"/>
      <c r="C93" s="638" t="s">
        <v>952</v>
      </c>
      <c r="D93" s="638"/>
      <c r="E93" s="638"/>
      <c r="F93" s="638"/>
      <c r="G93" s="638"/>
      <c r="H93" s="6"/>
      <c r="I93" s="6"/>
      <c r="J93" s="644">
        <f>VLOOKUP($F$1,Part3,78,FALSE)</f>
        <v>-1878</v>
      </c>
      <c r="K93" s="660"/>
      <c r="L93" s="185"/>
      <c r="M93" s="185"/>
      <c r="N93" s="644">
        <f>VLOOKUP($F$1,Part3,79,FALSE)</f>
        <v>0</v>
      </c>
      <c r="O93" s="660"/>
      <c r="P93" s="448"/>
      <c r="Q93" s="393"/>
      <c r="R93" s="644">
        <f>VLOOKUP($F$1,Part3,80,FALSE)</f>
        <v>-1878</v>
      </c>
      <c r="S93" s="660"/>
      <c r="T93" s="266"/>
      <c r="U93" s="35"/>
      <c r="V93" s="262"/>
      <c r="W93" s="376"/>
      <c r="X93" s="377"/>
      <c r="Y93" s="268"/>
      <c r="Z93" s="269"/>
      <c r="AA93" s="265"/>
      <c r="AB93" s="265"/>
      <c r="AC93" s="265"/>
      <c r="AD93" s="265"/>
      <c r="AE93" s="265"/>
      <c r="AF93" s="265"/>
      <c r="AG93" s="265"/>
    </row>
    <row r="94" spans="1:33" ht="15.75" x14ac:dyDescent="0.2">
      <c r="A94" s="118"/>
      <c r="B94" s="119"/>
      <c r="C94" s="699"/>
      <c r="D94" s="699"/>
      <c r="E94" s="699"/>
      <c r="F94" s="699"/>
      <c r="G94" s="699"/>
      <c r="H94" s="6"/>
      <c r="I94" s="6"/>
      <c r="J94" s="187"/>
      <c r="K94" s="516"/>
      <c r="L94" s="516"/>
      <c r="M94" s="516"/>
      <c r="N94" s="187"/>
      <c r="O94" s="516"/>
      <c r="P94" s="517"/>
      <c r="Q94" s="179"/>
      <c r="R94" s="186"/>
      <c r="S94" s="179"/>
      <c r="T94" s="266"/>
      <c r="U94" s="35"/>
      <c r="V94" s="262"/>
      <c r="W94" s="258"/>
      <c r="X94" s="267"/>
      <c r="Z94" s="265"/>
      <c r="AA94" s="265"/>
      <c r="AB94" s="265"/>
      <c r="AC94" s="265"/>
      <c r="AD94" s="265"/>
      <c r="AE94" s="265"/>
      <c r="AF94" s="265"/>
      <c r="AG94" s="265"/>
    </row>
    <row r="95" spans="1:33" ht="15.75" x14ac:dyDescent="0.2">
      <c r="A95" s="118"/>
      <c r="B95" s="119"/>
      <c r="C95" s="512"/>
      <c r="D95" s="47"/>
      <c r="E95" s="47"/>
      <c r="F95" s="47"/>
      <c r="G95" s="47"/>
      <c r="H95" s="6"/>
      <c r="I95" s="6"/>
      <c r="J95" s="516"/>
      <c r="K95" s="516"/>
      <c r="L95" s="516"/>
      <c r="M95" s="516"/>
      <c r="N95" s="516"/>
      <c r="O95" s="516"/>
      <c r="P95" s="517"/>
      <c r="Q95" s="179"/>
      <c r="R95" s="179"/>
      <c r="S95" s="179"/>
      <c r="T95" s="266"/>
      <c r="U95" s="35"/>
      <c r="V95" s="262"/>
      <c r="W95" s="258"/>
      <c r="X95" s="267"/>
      <c r="Z95" s="265"/>
      <c r="AA95" s="265"/>
      <c r="AB95" s="265"/>
      <c r="AC95" s="265"/>
      <c r="AD95" s="265"/>
      <c r="AE95" s="265"/>
      <c r="AF95" s="265"/>
      <c r="AG95" s="265"/>
    </row>
    <row r="96" spans="1:33" ht="16.5" thickBot="1" x14ac:dyDescent="0.25">
      <c r="A96" s="118"/>
      <c r="B96" s="119"/>
      <c r="C96" s="512" t="s">
        <v>545</v>
      </c>
      <c r="D96" s="47"/>
      <c r="E96" s="47"/>
      <c r="F96" s="47"/>
      <c r="G96" s="47"/>
      <c r="H96" s="6"/>
      <c r="I96" s="6"/>
      <c r="J96" s="516"/>
      <c r="K96" s="516"/>
      <c r="L96" s="516"/>
      <c r="M96" s="516"/>
      <c r="N96" s="516"/>
      <c r="O96" s="516"/>
      <c r="P96" s="517"/>
      <c r="Q96" s="179"/>
      <c r="R96" s="179"/>
      <c r="S96" s="179"/>
      <c r="T96" s="266"/>
      <c r="U96" s="35"/>
      <c r="V96" s="262"/>
      <c r="W96" s="258"/>
      <c r="X96" s="267"/>
      <c r="Z96" s="265"/>
      <c r="AA96" s="265"/>
      <c r="AB96" s="265"/>
      <c r="AC96" s="265"/>
      <c r="AD96" s="265"/>
      <c r="AE96" s="265"/>
      <c r="AF96" s="265"/>
      <c r="AG96" s="265"/>
    </row>
    <row r="97" spans="1:33" ht="18.75" thickBot="1" x14ac:dyDescent="0.3">
      <c r="A97" s="118"/>
      <c r="B97" s="119"/>
      <c r="C97" s="47" t="s">
        <v>953</v>
      </c>
      <c r="D97" s="47"/>
      <c r="E97" s="47"/>
      <c r="F97" s="47"/>
      <c r="G97" s="47"/>
      <c r="H97" s="6"/>
      <c r="I97" s="6"/>
      <c r="J97" s="644">
        <f>VLOOKUP($F$1,Part3,81,FALSE)</f>
        <v>-246961</v>
      </c>
      <c r="K97" s="660"/>
      <c r="L97" s="185"/>
      <c r="M97" s="185"/>
      <c r="N97" s="644">
        <f>VLOOKUP($F$1,Part3,82,FALSE)</f>
        <v>-4121</v>
      </c>
      <c r="O97" s="660"/>
      <c r="P97" s="448"/>
      <c r="Q97" s="393"/>
      <c r="R97" s="644">
        <f>VLOOKUP($F$1,Part3,83,FALSE)</f>
        <v>-251082</v>
      </c>
      <c r="S97" s="660"/>
      <c r="T97" s="266"/>
      <c r="U97" s="35"/>
      <c r="V97" s="262"/>
      <c r="W97" s="376"/>
      <c r="X97" s="377"/>
      <c r="Y97" s="268"/>
      <c r="Z97" s="269"/>
      <c r="AA97" s="265"/>
      <c r="AB97" s="265"/>
      <c r="AC97" s="265"/>
      <c r="AD97" s="265"/>
      <c r="AE97" s="265"/>
      <c r="AF97" s="265"/>
      <c r="AG97" s="265"/>
    </row>
    <row r="98" spans="1:33" ht="15.75" thickBot="1" x14ac:dyDescent="0.25">
      <c r="A98" s="118"/>
      <c r="B98" s="119"/>
      <c r="C98" s="47"/>
      <c r="D98" s="47"/>
      <c r="E98" s="47"/>
      <c r="F98" s="47"/>
      <c r="G98" s="47"/>
      <c r="H98" s="6"/>
      <c r="I98" s="6"/>
      <c r="J98" s="449"/>
      <c r="K98" s="449"/>
      <c r="L98" s="449"/>
      <c r="M98" s="449"/>
      <c r="N98" s="449"/>
      <c r="O98" s="449"/>
      <c r="P98" s="432"/>
      <c r="Q98" s="433"/>
      <c r="R98" s="433"/>
      <c r="S98" s="433"/>
      <c r="T98" s="266"/>
      <c r="U98" s="35"/>
      <c r="V98" s="262"/>
      <c r="W98" s="258"/>
      <c r="X98" s="267"/>
      <c r="Z98" s="265"/>
      <c r="AA98" s="265"/>
      <c r="AB98" s="265"/>
      <c r="AC98" s="265"/>
      <c r="AD98" s="265"/>
      <c r="AE98" s="265"/>
      <c r="AF98" s="265"/>
      <c r="AG98" s="265"/>
    </row>
    <row r="99" spans="1:33" ht="18.75" thickBot="1" x14ac:dyDescent="0.3">
      <c r="A99" s="118"/>
      <c r="B99" s="119"/>
      <c r="C99" s="638" t="s">
        <v>954</v>
      </c>
      <c r="D99" s="638"/>
      <c r="E99" s="638"/>
      <c r="F99" s="638"/>
      <c r="G99" s="638"/>
      <c r="H99" s="6"/>
      <c r="I99" s="6"/>
      <c r="J99" s="644">
        <f>VLOOKUP($F$1,Part3,84,FALSE)</f>
        <v>17115</v>
      </c>
      <c r="K99" s="660"/>
      <c r="L99" s="185"/>
      <c r="M99" s="185"/>
      <c r="N99" s="644">
        <f>VLOOKUP($F$1,Part3,85,FALSE)</f>
        <v>0</v>
      </c>
      <c r="O99" s="660"/>
      <c r="P99" s="448"/>
      <c r="Q99" s="393"/>
      <c r="R99" s="644">
        <f>VLOOKUP($F$1,Part3,86,FALSE)</f>
        <v>17115</v>
      </c>
      <c r="S99" s="660"/>
      <c r="T99" s="266"/>
      <c r="U99" s="35"/>
      <c r="V99" s="262"/>
      <c r="W99" s="376"/>
      <c r="X99" s="377"/>
      <c r="Y99" s="268"/>
      <c r="Z99" s="269"/>
      <c r="AA99" s="265"/>
      <c r="AB99" s="265"/>
      <c r="AC99" s="265"/>
      <c r="AD99" s="265"/>
      <c r="AE99" s="265"/>
      <c r="AF99" s="265"/>
      <c r="AG99" s="265"/>
    </row>
    <row r="100" spans="1:33" ht="15.75" x14ac:dyDescent="0.2">
      <c r="A100" s="118"/>
      <c r="B100" s="119"/>
      <c r="C100" s="699"/>
      <c r="D100" s="699"/>
      <c r="E100" s="699"/>
      <c r="F100" s="699"/>
      <c r="G100" s="699"/>
      <c r="H100" s="6"/>
      <c r="I100" s="6"/>
      <c r="J100" s="187"/>
      <c r="K100" s="516"/>
      <c r="L100" s="516"/>
      <c r="M100" s="516"/>
      <c r="N100" s="187"/>
      <c r="O100" s="516"/>
      <c r="P100" s="517"/>
      <c r="Q100" s="179"/>
      <c r="R100" s="186"/>
      <c r="S100" s="179"/>
      <c r="T100" s="266"/>
      <c r="U100" s="35"/>
      <c r="V100" s="262"/>
      <c r="W100" s="258"/>
      <c r="X100" s="267"/>
      <c r="Z100" s="265"/>
      <c r="AA100" s="265"/>
      <c r="AB100" s="265"/>
      <c r="AC100" s="265"/>
      <c r="AD100" s="265"/>
      <c r="AE100" s="265"/>
      <c r="AF100" s="265"/>
      <c r="AG100" s="265"/>
    </row>
    <row r="101" spans="1:33" ht="15.75" x14ac:dyDescent="0.2">
      <c r="A101" s="118"/>
      <c r="B101" s="119"/>
      <c r="C101" s="511"/>
      <c r="D101" s="511"/>
      <c r="E101" s="511"/>
      <c r="F101" s="511"/>
      <c r="G101" s="511"/>
      <c r="H101" s="6"/>
      <c r="I101" s="6"/>
      <c r="J101" s="187"/>
      <c r="K101" s="516"/>
      <c r="L101" s="516"/>
      <c r="M101" s="516"/>
      <c r="N101" s="187"/>
      <c r="O101" s="516"/>
      <c r="P101" s="517"/>
      <c r="Q101" s="179"/>
      <c r="R101" s="186"/>
      <c r="S101" s="179"/>
      <c r="T101" s="266"/>
      <c r="U101" s="35"/>
      <c r="V101" s="262"/>
      <c r="W101" s="258"/>
      <c r="X101" s="267"/>
      <c r="Z101" s="265"/>
      <c r="AA101" s="265"/>
      <c r="AB101" s="265"/>
      <c r="AC101" s="265"/>
      <c r="AD101" s="265"/>
      <c r="AE101" s="265"/>
      <c r="AF101" s="265"/>
      <c r="AG101" s="265"/>
    </row>
    <row r="102" spans="1:33" ht="16.5" thickBot="1" x14ac:dyDescent="0.25">
      <c r="A102" s="118"/>
      <c r="B102" s="119"/>
      <c r="C102" s="512" t="s">
        <v>544</v>
      </c>
      <c r="D102" s="47"/>
      <c r="E102" s="47"/>
      <c r="F102" s="47"/>
      <c r="G102" s="47"/>
      <c r="H102" s="6"/>
      <c r="I102" s="6"/>
      <c r="J102" s="516"/>
      <c r="K102" s="516"/>
      <c r="L102" s="516"/>
      <c r="M102" s="516"/>
      <c r="N102" s="516"/>
      <c r="O102" s="516"/>
      <c r="P102" s="517"/>
      <c r="Q102" s="179"/>
      <c r="R102" s="179"/>
      <c r="S102" s="179"/>
      <c r="T102" s="266"/>
      <c r="U102" s="35"/>
      <c r="V102" s="262"/>
      <c r="W102" s="258"/>
      <c r="X102" s="267"/>
      <c r="Z102" s="265"/>
      <c r="AA102" s="265"/>
      <c r="AB102" s="265"/>
      <c r="AC102" s="265"/>
      <c r="AD102" s="265"/>
      <c r="AE102" s="265"/>
      <c r="AF102" s="265"/>
      <c r="AG102" s="265"/>
    </row>
    <row r="103" spans="1:33" ht="18.75" thickBot="1" x14ac:dyDescent="0.3">
      <c r="A103" s="118"/>
      <c r="B103" s="119"/>
      <c r="C103" s="47" t="s">
        <v>955</v>
      </c>
      <c r="D103" s="47"/>
      <c r="E103" s="47"/>
      <c r="F103" s="47"/>
      <c r="G103" s="47"/>
      <c r="H103" s="6"/>
      <c r="I103" s="6"/>
      <c r="J103" s="644">
        <f>VLOOKUP($F$1,Part3,87,FALSE)</f>
        <v>-2296</v>
      </c>
      <c r="K103" s="660"/>
      <c r="L103" s="185"/>
      <c r="M103" s="185"/>
      <c r="N103" s="644">
        <f>VLOOKUP($F$1,Part3,88,FALSE)</f>
        <v>0</v>
      </c>
      <c r="O103" s="660"/>
      <c r="P103" s="448"/>
      <c r="Q103" s="393"/>
      <c r="R103" s="644">
        <f>VLOOKUP($F$1,Part3,89,FALSE)</f>
        <v>-2296</v>
      </c>
      <c r="S103" s="660"/>
      <c r="T103" s="266"/>
      <c r="U103" s="35"/>
      <c r="V103" s="262"/>
      <c r="W103" s="376"/>
      <c r="X103" s="377"/>
      <c r="Y103" s="268"/>
      <c r="Z103" s="269"/>
      <c r="AA103" s="265"/>
      <c r="AB103" s="265"/>
      <c r="AC103" s="265"/>
      <c r="AD103" s="265"/>
      <c r="AE103" s="265"/>
      <c r="AF103" s="265"/>
      <c r="AG103" s="265"/>
    </row>
    <row r="104" spans="1:33" ht="15.75" thickBot="1" x14ac:dyDescent="0.25">
      <c r="A104" s="118"/>
      <c r="B104" s="119"/>
      <c r="C104" s="47"/>
      <c r="D104" s="47"/>
      <c r="E104" s="47"/>
      <c r="F104" s="47"/>
      <c r="G104" s="47"/>
      <c r="H104" s="6"/>
      <c r="I104" s="6"/>
      <c r="J104" s="449"/>
      <c r="K104" s="449"/>
      <c r="L104" s="449"/>
      <c r="M104" s="449"/>
      <c r="N104" s="449"/>
      <c r="O104" s="449"/>
      <c r="P104" s="432"/>
      <c r="Q104" s="433"/>
      <c r="R104" s="433"/>
      <c r="S104" s="433"/>
      <c r="T104" s="266"/>
      <c r="U104" s="35"/>
      <c r="V104" s="262"/>
      <c r="W104" s="258"/>
      <c r="X104" s="267"/>
      <c r="Z104" s="265"/>
      <c r="AA104" s="265"/>
      <c r="AB104" s="265"/>
      <c r="AC104" s="265"/>
      <c r="AD104" s="265"/>
      <c r="AE104" s="265"/>
      <c r="AF104" s="265"/>
      <c r="AG104" s="265"/>
    </row>
    <row r="105" spans="1:33" ht="18.75" thickBot="1" x14ac:dyDescent="0.3">
      <c r="A105" s="118"/>
      <c r="B105" s="119"/>
      <c r="C105" s="638" t="s">
        <v>956</v>
      </c>
      <c r="D105" s="638"/>
      <c r="E105" s="638"/>
      <c r="F105" s="638"/>
      <c r="G105" s="638"/>
      <c r="H105" s="6"/>
      <c r="I105" s="6"/>
      <c r="J105" s="644">
        <f>VLOOKUP($F$1,Part3,90,FALSE)</f>
        <v>0</v>
      </c>
      <c r="K105" s="660"/>
      <c r="L105" s="185"/>
      <c r="M105" s="185"/>
      <c r="N105" s="644">
        <f>VLOOKUP($F$1,Part3,91,FALSE)</f>
        <v>0</v>
      </c>
      <c r="O105" s="660"/>
      <c r="P105" s="448"/>
      <c r="Q105" s="393"/>
      <c r="R105" s="644">
        <f>VLOOKUP($F$1,Part3,92,FALSE)</f>
        <v>0</v>
      </c>
      <c r="S105" s="660"/>
      <c r="T105" s="266"/>
      <c r="U105" s="35"/>
      <c r="V105" s="262"/>
      <c r="W105" s="376"/>
      <c r="X105" s="377"/>
      <c r="Y105" s="268"/>
      <c r="Z105" s="269"/>
      <c r="AA105" s="265"/>
      <c r="AB105" s="265"/>
      <c r="AC105" s="265"/>
      <c r="AD105" s="265"/>
      <c r="AE105" s="265"/>
      <c r="AF105" s="265"/>
      <c r="AG105" s="265"/>
    </row>
    <row r="106" spans="1:33" ht="15.75" x14ac:dyDescent="0.2">
      <c r="A106" s="118"/>
      <c r="B106" s="119"/>
      <c r="C106" s="699"/>
      <c r="D106" s="699"/>
      <c r="E106" s="699"/>
      <c r="F106" s="699"/>
      <c r="G106" s="699"/>
      <c r="H106" s="6"/>
      <c r="I106" s="6"/>
      <c r="J106" s="187"/>
      <c r="K106" s="516"/>
      <c r="L106" s="516"/>
      <c r="M106" s="516"/>
      <c r="N106" s="187"/>
      <c r="O106" s="516"/>
      <c r="P106" s="517"/>
      <c r="Q106" s="179"/>
      <c r="R106" s="186"/>
      <c r="S106" s="179"/>
      <c r="T106" s="266"/>
      <c r="U106" s="35"/>
      <c r="V106" s="262"/>
      <c r="W106" s="258"/>
      <c r="X106" s="267"/>
      <c r="Z106" s="265"/>
      <c r="AA106" s="265"/>
      <c r="AB106" s="265"/>
      <c r="AC106" s="265"/>
      <c r="AD106" s="265"/>
      <c r="AE106" s="265"/>
      <c r="AF106" s="265"/>
      <c r="AG106" s="265"/>
    </row>
    <row r="107" spans="1:33" x14ac:dyDescent="0.2">
      <c r="A107" s="118"/>
      <c r="B107" s="119"/>
      <c r="C107" s="47"/>
      <c r="D107" s="47"/>
      <c r="E107" s="47"/>
      <c r="F107" s="47"/>
      <c r="G107" s="47"/>
      <c r="H107" s="6"/>
      <c r="I107" s="6"/>
      <c r="J107" s="449"/>
      <c r="K107" s="449"/>
      <c r="L107" s="449"/>
      <c r="M107" s="449"/>
      <c r="N107" s="449"/>
      <c r="O107" s="449"/>
      <c r="P107" s="432"/>
      <c r="Q107" s="433"/>
      <c r="R107" s="433"/>
      <c r="S107" s="433"/>
      <c r="T107" s="266"/>
      <c r="U107" s="35"/>
      <c r="V107" s="262"/>
      <c r="W107" s="258"/>
      <c r="X107" s="267"/>
      <c r="Z107" s="265"/>
      <c r="AA107" s="265"/>
      <c r="AB107" s="265"/>
      <c r="AC107" s="265"/>
      <c r="AD107" s="265"/>
      <c r="AE107" s="265"/>
      <c r="AF107" s="265"/>
      <c r="AG107" s="265"/>
    </row>
    <row r="108" spans="1:33" ht="16.5" thickBot="1" x14ac:dyDescent="0.25">
      <c r="A108" s="118"/>
      <c r="B108" s="119"/>
      <c r="C108" s="512" t="s">
        <v>553</v>
      </c>
      <c r="D108" s="47"/>
      <c r="E108" s="47"/>
      <c r="F108" s="47"/>
      <c r="G108" s="47"/>
      <c r="H108" s="6"/>
      <c r="I108" s="6"/>
      <c r="J108" s="516"/>
      <c r="K108" s="516"/>
      <c r="L108" s="516"/>
      <c r="M108" s="516"/>
      <c r="N108" s="516"/>
      <c r="O108" s="516"/>
      <c r="P108" s="517"/>
      <c r="Q108" s="179"/>
      <c r="R108" s="179"/>
      <c r="S108" s="179"/>
      <c r="T108" s="266"/>
      <c r="U108" s="35"/>
      <c r="V108" s="262"/>
      <c r="W108" s="258"/>
      <c r="X108" s="267"/>
      <c r="Z108" s="265"/>
      <c r="AA108" s="265"/>
      <c r="AB108" s="265"/>
      <c r="AC108" s="265"/>
      <c r="AD108" s="265"/>
      <c r="AE108" s="265"/>
      <c r="AF108" s="265"/>
      <c r="AG108" s="265"/>
    </row>
    <row r="109" spans="1:33" ht="18.75" thickBot="1" x14ac:dyDescent="0.3">
      <c r="A109" s="118"/>
      <c r="B109" s="119"/>
      <c r="C109" s="47" t="s">
        <v>957</v>
      </c>
      <c r="D109" s="47"/>
      <c r="E109" s="47"/>
      <c r="F109" s="47"/>
      <c r="G109" s="47"/>
      <c r="H109" s="6"/>
      <c r="I109" s="6"/>
      <c r="J109" s="644">
        <f>VLOOKUP($F$1,Part3,93,FALSE)</f>
        <v>0</v>
      </c>
      <c r="K109" s="660"/>
      <c r="L109" s="185"/>
      <c r="M109" s="185"/>
      <c r="N109" s="644">
        <f>VLOOKUP($F$1,Part3,94,FALSE)</f>
        <v>0</v>
      </c>
      <c r="O109" s="660"/>
      <c r="P109" s="448"/>
      <c r="Q109" s="393"/>
      <c r="R109" s="644">
        <f>VLOOKUP($F$1,Part3,95,FALSE)</f>
        <v>0</v>
      </c>
      <c r="S109" s="660"/>
      <c r="T109" s="266"/>
      <c r="U109" s="35"/>
      <c r="V109" s="262"/>
      <c r="W109" s="376"/>
      <c r="X109" s="377"/>
      <c r="Y109" s="268"/>
      <c r="Z109" s="269"/>
      <c r="AA109" s="265"/>
      <c r="AB109" s="265"/>
      <c r="AC109" s="265"/>
      <c r="AD109" s="265"/>
      <c r="AE109" s="265"/>
      <c r="AF109" s="265"/>
      <c r="AG109" s="265"/>
    </row>
    <row r="110" spans="1:33" ht="15.75" thickBot="1" x14ac:dyDescent="0.25">
      <c r="A110" s="118"/>
      <c r="B110" s="119"/>
      <c r="C110" s="47"/>
      <c r="D110" s="47"/>
      <c r="E110" s="47"/>
      <c r="F110" s="47"/>
      <c r="G110" s="47"/>
      <c r="H110" s="6"/>
      <c r="I110" s="6"/>
      <c r="J110" s="449"/>
      <c r="K110" s="449"/>
      <c r="L110" s="449"/>
      <c r="M110" s="449"/>
      <c r="N110" s="449"/>
      <c r="O110" s="449"/>
      <c r="P110" s="432"/>
      <c r="Q110" s="433"/>
      <c r="R110" s="433"/>
      <c r="S110" s="433"/>
      <c r="T110" s="178"/>
      <c r="U110" s="35"/>
      <c r="V110" s="262"/>
      <c r="W110" s="258"/>
      <c r="X110" s="267"/>
      <c r="Z110" s="265"/>
      <c r="AA110" s="265"/>
      <c r="AB110" s="265"/>
      <c r="AC110" s="265"/>
      <c r="AD110" s="265"/>
      <c r="AE110" s="265"/>
      <c r="AF110" s="265"/>
      <c r="AG110" s="265"/>
    </row>
    <row r="111" spans="1:33" ht="18.75" thickBot="1" x14ac:dyDescent="0.3">
      <c r="A111" s="118"/>
      <c r="B111" s="119"/>
      <c r="C111" s="638" t="s">
        <v>958</v>
      </c>
      <c r="D111" s="638"/>
      <c r="E111" s="638"/>
      <c r="F111" s="638"/>
      <c r="G111" s="638"/>
      <c r="H111" s="6"/>
      <c r="I111" s="6"/>
      <c r="J111" s="644">
        <f>VLOOKUP($F$1,Part3,96,FALSE)</f>
        <v>0</v>
      </c>
      <c r="K111" s="660"/>
      <c r="L111" s="185"/>
      <c r="M111" s="185"/>
      <c r="N111" s="644">
        <f>VLOOKUP($F$1,Part3,97,FALSE)</f>
        <v>0</v>
      </c>
      <c r="O111" s="660"/>
      <c r="P111" s="448"/>
      <c r="Q111" s="393"/>
      <c r="R111" s="644">
        <f>VLOOKUP($F$1,Part3,98,FALSE)</f>
        <v>0</v>
      </c>
      <c r="S111" s="660"/>
      <c r="T111" s="266"/>
      <c r="U111" s="35"/>
      <c r="V111" s="262"/>
      <c r="W111" s="376"/>
      <c r="X111" s="377"/>
      <c r="Y111" s="268"/>
      <c r="Z111" s="269"/>
      <c r="AA111" s="265"/>
      <c r="AB111" s="265"/>
      <c r="AC111" s="265"/>
      <c r="AD111" s="265"/>
      <c r="AE111" s="265"/>
      <c r="AF111" s="265"/>
      <c r="AG111" s="265"/>
    </row>
    <row r="112" spans="1:33" ht="15.75" x14ac:dyDescent="0.2">
      <c r="A112" s="118"/>
      <c r="B112" s="119"/>
      <c r="C112" s="699"/>
      <c r="D112" s="699"/>
      <c r="E112" s="699"/>
      <c r="F112" s="699"/>
      <c r="G112" s="699"/>
      <c r="H112" s="6"/>
      <c r="I112" s="6"/>
      <c r="J112" s="187"/>
      <c r="K112" s="516"/>
      <c r="L112" s="516"/>
      <c r="M112" s="516"/>
      <c r="N112" s="187"/>
      <c r="O112" s="516"/>
      <c r="P112" s="517"/>
      <c r="Q112" s="179"/>
      <c r="R112" s="186"/>
      <c r="S112" s="179"/>
      <c r="T112" s="266"/>
      <c r="U112" s="35"/>
      <c r="V112" s="262"/>
      <c r="W112" s="258"/>
      <c r="X112" s="267"/>
      <c r="Z112" s="265"/>
      <c r="AA112" s="265"/>
      <c r="AB112" s="265"/>
      <c r="AC112" s="265"/>
      <c r="AD112" s="265"/>
      <c r="AE112" s="265"/>
      <c r="AF112" s="265"/>
      <c r="AG112" s="265"/>
    </row>
    <row r="113" spans="1:33" ht="16.5" thickBot="1" x14ac:dyDescent="0.25">
      <c r="A113" s="122"/>
      <c r="B113" s="298"/>
      <c r="C113" s="244"/>
      <c r="D113" s="244"/>
      <c r="E113" s="244"/>
      <c r="F113" s="244"/>
      <c r="G113" s="244"/>
      <c r="H113" s="243"/>
      <c r="I113" s="243"/>
      <c r="J113" s="299"/>
      <c r="K113" s="300"/>
      <c r="L113" s="300"/>
      <c r="M113" s="300"/>
      <c r="N113" s="299"/>
      <c r="O113" s="300"/>
      <c r="P113" s="301"/>
      <c r="Q113" s="295"/>
      <c r="R113" s="296"/>
      <c r="S113" s="295"/>
      <c r="T113" s="297"/>
      <c r="U113" s="491"/>
      <c r="V113" s="262"/>
      <c r="W113" s="258"/>
      <c r="X113" s="267"/>
      <c r="Z113" s="265"/>
      <c r="AA113" s="265"/>
      <c r="AB113" s="265"/>
      <c r="AC113" s="265"/>
      <c r="AD113" s="265"/>
      <c r="AE113" s="265"/>
      <c r="AF113" s="265"/>
      <c r="AG113" s="265"/>
    </row>
    <row r="114" spans="1:33" ht="16.5" thickBot="1" x14ac:dyDescent="0.25">
      <c r="A114" s="118"/>
      <c r="B114" s="119"/>
      <c r="C114" s="512" t="s">
        <v>546</v>
      </c>
      <c r="D114" s="47"/>
      <c r="E114" s="47"/>
      <c r="F114" s="47"/>
      <c r="G114" s="47"/>
      <c r="H114" s="6"/>
      <c r="I114" s="6"/>
      <c r="J114" s="516"/>
      <c r="K114" s="516"/>
      <c r="L114" s="516"/>
      <c r="M114" s="516"/>
      <c r="N114" s="516"/>
      <c r="O114" s="516"/>
      <c r="P114" s="516"/>
      <c r="Q114" s="302"/>
      <c r="R114" s="179"/>
      <c r="S114" s="179"/>
      <c r="T114" s="266"/>
      <c r="U114" s="35"/>
      <c r="V114" s="262"/>
      <c r="W114" s="258"/>
      <c r="X114" s="267"/>
      <c r="Z114" s="265"/>
      <c r="AA114" s="265"/>
      <c r="AB114" s="265"/>
      <c r="AC114" s="265"/>
      <c r="AD114" s="265"/>
      <c r="AE114" s="265"/>
      <c r="AF114" s="265"/>
      <c r="AG114" s="265"/>
    </row>
    <row r="115" spans="1:33" ht="18.75" thickBot="1" x14ac:dyDescent="0.3">
      <c r="A115" s="118"/>
      <c r="B115" s="119"/>
      <c r="C115" s="47" t="s">
        <v>959</v>
      </c>
      <c r="D115" s="47"/>
      <c r="E115" s="47"/>
      <c r="F115" s="47"/>
      <c r="G115" s="47"/>
      <c r="H115" s="6"/>
      <c r="I115" s="6"/>
      <c r="J115" s="644">
        <f>VLOOKUP($F$1,Part3,99,FALSE)</f>
        <v>0</v>
      </c>
      <c r="K115" s="660"/>
      <c r="L115" s="185"/>
      <c r="M115" s="185"/>
      <c r="N115" s="644">
        <f>VLOOKUP($F$1,Part3,100,FALSE)</f>
        <v>0</v>
      </c>
      <c r="O115" s="660"/>
      <c r="P115" s="448"/>
      <c r="Q115" s="393"/>
      <c r="R115" s="644">
        <f>VLOOKUP($F$1,Part3,101,FALSE)</f>
        <v>0</v>
      </c>
      <c r="S115" s="660"/>
      <c r="T115" s="266"/>
      <c r="U115" s="35"/>
      <c r="V115" s="262"/>
      <c r="W115" s="376"/>
      <c r="X115" s="377"/>
      <c r="Y115" s="268"/>
      <c r="Z115" s="269"/>
      <c r="AA115" s="265"/>
      <c r="AB115" s="265"/>
      <c r="AC115" s="265"/>
      <c r="AD115" s="265"/>
      <c r="AE115" s="265"/>
      <c r="AF115" s="265"/>
      <c r="AG115" s="265"/>
    </row>
    <row r="116" spans="1:33" ht="15.75" thickBot="1" x14ac:dyDescent="0.25">
      <c r="A116" s="118"/>
      <c r="B116" s="119"/>
      <c r="C116" s="47"/>
      <c r="D116" s="47"/>
      <c r="E116" s="47"/>
      <c r="F116" s="47"/>
      <c r="G116" s="47"/>
      <c r="H116" s="6"/>
      <c r="I116" s="6"/>
      <c r="J116" s="449"/>
      <c r="K116" s="449"/>
      <c r="L116" s="449"/>
      <c r="M116" s="449"/>
      <c r="N116" s="449"/>
      <c r="O116" s="449"/>
      <c r="P116" s="432"/>
      <c r="Q116" s="433"/>
      <c r="R116" s="433"/>
      <c r="S116" s="433"/>
      <c r="T116" s="266"/>
      <c r="U116" s="35"/>
      <c r="V116" s="262"/>
      <c r="W116" s="258"/>
      <c r="X116" s="267"/>
      <c r="Z116" s="265"/>
      <c r="AA116" s="265"/>
      <c r="AB116" s="265"/>
      <c r="AC116" s="265"/>
      <c r="AD116" s="265"/>
      <c r="AE116" s="265"/>
      <c r="AF116" s="265"/>
      <c r="AG116" s="265"/>
    </row>
    <row r="117" spans="1:33" ht="18.75" thickBot="1" x14ac:dyDescent="0.3">
      <c r="A117" s="118"/>
      <c r="B117" s="119"/>
      <c r="C117" s="638" t="s">
        <v>960</v>
      </c>
      <c r="D117" s="638"/>
      <c r="E117" s="638"/>
      <c r="F117" s="638"/>
      <c r="G117" s="638"/>
      <c r="H117" s="6"/>
      <c r="I117" s="6"/>
      <c r="J117" s="644">
        <f>VLOOKUP($F$1,Part3,102,FALSE)</f>
        <v>0</v>
      </c>
      <c r="K117" s="660"/>
      <c r="L117" s="185"/>
      <c r="M117" s="185"/>
      <c r="N117" s="644">
        <f>VLOOKUP($F$1,Part3,103,FALSE)</f>
        <v>0</v>
      </c>
      <c r="O117" s="660"/>
      <c r="P117" s="448"/>
      <c r="Q117" s="393"/>
      <c r="R117" s="644">
        <f>VLOOKUP($F$1,Part3,104,FALSE)</f>
        <v>0</v>
      </c>
      <c r="S117" s="660"/>
      <c r="T117" s="266"/>
      <c r="U117" s="35"/>
      <c r="V117" s="262"/>
      <c r="W117" s="376"/>
      <c r="X117" s="377"/>
      <c r="Y117" s="268"/>
      <c r="Z117" s="269"/>
      <c r="AA117" s="265"/>
      <c r="AB117" s="265"/>
      <c r="AC117" s="265"/>
      <c r="AD117" s="265"/>
      <c r="AE117" s="265"/>
      <c r="AF117" s="265"/>
      <c r="AG117" s="265"/>
    </row>
    <row r="118" spans="1:33" ht="15.75" x14ac:dyDescent="0.2">
      <c r="A118" s="118"/>
      <c r="B118" s="119"/>
      <c r="C118" s="699"/>
      <c r="D118" s="699"/>
      <c r="E118" s="699"/>
      <c r="F118" s="699"/>
      <c r="G118" s="699"/>
      <c r="H118" s="6"/>
      <c r="I118" s="6"/>
      <c r="J118" s="187"/>
      <c r="K118" s="516"/>
      <c r="L118" s="516"/>
      <c r="M118" s="516"/>
      <c r="N118" s="187"/>
      <c r="O118" s="516"/>
      <c r="P118" s="517"/>
      <c r="Q118" s="179"/>
      <c r="R118" s="186"/>
      <c r="S118" s="179"/>
      <c r="T118" s="266"/>
      <c r="U118" s="35"/>
      <c r="V118" s="262"/>
      <c r="W118" s="258"/>
      <c r="X118" s="267"/>
      <c r="Z118" s="265"/>
      <c r="AA118" s="265"/>
      <c r="AB118" s="265"/>
      <c r="AC118" s="265"/>
      <c r="AD118" s="265"/>
      <c r="AE118" s="265"/>
      <c r="AF118" s="265"/>
      <c r="AG118" s="265"/>
    </row>
    <row r="119" spans="1:33" x14ac:dyDescent="0.2">
      <c r="A119" s="118"/>
      <c r="B119" s="119"/>
      <c r="C119" s="47"/>
      <c r="D119" s="47"/>
      <c r="E119" s="47"/>
      <c r="F119" s="47"/>
      <c r="G119" s="47"/>
      <c r="H119" s="6"/>
      <c r="I119" s="6"/>
      <c r="J119" s="516"/>
      <c r="K119" s="516"/>
      <c r="L119" s="516"/>
      <c r="M119" s="516"/>
      <c r="N119" s="516"/>
      <c r="O119" s="516"/>
      <c r="P119" s="516"/>
      <c r="Q119" s="302"/>
      <c r="R119" s="179"/>
      <c r="S119" s="179"/>
      <c r="T119" s="266"/>
      <c r="U119" s="35"/>
      <c r="V119" s="262"/>
      <c r="W119" s="258"/>
      <c r="X119" s="267"/>
      <c r="Z119" s="265"/>
      <c r="AA119" s="265"/>
      <c r="AB119" s="265"/>
      <c r="AC119" s="265"/>
      <c r="AD119" s="265"/>
      <c r="AE119" s="265"/>
      <c r="AF119" s="265"/>
      <c r="AG119" s="265"/>
    </row>
    <row r="120" spans="1:33" ht="16.5" thickBot="1" x14ac:dyDescent="0.25">
      <c r="A120" s="118"/>
      <c r="B120" s="119"/>
      <c r="C120" s="512" t="s">
        <v>555</v>
      </c>
      <c r="D120" s="47"/>
      <c r="E120" s="47"/>
      <c r="F120" s="47"/>
      <c r="G120" s="47"/>
      <c r="H120" s="6"/>
      <c r="I120" s="6"/>
      <c r="J120" s="516"/>
      <c r="K120" s="516"/>
      <c r="L120" s="516"/>
      <c r="M120" s="516"/>
      <c r="N120" s="516"/>
      <c r="O120" s="516"/>
      <c r="P120" s="516"/>
      <c r="Q120" s="302"/>
      <c r="R120" s="179"/>
      <c r="S120" s="179"/>
      <c r="T120" s="266"/>
      <c r="U120" s="35"/>
      <c r="V120" s="262"/>
      <c r="W120" s="258"/>
      <c r="X120" s="267"/>
      <c r="Z120" s="265"/>
      <c r="AA120" s="265"/>
      <c r="AB120" s="265"/>
      <c r="AC120" s="265"/>
      <c r="AD120" s="265"/>
      <c r="AE120" s="265"/>
      <c r="AF120" s="265"/>
      <c r="AG120" s="265"/>
    </row>
    <row r="121" spans="1:33" ht="18.75" thickBot="1" x14ac:dyDescent="0.3">
      <c r="A121" s="118"/>
      <c r="B121" s="119"/>
      <c r="C121" s="47" t="s">
        <v>961</v>
      </c>
      <c r="D121" s="47"/>
      <c r="E121" s="47"/>
      <c r="F121" s="47"/>
      <c r="G121" s="47"/>
      <c r="H121" s="6"/>
      <c r="I121" s="6"/>
      <c r="J121" s="644">
        <f>VLOOKUP($F$1,Part3,105,FALSE)</f>
        <v>0</v>
      </c>
      <c r="K121" s="660"/>
      <c r="L121" s="185"/>
      <c r="M121" s="185"/>
      <c r="N121" s="644">
        <f>VLOOKUP($F$1,Part3,106,FALSE)</f>
        <v>-507767</v>
      </c>
      <c r="O121" s="660"/>
      <c r="P121" s="448"/>
      <c r="Q121" s="393"/>
      <c r="R121" s="644">
        <f>VLOOKUP($F$1,Part3,107,FALSE)</f>
        <v>-507767</v>
      </c>
      <c r="S121" s="660"/>
      <c r="T121" s="266"/>
      <c r="U121" s="35"/>
      <c r="V121" s="262"/>
      <c r="W121" s="376"/>
      <c r="X121" s="377"/>
      <c r="Y121" s="268"/>
      <c r="Z121" s="269"/>
      <c r="AA121" s="265"/>
      <c r="AB121" s="265"/>
      <c r="AC121" s="265"/>
      <c r="AD121" s="265"/>
      <c r="AE121" s="265"/>
      <c r="AF121" s="265"/>
      <c r="AG121" s="265"/>
    </row>
    <row r="122" spans="1:33" ht="15.75" thickBot="1" x14ac:dyDescent="0.25">
      <c r="A122" s="118"/>
      <c r="B122" s="119"/>
      <c r="C122" s="47"/>
      <c r="D122" s="47"/>
      <c r="E122" s="47"/>
      <c r="F122" s="47"/>
      <c r="G122" s="47"/>
      <c r="H122" s="6"/>
      <c r="I122" s="6"/>
      <c r="J122" s="449"/>
      <c r="K122" s="449"/>
      <c r="L122" s="449"/>
      <c r="M122" s="449"/>
      <c r="N122" s="449"/>
      <c r="O122" s="449"/>
      <c r="P122" s="432"/>
      <c r="Q122" s="433"/>
      <c r="R122" s="433"/>
      <c r="S122" s="433"/>
      <c r="T122" s="178"/>
      <c r="U122" s="35"/>
      <c r="V122" s="262"/>
      <c r="W122" s="258"/>
      <c r="X122" s="267"/>
      <c r="Z122" s="303"/>
      <c r="AA122" s="265"/>
      <c r="AB122" s="265"/>
      <c r="AC122" s="265"/>
      <c r="AD122" s="265"/>
      <c r="AE122" s="265"/>
      <c r="AF122" s="265"/>
      <c r="AG122" s="265"/>
    </row>
    <row r="123" spans="1:33" ht="18.75" thickBot="1" x14ac:dyDescent="0.3">
      <c r="A123" s="118"/>
      <c r="B123" s="119"/>
      <c r="C123" s="638" t="s">
        <v>962</v>
      </c>
      <c r="D123" s="638"/>
      <c r="E123" s="638"/>
      <c r="F123" s="638"/>
      <c r="G123" s="638"/>
      <c r="H123" s="6"/>
      <c r="I123" s="6"/>
      <c r="J123" s="644">
        <f>VLOOKUP($F$1,Part3,108,FALSE)</f>
        <v>0</v>
      </c>
      <c r="K123" s="660"/>
      <c r="L123" s="185"/>
      <c r="M123" s="185"/>
      <c r="N123" s="644">
        <f>VLOOKUP($F$1,Part3,109,FALSE)</f>
        <v>-105212</v>
      </c>
      <c r="O123" s="660"/>
      <c r="P123" s="448"/>
      <c r="Q123" s="393"/>
      <c r="R123" s="644">
        <f>VLOOKUP($F$1,Part3,110,FALSE)</f>
        <v>-105212</v>
      </c>
      <c r="S123" s="660"/>
      <c r="T123" s="266"/>
      <c r="U123" s="35"/>
      <c r="V123" s="262"/>
      <c r="W123" s="376"/>
      <c r="X123" s="377"/>
      <c r="Y123" s="268"/>
      <c r="Z123" s="269"/>
      <c r="AA123" s="265"/>
      <c r="AB123" s="265"/>
      <c r="AC123" s="265"/>
      <c r="AD123" s="265"/>
      <c r="AE123" s="265"/>
      <c r="AF123" s="265"/>
      <c r="AG123" s="265"/>
    </row>
    <row r="124" spans="1:33" ht="15.75" x14ac:dyDescent="0.2">
      <c r="A124" s="118"/>
      <c r="B124" s="119"/>
      <c r="C124" s="699"/>
      <c r="D124" s="699"/>
      <c r="E124" s="699"/>
      <c r="F124" s="699"/>
      <c r="G124" s="699"/>
      <c r="H124" s="6"/>
      <c r="I124" s="6"/>
      <c r="J124" s="187"/>
      <c r="K124" s="516"/>
      <c r="L124" s="516"/>
      <c r="M124" s="516"/>
      <c r="N124" s="187"/>
      <c r="O124" s="516"/>
      <c r="P124" s="517"/>
      <c r="Q124" s="179"/>
      <c r="R124" s="186"/>
      <c r="S124" s="179"/>
      <c r="T124" s="266"/>
      <c r="U124" s="35"/>
      <c r="V124" s="262"/>
      <c r="W124" s="258"/>
      <c r="X124" s="267"/>
      <c r="Z124" s="265"/>
      <c r="AA124" s="265"/>
      <c r="AB124" s="265"/>
      <c r="AC124" s="265"/>
      <c r="AD124" s="265"/>
      <c r="AE124" s="265"/>
      <c r="AF124" s="265"/>
      <c r="AG124" s="265"/>
    </row>
    <row r="125" spans="1:33" ht="16.5" thickBot="1" x14ac:dyDescent="0.3">
      <c r="A125" s="118"/>
      <c r="B125" s="119"/>
      <c r="C125" s="512"/>
      <c r="D125" s="512"/>
      <c r="E125" s="512"/>
      <c r="F125" s="512"/>
      <c r="G125" s="512"/>
      <c r="H125" s="9"/>
      <c r="I125" s="6"/>
      <c r="J125" s="516" t="s">
        <v>556</v>
      </c>
      <c r="K125" s="516"/>
      <c r="L125" s="516"/>
      <c r="M125" s="516"/>
      <c r="N125" s="516"/>
      <c r="O125" s="516"/>
      <c r="P125" s="517"/>
      <c r="Q125" s="179"/>
      <c r="R125" s="186"/>
      <c r="S125" s="179"/>
      <c r="T125" s="266"/>
      <c r="U125" s="35"/>
      <c r="V125" s="262"/>
      <c r="W125" s="258"/>
      <c r="X125" s="267"/>
      <c r="Z125" s="303"/>
      <c r="AA125" s="265"/>
      <c r="AB125" s="265"/>
      <c r="AC125" s="265"/>
      <c r="AD125" s="265"/>
      <c r="AE125" s="265"/>
      <c r="AF125" s="265"/>
      <c r="AG125" s="265"/>
    </row>
    <row r="126" spans="1:33" ht="16.5" thickBot="1" x14ac:dyDescent="0.25">
      <c r="A126" s="118"/>
      <c r="B126" s="119"/>
      <c r="C126" s="126" t="s">
        <v>963</v>
      </c>
      <c r="D126" s="47"/>
      <c r="E126" s="47"/>
      <c r="F126" s="47"/>
      <c r="G126" s="47"/>
      <c r="H126" s="6"/>
      <c r="I126" s="6"/>
      <c r="J126" s="516"/>
      <c r="K126" s="516"/>
      <c r="L126" s="516"/>
      <c r="M126" s="516"/>
      <c r="N126" s="644">
        <f>VLOOKUP($F$1,Part3,112,FALSE)</f>
        <v>-612979</v>
      </c>
      <c r="O126" s="660"/>
      <c r="P126" s="516"/>
      <c r="Q126" s="179"/>
      <c r="R126" s="179"/>
      <c r="S126" s="179"/>
      <c r="T126" s="266"/>
      <c r="U126" s="35"/>
      <c r="V126" s="262"/>
      <c r="W126" s="258"/>
      <c r="X126" s="267"/>
      <c r="Y126" s="268"/>
      <c r="Z126" s="269"/>
      <c r="AA126" s="265"/>
      <c r="AB126" s="265"/>
      <c r="AC126" s="265"/>
      <c r="AD126" s="265"/>
      <c r="AE126" s="265"/>
      <c r="AF126" s="265"/>
      <c r="AG126" s="265"/>
    </row>
    <row r="127" spans="1:33" ht="15.75" thickBot="1" x14ac:dyDescent="0.25">
      <c r="A127" s="118"/>
      <c r="B127" s="119"/>
      <c r="C127" s="47"/>
      <c r="D127" s="47"/>
      <c r="E127" s="47"/>
      <c r="F127" s="47"/>
      <c r="G127" s="47"/>
      <c r="H127" s="517"/>
      <c r="I127" s="517"/>
      <c r="J127" s="516"/>
      <c r="K127" s="516"/>
      <c r="L127" s="516"/>
      <c r="M127" s="516"/>
      <c r="N127" s="516"/>
      <c r="O127" s="516"/>
      <c r="P127" s="517"/>
      <c r="Q127" s="179"/>
      <c r="R127" s="179"/>
      <c r="S127" s="179"/>
      <c r="T127" s="266"/>
      <c r="U127" s="35"/>
      <c r="V127" s="262"/>
      <c r="W127" s="258"/>
      <c r="X127" s="267"/>
      <c r="Z127" s="265"/>
      <c r="AA127" s="265"/>
      <c r="AB127" s="265"/>
      <c r="AC127" s="265"/>
      <c r="AD127" s="265"/>
      <c r="AE127" s="265"/>
      <c r="AF127" s="265"/>
      <c r="AG127" s="265"/>
    </row>
    <row r="128" spans="1:33" ht="16.5" thickBot="1" x14ac:dyDescent="0.25">
      <c r="A128" s="118"/>
      <c r="B128" s="119"/>
      <c r="C128" s="126" t="s">
        <v>964</v>
      </c>
      <c r="D128" s="47"/>
      <c r="E128" s="47"/>
      <c r="F128" s="47"/>
      <c r="G128" s="47"/>
      <c r="H128" s="6"/>
      <c r="I128" s="6"/>
      <c r="J128" s="644">
        <f>VLOOKUP($F$1,Part3,114,FALSE)</f>
        <v>0</v>
      </c>
      <c r="K128" s="660"/>
      <c r="L128" s="516"/>
      <c r="M128" s="516"/>
      <c r="N128" s="516"/>
      <c r="O128" s="516"/>
      <c r="P128" s="517"/>
      <c r="Q128" s="179"/>
      <c r="R128" s="179"/>
      <c r="S128" s="179"/>
      <c r="T128" s="266"/>
      <c r="U128" s="35"/>
      <c r="V128" s="262"/>
      <c r="W128" s="258"/>
      <c r="X128" s="267"/>
      <c r="Y128" s="268"/>
      <c r="Z128" s="269"/>
      <c r="AA128" s="265"/>
      <c r="AB128" s="265"/>
      <c r="AC128" s="265"/>
      <c r="AD128" s="265"/>
      <c r="AE128" s="265"/>
      <c r="AF128" s="265"/>
      <c r="AG128" s="265"/>
    </row>
    <row r="129" spans="1:33" ht="15.75" thickBot="1" x14ac:dyDescent="0.25">
      <c r="A129" s="118"/>
      <c r="B129" s="119"/>
      <c r="C129" s="47"/>
      <c r="D129" s="47"/>
      <c r="E129" s="47"/>
      <c r="F129" s="47"/>
      <c r="G129" s="47"/>
      <c r="H129" s="6"/>
      <c r="I129" s="6"/>
      <c r="J129" s="517"/>
      <c r="K129" s="517"/>
      <c r="L129" s="517"/>
      <c r="M129" s="517"/>
      <c r="N129" s="517"/>
      <c r="O129" s="517"/>
      <c r="P129" s="517"/>
      <c r="Q129" s="179"/>
      <c r="R129" s="179"/>
      <c r="S129" s="179"/>
      <c r="T129" s="266"/>
      <c r="U129" s="35"/>
      <c r="V129" s="262"/>
      <c r="W129" s="258"/>
      <c r="X129" s="267"/>
      <c r="Z129" s="265"/>
      <c r="AA129" s="265"/>
      <c r="AB129" s="265"/>
      <c r="AC129" s="265"/>
      <c r="AD129" s="265"/>
      <c r="AE129" s="265"/>
      <c r="AF129" s="265"/>
      <c r="AG129" s="265"/>
    </row>
    <row r="130" spans="1:33" ht="15.75" thickBot="1" x14ac:dyDescent="0.25">
      <c r="A130" s="118"/>
      <c r="B130" s="270"/>
      <c r="C130" s="245"/>
      <c r="D130" s="245"/>
      <c r="E130" s="245"/>
      <c r="F130" s="245"/>
      <c r="G130" s="245"/>
      <c r="H130" s="233"/>
      <c r="I130" s="233"/>
      <c r="J130" s="271"/>
      <c r="K130" s="271"/>
      <c r="L130" s="271"/>
      <c r="M130" s="271"/>
      <c r="N130" s="271"/>
      <c r="O130" s="271"/>
      <c r="P130" s="271"/>
      <c r="Q130" s="272"/>
      <c r="R130" s="272"/>
      <c r="S130" s="272"/>
      <c r="T130" s="273"/>
      <c r="U130" s="35"/>
      <c r="V130" s="262"/>
      <c r="W130" s="258"/>
      <c r="X130" s="267"/>
      <c r="Z130" s="265"/>
      <c r="AA130" s="265"/>
      <c r="AB130" s="265"/>
      <c r="AC130" s="265"/>
      <c r="AD130" s="265"/>
      <c r="AE130" s="265"/>
      <c r="AF130" s="265"/>
      <c r="AG130" s="265"/>
    </row>
    <row r="131" spans="1:33" ht="18.75" thickBot="1" x14ac:dyDescent="0.3">
      <c r="A131" s="118"/>
      <c r="B131" s="274"/>
      <c r="C131" s="650" t="s">
        <v>965</v>
      </c>
      <c r="D131" s="650"/>
      <c r="E131" s="650"/>
      <c r="F131" s="650"/>
      <c r="G131" s="650"/>
      <c r="H131" s="6"/>
      <c r="I131" s="6"/>
      <c r="J131" s="644">
        <f>VLOOKUP($F$1,Part3,117,FALSE)</f>
        <v>-481920</v>
      </c>
      <c r="K131" s="660"/>
      <c r="L131" s="185"/>
      <c r="M131" s="185"/>
      <c r="N131" s="644">
        <f>VLOOKUP($F$1,Part3,118,FALSE)</f>
        <v>-617100</v>
      </c>
      <c r="O131" s="660"/>
      <c r="P131" s="448"/>
      <c r="Q131" s="393"/>
      <c r="R131" s="644">
        <f>VLOOKUP($F$1,Part3,119,FALSE)</f>
        <v>-1099020</v>
      </c>
      <c r="S131" s="660"/>
      <c r="T131" s="275"/>
      <c r="U131" s="35"/>
      <c r="V131" s="262"/>
      <c r="W131" s="376"/>
      <c r="X131" s="377"/>
      <c r="Y131" s="268"/>
      <c r="Z131" s="269"/>
      <c r="AA131" s="265"/>
      <c r="AB131" s="265"/>
      <c r="AC131" s="265"/>
      <c r="AD131" s="265"/>
      <c r="AE131" s="265"/>
      <c r="AF131" s="265"/>
      <c r="AG131" s="265"/>
    </row>
    <row r="132" spans="1:33" ht="15.75" thickBot="1" x14ac:dyDescent="0.25">
      <c r="A132" s="118"/>
      <c r="B132" s="276"/>
      <c r="C132" s="246"/>
      <c r="D132" s="246"/>
      <c r="E132" s="246"/>
      <c r="F132" s="246"/>
      <c r="G132" s="246"/>
      <c r="H132" s="235"/>
      <c r="I132" s="235"/>
      <c r="J132" s="289"/>
      <c r="K132" s="289"/>
      <c r="L132" s="289"/>
      <c r="M132" s="289"/>
      <c r="N132" s="289"/>
      <c r="O132" s="289"/>
      <c r="P132" s="289"/>
      <c r="Q132" s="290"/>
      <c r="R132" s="290"/>
      <c r="S132" s="290"/>
      <c r="T132" s="277"/>
      <c r="U132" s="35"/>
      <c r="V132" s="262"/>
      <c r="W132" s="258"/>
      <c r="X132" s="267"/>
      <c r="Z132" s="265"/>
      <c r="AA132" s="265"/>
      <c r="AB132" s="265"/>
      <c r="AC132" s="265"/>
      <c r="AD132" s="265"/>
      <c r="AE132" s="265"/>
      <c r="AF132" s="265"/>
      <c r="AG132" s="265"/>
    </row>
    <row r="133" spans="1:33" ht="15.75" thickBot="1" x14ac:dyDescent="0.25">
      <c r="A133" s="122"/>
      <c r="B133" s="298"/>
      <c r="C133" s="247"/>
      <c r="D133" s="247"/>
      <c r="E133" s="247"/>
      <c r="F133" s="247"/>
      <c r="G133" s="247"/>
      <c r="H133" s="248"/>
      <c r="I133" s="248"/>
      <c r="J133" s="294"/>
      <c r="K133" s="294"/>
      <c r="L133" s="294"/>
      <c r="M133" s="294"/>
      <c r="N133" s="294"/>
      <c r="O133" s="294"/>
      <c r="P133" s="294"/>
      <c r="Q133" s="295"/>
      <c r="R133" s="295"/>
      <c r="S133" s="295"/>
      <c r="T133" s="297"/>
      <c r="U133" s="36"/>
      <c r="V133" s="262"/>
      <c r="W133" s="258"/>
      <c r="X133" s="267"/>
      <c r="Z133" s="265"/>
      <c r="AA133" s="265"/>
      <c r="AB133" s="265"/>
      <c r="AC133" s="265"/>
      <c r="AD133" s="265"/>
      <c r="AE133" s="265"/>
      <c r="AF133" s="265"/>
      <c r="AG133" s="265"/>
    </row>
    <row r="134" spans="1:33" ht="15.75" x14ac:dyDescent="0.2">
      <c r="A134" s="118"/>
      <c r="B134" s="119"/>
      <c r="C134" s="512" t="s">
        <v>1173</v>
      </c>
      <c r="D134" s="47"/>
      <c r="E134" s="47"/>
      <c r="F134" s="47"/>
      <c r="G134" s="47"/>
      <c r="H134" s="6"/>
      <c r="I134" s="6"/>
      <c r="J134" s="517"/>
      <c r="K134" s="517"/>
      <c r="L134" s="517"/>
      <c r="M134" s="517"/>
      <c r="N134" s="517"/>
      <c r="O134" s="517"/>
      <c r="P134" s="517"/>
      <c r="Q134" s="179"/>
      <c r="R134" s="179"/>
      <c r="S134" s="179"/>
      <c r="T134" s="266"/>
      <c r="U134" s="35"/>
      <c r="V134" s="262"/>
      <c r="W134" s="258"/>
      <c r="X134" s="267"/>
      <c r="Z134" s="265"/>
      <c r="AA134" s="265"/>
      <c r="AB134" s="265"/>
      <c r="AC134" s="265"/>
      <c r="AD134" s="265"/>
      <c r="AE134" s="265"/>
      <c r="AF134" s="265"/>
      <c r="AG134" s="265"/>
    </row>
    <row r="135" spans="1:33" ht="16.5" thickBot="1" x14ac:dyDescent="0.25">
      <c r="A135" s="118"/>
      <c r="B135" s="119"/>
      <c r="C135" s="512" t="s">
        <v>537</v>
      </c>
      <c r="D135" s="47"/>
      <c r="E135" s="47"/>
      <c r="F135" s="47"/>
      <c r="G135" s="47"/>
      <c r="H135" s="6"/>
      <c r="I135" s="6"/>
      <c r="J135" s="517"/>
      <c r="K135" s="517"/>
      <c r="L135" s="517"/>
      <c r="M135" s="517"/>
      <c r="N135" s="517"/>
      <c r="O135" s="517"/>
      <c r="P135" s="517"/>
      <c r="Q135" s="179"/>
      <c r="R135" s="179"/>
      <c r="S135" s="179"/>
      <c r="T135" s="266"/>
      <c r="U135" s="35"/>
      <c r="V135" s="262"/>
      <c r="W135" s="258"/>
      <c r="X135" s="267"/>
      <c r="Z135" s="265"/>
      <c r="AA135" s="265"/>
      <c r="AB135" s="265"/>
      <c r="AC135" s="265"/>
      <c r="AD135" s="265"/>
      <c r="AE135" s="265"/>
      <c r="AF135" s="265"/>
      <c r="AG135" s="265"/>
    </row>
    <row r="136" spans="1:33" ht="18.75" thickBot="1" x14ac:dyDescent="0.3">
      <c r="A136" s="118"/>
      <c r="B136" s="119"/>
      <c r="C136" s="47" t="s">
        <v>966</v>
      </c>
      <c r="D136" s="47"/>
      <c r="E136" s="47"/>
      <c r="F136" s="47"/>
      <c r="G136" s="47"/>
      <c r="H136" s="6"/>
      <c r="I136" s="6"/>
      <c r="J136" s="644">
        <f>VLOOKUP($F$1,Part3,120,FALSE)</f>
        <v>0</v>
      </c>
      <c r="K136" s="660"/>
      <c r="L136" s="185"/>
      <c r="M136" s="185"/>
      <c r="N136" s="644">
        <f>VLOOKUP($F$1,Part3,121,FALSE)</f>
        <v>0</v>
      </c>
      <c r="O136" s="660"/>
      <c r="P136" s="448"/>
      <c r="Q136" s="393"/>
      <c r="R136" s="644">
        <f>VLOOKUP($F$1,Part3,122,FALSE)</f>
        <v>0</v>
      </c>
      <c r="S136" s="660"/>
      <c r="T136" s="266"/>
      <c r="U136" s="35"/>
      <c r="V136" s="262"/>
      <c r="W136" s="376"/>
      <c r="X136" s="377"/>
      <c r="Y136" s="268"/>
      <c r="Z136" s="269"/>
      <c r="AA136" s="265"/>
      <c r="AB136" s="265"/>
      <c r="AC136" s="265"/>
      <c r="AD136" s="265"/>
      <c r="AE136" s="265"/>
      <c r="AF136" s="265"/>
      <c r="AG136" s="265"/>
    </row>
    <row r="137" spans="1:33" ht="16.5" thickBot="1" x14ac:dyDescent="0.25">
      <c r="A137" s="118"/>
      <c r="B137" s="119"/>
      <c r="C137" s="47"/>
      <c r="D137" s="47"/>
      <c r="E137" s="47"/>
      <c r="F137" s="47"/>
      <c r="G137" s="47"/>
      <c r="H137" s="6"/>
      <c r="I137" s="6"/>
      <c r="J137" s="449"/>
      <c r="K137" s="449"/>
      <c r="L137" s="185"/>
      <c r="M137" s="185"/>
      <c r="N137" s="449"/>
      <c r="O137" s="449"/>
      <c r="P137" s="515"/>
      <c r="Q137" s="179"/>
      <c r="R137" s="186"/>
      <c r="S137" s="179"/>
      <c r="T137" s="266"/>
      <c r="U137" s="35"/>
      <c r="V137" s="262"/>
      <c r="W137" s="258"/>
      <c r="X137" s="267"/>
      <c r="Z137" s="265"/>
      <c r="AA137" s="265"/>
      <c r="AB137" s="265"/>
      <c r="AC137" s="265"/>
      <c r="AD137" s="265"/>
      <c r="AE137" s="265"/>
      <c r="AF137" s="265"/>
      <c r="AG137" s="265"/>
    </row>
    <row r="138" spans="1:33" ht="18.75" thickBot="1" x14ac:dyDescent="0.3">
      <c r="A138" s="118"/>
      <c r="B138" s="119"/>
      <c r="C138" s="47" t="s">
        <v>967</v>
      </c>
      <c r="D138" s="47"/>
      <c r="E138" s="47"/>
      <c r="F138" s="47"/>
      <c r="G138" s="47"/>
      <c r="H138" s="6"/>
      <c r="I138" s="6"/>
      <c r="J138" s="644">
        <f>VLOOKUP($F$1,Part3,123,FALSE)</f>
        <v>0</v>
      </c>
      <c r="K138" s="660"/>
      <c r="L138" s="185"/>
      <c r="M138" s="185"/>
      <c r="N138" s="644">
        <f>VLOOKUP($F$1,Part3,124,FALSE)</f>
        <v>0</v>
      </c>
      <c r="O138" s="660"/>
      <c r="P138" s="448"/>
      <c r="Q138" s="393"/>
      <c r="R138" s="644">
        <f>VLOOKUP($F$1,Part3,125,FALSE)</f>
        <v>0</v>
      </c>
      <c r="S138" s="660"/>
      <c r="T138" s="266"/>
      <c r="U138" s="35"/>
      <c r="V138" s="262"/>
      <c r="W138" s="376"/>
      <c r="X138" s="377"/>
      <c r="Y138" s="268"/>
      <c r="Z138" s="269"/>
      <c r="AA138" s="265"/>
      <c r="AB138" s="265"/>
      <c r="AC138" s="265"/>
      <c r="AD138" s="265"/>
      <c r="AE138" s="265"/>
      <c r="AF138" s="265"/>
      <c r="AG138" s="265"/>
    </row>
    <row r="139" spans="1:33" ht="15.75" x14ac:dyDescent="0.2">
      <c r="A139" s="118"/>
      <c r="B139" s="119"/>
      <c r="C139" s="47" t="s">
        <v>968</v>
      </c>
      <c r="D139" s="47"/>
      <c r="E139" s="47"/>
      <c r="F139" s="47"/>
      <c r="G139" s="47"/>
      <c r="H139" s="6"/>
      <c r="I139" s="6"/>
      <c r="J139" s="280"/>
      <c r="K139" s="280"/>
      <c r="L139" s="185"/>
      <c r="M139" s="185"/>
      <c r="N139" s="280"/>
      <c r="O139" s="280"/>
      <c r="P139" s="515"/>
      <c r="Q139" s="179"/>
      <c r="R139" s="186"/>
      <c r="S139" s="179"/>
      <c r="T139" s="266"/>
      <c r="U139" s="35"/>
      <c r="V139" s="262"/>
      <c r="W139" s="258"/>
      <c r="X139" s="267"/>
      <c r="Z139" s="265"/>
      <c r="AA139" s="265"/>
      <c r="AB139" s="265"/>
      <c r="AC139" s="265"/>
      <c r="AD139" s="265"/>
      <c r="AE139" s="265"/>
      <c r="AF139" s="265"/>
      <c r="AG139" s="265"/>
    </row>
    <row r="140" spans="1:33" ht="15.75" x14ac:dyDescent="0.2">
      <c r="A140" s="118"/>
      <c r="B140" s="119"/>
      <c r="C140" s="47"/>
      <c r="D140" s="47"/>
      <c r="E140" s="47"/>
      <c r="F140" s="47"/>
      <c r="G140" s="47"/>
      <c r="H140" s="6"/>
      <c r="I140" s="6"/>
      <c r="J140" s="280"/>
      <c r="K140" s="280"/>
      <c r="L140" s="185"/>
      <c r="M140" s="185"/>
      <c r="N140" s="280"/>
      <c r="O140" s="280"/>
      <c r="P140" s="515"/>
      <c r="Q140" s="179"/>
      <c r="R140" s="186"/>
      <c r="S140" s="179"/>
      <c r="T140" s="266"/>
      <c r="U140" s="35"/>
      <c r="V140" s="262"/>
      <c r="W140" s="258"/>
      <c r="X140" s="267"/>
      <c r="Z140" s="265"/>
      <c r="AA140" s="265"/>
      <c r="AB140" s="265"/>
      <c r="AC140" s="265"/>
      <c r="AD140" s="265"/>
      <c r="AE140" s="265"/>
      <c r="AF140" s="265"/>
      <c r="AG140" s="265"/>
    </row>
    <row r="141" spans="1:33" ht="16.5" thickBot="1" x14ac:dyDescent="0.25">
      <c r="A141" s="118"/>
      <c r="B141" s="119"/>
      <c r="C141" s="512" t="s">
        <v>969</v>
      </c>
      <c r="D141" s="47"/>
      <c r="E141" s="47"/>
      <c r="F141" s="47"/>
      <c r="G141" s="47"/>
      <c r="H141" s="6"/>
      <c r="I141" s="6"/>
      <c r="J141" s="280"/>
      <c r="K141" s="280"/>
      <c r="L141" s="185"/>
      <c r="M141" s="185"/>
      <c r="N141" s="280"/>
      <c r="O141" s="280"/>
      <c r="P141" s="515"/>
      <c r="Q141" s="179"/>
      <c r="R141" s="186"/>
      <c r="S141" s="179"/>
      <c r="T141" s="266"/>
      <c r="U141" s="35"/>
      <c r="V141" s="262"/>
      <c r="W141" s="258"/>
      <c r="X141" s="267"/>
      <c r="Z141" s="265"/>
      <c r="AA141" s="265"/>
      <c r="AB141" s="265"/>
      <c r="AC141" s="265"/>
      <c r="AD141" s="265"/>
      <c r="AE141" s="265"/>
      <c r="AF141" s="265"/>
      <c r="AG141" s="265"/>
    </row>
    <row r="142" spans="1:33" ht="18.75" thickBot="1" x14ac:dyDescent="0.3">
      <c r="A142" s="118"/>
      <c r="B142" s="119"/>
      <c r="C142" s="47" t="s">
        <v>970</v>
      </c>
      <c r="D142" s="47"/>
      <c r="E142" s="47"/>
      <c r="F142" s="47"/>
      <c r="G142" s="47"/>
      <c r="H142" s="6"/>
      <c r="I142" s="6"/>
      <c r="J142" s="644">
        <f>VLOOKUP($F$1,Part3,126,FALSE)</f>
        <v>-68108</v>
      </c>
      <c r="K142" s="660"/>
      <c r="L142" s="185"/>
      <c r="M142" s="185"/>
      <c r="N142" s="644">
        <f>VLOOKUP($F$1,Part3,127,FALSE)</f>
        <v>0</v>
      </c>
      <c r="O142" s="660"/>
      <c r="P142" s="448"/>
      <c r="Q142" s="393"/>
      <c r="R142" s="644">
        <f>VLOOKUP($F$1,Part3,128,FALSE)</f>
        <v>-68108</v>
      </c>
      <c r="S142" s="660"/>
      <c r="T142" s="266"/>
      <c r="U142" s="35"/>
      <c r="V142" s="262"/>
      <c r="W142" s="376"/>
      <c r="X142" s="377"/>
      <c r="Y142" s="268"/>
      <c r="Z142" s="269"/>
      <c r="AA142" s="265"/>
      <c r="AB142" s="265"/>
      <c r="AC142" s="265"/>
      <c r="AD142" s="265"/>
      <c r="AE142" s="265"/>
      <c r="AF142" s="265"/>
      <c r="AG142" s="265"/>
    </row>
    <row r="143" spans="1:33" ht="15.75" x14ac:dyDescent="0.2">
      <c r="A143" s="118"/>
      <c r="B143" s="119"/>
      <c r="C143" s="47"/>
      <c r="D143" s="47"/>
      <c r="E143" s="47"/>
      <c r="F143" s="47"/>
      <c r="G143" s="47"/>
      <c r="H143" s="6"/>
      <c r="I143" s="6"/>
      <c r="J143" s="280"/>
      <c r="K143" s="280"/>
      <c r="L143" s="185"/>
      <c r="M143" s="185"/>
      <c r="N143" s="280"/>
      <c r="O143" s="280"/>
      <c r="P143" s="515"/>
      <c r="Q143" s="179"/>
      <c r="R143" s="186"/>
      <c r="S143" s="179"/>
      <c r="T143" s="266"/>
      <c r="U143" s="35"/>
      <c r="V143" s="262"/>
      <c r="W143" s="258"/>
      <c r="X143" s="267"/>
      <c r="Z143" s="265"/>
      <c r="AA143" s="265"/>
      <c r="AB143" s="265"/>
      <c r="AC143" s="265"/>
      <c r="AD143" s="265"/>
      <c r="AE143" s="265"/>
      <c r="AF143" s="265"/>
      <c r="AG143" s="265"/>
    </row>
    <row r="144" spans="1:33" ht="16.5" thickBot="1" x14ac:dyDescent="0.25">
      <c r="A144" s="118"/>
      <c r="B144" s="119"/>
      <c r="C144" s="512" t="s">
        <v>971</v>
      </c>
      <c r="D144" s="47"/>
      <c r="E144" s="47"/>
      <c r="F144" s="47"/>
      <c r="G144" s="47"/>
      <c r="H144" s="6"/>
      <c r="I144" s="6"/>
      <c r="J144" s="449"/>
      <c r="K144" s="449"/>
      <c r="L144" s="449"/>
      <c r="M144" s="449"/>
      <c r="N144" s="449"/>
      <c r="O144" s="449"/>
      <c r="P144" s="432"/>
      <c r="Q144" s="433"/>
      <c r="R144" s="433"/>
      <c r="S144" s="433"/>
      <c r="T144" s="266"/>
      <c r="U144" s="35"/>
      <c r="V144" s="262"/>
      <c r="W144" s="258"/>
      <c r="X144" s="267"/>
      <c r="Z144" s="265"/>
      <c r="AA144" s="265"/>
      <c r="AB144" s="265"/>
      <c r="AC144" s="265"/>
      <c r="AD144" s="265"/>
      <c r="AE144" s="265"/>
      <c r="AF144" s="265"/>
      <c r="AG144" s="265"/>
    </row>
    <row r="145" spans="1:33" ht="18.75" thickBot="1" x14ac:dyDescent="0.3">
      <c r="A145" s="118"/>
      <c r="B145" s="119"/>
      <c r="C145" s="47" t="s">
        <v>972</v>
      </c>
      <c r="D145" s="47"/>
      <c r="E145" s="47"/>
      <c r="F145" s="47"/>
      <c r="G145" s="47"/>
      <c r="H145" s="6"/>
      <c r="I145" s="6"/>
      <c r="J145" s="644">
        <f>VLOOKUP($F$1,Part3,129,FALSE)</f>
        <v>-713135</v>
      </c>
      <c r="K145" s="660"/>
      <c r="L145" s="185"/>
      <c r="M145" s="185"/>
      <c r="N145" s="644">
        <f>VLOOKUP($F$1,Part3,130,FALSE)</f>
        <v>-7897</v>
      </c>
      <c r="O145" s="660"/>
      <c r="P145" s="448"/>
      <c r="Q145" s="393"/>
      <c r="R145" s="644">
        <f>VLOOKUP($F$1,Part3,131,FALSE)</f>
        <v>-721032</v>
      </c>
      <c r="S145" s="660"/>
      <c r="T145" s="266"/>
      <c r="U145" s="35"/>
      <c r="V145" s="262"/>
      <c r="W145" s="376"/>
      <c r="X145" s="377"/>
      <c r="Y145" s="268"/>
      <c r="Z145" s="269"/>
      <c r="AA145" s="265"/>
      <c r="AB145" s="265"/>
      <c r="AC145" s="265"/>
      <c r="AD145" s="265"/>
      <c r="AE145" s="265"/>
      <c r="AF145" s="265"/>
      <c r="AG145" s="265"/>
    </row>
    <row r="146" spans="1:33" x14ac:dyDescent="0.2">
      <c r="A146" s="118"/>
      <c r="B146" s="119"/>
      <c r="C146" s="47"/>
      <c r="D146" s="47"/>
      <c r="E146" s="47"/>
      <c r="F146" s="47"/>
      <c r="G146" s="47"/>
      <c r="H146" s="6"/>
      <c r="I146" s="6"/>
      <c r="J146" s="449"/>
      <c r="K146" s="449"/>
      <c r="L146" s="449"/>
      <c r="M146" s="449"/>
      <c r="N146" s="449"/>
      <c r="O146" s="449"/>
      <c r="P146" s="432"/>
      <c r="Q146" s="433"/>
      <c r="R146" s="433"/>
      <c r="S146" s="433"/>
      <c r="T146" s="266"/>
      <c r="U146" s="35"/>
      <c r="V146" s="262"/>
      <c r="W146" s="258"/>
      <c r="X146" s="267"/>
      <c r="Z146" s="265"/>
      <c r="AA146" s="265"/>
      <c r="AB146" s="265"/>
      <c r="AC146" s="265"/>
      <c r="AD146" s="265"/>
      <c r="AE146" s="265"/>
      <c r="AF146" s="265"/>
      <c r="AG146" s="265"/>
    </row>
    <row r="147" spans="1:33" ht="16.5" thickBot="1" x14ac:dyDescent="0.25">
      <c r="A147" s="118"/>
      <c r="B147" s="119"/>
      <c r="C147" s="512" t="s">
        <v>831</v>
      </c>
      <c r="D147" s="47"/>
      <c r="E147" s="47"/>
      <c r="F147" s="47"/>
      <c r="G147" s="47"/>
      <c r="H147" s="6"/>
      <c r="I147" s="6"/>
      <c r="J147" s="516"/>
      <c r="K147" s="516"/>
      <c r="L147" s="516"/>
      <c r="M147" s="516"/>
      <c r="N147" s="516"/>
      <c r="O147" s="516"/>
      <c r="P147" s="517"/>
      <c r="Q147" s="179"/>
      <c r="R147" s="179"/>
      <c r="S147" s="179"/>
      <c r="T147" s="266"/>
      <c r="U147" s="35"/>
      <c r="V147" s="262"/>
      <c r="W147" s="258"/>
      <c r="X147" s="267"/>
      <c r="Z147" s="265"/>
      <c r="AA147" s="265"/>
      <c r="AB147" s="265"/>
      <c r="AC147" s="265"/>
      <c r="AD147" s="265"/>
      <c r="AE147" s="265"/>
      <c r="AF147" s="265"/>
      <c r="AG147" s="265"/>
    </row>
    <row r="148" spans="1:33" ht="18.75" thickBot="1" x14ac:dyDescent="0.3">
      <c r="A148" s="118"/>
      <c r="B148" s="119"/>
      <c r="C148" s="47" t="s">
        <v>973</v>
      </c>
      <c r="D148" s="47"/>
      <c r="E148" s="47"/>
      <c r="F148" s="47"/>
      <c r="G148" s="47"/>
      <c r="H148" s="6"/>
      <c r="I148" s="6"/>
      <c r="J148" s="644">
        <f>VLOOKUP($F$1,Part3,132,FALSE)</f>
        <v>0</v>
      </c>
      <c r="K148" s="660"/>
      <c r="L148" s="185"/>
      <c r="M148" s="185"/>
      <c r="N148" s="644">
        <f>VLOOKUP($F$1,Part3,133,FALSE)</f>
        <v>0</v>
      </c>
      <c r="O148" s="660"/>
      <c r="P148" s="448"/>
      <c r="Q148" s="393"/>
      <c r="R148" s="644">
        <f>VLOOKUP($F$1,Part3,134,FALSE)</f>
        <v>0</v>
      </c>
      <c r="S148" s="660"/>
      <c r="T148" s="266"/>
      <c r="U148" s="35"/>
      <c r="V148" s="262"/>
      <c r="W148" s="376"/>
      <c r="X148" s="377"/>
      <c r="Y148" s="268"/>
      <c r="Z148" s="269"/>
      <c r="AA148" s="265"/>
      <c r="AB148" s="265"/>
      <c r="AC148" s="265"/>
      <c r="AD148" s="265"/>
      <c r="AE148" s="265"/>
      <c r="AF148" s="265"/>
      <c r="AG148" s="265"/>
    </row>
    <row r="149" spans="1:33" ht="16.5" thickBot="1" x14ac:dyDescent="0.25">
      <c r="A149" s="118"/>
      <c r="B149" s="119"/>
      <c r="C149" s="47"/>
      <c r="D149" s="47"/>
      <c r="E149" s="47"/>
      <c r="F149" s="47"/>
      <c r="G149" s="47"/>
      <c r="H149" s="6"/>
      <c r="I149" s="6"/>
      <c r="J149" s="280"/>
      <c r="K149" s="280"/>
      <c r="L149" s="185"/>
      <c r="M149" s="185"/>
      <c r="N149" s="280"/>
      <c r="O149" s="280"/>
      <c r="P149" s="515"/>
      <c r="Q149" s="179"/>
      <c r="R149" s="186"/>
      <c r="S149" s="179"/>
      <c r="T149" s="266"/>
      <c r="U149" s="35"/>
      <c r="V149" s="262"/>
      <c r="W149" s="258"/>
      <c r="X149" s="267"/>
      <c r="Z149" s="265"/>
      <c r="AA149" s="265"/>
      <c r="AB149" s="265"/>
      <c r="AC149" s="265"/>
      <c r="AD149" s="265"/>
      <c r="AE149" s="265"/>
      <c r="AF149" s="265"/>
      <c r="AG149" s="265"/>
    </row>
    <row r="150" spans="1:33" ht="18.75" thickBot="1" x14ac:dyDescent="0.3">
      <c r="A150" s="118"/>
      <c r="B150" s="119"/>
      <c r="C150" s="47" t="s">
        <v>974</v>
      </c>
      <c r="D150" s="47"/>
      <c r="E150" s="47"/>
      <c r="F150" s="47"/>
      <c r="G150" s="47"/>
      <c r="H150" s="6"/>
      <c r="I150" s="6"/>
      <c r="J150" s="644">
        <f>VLOOKUP($F$1,Part3,135,FALSE)</f>
        <v>0</v>
      </c>
      <c r="K150" s="660"/>
      <c r="L150" s="185"/>
      <c r="M150" s="185"/>
      <c r="N150" s="644">
        <f>VLOOKUP($F$1,Part3,136,FALSE)</f>
        <v>0</v>
      </c>
      <c r="O150" s="660"/>
      <c r="P150" s="448"/>
      <c r="Q150" s="393"/>
      <c r="R150" s="644">
        <f>VLOOKUP($F$1,Part3,137,FALSE)</f>
        <v>0</v>
      </c>
      <c r="S150" s="660"/>
      <c r="T150" s="266"/>
      <c r="U150" s="35"/>
      <c r="V150" s="262"/>
      <c r="W150" s="376"/>
      <c r="X150" s="377"/>
      <c r="Y150" s="268"/>
      <c r="Z150" s="269"/>
      <c r="AA150" s="265"/>
      <c r="AB150" s="265"/>
      <c r="AC150" s="265"/>
      <c r="AD150" s="265"/>
      <c r="AE150" s="265"/>
      <c r="AF150" s="265"/>
      <c r="AG150" s="265"/>
    </row>
    <row r="151" spans="1:33" x14ac:dyDescent="0.2">
      <c r="A151" s="118"/>
      <c r="B151" s="119"/>
      <c r="C151" s="47" t="s">
        <v>968</v>
      </c>
      <c r="D151" s="47"/>
      <c r="E151" s="47"/>
      <c r="F151" s="47"/>
      <c r="G151" s="47"/>
      <c r="H151" s="6"/>
      <c r="I151" s="6"/>
      <c r="J151" s="432"/>
      <c r="K151" s="432"/>
      <c r="L151" s="432"/>
      <c r="M151" s="432"/>
      <c r="N151" s="432"/>
      <c r="O151" s="432"/>
      <c r="P151" s="432"/>
      <c r="Q151" s="433"/>
      <c r="R151" s="433"/>
      <c r="S151" s="433"/>
      <c r="T151" s="266"/>
      <c r="U151" s="35"/>
      <c r="V151" s="262"/>
      <c r="W151" s="258"/>
      <c r="X151" s="267"/>
      <c r="Z151" s="265"/>
      <c r="AA151" s="265"/>
      <c r="AB151" s="265"/>
      <c r="AC151" s="265"/>
      <c r="AD151" s="265"/>
      <c r="AE151" s="265"/>
      <c r="AF151" s="265"/>
      <c r="AG151" s="265"/>
    </row>
    <row r="152" spans="1:33" ht="15.75" thickBot="1" x14ac:dyDescent="0.25">
      <c r="A152" s="118"/>
      <c r="B152" s="119"/>
      <c r="C152" s="47"/>
      <c r="D152" s="47"/>
      <c r="E152" s="47"/>
      <c r="F152" s="47"/>
      <c r="G152" s="47"/>
      <c r="H152" s="6"/>
      <c r="I152" s="6"/>
      <c r="J152" s="432"/>
      <c r="K152" s="432"/>
      <c r="L152" s="432"/>
      <c r="M152" s="432"/>
      <c r="N152" s="432"/>
      <c r="O152" s="432"/>
      <c r="P152" s="432"/>
      <c r="Q152" s="433"/>
      <c r="R152" s="433"/>
      <c r="S152" s="433"/>
      <c r="T152" s="266"/>
      <c r="U152" s="35"/>
      <c r="V152" s="262"/>
      <c r="W152" s="258"/>
      <c r="X152" s="267"/>
      <c r="Z152" s="265"/>
      <c r="AA152" s="265"/>
      <c r="AB152" s="265"/>
      <c r="AC152" s="265"/>
      <c r="AD152" s="265"/>
      <c r="AE152" s="265"/>
      <c r="AF152" s="265"/>
      <c r="AG152" s="265"/>
    </row>
    <row r="153" spans="1:33" ht="15.75" thickBot="1" x14ac:dyDescent="0.25">
      <c r="A153" s="118"/>
      <c r="B153" s="270"/>
      <c r="C153" s="245"/>
      <c r="D153" s="245"/>
      <c r="E153" s="245"/>
      <c r="F153" s="245"/>
      <c r="G153" s="245"/>
      <c r="H153" s="233"/>
      <c r="I153" s="233"/>
      <c r="J153" s="454"/>
      <c r="K153" s="454"/>
      <c r="L153" s="454"/>
      <c r="M153" s="454"/>
      <c r="N153" s="454"/>
      <c r="O153" s="454"/>
      <c r="P153" s="454"/>
      <c r="Q153" s="455"/>
      <c r="R153" s="455"/>
      <c r="S153" s="455"/>
      <c r="T153" s="273"/>
      <c r="U153" s="35"/>
      <c r="V153" s="262"/>
      <c r="W153" s="258"/>
      <c r="X153" s="267"/>
      <c r="Z153" s="265"/>
      <c r="AA153" s="265"/>
      <c r="AB153" s="265"/>
      <c r="AC153" s="265"/>
      <c r="AD153" s="265"/>
      <c r="AE153" s="265"/>
      <c r="AF153" s="265"/>
      <c r="AG153" s="265"/>
    </row>
    <row r="154" spans="1:33" ht="18.75" thickBot="1" x14ac:dyDescent="0.3">
      <c r="A154" s="118"/>
      <c r="B154" s="274"/>
      <c r="C154" s="512" t="s">
        <v>975</v>
      </c>
      <c r="D154" s="47"/>
      <c r="E154" s="47"/>
      <c r="F154" s="47"/>
      <c r="G154" s="47"/>
      <c r="H154" s="6"/>
      <c r="I154" s="6"/>
      <c r="J154" s="644">
        <f>VLOOKUP($F$1,Part3,138,FALSE)</f>
        <v>-781243</v>
      </c>
      <c r="K154" s="660"/>
      <c r="L154" s="185"/>
      <c r="M154" s="185"/>
      <c r="N154" s="644">
        <f>VLOOKUP($F$1,Part3,139,FALSE)</f>
        <v>-7897</v>
      </c>
      <c r="O154" s="660"/>
      <c r="P154" s="448"/>
      <c r="Q154" s="393"/>
      <c r="R154" s="644">
        <f>VLOOKUP($F$1,Part3,140,FALSE)</f>
        <v>-789140</v>
      </c>
      <c r="S154" s="660"/>
      <c r="T154" s="275"/>
      <c r="U154" s="35"/>
      <c r="V154" s="262"/>
      <c r="W154" s="376"/>
      <c r="X154" s="377"/>
      <c r="Y154" s="268"/>
      <c r="Z154" s="269"/>
      <c r="AA154" s="265"/>
      <c r="AB154" s="265"/>
      <c r="AC154" s="265"/>
      <c r="AD154" s="265"/>
      <c r="AE154" s="265"/>
      <c r="AF154" s="265"/>
      <c r="AG154" s="265"/>
    </row>
    <row r="155" spans="1:33" ht="15.75" thickBot="1" x14ac:dyDescent="0.25">
      <c r="A155" s="118"/>
      <c r="B155" s="276"/>
      <c r="C155" s="246"/>
      <c r="D155" s="246"/>
      <c r="E155" s="246"/>
      <c r="F155" s="246"/>
      <c r="G155" s="246"/>
      <c r="H155" s="235"/>
      <c r="I155" s="235"/>
      <c r="J155" s="450"/>
      <c r="K155" s="450"/>
      <c r="L155" s="450"/>
      <c r="M155" s="450"/>
      <c r="N155" s="450"/>
      <c r="O155" s="450"/>
      <c r="P155" s="450"/>
      <c r="Q155" s="451"/>
      <c r="R155" s="451"/>
      <c r="S155" s="451"/>
      <c r="T155" s="277"/>
      <c r="U155" s="35"/>
      <c r="V155" s="262"/>
      <c r="W155" s="258"/>
      <c r="X155" s="267"/>
      <c r="Z155" s="265"/>
      <c r="AA155" s="265"/>
      <c r="AB155" s="265"/>
      <c r="AC155" s="265"/>
      <c r="AD155" s="265"/>
      <c r="AE155" s="265"/>
      <c r="AF155" s="265"/>
      <c r="AG155" s="265"/>
    </row>
    <row r="156" spans="1:33" ht="15.75" x14ac:dyDescent="0.2">
      <c r="A156" s="118"/>
      <c r="B156" s="119"/>
      <c r="C156" s="512"/>
      <c r="D156" s="47"/>
      <c r="E156" s="47"/>
      <c r="F156" s="47"/>
      <c r="G156" s="47"/>
      <c r="H156" s="6"/>
      <c r="I156" s="6"/>
      <c r="J156" s="517"/>
      <c r="K156" s="517"/>
      <c r="L156" s="517"/>
      <c r="M156" s="517"/>
      <c r="N156" s="517"/>
      <c r="O156" s="517"/>
      <c r="P156" s="517"/>
      <c r="Q156" s="179"/>
      <c r="R156" s="179"/>
      <c r="S156" s="179"/>
      <c r="T156" s="266"/>
      <c r="U156" s="35"/>
      <c r="V156" s="262"/>
      <c r="W156" s="258"/>
      <c r="X156" s="267"/>
      <c r="Z156" s="265"/>
      <c r="AA156" s="265"/>
      <c r="AB156" s="265"/>
      <c r="AC156" s="265"/>
      <c r="AD156" s="265"/>
      <c r="AE156" s="265"/>
      <c r="AF156" s="265"/>
      <c r="AG156" s="265"/>
    </row>
    <row r="157" spans="1:33" ht="16.5" thickBot="1" x14ac:dyDescent="0.25">
      <c r="A157" s="118"/>
      <c r="B157" s="119"/>
      <c r="C157" s="512" t="s">
        <v>832</v>
      </c>
      <c r="D157" s="47"/>
      <c r="E157" s="47"/>
      <c r="F157" s="47"/>
      <c r="G157" s="47"/>
      <c r="H157" s="6"/>
      <c r="I157" s="6"/>
      <c r="J157" s="517"/>
      <c r="K157" s="517"/>
      <c r="L157" s="517"/>
      <c r="M157" s="517"/>
      <c r="N157" s="517"/>
      <c r="O157" s="517"/>
      <c r="P157" s="517"/>
      <c r="Q157" s="179"/>
      <c r="R157" s="179"/>
      <c r="S157" s="179"/>
      <c r="T157" s="266"/>
      <c r="U157" s="35"/>
      <c r="V157" s="262"/>
      <c r="W157" s="258"/>
      <c r="X157" s="267"/>
      <c r="Z157" s="265"/>
      <c r="AA157" s="265"/>
      <c r="AB157" s="265"/>
      <c r="AC157" s="265"/>
      <c r="AD157" s="265"/>
      <c r="AE157" s="265"/>
      <c r="AF157" s="265"/>
      <c r="AG157" s="265"/>
    </row>
    <row r="158" spans="1:33" ht="18.75" thickBot="1" x14ac:dyDescent="0.3">
      <c r="A158" s="118"/>
      <c r="B158" s="119"/>
      <c r="C158" s="47" t="s">
        <v>976</v>
      </c>
      <c r="D158" s="47"/>
      <c r="E158" s="47"/>
      <c r="F158" s="47"/>
      <c r="G158" s="47"/>
      <c r="H158" s="6"/>
      <c r="I158" s="6"/>
      <c r="J158" s="644">
        <f>VLOOKUP($F$1,Part3,141,FALSE)</f>
        <v>0</v>
      </c>
      <c r="K158" s="660"/>
      <c r="L158" s="185"/>
      <c r="M158" s="185"/>
      <c r="N158" s="644">
        <f>VLOOKUP($F$1,Part3,142,FALSE)</f>
        <v>0</v>
      </c>
      <c r="O158" s="660"/>
      <c r="P158" s="448"/>
      <c r="Q158" s="393"/>
      <c r="R158" s="644">
        <f>VLOOKUP($F$1,Part3,143,FALSE)</f>
        <v>0</v>
      </c>
      <c r="S158" s="660"/>
      <c r="T158" s="266"/>
      <c r="U158" s="35"/>
      <c r="V158" s="262"/>
      <c r="W158" s="376"/>
      <c r="X158" s="377"/>
      <c r="Y158" s="268"/>
      <c r="Z158" s="269"/>
      <c r="AA158" s="265"/>
      <c r="AB158" s="265"/>
      <c r="AC158" s="265"/>
      <c r="AD158" s="265"/>
      <c r="AE158" s="265"/>
      <c r="AF158" s="265"/>
      <c r="AG158" s="265"/>
    </row>
    <row r="159" spans="1:33" ht="16.5" thickBot="1" x14ac:dyDescent="0.25">
      <c r="A159" s="118"/>
      <c r="B159" s="119"/>
      <c r="C159" s="47"/>
      <c r="D159" s="47"/>
      <c r="E159" s="47"/>
      <c r="F159" s="47"/>
      <c r="G159" s="47"/>
      <c r="H159" s="6"/>
      <c r="I159" s="6"/>
      <c r="J159" s="280"/>
      <c r="K159" s="280"/>
      <c r="L159" s="449"/>
      <c r="M159" s="449"/>
      <c r="N159" s="280"/>
      <c r="O159" s="280"/>
      <c r="P159" s="432"/>
      <c r="Q159" s="433"/>
      <c r="R159" s="433"/>
      <c r="S159" s="433"/>
      <c r="T159" s="178"/>
      <c r="U159" s="35"/>
      <c r="V159" s="262"/>
      <c r="W159" s="258"/>
      <c r="X159" s="267"/>
      <c r="Z159" s="265"/>
      <c r="AA159" s="265"/>
      <c r="AB159" s="265"/>
      <c r="AC159" s="265"/>
      <c r="AD159" s="265"/>
      <c r="AE159" s="265"/>
      <c r="AF159" s="265"/>
      <c r="AG159" s="265"/>
    </row>
    <row r="160" spans="1:33" ht="18.75" thickBot="1" x14ac:dyDescent="0.3">
      <c r="A160" s="118"/>
      <c r="B160" s="119"/>
      <c r="C160" s="638" t="s">
        <v>977</v>
      </c>
      <c r="D160" s="638"/>
      <c r="E160" s="638"/>
      <c r="F160" s="638"/>
      <c r="G160" s="638"/>
      <c r="H160" s="6"/>
      <c r="I160" s="6"/>
      <c r="J160" s="644">
        <f>VLOOKUP($F$1,Part3,144,FALSE)</f>
        <v>0</v>
      </c>
      <c r="K160" s="660"/>
      <c r="L160" s="185"/>
      <c r="M160" s="185"/>
      <c r="N160" s="644">
        <f>VLOOKUP($F$1,Part3,145,FALSE)</f>
        <v>-15078</v>
      </c>
      <c r="O160" s="660"/>
      <c r="P160" s="448"/>
      <c r="Q160" s="393"/>
      <c r="R160" s="644">
        <f>VLOOKUP($F$1,Part3,146,FALSE)</f>
        <v>-15078</v>
      </c>
      <c r="S160" s="660"/>
      <c r="T160" s="266"/>
      <c r="U160" s="35"/>
      <c r="V160" s="262"/>
      <c r="W160" s="376"/>
      <c r="X160" s="377"/>
      <c r="Y160" s="268"/>
      <c r="Z160" s="269"/>
      <c r="AA160" s="265"/>
      <c r="AB160" s="265"/>
      <c r="AC160" s="265"/>
      <c r="AD160" s="265"/>
      <c r="AE160" s="265"/>
      <c r="AF160" s="265"/>
      <c r="AG160" s="265"/>
    </row>
    <row r="161" spans="1:35" ht="15.75" x14ac:dyDescent="0.2">
      <c r="A161" s="118"/>
      <c r="B161" s="119"/>
      <c r="C161" s="699"/>
      <c r="D161" s="699"/>
      <c r="E161" s="699"/>
      <c r="F161" s="699"/>
      <c r="G161" s="699"/>
      <c r="H161" s="6"/>
      <c r="I161" s="6"/>
      <c r="J161" s="187"/>
      <c r="K161" s="516"/>
      <c r="L161" s="516"/>
      <c r="M161" s="516"/>
      <c r="N161" s="187"/>
      <c r="O161" s="516"/>
      <c r="P161" s="517"/>
      <c r="Q161" s="179"/>
      <c r="R161" s="186"/>
      <c r="S161" s="179"/>
      <c r="T161" s="266"/>
      <c r="U161" s="35"/>
      <c r="V161" s="262"/>
      <c r="W161" s="258"/>
      <c r="X161" s="267"/>
      <c r="Z161" s="265"/>
      <c r="AA161" s="265"/>
      <c r="AB161" s="265"/>
      <c r="AC161" s="265"/>
      <c r="AD161" s="265"/>
      <c r="AE161" s="265"/>
      <c r="AF161" s="265"/>
      <c r="AG161" s="265"/>
    </row>
    <row r="162" spans="1:35" ht="16.5" thickBot="1" x14ac:dyDescent="0.25">
      <c r="A162" s="118"/>
      <c r="B162" s="119"/>
      <c r="C162" s="123"/>
      <c r="D162" s="123"/>
      <c r="E162" s="123"/>
      <c r="F162" s="123"/>
      <c r="G162" s="123"/>
      <c r="H162" s="6"/>
      <c r="I162" s="6"/>
      <c r="J162" s="187"/>
      <c r="K162" s="516"/>
      <c r="L162" s="516"/>
      <c r="M162" s="516"/>
      <c r="N162" s="187"/>
      <c r="O162" s="516"/>
      <c r="P162" s="517"/>
      <c r="Q162" s="179"/>
      <c r="R162" s="186"/>
      <c r="S162" s="179"/>
      <c r="T162" s="266"/>
      <c r="U162" s="35"/>
      <c r="V162" s="262"/>
      <c r="W162" s="258"/>
      <c r="X162" s="267"/>
      <c r="Z162" s="265"/>
      <c r="AA162" s="265"/>
      <c r="AB162" s="265"/>
      <c r="AC162" s="265"/>
      <c r="AD162" s="265"/>
      <c r="AE162" s="265"/>
      <c r="AF162" s="265"/>
      <c r="AG162" s="265"/>
    </row>
    <row r="163" spans="1:35" ht="16.5" thickBot="1" x14ac:dyDescent="0.25">
      <c r="A163" s="118"/>
      <c r="B163" s="270"/>
      <c r="C163" s="238"/>
      <c r="D163" s="238"/>
      <c r="E163" s="238"/>
      <c r="F163" s="238"/>
      <c r="G163" s="238"/>
      <c r="H163" s="233"/>
      <c r="I163" s="233"/>
      <c r="J163" s="304"/>
      <c r="K163" s="305"/>
      <c r="L163" s="305"/>
      <c r="M163" s="305"/>
      <c r="N163" s="304"/>
      <c r="O163" s="305"/>
      <c r="P163" s="271"/>
      <c r="Q163" s="272"/>
      <c r="R163" s="284"/>
      <c r="S163" s="272"/>
      <c r="T163" s="273"/>
      <c r="U163" s="35"/>
      <c r="V163" s="262"/>
      <c r="W163" s="258"/>
      <c r="X163" s="267"/>
      <c r="Y163" s="268"/>
      <c r="Z163" s="265"/>
      <c r="AA163" s="265"/>
      <c r="AB163" s="265"/>
      <c r="AC163" s="265"/>
      <c r="AD163" s="265"/>
      <c r="AE163" s="265"/>
      <c r="AF163" s="265"/>
      <c r="AG163" s="265"/>
    </row>
    <row r="164" spans="1:35" ht="18.75" thickBot="1" x14ac:dyDescent="0.3">
      <c r="A164" s="118"/>
      <c r="B164" s="274"/>
      <c r="C164" s="681" t="s">
        <v>978</v>
      </c>
      <c r="D164" s="681"/>
      <c r="E164" s="681"/>
      <c r="F164" s="681"/>
      <c r="G164" s="681"/>
      <c r="H164" s="6"/>
      <c r="I164" s="6"/>
      <c r="J164" s="644">
        <f>VLOOKUP($F$1,Part3,147,FALSE)</f>
        <v>0</v>
      </c>
      <c r="K164" s="660"/>
      <c r="L164" s="185"/>
      <c r="M164" s="185"/>
      <c r="N164" s="644">
        <f>VLOOKUP($F$1,Part3,148,FALSE)</f>
        <v>-15078</v>
      </c>
      <c r="O164" s="660"/>
      <c r="P164" s="448"/>
      <c r="Q164" s="393"/>
      <c r="R164" s="644">
        <f>VLOOKUP($F$1,Part3,149,FALSE)</f>
        <v>-15078</v>
      </c>
      <c r="S164" s="660"/>
      <c r="T164" s="275"/>
      <c r="U164" s="35"/>
      <c r="V164" s="262"/>
      <c r="W164" s="376"/>
      <c r="X164" s="377"/>
      <c r="Y164" s="268"/>
      <c r="Z164" s="269"/>
      <c r="AA164" s="265"/>
      <c r="AB164" s="265"/>
      <c r="AC164" s="265"/>
      <c r="AD164" s="265"/>
      <c r="AE164" s="265"/>
      <c r="AF164" s="265"/>
      <c r="AG164" s="265"/>
    </row>
    <row r="165" spans="1:35" ht="15.75" thickBot="1" x14ac:dyDescent="0.25">
      <c r="A165" s="15"/>
      <c r="B165" s="306"/>
      <c r="C165" s="249"/>
      <c r="D165" s="249"/>
      <c r="E165" s="249"/>
      <c r="F165" s="249"/>
      <c r="G165" s="249"/>
      <c r="H165" s="249"/>
      <c r="I165" s="249"/>
      <c r="J165" s="456"/>
      <c r="K165" s="456"/>
      <c r="L165" s="456"/>
      <c r="M165" s="456"/>
      <c r="N165" s="456"/>
      <c r="O165" s="456"/>
      <c r="P165" s="457"/>
      <c r="Q165" s="458"/>
      <c r="R165" s="458"/>
      <c r="S165" s="458"/>
      <c r="T165" s="277"/>
      <c r="U165" s="35"/>
      <c r="V165" s="262"/>
      <c r="W165" s="258"/>
      <c r="X165" s="267"/>
      <c r="Z165" s="265"/>
      <c r="AA165" s="265"/>
      <c r="AB165" s="265"/>
      <c r="AC165" s="265"/>
      <c r="AD165" s="265"/>
      <c r="AE165" s="265"/>
      <c r="AF165" s="265"/>
      <c r="AG165" s="265"/>
    </row>
    <row r="166" spans="1:35" ht="15.75" thickBot="1" x14ac:dyDescent="0.25">
      <c r="A166" s="15"/>
      <c r="B166" s="2"/>
      <c r="C166" s="2"/>
      <c r="D166" s="2"/>
      <c r="E166" s="2"/>
      <c r="F166" s="2"/>
      <c r="G166" s="2"/>
      <c r="H166" s="2"/>
      <c r="I166" s="2"/>
      <c r="J166" s="459"/>
      <c r="K166" s="459"/>
      <c r="L166" s="459"/>
      <c r="M166" s="459"/>
      <c r="N166" s="459"/>
      <c r="O166" s="459"/>
      <c r="P166" s="459"/>
      <c r="Q166" s="459"/>
      <c r="R166" s="459"/>
      <c r="S166" s="460"/>
      <c r="T166" s="2"/>
      <c r="U166" s="35"/>
      <c r="V166" s="262"/>
      <c r="W166" s="258"/>
      <c r="X166" s="267"/>
    </row>
    <row r="167" spans="1:35" x14ac:dyDescent="0.2">
      <c r="A167" s="15"/>
      <c r="B167" s="307"/>
      <c r="C167" s="308"/>
      <c r="D167" s="308"/>
      <c r="E167" s="308"/>
      <c r="F167" s="308"/>
      <c r="G167" s="308"/>
      <c r="H167" s="308"/>
      <c r="I167" s="308"/>
      <c r="J167" s="461"/>
      <c r="K167" s="461"/>
      <c r="L167" s="461"/>
      <c r="M167" s="461"/>
      <c r="N167" s="461"/>
      <c r="O167" s="461"/>
      <c r="P167" s="462"/>
      <c r="Q167" s="462"/>
      <c r="R167" s="462"/>
      <c r="S167" s="462"/>
      <c r="T167" s="309"/>
      <c r="U167" s="35"/>
      <c r="V167" s="262"/>
      <c r="W167" s="258"/>
      <c r="X167" s="267"/>
    </row>
    <row r="168" spans="1:35" ht="16.5" customHeight="1" x14ac:dyDescent="0.25">
      <c r="A168" s="15"/>
      <c r="B168" s="310"/>
      <c r="C168" s="250" t="s">
        <v>979</v>
      </c>
      <c r="D168" s="251"/>
      <c r="E168" s="251"/>
      <c r="F168" s="251"/>
      <c r="G168" s="424"/>
      <c r="H168" s="251"/>
      <c r="I168" s="251"/>
      <c r="J168" s="463"/>
      <c r="K168" s="463"/>
      <c r="L168" s="463"/>
      <c r="M168" s="463"/>
      <c r="N168" s="463"/>
      <c r="O168" s="463"/>
      <c r="P168" s="464"/>
      <c r="Q168" s="464"/>
      <c r="R168" s="464"/>
      <c r="S168" s="464"/>
      <c r="T168" s="311"/>
      <c r="U168" s="35"/>
      <c r="V168" s="262"/>
      <c r="W168" s="258"/>
      <c r="X168" s="267"/>
    </row>
    <row r="169" spans="1:35" ht="16.5" customHeight="1" thickBot="1" x14ac:dyDescent="0.25">
      <c r="A169" s="15"/>
      <c r="B169" s="310"/>
      <c r="C169" s="251"/>
      <c r="D169" s="251"/>
      <c r="E169" s="251"/>
      <c r="F169" s="251"/>
      <c r="G169" s="251"/>
      <c r="H169" s="251"/>
      <c r="I169" s="251"/>
      <c r="J169" s="463"/>
      <c r="K169" s="463"/>
      <c r="L169" s="463"/>
      <c r="M169" s="463"/>
      <c r="N169" s="463"/>
      <c r="O169" s="463"/>
      <c r="P169" s="464"/>
      <c r="Q169" s="464"/>
      <c r="R169" s="464"/>
      <c r="S169" s="464"/>
      <c r="T169" s="311"/>
      <c r="U169" s="35"/>
      <c r="V169" s="262"/>
      <c r="W169" s="258"/>
      <c r="X169" s="267"/>
    </row>
    <row r="170" spans="1:35" ht="16.5" customHeight="1" thickBot="1" x14ac:dyDescent="0.3">
      <c r="A170" s="15"/>
      <c r="B170" s="425"/>
      <c r="C170" s="395"/>
      <c r="D170" s="426" t="s">
        <v>980</v>
      </c>
      <c r="E170" s="426"/>
      <c r="F170" s="426"/>
      <c r="G170" s="426"/>
      <c r="H170" s="426"/>
      <c r="I170" s="426"/>
      <c r="J170" s="644">
        <f>VLOOKUP($F$1,Part3,150,FALSE)</f>
        <v>215816087</v>
      </c>
      <c r="K170" s="660"/>
      <c r="L170" s="394"/>
      <c r="M170" s="394"/>
      <c r="N170" s="644">
        <f>VLOOKUP($F$1,Part3,151,FALSE)</f>
        <v>26311314</v>
      </c>
      <c r="O170" s="660"/>
      <c r="P170" s="465"/>
      <c r="Q170" s="393"/>
      <c r="R170" s="644">
        <f>VLOOKUP($F$1,Part3,152,FALSE)</f>
        <v>242127401</v>
      </c>
      <c r="S170" s="660"/>
      <c r="T170" s="311"/>
      <c r="U170" s="35"/>
      <c r="V170" s="262"/>
      <c r="W170" s="376"/>
      <c r="X170" s="377"/>
      <c r="Y170" s="312"/>
      <c r="Z170" s="269"/>
      <c r="AA170" s="313"/>
      <c r="AB170" s="313"/>
      <c r="AC170" s="265"/>
      <c r="AD170" s="265"/>
      <c r="AE170" s="265"/>
      <c r="AF170" s="265"/>
      <c r="AG170" s="265"/>
      <c r="AH170" s="265"/>
      <c r="AI170" s="265"/>
    </row>
    <row r="171" spans="1:35" ht="16.5" customHeight="1" thickBot="1" x14ac:dyDescent="0.25">
      <c r="A171" s="15"/>
      <c r="B171" s="310"/>
      <c r="C171" s="252" t="s">
        <v>981</v>
      </c>
      <c r="D171" s="251"/>
      <c r="E171" s="251"/>
      <c r="F171" s="251"/>
      <c r="G171" s="251"/>
      <c r="H171" s="251"/>
      <c r="I171" s="251"/>
      <c r="J171" s="314"/>
      <c r="K171" s="314"/>
      <c r="L171" s="314"/>
      <c r="M171" s="314"/>
      <c r="N171" s="314"/>
      <c r="O171" s="314"/>
      <c r="P171" s="396"/>
      <c r="Q171" s="314"/>
      <c r="R171" s="314"/>
      <c r="S171" s="314"/>
      <c r="T171" s="311"/>
      <c r="U171" s="35"/>
      <c r="V171" s="262"/>
      <c r="W171" s="258"/>
      <c r="X171" s="267"/>
      <c r="Z171" s="265"/>
      <c r="AA171" s="265"/>
      <c r="AB171" s="265"/>
      <c r="AC171" s="265"/>
      <c r="AD171" s="265"/>
      <c r="AE171" s="265"/>
      <c r="AF171" s="265"/>
      <c r="AG171" s="265"/>
      <c r="AH171" s="265"/>
      <c r="AI171" s="265"/>
    </row>
    <row r="172" spans="1:35" ht="16.5" customHeight="1" thickBot="1" x14ac:dyDescent="0.3">
      <c r="A172" s="15"/>
      <c r="B172" s="310"/>
      <c r="C172" s="251"/>
      <c r="D172" s="252" t="s">
        <v>982</v>
      </c>
      <c r="E172" s="251"/>
      <c r="F172" s="251"/>
      <c r="G172" s="251"/>
      <c r="H172" s="251"/>
      <c r="I172" s="251"/>
      <c r="J172" s="644">
        <f>VLOOKUP($F$1,Part3,153,FALSE)</f>
        <v>68667</v>
      </c>
      <c r="K172" s="660"/>
      <c r="L172" s="394"/>
      <c r="M172" s="394"/>
      <c r="N172" s="644">
        <f>VLOOKUP($F$1,Part3,154,FALSE)</f>
        <v>-36745</v>
      </c>
      <c r="O172" s="660"/>
      <c r="P172" s="465"/>
      <c r="Q172" s="393"/>
      <c r="R172" s="644">
        <f>VLOOKUP($F$1,Part3,155,FALSE)</f>
        <v>31922</v>
      </c>
      <c r="S172" s="660"/>
      <c r="T172" s="311"/>
      <c r="U172" s="35"/>
      <c r="V172" s="262"/>
      <c r="W172" s="376"/>
      <c r="X172" s="377"/>
      <c r="Y172" s="312"/>
      <c r="Z172" s="269"/>
      <c r="AA172" s="265"/>
      <c r="AB172" s="265"/>
      <c r="AC172" s="265"/>
      <c r="AD172" s="265"/>
      <c r="AE172" s="265"/>
      <c r="AF172" s="265"/>
      <c r="AG172" s="265"/>
      <c r="AH172" s="265"/>
      <c r="AI172" s="265"/>
    </row>
    <row r="173" spans="1:35" ht="16.5" customHeight="1" thickBot="1" x14ac:dyDescent="0.25">
      <c r="A173" s="15"/>
      <c r="B173" s="310"/>
      <c r="C173" s="251"/>
      <c r="D173" s="252"/>
      <c r="E173" s="251"/>
      <c r="F173" s="251"/>
      <c r="G173" s="251"/>
      <c r="H173" s="251"/>
      <c r="I173" s="251"/>
      <c r="J173" s="314"/>
      <c r="K173" s="314"/>
      <c r="L173" s="396"/>
      <c r="M173" s="396"/>
      <c r="N173" s="314"/>
      <c r="O173" s="314"/>
      <c r="P173" s="396"/>
      <c r="Q173" s="314"/>
      <c r="R173" s="314"/>
      <c r="S173" s="314"/>
      <c r="T173" s="311"/>
      <c r="U173" s="35"/>
      <c r="V173" s="262"/>
      <c r="W173" s="258"/>
      <c r="X173" s="267"/>
      <c r="Z173" s="265"/>
      <c r="AA173" s="265"/>
      <c r="AB173" s="265"/>
      <c r="AC173" s="265"/>
      <c r="AD173" s="265"/>
      <c r="AE173" s="265"/>
      <c r="AF173" s="265"/>
      <c r="AG173" s="265"/>
      <c r="AH173" s="265"/>
      <c r="AI173" s="265"/>
    </row>
    <row r="174" spans="1:35" ht="16.5" customHeight="1" thickBot="1" x14ac:dyDescent="0.3">
      <c r="A174" s="15"/>
      <c r="B174" s="310"/>
      <c r="C174" s="251"/>
      <c r="D174" s="252" t="s">
        <v>983</v>
      </c>
      <c r="E174" s="251"/>
      <c r="F174" s="251"/>
      <c r="G174" s="251"/>
      <c r="H174" s="251"/>
      <c r="I174" s="251"/>
      <c r="J174" s="644">
        <f>VLOOKUP($F$1,Part3,156,FALSE)</f>
        <v>-18539787</v>
      </c>
      <c r="K174" s="660"/>
      <c r="L174" s="394"/>
      <c r="M174" s="394"/>
      <c r="N174" s="644">
        <f>VLOOKUP($F$1,Part3,157,FALSE)</f>
        <v>461708</v>
      </c>
      <c r="O174" s="660"/>
      <c r="P174" s="465"/>
      <c r="Q174" s="393"/>
      <c r="R174" s="644">
        <f>VLOOKUP($F$1,Part3,158,FALSE)</f>
        <v>-18078079</v>
      </c>
      <c r="S174" s="660"/>
      <c r="T174" s="311"/>
      <c r="U174" s="35"/>
      <c r="V174" s="262"/>
      <c r="W174" s="376"/>
      <c r="X174" s="377"/>
      <c r="Y174" s="312"/>
      <c r="Z174" s="269"/>
      <c r="AA174" s="265"/>
      <c r="AB174" s="265"/>
      <c r="AC174" s="265"/>
      <c r="AD174" s="265"/>
      <c r="AE174" s="265"/>
      <c r="AF174" s="265"/>
      <c r="AG174" s="265"/>
      <c r="AH174" s="265"/>
      <c r="AI174" s="265"/>
    </row>
    <row r="175" spans="1:35" ht="16.5" customHeight="1" thickBot="1" x14ac:dyDescent="0.25">
      <c r="A175" s="15"/>
      <c r="B175" s="310"/>
      <c r="C175" s="251"/>
      <c r="D175" s="252"/>
      <c r="E175" s="251"/>
      <c r="F175" s="251"/>
      <c r="G175" s="251"/>
      <c r="H175" s="251"/>
      <c r="I175" s="251"/>
      <c r="J175" s="314"/>
      <c r="K175" s="314"/>
      <c r="L175" s="396"/>
      <c r="M175" s="396"/>
      <c r="N175" s="314"/>
      <c r="O175" s="314"/>
      <c r="P175" s="396"/>
      <c r="Q175" s="314"/>
      <c r="R175" s="314"/>
      <c r="S175" s="314"/>
      <c r="T175" s="311"/>
      <c r="U175" s="35"/>
      <c r="V175" s="262"/>
      <c r="W175" s="258"/>
      <c r="X175" s="267"/>
      <c r="Z175" s="265"/>
      <c r="AA175" s="265"/>
      <c r="AB175" s="265"/>
      <c r="AC175" s="265"/>
      <c r="AD175" s="265"/>
      <c r="AE175" s="265"/>
      <c r="AF175" s="265"/>
      <c r="AG175" s="265"/>
      <c r="AH175" s="265"/>
      <c r="AI175" s="265"/>
    </row>
    <row r="176" spans="1:35" ht="16.5" customHeight="1" thickBot="1" x14ac:dyDescent="0.3">
      <c r="A176" s="15"/>
      <c r="B176" s="310"/>
      <c r="C176" s="251"/>
      <c r="D176" s="252" t="s">
        <v>984</v>
      </c>
      <c r="E176" s="251"/>
      <c r="F176" s="251"/>
      <c r="G176" s="251"/>
      <c r="H176" s="251"/>
      <c r="I176" s="251"/>
      <c r="J176" s="644">
        <f>VLOOKUP($F$1,Part3,159,FALSE)</f>
        <v>-12145749</v>
      </c>
      <c r="K176" s="660"/>
      <c r="L176" s="394"/>
      <c r="M176" s="394"/>
      <c r="N176" s="644">
        <f>VLOOKUP($F$1,Part3,160,FALSE)</f>
        <v>-860452</v>
      </c>
      <c r="O176" s="660"/>
      <c r="P176" s="465"/>
      <c r="Q176" s="393"/>
      <c r="R176" s="644">
        <f>VLOOKUP($F$1,Part3,161,FALSE)</f>
        <v>-13006201</v>
      </c>
      <c r="S176" s="660"/>
      <c r="T176" s="311"/>
      <c r="U176" s="35"/>
      <c r="V176" s="262"/>
      <c r="W176" s="376"/>
      <c r="X176" s="377"/>
      <c r="Y176" s="312"/>
      <c r="Z176" s="269"/>
      <c r="AA176" s="265"/>
      <c r="AB176" s="265"/>
      <c r="AC176" s="265"/>
      <c r="AD176" s="265"/>
      <c r="AE176" s="265"/>
      <c r="AF176" s="265"/>
      <c r="AG176" s="265"/>
      <c r="AH176" s="265"/>
      <c r="AI176" s="265"/>
    </row>
    <row r="177" spans="1:35" ht="16.5" customHeight="1" thickBot="1" x14ac:dyDescent="0.25">
      <c r="A177" s="15"/>
      <c r="B177" s="310"/>
      <c r="C177" s="251"/>
      <c r="D177" s="252"/>
      <c r="E177" s="251"/>
      <c r="F177" s="251"/>
      <c r="G177" s="251"/>
      <c r="H177" s="251"/>
      <c r="I177" s="251"/>
      <c r="J177" s="314"/>
      <c r="K177" s="314"/>
      <c r="L177" s="396"/>
      <c r="M177" s="396"/>
      <c r="N177" s="314"/>
      <c r="O177" s="314"/>
      <c r="P177" s="396"/>
      <c r="Q177" s="314"/>
      <c r="R177" s="314"/>
      <c r="S177" s="314"/>
      <c r="T177" s="311"/>
      <c r="U177" s="35"/>
      <c r="V177" s="262"/>
      <c r="W177" s="258"/>
      <c r="X177" s="267"/>
      <c r="Z177" s="265"/>
      <c r="AA177" s="265"/>
      <c r="AB177" s="265"/>
      <c r="AC177" s="265"/>
      <c r="AD177" s="265"/>
      <c r="AE177" s="265"/>
      <c r="AF177" s="265"/>
      <c r="AG177" s="265"/>
      <c r="AH177" s="265"/>
      <c r="AI177" s="265"/>
    </row>
    <row r="178" spans="1:35" ht="16.5" customHeight="1" thickBot="1" x14ac:dyDescent="0.3">
      <c r="A178" s="15"/>
      <c r="B178" s="310"/>
      <c r="C178" s="251"/>
      <c r="D178" s="252" t="s">
        <v>985</v>
      </c>
      <c r="E178" s="251"/>
      <c r="F178" s="251"/>
      <c r="G178" s="251"/>
      <c r="H178" s="251"/>
      <c r="I178" s="251"/>
      <c r="J178" s="644">
        <f>VLOOKUP($F$1,Part3,162,FALSE)</f>
        <v>-481920</v>
      </c>
      <c r="K178" s="660"/>
      <c r="L178" s="394"/>
      <c r="M178" s="394"/>
      <c r="N178" s="644">
        <f>VLOOKUP($F$1,Part3,163,FALSE)</f>
        <v>-617100</v>
      </c>
      <c r="O178" s="660"/>
      <c r="P178" s="465"/>
      <c r="Q178" s="393"/>
      <c r="R178" s="644">
        <f>VLOOKUP($F$1,Part3,164,FALSE)</f>
        <v>-1099020</v>
      </c>
      <c r="S178" s="660"/>
      <c r="T178" s="311"/>
      <c r="U178" s="35"/>
      <c r="V178" s="262"/>
      <c r="W178" s="376"/>
      <c r="X178" s="377"/>
      <c r="Y178" s="312"/>
      <c r="Z178" s="269"/>
      <c r="AA178" s="265"/>
      <c r="AB178" s="265"/>
      <c r="AC178" s="265"/>
      <c r="AD178" s="265"/>
      <c r="AE178" s="265"/>
      <c r="AF178" s="265"/>
      <c r="AG178" s="265"/>
      <c r="AH178" s="265"/>
      <c r="AI178" s="265"/>
    </row>
    <row r="179" spans="1:35" ht="16.5" customHeight="1" thickBot="1" x14ac:dyDescent="0.25">
      <c r="A179" s="15"/>
      <c r="B179" s="310"/>
      <c r="C179" s="251"/>
      <c r="D179" s="252"/>
      <c r="E179" s="251"/>
      <c r="F179" s="251"/>
      <c r="G179" s="251"/>
      <c r="H179" s="251"/>
      <c r="I179" s="251"/>
      <c r="J179" s="314"/>
      <c r="K179" s="314"/>
      <c r="L179" s="396"/>
      <c r="M179" s="396"/>
      <c r="N179" s="314"/>
      <c r="O179" s="314"/>
      <c r="P179" s="396"/>
      <c r="Q179" s="314"/>
      <c r="R179" s="314"/>
      <c r="S179" s="314"/>
      <c r="T179" s="311"/>
      <c r="U179" s="35"/>
      <c r="V179" s="262"/>
      <c r="W179" s="258"/>
      <c r="X179" s="267"/>
      <c r="Z179" s="265"/>
      <c r="AA179" s="265"/>
      <c r="AB179" s="265"/>
      <c r="AC179" s="265"/>
      <c r="AD179" s="265"/>
      <c r="AE179" s="265"/>
      <c r="AF179" s="265"/>
      <c r="AG179" s="265"/>
      <c r="AH179" s="265"/>
      <c r="AI179" s="265"/>
    </row>
    <row r="180" spans="1:35" ht="16.5" customHeight="1" thickBot="1" x14ac:dyDescent="0.3">
      <c r="A180" s="15"/>
      <c r="B180" s="310"/>
      <c r="C180" s="251"/>
      <c r="D180" s="252" t="s">
        <v>986</v>
      </c>
      <c r="E180" s="251"/>
      <c r="F180" s="251"/>
      <c r="G180" s="251"/>
      <c r="H180" s="251"/>
      <c r="I180" s="251"/>
      <c r="J180" s="644">
        <f>VLOOKUP($F$1,Part3,165,FALSE)</f>
        <v>-781243</v>
      </c>
      <c r="K180" s="660"/>
      <c r="L180" s="394"/>
      <c r="M180" s="394"/>
      <c r="N180" s="644">
        <f>VLOOKUP($F$1,Part3,166,FALSE)</f>
        <v>-7897</v>
      </c>
      <c r="O180" s="660"/>
      <c r="P180" s="465"/>
      <c r="Q180" s="393"/>
      <c r="R180" s="644">
        <f>VLOOKUP($F$1,Part3,167,FALSE)</f>
        <v>-789140</v>
      </c>
      <c r="S180" s="660"/>
      <c r="T180" s="311"/>
      <c r="U180" s="35"/>
      <c r="V180" s="262"/>
      <c r="W180" s="376"/>
      <c r="X180" s="377"/>
      <c r="Y180" s="312"/>
      <c r="Z180" s="269"/>
      <c r="AA180" s="265"/>
      <c r="AB180" s="265"/>
      <c r="AC180" s="265"/>
      <c r="AD180" s="265"/>
      <c r="AE180" s="265"/>
      <c r="AF180" s="265"/>
      <c r="AG180" s="265"/>
      <c r="AH180" s="265"/>
      <c r="AI180" s="265"/>
    </row>
    <row r="181" spans="1:35" ht="16.5" customHeight="1" thickBot="1" x14ac:dyDescent="0.25">
      <c r="A181" s="15"/>
      <c r="B181" s="310"/>
      <c r="C181" s="251"/>
      <c r="D181" s="252"/>
      <c r="E181" s="251"/>
      <c r="F181" s="251"/>
      <c r="G181" s="251"/>
      <c r="H181" s="251"/>
      <c r="I181" s="251"/>
      <c r="J181" s="314"/>
      <c r="K181" s="314"/>
      <c r="L181" s="396"/>
      <c r="M181" s="396"/>
      <c r="N181" s="314"/>
      <c r="O181" s="314"/>
      <c r="P181" s="396"/>
      <c r="Q181" s="314"/>
      <c r="R181" s="314"/>
      <c r="S181" s="314"/>
      <c r="T181" s="311"/>
      <c r="U181" s="35"/>
      <c r="V181" s="262"/>
      <c r="W181" s="258"/>
      <c r="X181" s="267"/>
      <c r="Z181" s="265"/>
      <c r="AA181" s="265"/>
      <c r="AB181" s="265"/>
      <c r="AC181" s="265"/>
      <c r="AD181" s="265"/>
      <c r="AE181" s="265"/>
      <c r="AF181" s="265"/>
      <c r="AG181" s="265"/>
      <c r="AH181" s="265"/>
      <c r="AI181" s="265"/>
    </row>
    <row r="182" spans="1:35" ht="16.5" customHeight="1" thickBot="1" x14ac:dyDescent="0.3">
      <c r="A182" s="15"/>
      <c r="B182" s="310"/>
      <c r="C182" s="251"/>
      <c r="D182" s="252" t="s">
        <v>987</v>
      </c>
      <c r="E182" s="251"/>
      <c r="F182" s="251"/>
      <c r="G182" s="251"/>
      <c r="H182" s="251"/>
      <c r="I182" s="251"/>
      <c r="J182" s="644">
        <f>VLOOKUP($F$1,Part3,168,FALSE)</f>
        <v>0</v>
      </c>
      <c r="K182" s="660"/>
      <c r="L182" s="394"/>
      <c r="M182" s="394"/>
      <c r="N182" s="644">
        <f>VLOOKUP($F$1,Part3,169,FALSE)</f>
        <v>-15078</v>
      </c>
      <c r="O182" s="660"/>
      <c r="P182" s="465"/>
      <c r="Q182" s="393"/>
      <c r="R182" s="644">
        <f>VLOOKUP($F$1,Part3,170,FALSE)</f>
        <v>-15078</v>
      </c>
      <c r="S182" s="660"/>
      <c r="T182" s="311"/>
      <c r="U182" s="35"/>
      <c r="V182" s="262"/>
      <c r="W182" s="376"/>
      <c r="X182" s="377"/>
      <c r="Y182" s="312"/>
      <c r="Z182" s="269"/>
      <c r="AA182" s="265"/>
      <c r="AB182" s="265"/>
      <c r="AC182" s="265"/>
      <c r="AD182" s="265"/>
      <c r="AE182" s="265"/>
      <c r="AF182" s="265"/>
      <c r="AG182" s="265"/>
      <c r="AH182" s="265"/>
      <c r="AI182" s="265"/>
    </row>
    <row r="183" spans="1:35" ht="15.75" thickBot="1" x14ac:dyDescent="0.25">
      <c r="A183" s="15"/>
      <c r="B183" s="310"/>
      <c r="C183" s="251"/>
      <c r="D183" s="253"/>
      <c r="E183" s="251"/>
      <c r="F183" s="251"/>
      <c r="G183" s="251"/>
      <c r="H183" s="251"/>
      <c r="I183" s="251"/>
      <c r="J183" s="314"/>
      <c r="K183" s="314"/>
      <c r="L183" s="396"/>
      <c r="M183" s="396"/>
      <c r="N183" s="314"/>
      <c r="O183" s="314"/>
      <c r="P183" s="396"/>
      <c r="Q183" s="314"/>
      <c r="R183" s="314"/>
      <c r="S183" s="314"/>
      <c r="T183" s="311"/>
      <c r="U183" s="35"/>
      <c r="V183" s="262"/>
      <c r="W183" s="258"/>
      <c r="X183" s="267"/>
      <c r="Z183" s="265"/>
      <c r="AA183" s="265"/>
      <c r="AB183" s="265"/>
      <c r="AC183" s="265"/>
      <c r="AD183" s="265"/>
      <c r="AE183" s="265"/>
      <c r="AF183" s="265"/>
      <c r="AG183" s="265"/>
      <c r="AH183" s="265"/>
      <c r="AI183" s="265"/>
    </row>
    <row r="184" spans="1:35" ht="18.75" thickBot="1" x14ac:dyDescent="0.3">
      <c r="A184" s="15"/>
      <c r="B184" s="310"/>
      <c r="C184" s="251"/>
      <c r="D184" s="254" t="s">
        <v>988</v>
      </c>
      <c r="E184" s="251"/>
      <c r="F184" s="251"/>
      <c r="G184" s="251"/>
      <c r="H184" s="251"/>
      <c r="I184" s="251"/>
      <c r="J184" s="644">
        <f>VLOOKUP($F$1,Part3,171,FALSE)</f>
        <v>-31880032</v>
      </c>
      <c r="K184" s="660"/>
      <c r="L184" s="394"/>
      <c r="M184" s="394"/>
      <c r="N184" s="644">
        <f>VLOOKUP($F$1,Part3,172,FALSE)</f>
        <v>-1075564</v>
      </c>
      <c r="O184" s="660"/>
      <c r="P184" s="465"/>
      <c r="Q184" s="393"/>
      <c r="R184" s="644">
        <f>VLOOKUP($F$1,Part3,173,FALSE)</f>
        <v>-32955596</v>
      </c>
      <c r="S184" s="660"/>
      <c r="T184" s="311"/>
      <c r="U184" s="35"/>
      <c r="V184" s="262"/>
      <c r="W184" s="376"/>
      <c r="X184" s="267"/>
      <c r="Z184" s="265"/>
      <c r="AA184" s="265"/>
      <c r="AB184" s="265"/>
      <c r="AC184" s="265"/>
      <c r="AD184" s="265"/>
      <c r="AE184" s="265"/>
      <c r="AF184" s="265"/>
      <c r="AG184" s="265"/>
      <c r="AH184" s="265"/>
      <c r="AI184" s="265"/>
    </row>
    <row r="185" spans="1:35" ht="15.75" thickBot="1" x14ac:dyDescent="0.25">
      <c r="A185" s="15"/>
      <c r="B185" s="310"/>
      <c r="C185" s="251"/>
      <c r="D185" s="253"/>
      <c r="E185" s="251"/>
      <c r="F185" s="251"/>
      <c r="G185" s="251"/>
      <c r="H185" s="251"/>
      <c r="I185" s="251"/>
      <c r="J185" s="314"/>
      <c r="K185" s="314"/>
      <c r="L185" s="396"/>
      <c r="M185" s="396"/>
      <c r="N185" s="314"/>
      <c r="O185" s="314"/>
      <c r="P185" s="396"/>
      <c r="Q185" s="314"/>
      <c r="R185" s="314"/>
      <c r="S185" s="314"/>
      <c r="T185" s="311"/>
      <c r="U185" s="35"/>
      <c r="V185" s="262"/>
      <c r="W185" s="258"/>
      <c r="X185" s="267"/>
      <c r="Z185" s="265"/>
      <c r="AA185" s="265"/>
      <c r="AB185" s="265"/>
      <c r="AC185" s="265"/>
      <c r="AD185" s="265"/>
      <c r="AE185" s="265"/>
      <c r="AF185" s="265"/>
      <c r="AG185" s="265"/>
      <c r="AH185" s="265"/>
      <c r="AI185" s="265"/>
    </row>
    <row r="186" spans="1:35" ht="18.75" thickBot="1" x14ac:dyDescent="0.3">
      <c r="A186" s="15"/>
      <c r="B186" s="310"/>
      <c r="C186" s="251"/>
      <c r="D186" s="250" t="s">
        <v>989</v>
      </c>
      <c r="E186" s="251"/>
      <c r="F186" s="251"/>
      <c r="G186" s="251"/>
      <c r="H186" s="251"/>
      <c r="I186" s="251"/>
      <c r="J186" s="644">
        <f>VLOOKUP($F$1,Part3,174,FALSE)</f>
        <v>183936055</v>
      </c>
      <c r="K186" s="660"/>
      <c r="L186" s="394"/>
      <c r="M186" s="394"/>
      <c r="N186" s="644">
        <f>VLOOKUP($F$1,Part3,175,FALSE)</f>
        <v>25235750</v>
      </c>
      <c r="O186" s="660"/>
      <c r="P186" s="465"/>
      <c r="Q186" s="393"/>
      <c r="R186" s="644">
        <f>VLOOKUP($F$1,Part3,176,FALSE)</f>
        <v>209171805</v>
      </c>
      <c r="S186" s="660"/>
      <c r="T186" s="311"/>
      <c r="U186" s="35"/>
      <c r="V186" s="262"/>
      <c r="W186" s="376"/>
      <c r="X186" s="377"/>
      <c r="Y186" s="312"/>
      <c r="Z186" s="315"/>
      <c r="AA186" s="265"/>
      <c r="AB186" s="265"/>
      <c r="AC186" s="265"/>
      <c r="AD186" s="265"/>
      <c r="AE186" s="265"/>
      <c r="AF186" s="265"/>
      <c r="AG186" s="265"/>
      <c r="AH186" s="265"/>
      <c r="AI186" s="265"/>
    </row>
    <row r="187" spans="1:35" ht="15.75" thickBot="1" x14ac:dyDescent="0.25">
      <c r="A187" s="15"/>
      <c r="B187" s="316"/>
      <c r="C187" s="317"/>
      <c r="D187" s="317"/>
      <c r="E187" s="317"/>
      <c r="F187" s="317"/>
      <c r="G187" s="317"/>
      <c r="H187" s="317"/>
      <c r="I187" s="317"/>
      <c r="J187" s="317"/>
      <c r="K187" s="317"/>
      <c r="L187" s="317"/>
      <c r="M187" s="317"/>
      <c r="N187" s="317"/>
      <c r="O187" s="317"/>
      <c r="P187" s="317"/>
      <c r="Q187" s="317"/>
      <c r="R187" s="317"/>
      <c r="S187" s="317"/>
      <c r="T187" s="318"/>
      <c r="U187" s="35"/>
      <c r="V187" s="262"/>
      <c r="W187" s="258"/>
      <c r="X187" s="267"/>
    </row>
    <row r="188" spans="1:35" ht="15.75" thickBot="1" x14ac:dyDescent="0.25">
      <c r="A188" s="16"/>
      <c r="B188" s="229"/>
      <c r="C188" s="229"/>
      <c r="D188" s="229"/>
      <c r="E188" s="229"/>
      <c r="F188" s="229"/>
      <c r="G188" s="229"/>
      <c r="H188" s="229"/>
      <c r="I188" s="229"/>
      <c r="J188" s="229"/>
      <c r="K188" s="229"/>
      <c r="L188" s="229"/>
      <c r="M188" s="229"/>
      <c r="N188" s="229"/>
      <c r="O188" s="229"/>
      <c r="P188" s="229"/>
      <c r="Q188" s="229"/>
      <c r="R188" s="229"/>
      <c r="S188" s="229"/>
      <c r="T188" s="229"/>
      <c r="U188" s="36"/>
      <c r="V188" s="262"/>
      <c r="W188" s="258"/>
      <c r="X188" s="263"/>
    </row>
    <row r="189" spans="1:35" s="262" customFormat="1" ht="15.75" x14ac:dyDescent="0.25">
      <c r="A189" s="698"/>
      <c r="B189" s="698"/>
      <c r="C189" s="698"/>
      <c r="D189" s="698"/>
      <c r="E189" s="698"/>
      <c r="F189" s="698"/>
      <c r="G189" s="698"/>
      <c r="H189" s="698"/>
      <c r="I189" s="698"/>
      <c r="J189" s="698"/>
      <c r="K189" s="698"/>
      <c r="L189" s="698"/>
      <c r="M189" s="698"/>
      <c r="N189" s="698"/>
      <c r="O189" s="698"/>
      <c r="P189" s="698"/>
      <c r="Q189" s="698"/>
      <c r="R189" s="698"/>
      <c r="S189" s="698"/>
      <c r="T189" s="698"/>
      <c r="U189" s="698"/>
      <c r="W189" s="258"/>
      <c r="X189" s="263"/>
      <c r="Y189" s="257"/>
    </row>
    <row r="190" spans="1:35" s="262" customFormat="1" ht="15.75" x14ac:dyDescent="0.25">
      <c r="C190" s="698"/>
      <c r="D190" s="698"/>
      <c r="E190" s="698"/>
      <c r="F190" s="698"/>
      <c r="G190" s="698"/>
      <c r="H190" s="698"/>
      <c r="I190" s="698"/>
      <c r="J190" s="698"/>
      <c r="K190" s="698"/>
      <c r="L190" s="698"/>
      <c r="M190" s="698"/>
      <c r="N190" s="698"/>
      <c r="O190" s="698"/>
      <c r="P190" s="698"/>
      <c r="Q190" s="698"/>
      <c r="R190" s="698"/>
      <c r="S190" s="698"/>
      <c r="W190" s="258"/>
      <c r="X190" s="263"/>
      <c r="Y190" s="257"/>
    </row>
    <row r="191" spans="1:35" s="262" customFormat="1" ht="15.75" x14ac:dyDescent="0.25">
      <c r="C191" s="492"/>
      <c r="D191" s="493"/>
      <c r="E191" s="493"/>
      <c r="F191" s="493"/>
      <c r="G191" s="493"/>
      <c r="H191" s="493"/>
      <c r="I191" s="493"/>
      <c r="J191" s="493"/>
      <c r="K191" s="493"/>
      <c r="L191" s="493"/>
      <c r="M191" s="493"/>
      <c r="N191" s="493"/>
      <c r="O191" s="256"/>
      <c r="P191" s="493"/>
      <c r="Q191" s="493"/>
      <c r="R191" s="493"/>
      <c r="S191" s="493"/>
      <c r="W191" s="258"/>
      <c r="X191" s="263"/>
      <c r="Y191" s="257"/>
    </row>
    <row r="192" spans="1:35" s="262" customFormat="1" x14ac:dyDescent="0.2">
      <c r="W192" s="258"/>
      <c r="X192" s="263"/>
      <c r="Y192" s="257"/>
    </row>
    <row r="193" spans="3:25" s="262" customFormat="1" x14ac:dyDescent="0.2">
      <c r="W193" s="258"/>
      <c r="X193" s="263"/>
      <c r="Y193" s="257"/>
    </row>
    <row r="194" spans="3:25" s="265" customFormat="1" ht="15.75" x14ac:dyDescent="0.25">
      <c r="C194" s="494"/>
      <c r="D194" s="494"/>
      <c r="E194" s="494"/>
      <c r="F194" s="494"/>
      <c r="G194" s="494"/>
      <c r="H194" s="494"/>
      <c r="I194" s="494"/>
      <c r="J194" s="494"/>
      <c r="K194" s="494"/>
      <c r="L194" s="494"/>
      <c r="M194" s="494"/>
      <c r="N194" s="494"/>
      <c r="O194" s="494"/>
      <c r="P194" s="494"/>
      <c r="Q194" s="494"/>
      <c r="R194" s="494"/>
      <c r="S194" s="494"/>
      <c r="T194" s="494"/>
      <c r="U194" s="494"/>
      <c r="V194" s="495"/>
      <c r="W194" s="258"/>
      <c r="X194" s="263"/>
      <c r="Y194" s="257"/>
    </row>
    <row r="195" spans="3:25" s="265" customFormat="1" ht="15.75" x14ac:dyDescent="0.25">
      <c r="C195" s="494"/>
      <c r="D195" s="494"/>
      <c r="E195" s="495"/>
      <c r="F195" s="495"/>
      <c r="G195" s="496"/>
      <c r="H195" s="496"/>
      <c r="I195" s="496"/>
      <c r="J195" s="496"/>
      <c r="K195" s="496"/>
      <c r="L195" s="496"/>
      <c r="M195" s="496"/>
      <c r="N195" s="496"/>
      <c r="O195" s="496"/>
      <c r="P195" s="496"/>
      <c r="Q195" s="496"/>
      <c r="R195" s="496"/>
      <c r="S195" s="496"/>
      <c r="T195" s="495"/>
      <c r="U195" s="495"/>
      <c r="V195" s="495"/>
      <c r="W195" s="320"/>
      <c r="X195" s="263"/>
      <c r="Y195" s="257"/>
    </row>
    <row r="196" spans="3:25" s="500" customFormat="1" ht="15.75" x14ac:dyDescent="0.25">
      <c r="C196" s="501"/>
      <c r="D196" s="501"/>
      <c r="E196" s="502"/>
      <c r="F196" s="502"/>
      <c r="G196" s="502"/>
      <c r="H196" s="503" t="s">
        <v>991</v>
      </c>
      <c r="I196" s="502"/>
      <c r="J196" s="504">
        <f>+'Part 2'!KJ174</f>
        <v>0</v>
      </c>
      <c r="K196" s="502"/>
      <c r="L196" s="502"/>
      <c r="M196" s="502"/>
      <c r="N196" s="504">
        <f>+'Part 2'!N174</f>
        <v>0</v>
      </c>
      <c r="O196" s="502"/>
      <c r="P196" s="502"/>
      <c r="Q196" s="502"/>
      <c r="R196" s="502">
        <f>+IF(+J186=J196,0,1)</f>
        <v>1</v>
      </c>
      <c r="S196" s="502">
        <f>+IF(+N186=N196,0,1)</f>
        <v>1</v>
      </c>
      <c r="T196" s="502"/>
      <c r="U196" s="502"/>
      <c r="V196" s="502"/>
      <c r="W196" s="505"/>
      <c r="X196" s="506"/>
      <c r="Y196" s="507"/>
    </row>
    <row r="197" spans="3:25" s="265" customFormat="1" ht="15.75" x14ac:dyDescent="0.25">
      <c r="C197" s="494"/>
      <c r="D197" s="494"/>
      <c r="E197" s="495"/>
      <c r="F197" s="495"/>
      <c r="G197" s="495"/>
      <c r="H197" s="495"/>
      <c r="I197" s="495"/>
      <c r="J197" s="495"/>
      <c r="K197" s="495"/>
      <c r="L197" s="495"/>
      <c r="M197" s="495"/>
      <c r="N197" s="495"/>
      <c r="O197" s="495"/>
      <c r="P197" s="495"/>
      <c r="Q197" s="495"/>
      <c r="R197" s="495"/>
      <c r="S197" s="495"/>
      <c r="T197" s="495"/>
      <c r="U197" s="495"/>
      <c r="V197" s="495"/>
      <c r="W197" s="320"/>
      <c r="X197" s="263"/>
      <c r="Y197" s="257"/>
    </row>
    <row r="198" spans="3:25" s="265" customFormat="1" ht="15.75" x14ac:dyDescent="0.25">
      <c r="C198" s="494"/>
      <c r="D198" s="494"/>
      <c r="E198" s="495"/>
      <c r="F198" s="495"/>
      <c r="G198" s="495"/>
      <c r="H198" s="495"/>
      <c r="I198" s="495"/>
      <c r="J198" s="495"/>
      <c r="K198" s="495"/>
      <c r="L198" s="495"/>
      <c r="M198" s="495"/>
      <c r="N198" s="495"/>
      <c r="O198" s="495"/>
      <c r="P198" s="495"/>
      <c r="Q198" s="495"/>
      <c r="R198" s="495"/>
      <c r="S198" s="495"/>
      <c r="T198" s="495"/>
      <c r="U198" s="495"/>
      <c r="V198" s="495"/>
      <c r="W198" s="320"/>
      <c r="X198" s="263"/>
      <c r="Y198" s="257"/>
    </row>
    <row r="199" spans="3:25" s="265" customFormat="1" ht="15.75" x14ac:dyDescent="0.25">
      <c r="C199" s="494"/>
      <c r="D199" s="494"/>
      <c r="E199" s="494"/>
      <c r="F199" s="494"/>
      <c r="G199" s="494"/>
      <c r="H199" s="494"/>
      <c r="I199" s="494"/>
      <c r="J199" s="497"/>
      <c r="K199" s="497"/>
      <c r="L199" s="494"/>
      <c r="M199" s="494"/>
      <c r="N199" s="494"/>
      <c r="O199" s="494"/>
      <c r="P199" s="494"/>
      <c r="Q199" s="494"/>
      <c r="R199" s="494"/>
      <c r="S199" s="494"/>
      <c r="T199" s="494"/>
      <c r="U199" s="494"/>
      <c r="V199" s="495"/>
      <c r="W199" s="258"/>
      <c r="X199" s="263"/>
      <c r="Y199" s="257"/>
    </row>
    <row r="200" spans="3:25" s="265" customFormat="1" x14ac:dyDescent="0.2">
      <c r="J200" s="498"/>
      <c r="K200" s="499"/>
      <c r="V200" s="262"/>
      <c r="W200" s="258"/>
      <c r="X200" s="263"/>
      <c r="Y200" s="257"/>
    </row>
    <row r="201" spans="3:25" s="265" customFormat="1" x14ac:dyDescent="0.2">
      <c r="J201" s="498"/>
      <c r="K201" s="499"/>
      <c r="V201" s="262"/>
      <c r="W201" s="258"/>
      <c r="X201" s="263"/>
      <c r="Y201" s="257"/>
    </row>
    <row r="202" spans="3:25" x14ac:dyDescent="0.2">
      <c r="J202" s="323"/>
    </row>
    <row r="203" spans="3:25" ht="15.75" customHeight="1" x14ac:dyDescent="0.2">
      <c r="J203" s="321"/>
      <c r="K203" s="322"/>
    </row>
  </sheetData>
  <mergeCells count="211">
    <mergeCell ref="A2:U2"/>
    <mergeCell ref="A3:U3"/>
    <mergeCell ref="A4:U4"/>
    <mergeCell ref="A5:U5"/>
    <mergeCell ref="A6:U6"/>
    <mergeCell ref="A7:U7"/>
    <mergeCell ref="C9:H9"/>
    <mergeCell ref="C12:H12"/>
    <mergeCell ref="J12:K12"/>
    <mergeCell ref="N12:O12"/>
    <mergeCell ref="R12:S12"/>
    <mergeCell ref="C21:G22"/>
    <mergeCell ref="J21:K21"/>
    <mergeCell ref="N21:O21"/>
    <mergeCell ref="R21:S21"/>
    <mergeCell ref="C24:G25"/>
    <mergeCell ref="J24:K24"/>
    <mergeCell ref="N24:O24"/>
    <mergeCell ref="R24:S24"/>
    <mergeCell ref="C13:H13"/>
    <mergeCell ref="J13:K14"/>
    <mergeCell ref="N13:O14"/>
    <mergeCell ref="R13:S14"/>
    <mergeCell ref="J17:K17"/>
    <mergeCell ref="N17:O17"/>
    <mergeCell ref="R17:S17"/>
    <mergeCell ref="J19:K19"/>
    <mergeCell ref="N19:O19"/>
    <mergeCell ref="R19:S19"/>
    <mergeCell ref="J15:K15"/>
    <mergeCell ref="N15:O15"/>
    <mergeCell ref="Q15:T15"/>
    <mergeCell ref="J16:K16"/>
    <mergeCell ref="N16:O16"/>
    <mergeCell ref="R16:S16"/>
    <mergeCell ref="J35:K35"/>
    <mergeCell ref="N35:O35"/>
    <mergeCell ref="R35:S35"/>
    <mergeCell ref="J38:K38"/>
    <mergeCell ref="N38:O38"/>
    <mergeCell ref="R38:S38"/>
    <mergeCell ref="C28:G28"/>
    <mergeCell ref="J28:K28"/>
    <mergeCell ref="N28:O28"/>
    <mergeCell ref="R28:S28"/>
    <mergeCell ref="J33:K33"/>
    <mergeCell ref="N33:O33"/>
    <mergeCell ref="R33:S33"/>
    <mergeCell ref="C46:G47"/>
    <mergeCell ref="J46:K46"/>
    <mergeCell ref="N46:O46"/>
    <mergeCell ref="R46:S46"/>
    <mergeCell ref="J50:K50"/>
    <mergeCell ref="N50:O50"/>
    <mergeCell ref="R50:S50"/>
    <mergeCell ref="J41:K41"/>
    <mergeCell ref="N41:O41"/>
    <mergeCell ref="R41:S41"/>
    <mergeCell ref="C43:G44"/>
    <mergeCell ref="J43:K43"/>
    <mergeCell ref="N43:O43"/>
    <mergeCell ref="R43:S43"/>
    <mergeCell ref="C58:G59"/>
    <mergeCell ref="J58:K58"/>
    <mergeCell ref="N58:O58"/>
    <mergeCell ref="R58:S58"/>
    <mergeCell ref="J62:K62"/>
    <mergeCell ref="N62:O62"/>
    <mergeCell ref="R62:S62"/>
    <mergeCell ref="C52:G53"/>
    <mergeCell ref="J52:K52"/>
    <mergeCell ref="N52:O52"/>
    <mergeCell ref="R52:S52"/>
    <mergeCell ref="J56:K56"/>
    <mergeCell ref="N56:O56"/>
    <mergeCell ref="R56:S56"/>
    <mergeCell ref="J74:K74"/>
    <mergeCell ref="N74:O74"/>
    <mergeCell ref="R74:S74"/>
    <mergeCell ref="C76:G77"/>
    <mergeCell ref="J76:K76"/>
    <mergeCell ref="N76:O76"/>
    <mergeCell ref="R76:S76"/>
    <mergeCell ref="C64:G65"/>
    <mergeCell ref="J64:K64"/>
    <mergeCell ref="N64:O64"/>
    <mergeCell ref="R64:S64"/>
    <mergeCell ref="C68:F68"/>
    <mergeCell ref="J68:K68"/>
    <mergeCell ref="N68:O68"/>
    <mergeCell ref="R68:S68"/>
    <mergeCell ref="C86:G86"/>
    <mergeCell ref="J86:K86"/>
    <mergeCell ref="N86:O86"/>
    <mergeCell ref="R86:S86"/>
    <mergeCell ref="J91:K91"/>
    <mergeCell ref="N91:O91"/>
    <mergeCell ref="R91:S91"/>
    <mergeCell ref="J80:K80"/>
    <mergeCell ref="N80:O80"/>
    <mergeCell ref="R80:S80"/>
    <mergeCell ref="C82:G83"/>
    <mergeCell ref="J82:K82"/>
    <mergeCell ref="N82:O82"/>
    <mergeCell ref="R82:S82"/>
    <mergeCell ref="C99:G100"/>
    <mergeCell ref="J99:K99"/>
    <mergeCell ref="N99:O99"/>
    <mergeCell ref="R99:S99"/>
    <mergeCell ref="J103:K103"/>
    <mergeCell ref="N103:O103"/>
    <mergeCell ref="R103:S103"/>
    <mergeCell ref="C93:G94"/>
    <mergeCell ref="J93:K93"/>
    <mergeCell ref="N93:O93"/>
    <mergeCell ref="R93:S93"/>
    <mergeCell ref="J97:K97"/>
    <mergeCell ref="N97:O97"/>
    <mergeCell ref="R97:S97"/>
    <mergeCell ref="C111:G112"/>
    <mergeCell ref="J111:K111"/>
    <mergeCell ref="N111:O111"/>
    <mergeCell ref="R111:S111"/>
    <mergeCell ref="J115:K115"/>
    <mergeCell ref="N115:O115"/>
    <mergeCell ref="R115:S115"/>
    <mergeCell ref="C105:G106"/>
    <mergeCell ref="J105:K105"/>
    <mergeCell ref="N105:O105"/>
    <mergeCell ref="R105:S105"/>
    <mergeCell ref="J109:K109"/>
    <mergeCell ref="N109:O109"/>
    <mergeCell ref="R109:S109"/>
    <mergeCell ref="C123:G124"/>
    <mergeCell ref="J123:K123"/>
    <mergeCell ref="N123:O123"/>
    <mergeCell ref="R123:S123"/>
    <mergeCell ref="N126:O126"/>
    <mergeCell ref="J128:K128"/>
    <mergeCell ref="C117:G118"/>
    <mergeCell ref="J117:K117"/>
    <mergeCell ref="N117:O117"/>
    <mergeCell ref="R117:S117"/>
    <mergeCell ref="J121:K121"/>
    <mergeCell ref="N121:O121"/>
    <mergeCell ref="R121:S121"/>
    <mergeCell ref="J138:K138"/>
    <mergeCell ref="N138:O138"/>
    <mergeCell ref="R138:S138"/>
    <mergeCell ref="J142:K142"/>
    <mergeCell ref="N142:O142"/>
    <mergeCell ref="R142:S142"/>
    <mergeCell ref="C131:G131"/>
    <mergeCell ref="J131:K131"/>
    <mergeCell ref="N131:O131"/>
    <mergeCell ref="R131:S131"/>
    <mergeCell ref="J136:K136"/>
    <mergeCell ref="N136:O136"/>
    <mergeCell ref="R136:S136"/>
    <mergeCell ref="J150:K150"/>
    <mergeCell ref="N150:O150"/>
    <mergeCell ref="R150:S150"/>
    <mergeCell ref="J154:K154"/>
    <mergeCell ref="N154:O154"/>
    <mergeCell ref="R154:S154"/>
    <mergeCell ref="J145:K145"/>
    <mergeCell ref="N145:O145"/>
    <mergeCell ref="R145:S145"/>
    <mergeCell ref="J148:K148"/>
    <mergeCell ref="N148:O148"/>
    <mergeCell ref="R148:S148"/>
    <mergeCell ref="C164:G164"/>
    <mergeCell ref="J164:K164"/>
    <mergeCell ref="N164:O164"/>
    <mergeCell ref="R164:S164"/>
    <mergeCell ref="J170:K170"/>
    <mergeCell ref="N170:O170"/>
    <mergeCell ref="R170:S170"/>
    <mergeCell ref="J158:K158"/>
    <mergeCell ref="N158:O158"/>
    <mergeCell ref="R158:S158"/>
    <mergeCell ref="C160:G161"/>
    <mergeCell ref="J160:K160"/>
    <mergeCell ref="N160:O160"/>
    <mergeCell ref="R160:S160"/>
    <mergeCell ref="J176:K176"/>
    <mergeCell ref="N176:O176"/>
    <mergeCell ref="R176:S176"/>
    <mergeCell ref="J178:K178"/>
    <mergeCell ref="N178:O178"/>
    <mergeCell ref="R178:S178"/>
    <mergeCell ref="J172:K172"/>
    <mergeCell ref="N172:O172"/>
    <mergeCell ref="R172:S172"/>
    <mergeCell ref="J174:K174"/>
    <mergeCell ref="N174:O174"/>
    <mergeCell ref="R174:S174"/>
    <mergeCell ref="A189:U189"/>
    <mergeCell ref="C190:S190"/>
    <mergeCell ref="J184:K184"/>
    <mergeCell ref="N184:O184"/>
    <mergeCell ref="R184:S184"/>
    <mergeCell ref="J186:K186"/>
    <mergeCell ref="N186:O186"/>
    <mergeCell ref="R186:S186"/>
    <mergeCell ref="J180:K180"/>
    <mergeCell ref="N180:O180"/>
    <mergeCell ref="R180:S180"/>
    <mergeCell ref="J182:K182"/>
    <mergeCell ref="N182:O182"/>
    <mergeCell ref="R182:S182"/>
  </mergeCells>
  <dataValidations count="1">
    <dataValidation type="whole" operator="greaterThanOrEqual" allowBlank="1" showInputMessage="1" showErrorMessage="1" error="Must be a positive number" sqref="J17:K17 J158:K158 J38:K38 J160:K160 J41:K41 J19:K19 O196 J164:K164 J21:K21 J24:K24 J28:K28 J33:K33 J35:K35 J43:K43 J46:K46 J50:K50 J52:K52 J56:K56 J58:K58 J62:K62 J64:K64 J68:K68 J74:K74 J76:K76 J80:K80 J82:K82 J86:K86 J91:K91 J93:K93 J97:K97 J99:K99 J103:K103 J105:K105 J109:K109 J111:K111 J115:K115 J117:K117 J121:K121 J123:K123 J131:K131 J136:K136 J138:K138 J142:K142 J186:K186 J148:K148 J150:K150 J154:K154 J170:K170 J172:K172 J174:K174 J176:K176 J178:K178 J180:K180 J182:K182 J184:K184">
      <formula1>0</formula1>
    </dataValidation>
  </dataValidations>
  <printOptions horizontalCentered="1"/>
  <pageMargins left="0.39370078740157483" right="0.39370078740157483" top="0.39370078740157483" bottom="0.59055118110236227" header="0.51181102362204722" footer="0.51181102362204722"/>
  <pageSetup paperSize="9" scale="62" fitToHeight="3" orientation="portrait" r:id="rId1"/>
  <headerFooter alignWithMargins="0"/>
  <rowBreaks count="2" manualBreakCount="2">
    <brk id="70" max="16383" man="1"/>
    <brk id="13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24"/>
  <sheetViews>
    <sheetView showGridLines="0" topLeftCell="A34" zoomScaleNormal="100" zoomScaleSheetLayoutView="100" workbookViewId="0"/>
  </sheetViews>
  <sheetFormatPr defaultRowHeight="12.75" x14ac:dyDescent="0.2"/>
  <cols>
    <col min="1" max="2" width="1.7109375" customWidth="1"/>
    <col min="5" max="5" width="38.28515625" customWidth="1"/>
    <col min="6" max="6" width="3.85546875" customWidth="1"/>
    <col min="7" max="8" width="9.140625" customWidth="1"/>
    <col min="9" max="9" width="3.85546875" customWidth="1"/>
    <col min="10" max="10" width="2.85546875" customWidth="1"/>
    <col min="11" max="12" width="9.140625" customWidth="1"/>
    <col min="13" max="14" width="2.7109375" customWidth="1"/>
    <col min="15" max="16" width="9.140625" customWidth="1"/>
    <col min="17" max="18" width="2.7109375" customWidth="1"/>
    <col min="19" max="20" width="9.140625" customWidth="1"/>
    <col min="21" max="22" width="1.7109375" customWidth="1"/>
    <col min="25" max="25" width="13.42578125" bestFit="1" customWidth="1"/>
  </cols>
  <sheetData>
    <row r="1" spans="1:25" ht="15" x14ac:dyDescent="0.2">
      <c r="A1" s="478"/>
      <c r="B1" s="372"/>
      <c r="C1" s="372"/>
      <c r="D1" s="372"/>
      <c r="E1" s="372"/>
      <c r="F1" s="479">
        <f>+'Part 1'!F1</f>
        <v>35</v>
      </c>
      <c r="G1" s="479">
        <f>+'[3]Part 1'!F1</f>
        <v>78</v>
      </c>
      <c r="H1" s="372"/>
      <c r="I1" s="372"/>
      <c r="J1" s="372"/>
      <c r="K1" s="372"/>
      <c r="L1" s="372"/>
      <c r="M1" s="372"/>
      <c r="N1" s="372"/>
      <c r="O1" s="372"/>
      <c r="P1" s="372"/>
      <c r="Q1" s="372"/>
      <c r="R1" s="372"/>
      <c r="S1" s="372"/>
      <c r="T1" s="372"/>
      <c r="U1" s="372"/>
      <c r="V1" s="480"/>
    </row>
    <row r="2" spans="1:25" ht="20.25" x14ac:dyDescent="0.3">
      <c r="A2" s="690" t="s">
        <v>826</v>
      </c>
      <c r="B2" s="691"/>
      <c r="C2" s="691"/>
      <c r="D2" s="691"/>
      <c r="E2" s="691"/>
      <c r="F2" s="691"/>
      <c r="G2" s="691"/>
      <c r="H2" s="691"/>
      <c r="I2" s="691"/>
      <c r="J2" s="691"/>
      <c r="K2" s="691"/>
      <c r="L2" s="691"/>
      <c r="M2" s="691"/>
      <c r="N2" s="691"/>
      <c r="O2" s="691"/>
      <c r="P2" s="691"/>
      <c r="Q2" s="691"/>
      <c r="R2" s="691"/>
      <c r="S2" s="691"/>
      <c r="T2" s="691"/>
      <c r="U2" s="691"/>
      <c r="V2" s="692"/>
    </row>
    <row r="3" spans="1:25" ht="20.25" x14ac:dyDescent="0.3">
      <c r="A3" s="690" t="s">
        <v>992</v>
      </c>
      <c r="B3" s="691"/>
      <c r="C3" s="691"/>
      <c r="D3" s="691"/>
      <c r="E3" s="691"/>
      <c r="F3" s="691"/>
      <c r="G3" s="691"/>
      <c r="H3" s="691"/>
      <c r="I3" s="691"/>
      <c r="J3" s="691"/>
      <c r="K3" s="691"/>
      <c r="L3" s="691"/>
      <c r="M3" s="691"/>
      <c r="N3" s="691"/>
      <c r="O3" s="691"/>
      <c r="P3" s="691"/>
      <c r="Q3" s="691"/>
      <c r="R3" s="691"/>
      <c r="S3" s="691"/>
      <c r="T3" s="691"/>
      <c r="U3" s="691"/>
      <c r="V3" s="692"/>
    </row>
    <row r="4" spans="1:25" ht="15" x14ac:dyDescent="0.2">
      <c r="A4" s="693"/>
      <c r="B4" s="652"/>
      <c r="C4" s="652"/>
      <c r="D4" s="652"/>
      <c r="E4" s="652"/>
      <c r="F4" s="652"/>
      <c r="G4" s="652"/>
      <c r="H4" s="652"/>
      <c r="I4" s="652"/>
      <c r="J4" s="652"/>
      <c r="K4" s="652"/>
      <c r="L4" s="652"/>
      <c r="M4" s="652"/>
      <c r="N4" s="652"/>
      <c r="O4" s="652"/>
      <c r="P4" s="652"/>
      <c r="Q4" s="652"/>
      <c r="R4" s="652"/>
      <c r="S4" s="652"/>
      <c r="T4" s="652"/>
      <c r="U4" s="652"/>
      <c r="V4" s="653"/>
    </row>
    <row r="5" spans="1:25" ht="15" x14ac:dyDescent="0.2">
      <c r="A5" s="693"/>
      <c r="B5" s="652"/>
      <c r="C5" s="652"/>
      <c r="D5" s="652"/>
      <c r="E5" s="652"/>
      <c r="F5" s="652"/>
      <c r="G5" s="652"/>
      <c r="H5" s="652"/>
      <c r="I5" s="652"/>
      <c r="J5" s="652"/>
      <c r="K5" s="652"/>
      <c r="L5" s="652"/>
      <c r="M5" s="652"/>
      <c r="N5" s="652"/>
      <c r="O5" s="652"/>
      <c r="P5" s="652"/>
      <c r="Q5" s="652"/>
      <c r="R5" s="652"/>
      <c r="S5" s="652"/>
      <c r="T5" s="652"/>
      <c r="U5" s="652"/>
      <c r="V5" s="653"/>
    </row>
    <row r="6" spans="1:25" ht="15" x14ac:dyDescent="0.2">
      <c r="A6" s="693"/>
      <c r="B6" s="652"/>
      <c r="C6" s="652"/>
      <c r="D6" s="652"/>
      <c r="E6" s="652"/>
      <c r="F6" s="652"/>
      <c r="G6" s="652"/>
      <c r="H6" s="652"/>
      <c r="I6" s="652"/>
      <c r="J6" s="652"/>
      <c r="K6" s="652"/>
      <c r="L6" s="652"/>
      <c r="M6" s="652"/>
      <c r="N6" s="652"/>
      <c r="O6" s="652"/>
      <c r="P6" s="652"/>
      <c r="Q6" s="652"/>
      <c r="R6" s="652"/>
      <c r="S6" s="652"/>
      <c r="T6" s="652"/>
      <c r="U6" s="652"/>
      <c r="V6" s="653"/>
    </row>
    <row r="7" spans="1:25" ht="15.75" x14ac:dyDescent="0.25">
      <c r="A7" s="693"/>
      <c r="B7" s="652"/>
      <c r="C7" s="652"/>
      <c r="D7" s="652"/>
      <c r="E7" s="652"/>
      <c r="F7" s="652"/>
      <c r="G7" s="652"/>
      <c r="H7" s="652"/>
      <c r="I7" s="652"/>
      <c r="J7" s="652"/>
      <c r="K7" s="652"/>
      <c r="L7" s="652"/>
      <c r="M7" s="652"/>
      <c r="N7" s="652"/>
      <c r="O7" s="652"/>
      <c r="P7" s="652"/>
      <c r="Q7" s="652"/>
      <c r="R7" s="652"/>
      <c r="S7" s="652"/>
      <c r="T7" s="652"/>
      <c r="U7" s="652"/>
      <c r="V7" s="653"/>
      <c r="X7" s="225"/>
      <c r="Y7" s="225"/>
    </row>
    <row r="8" spans="1:25" ht="15.75" thickBot="1" x14ac:dyDescent="0.25">
      <c r="A8" s="37"/>
      <c r="B8" s="218"/>
      <c r="C8" s="218"/>
      <c r="D8" s="218"/>
      <c r="E8" s="218"/>
      <c r="F8" s="218"/>
      <c r="G8" s="218"/>
      <c r="H8" s="218"/>
      <c r="I8" s="218"/>
      <c r="J8" s="218"/>
      <c r="K8" s="218"/>
      <c r="L8" s="218"/>
      <c r="M8" s="218"/>
      <c r="N8" s="218"/>
      <c r="O8" s="218"/>
      <c r="P8" s="218"/>
      <c r="Q8" s="218"/>
      <c r="R8" s="218"/>
      <c r="S8" s="218"/>
      <c r="T8" s="261"/>
      <c r="U8" s="218"/>
      <c r="V8" s="38"/>
    </row>
    <row r="9" spans="1:25" x14ac:dyDescent="0.2">
      <c r="A9" s="481"/>
      <c r="B9" s="373"/>
      <c r="C9" s="705"/>
      <c r="D9" s="705"/>
      <c r="E9" s="705"/>
      <c r="F9" s="705"/>
      <c r="G9" s="705"/>
      <c r="H9" s="705"/>
      <c r="I9" s="705"/>
      <c r="J9" s="373"/>
      <c r="K9" s="373"/>
      <c r="L9" s="373"/>
      <c r="M9" s="373"/>
      <c r="N9" s="373"/>
      <c r="O9" s="373"/>
      <c r="P9" s="373"/>
      <c r="Q9" s="373"/>
      <c r="R9" s="373"/>
      <c r="S9" s="373"/>
      <c r="T9" s="373"/>
      <c r="U9" s="373"/>
      <c r="V9" s="482"/>
    </row>
    <row r="10" spans="1:25" s="5" customFormat="1" ht="18" customHeight="1" x14ac:dyDescent="0.25">
      <c r="A10" s="7"/>
      <c r="B10" s="6"/>
      <c r="C10" s="39" t="str">
        <f>+CONCATENATE("Local Authority : ",VLOOKUP(F1,Part4,5,FALSE))</f>
        <v>Local Authority : Bristol</v>
      </c>
      <c r="D10" s="39"/>
      <c r="E10" s="39"/>
      <c r="F10" s="39"/>
      <c r="G10" s="531"/>
      <c r="H10" s="531"/>
      <c r="I10" s="531"/>
      <c r="J10" s="6"/>
      <c r="K10" s="6"/>
      <c r="L10" s="6"/>
      <c r="M10" s="6"/>
      <c r="N10" s="6"/>
      <c r="O10" s="6"/>
      <c r="P10" s="6"/>
      <c r="Q10" s="6"/>
      <c r="R10" s="6"/>
      <c r="S10" s="6"/>
      <c r="T10" s="6"/>
      <c r="U10" s="6"/>
      <c r="V10" s="8"/>
    </row>
    <row r="11" spans="1:25" ht="15.75" x14ac:dyDescent="0.25">
      <c r="A11" s="15"/>
      <c r="B11" s="2"/>
      <c r="C11" s="531"/>
      <c r="D11" s="531"/>
      <c r="E11" s="531"/>
      <c r="F11" s="531"/>
      <c r="G11" s="531"/>
      <c r="H11" s="531"/>
      <c r="I11" s="531"/>
      <c r="J11" s="6"/>
      <c r="K11" s="697" t="s">
        <v>539</v>
      </c>
      <c r="L11" s="697"/>
      <c r="M11" s="536"/>
      <c r="N11" s="536"/>
      <c r="O11" s="697" t="s">
        <v>540</v>
      </c>
      <c r="P11" s="697"/>
      <c r="Q11" s="536"/>
      <c r="R11" s="536"/>
      <c r="S11" s="697" t="s">
        <v>541</v>
      </c>
      <c r="T11" s="697"/>
      <c r="U11" s="1"/>
      <c r="V11" s="35"/>
    </row>
    <row r="12" spans="1:25" ht="15.75" x14ac:dyDescent="0.25">
      <c r="A12" s="15"/>
      <c r="B12" s="2"/>
      <c r="C12" s="11" t="s">
        <v>993</v>
      </c>
      <c r="D12" s="6"/>
      <c r="E12" s="6"/>
      <c r="F12" s="6"/>
      <c r="G12" s="6"/>
      <c r="H12" s="6"/>
      <c r="I12" s="6"/>
      <c r="J12" s="685" t="s">
        <v>896</v>
      </c>
      <c r="K12" s="685"/>
      <c r="L12" s="685"/>
      <c r="M12" s="685"/>
      <c r="N12" s="646" t="s">
        <v>897</v>
      </c>
      <c r="O12" s="646"/>
      <c r="P12" s="646"/>
      <c r="Q12" s="646"/>
      <c r="R12" s="521"/>
      <c r="S12" s="685" t="s">
        <v>898</v>
      </c>
      <c r="T12" s="685"/>
      <c r="U12" s="3"/>
      <c r="V12" s="35"/>
    </row>
    <row r="13" spans="1:25" ht="15" x14ac:dyDescent="0.2">
      <c r="A13" s="15"/>
      <c r="B13" s="2"/>
      <c r="C13" s="6"/>
      <c r="D13" s="6"/>
      <c r="E13" s="6"/>
      <c r="F13" s="6"/>
      <c r="G13" s="6"/>
      <c r="H13" s="6"/>
      <c r="I13" s="6"/>
      <c r="J13" s="685"/>
      <c r="K13" s="685"/>
      <c r="L13" s="685"/>
      <c r="M13" s="685"/>
      <c r="N13" s="646"/>
      <c r="O13" s="646"/>
      <c r="P13" s="646"/>
      <c r="Q13" s="646"/>
      <c r="R13" s="6"/>
      <c r="S13" s="685"/>
      <c r="T13" s="685"/>
      <c r="U13" s="2"/>
      <c r="V13" s="35"/>
    </row>
    <row r="14" spans="1:25" ht="15.75" x14ac:dyDescent="0.25">
      <c r="A14" s="15"/>
      <c r="B14" s="2"/>
      <c r="C14" s="11"/>
      <c r="D14" s="6"/>
      <c r="E14" s="6"/>
      <c r="F14" s="6"/>
      <c r="G14" s="6"/>
      <c r="H14" s="6"/>
      <c r="I14" s="6"/>
      <c r="J14" s="532"/>
      <c r="K14" s="688"/>
      <c r="L14" s="688"/>
      <c r="M14" s="113"/>
      <c r="N14" s="688"/>
      <c r="O14" s="688"/>
      <c r="P14" s="688"/>
      <c r="Q14" s="688"/>
      <c r="R14" s="325"/>
      <c r="S14" s="689"/>
      <c r="T14" s="689"/>
      <c r="U14" s="325"/>
      <c r="V14" s="35"/>
    </row>
    <row r="15" spans="1:25" ht="18" customHeight="1" thickBot="1" x14ac:dyDescent="0.25">
      <c r="A15" s="15"/>
      <c r="B15" s="2"/>
      <c r="C15" s="47"/>
      <c r="D15" s="47"/>
      <c r="E15" s="47"/>
      <c r="F15" s="47"/>
      <c r="G15" s="47"/>
      <c r="H15" s="47"/>
      <c r="I15" s="47"/>
      <c r="J15" s="6"/>
      <c r="K15" s="706" t="s">
        <v>538</v>
      </c>
      <c r="L15" s="707"/>
      <c r="M15" s="528"/>
      <c r="N15" s="528"/>
      <c r="O15" s="706" t="s">
        <v>538</v>
      </c>
      <c r="P15" s="707"/>
      <c r="Q15" s="528"/>
      <c r="R15" s="179"/>
      <c r="S15" s="703" t="s">
        <v>538</v>
      </c>
      <c r="T15" s="704"/>
      <c r="U15" s="266"/>
      <c r="V15" s="35"/>
    </row>
    <row r="16" spans="1:25" ht="18" customHeight="1" thickBot="1" x14ac:dyDescent="0.25">
      <c r="A16" s="15"/>
      <c r="B16" s="2"/>
      <c r="C16" s="678" t="s">
        <v>994</v>
      </c>
      <c r="D16" s="678"/>
      <c r="E16" s="678"/>
      <c r="F16" s="678"/>
      <c r="G16" s="678"/>
      <c r="H16" s="678"/>
      <c r="I16" s="123"/>
      <c r="J16" s="6"/>
      <c r="K16" s="715">
        <f>VLOOKUP($F$1,Part4,6,FALSE)</f>
        <v>-68667</v>
      </c>
      <c r="L16" s="716"/>
      <c r="M16" s="326"/>
      <c r="N16" s="327"/>
      <c r="O16" s="715">
        <f>VLOOKUP($F$1,Part4,7,FALSE)</f>
        <v>36745</v>
      </c>
      <c r="P16" s="716"/>
      <c r="Q16" s="326"/>
      <c r="R16" s="328"/>
      <c r="S16" s="715">
        <f>VLOOKUP($F$1,Part4,8,FALSE)</f>
        <v>-31922</v>
      </c>
      <c r="T16" s="716"/>
      <c r="U16" s="266"/>
      <c r="V16" s="35"/>
    </row>
    <row r="17" spans="1:25" ht="18" customHeight="1" thickBot="1" x14ac:dyDescent="0.25">
      <c r="A17" s="15"/>
      <c r="B17" s="2"/>
      <c r="C17" s="119"/>
      <c r="D17" s="119"/>
      <c r="E17" s="119"/>
      <c r="F17" s="119"/>
      <c r="G17" s="119"/>
      <c r="H17" s="119"/>
      <c r="I17" s="119"/>
      <c r="J17" s="2"/>
      <c r="K17" s="2"/>
      <c r="L17" s="2"/>
      <c r="M17" s="2"/>
      <c r="N17" s="2"/>
      <c r="O17" s="2"/>
      <c r="P17" s="2"/>
      <c r="Q17" s="2"/>
      <c r="R17" s="266"/>
      <c r="S17" s="266"/>
      <c r="T17" s="266"/>
      <c r="U17" s="266"/>
      <c r="V17" s="35"/>
      <c r="Y17" s="49"/>
    </row>
    <row r="18" spans="1:25" ht="18" customHeight="1" thickBot="1" x14ac:dyDescent="0.25">
      <c r="A18" s="15"/>
      <c r="B18" s="2"/>
      <c r="C18" s="638" t="s">
        <v>995</v>
      </c>
      <c r="D18" s="638"/>
      <c r="E18" s="638"/>
      <c r="F18" s="638"/>
      <c r="G18" s="638"/>
      <c r="H18" s="638"/>
      <c r="I18" s="47"/>
      <c r="J18" s="6"/>
      <c r="K18" s="715">
        <f>VLOOKUP($F$1,Part4,9,FALSE)</f>
        <v>1612226</v>
      </c>
      <c r="L18" s="716"/>
      <c r="M18" s="326"/>
      <c r="N18" s="327"/>
      <c r="O18" s="715">
        <f>VLOOKUP($F$1,Part4,10,FALSE)</f>
        <v>35301</v>
      </c>
      <c r="P18" s="716"/>
      <c r="Q18" s="326"/>
      <c r="R18" s="328"/>
      <c r="S18" s="715">
        <f>VLOOKUP($F$1,Part4,11,FALSE)</f>
        <v>1647527</v>
      </c>
      <c r="T18" s="716"/>
      <c r="U18" s="266"/>
      <c r="V18" s="35"/>
    </row>
    <row r="19" spans="1:25" ht="18" customHeight="1" x14ac:dyDescent="0.2">
      <c r="A19" s="15"/>
      <c r="B19" s="2"/>
      <c r="C19" s="699"/>
      <c r="D19" s="699"/>
      <c r="E19" s="699"/>
      <c r="F19" s="699"/>
      <c r="G19" s="699"/>
      <c r="H19" s="699"/>
      <c r="I19" s="47"/>
      <c r="J19" s="6"/>
      <c r="K19" s="541"/>
      <c r="L19" s="528"/>
      <c r="M19" s="528"/>
      <c r="N19" s="528"/>
      <c r="O19" s="541"/>
      <c r="P19" s="528"/>
      <c r="Q19" s="528"/>
      <c r="R19" s="179"/>
      <c r="S19" s="186"/>
      <c r="T19" s="179"/>
      <c r="U19" s="266"/>
      <c r="V19" s="35"/>
    </row>
    <row r="20" spans="1:25" ht="18" customHeight="1" thickBot="1" x14ac:dyDescent="0.25">
      <c r="A20" s="15"/>
      <c r="B20" s="2"/>
      <c r="C20" s="519"/>
      <c r="D20" s="519"/>
      <c r="E20" s="519"/>
      <c r="F20" s="519"/>
      <c r="G20" s="519"/>
      <c r="H20" s="519"/>
      <c r="I20" s="47"/>
      <c r="J20" s="6"/>
      <c r="K20" s="541"/>
      <c r="L20" s="528"/>
      <c r="M20" s="528"/>
      <c r="N20" s="528"/>
      <c r="O20" s="541"/>
      <c r="P20" s="528"/>
      <c r="Q20" s="528"/>
      <c r="R20" s="179"/>
      <c r="S20" s="186"/>
      <c r="T20" s="179"/>
      <c r="U20" s="266"/>
      <c r="V20" s="35"/>
    </row>
    <row r="21" spans="1:25" ht="18" customHeight="1" thickBot="1" x14ac:dyDescent="0.25">
      <c r="A21" s="15"/>
      <c r="B21" s="2"/>
      <c r="C21" s="47" t="s">
        <v>996</v>
      </c>
      <c r="D21" s="47"/>
      <c r="E21" s="47"/>
      <c r="F21" s="47"/>
      <c r="G21" s="47"/>
      <c r="H21" s="47"/>
      <c r="I21" s="47"/>
      <c r="J21" s="6"/>
      <c r="K21" s="715">
        <f>VLOOKUP($F$1,Part4,12,FALSE)</f>
        <v>-1680893</v>
      </c>
      <c r="L21" s="716"/>
      <c r="M21" s="326"/>
      <c r="N21" s="327"/>
      <c r="O21" s="715">
        <f>VLOOKUP($F$1,Part4,13,FALSE)</f>
        <v>1444</v>
      </c>
      <c r="P21" s="716"/>
      <c r="Q21" s="326"/>
      <c r="R21" s="328"/>
      <c r="S21" s="715">
        <f>VLOOKUP($F$1,Part4,14,FALSE)</f>
        <v>-1679449</v>
      </c>
      <c r="T21" s="716"/>
      <c r="U21" s="266"/>
      <c r="V21" s="35"/>
    </row>
    <row r="22" spans="1:25" ht="18" customHeight="1" thickBot="1" x14ac:dyDescent="0.25">
      <c r="A22" s="16"/>
      <c r="B22" s="229"/>
      <c r="C22" s="247"/>
      <c r="D22" s="247"/>
      <c r="E22" s="247"/>
      <c r="F22" s="247"/>
      <c r="G22" s="247"/>
      <c r="H22" s="247"/>
      <c r="I22" s="247"/>
      <c r="J22" s="248"/>
      <c r="K22" s="329"/>
      <c r="L22" s="301"/>
      <c r="M22" s="301"/>
      <c r="N22" s="301"/>
      <c r="O22" s="329"/>
      <c r="P22" s="301"/>
      <c r="Q22" s="301"/>
      <c r="R22" s="295"/>
      <c r="S22" s="296"/>
      <c r="T22" s="295"/>
      <c r="U22" s="297"/>
      <c r="V22" s="36"/>
    </row>
    <row r="23" spans="1:25" ht="9.75" customHeight="1" x14ac:dyDescent="0.2">
      <c r="A23" s="481"/>
      <c r="B23" s="373"/>
      <c r="C23" s="486"/>
      <c r="D23" s="486"/>
      <c r="E23" s="486"/>
      <c r="F23" s="486"/>
      <c r="G23" s="486"/>
      <c r="H23" s="486"/>
      <c r="I23" s="486"/>
      <c r="J23" s="487"/>
      <c r="K23" s="553"/>
      <c r="L23" s="554"/>
      <c r="M23" s="554"/>
      <c r="N23" s="554"/>
      <c r="O23" s="553"/>
      <c r="P23" s="554"/>
      <c r="Q23" s="554"/>
      <c r="R23" s="554"/>
      <c r="S23" s="553"/>
      <c r="T23" s="554"/>
      <c r="U23" s="373"/>
      <c r="V23" s="482"/>
    </row>
    <row r="24" spans="1:25" ht="9.75" customHeight="1" x14ac:dyDescent="0.2">
      <c r="A24" s="15"/>
      <c r="B24" s="2"/>
      <c r="C24" s="47"/>
      <c r="D24" s="47"/>
      <c r="E24" s="47"/>
      <c r="F24" s="47"/>
      <c r="G24" s="47"/>
      <c r="H24" s="47"/>
      <c r="I24" s="47"/>
      <c r="J24" s="6"/>
      <c r="K24" s="529"/>
      <c r="L24" s="530"/>
      <c r="M24" s="530"/>
      <c r="N24" s="530"/>
      <c r="O24" s="529"/>
      <c r="P24" s="530"/>
      <c r="Q24" s="530"/>
      <c r="R24" s="530"/>
      <c r="S24" s="529"/>
      <c r="T24" s="530"/>
      <c r="U24" s="2"/>
      <c r="V24" s="35"/>
    </row>
    <row r="25" spans="1:25" ht="18" customHeight="1" x14ac:dyDescent="0.25">
      <c r="A25" s="330"/>
      <c r="B25" s="11"/>
      <c r="C25" s="11" t="s">
        <v>1176</v>
      </c>
      <c r="D25" s="47"/>
      <c r="E25" s="47"/>
      <c r="F25" s="47"/>
      <c r="G25" s="671" t="s">
        <v>539</v>
      </c>
      <c r="H25" s="671"/>
      <c r="I25" s="528"/>
      <c r="J25" s="6"/>
      <c r="K25" s="671" t="s">
        <v>540</v>
      </c>
      <c r="L25" s="671"/>
      <c r="M25" s="530"/>
      <c r="N25" s="530"/>
      <c r="O25" s="671" t="s">
        <v>541</v>
      </c>
      <c r="P25" s="671"/>
      <c r="Q25" s="530"/>
      <c r="R25" s="530"/>
      <c r="S25" s="671" t="s">
        <v>542</v>
      </c>
      <c r="T25" s="671"/>
      <c r="U25" s="2"/>
      <c r="V25" s="35"/>
    </row>
    <row r="26" spans="1:25" ht="22.5" customHeight="1" x14ac:dyDescent="0.25">
      <c r="A26" s="15"/>
      <c r="B26" s="2"/>
      <c r="C26" s="47"/>
      <c r="D26" s="47"/>
      <c r="E26" s="47"/>
      <c r="F26" s="713" t="s">
        <v>33</v>
      </c>
      <c r="G26" s="713"/>
      <c r="H26" s="713"/>
      <c r="I26" s="713"/>
      <c r="J26" s="713" t="str">
        <f>+N116</f>
        <v>Bristol</v>
      </c>
      <c r="K26" s="718"/>
      <c r="L26" s="718"/>
      <c r="M26" s="540"/>
      <c r="N26" s="713" t="str">
        <f>+IF(Q116="UA","-",IF(Q116="Greater London Authority","Greater London Authority", IF(Q116="MD","-",CONCATENATE(Q116," County Council"))))</f>
        <v>-</v>
      </c>
      <c r="O26" s="718"/>
      <c r="P26" s="718"/>
      <c r="Q26" s="555"/>
      <c r="R26" s="544"/>
      <c r="S26" s="714" t="str">
        <f>+IF(T116="County","-",IF(T116="NA","=",T116))</f>
        <v>Avon Fire Authority</v>
      </c>
      <c r="T26" s="714"/>
      <c r="U26" s="508"/>
      <c r="V26" s="35"/>
    </row>
    <row r="27" spans="1:25" ht="22.5" customHeight="1" x14ac:dyDescent="0.25">
      <c r="A27" s="15"/>
      <c r="B27" s="2"/>
      <c r="C27" s="47"/>
      <c r="D27" s="47"/>
      <c r="E27" s="47"/>
      <c r="F27" s="713"/>
      <c r="G27" s="713"/>
      <c r="H27" s="713"/>
      <c r="I27" s="713"/>
      <c r="J27" s="718"/>
      <c r="K27" s="718"/>
      <c r="L27" s="718"/>
      <c r="M27" s="540"/>
      <c r="N27" s="718"/>
      <c r="O27" s="718"/>
      <c r="P27" s="718"/>
      <c r="Q27" s="555"/>
      <c r="R27" s="545"/>
      <c r="S27" s="714"/>
      <c r="T27" s="714"/>
      <c r="U27" s="508"/>
      <c r="V27" s="35"/>
    </row>
    <row r="28" spans="1:25" ht="15" x14ac:dyDescent="0.2">
      <c r="A28" s="15"/>
      <c r="B28" s="2"/>
      <c r="C28" s="47"/>
      <c r="D28" s="47"/>
      <c r="E28" s="125"/>
      <c r="F28" s="688"/>
      <c r="G28" s="688"/>
      <c r="H28" s="688"/>
      <c r="I28" s="688"/>
      <c r="J28" s="429"/>
      <c r="K28" s="429"/>
      <c r="L28" s="429"/>
      <c r="M28" s="429"/>
      <c r="N28" s="533"/>
      <c r="O28" s="533"/>
      <c r="P28" s="533"/>
      <c r="Q28" s="533"/>
      <c r="R28" s="509"/>
      <c r="S28" s="530"/>
      <c r="T28" s="530"/>
      <c r="U28" s="429"/>
      <c r="V28" s="35"/>
    </row>
    <row r="29" spans="1:25" ht="18" customHeight="1" x14ac:dyDescent="0.2">
      <c r="A29" s="15"/>
      <c r="B29" s="2"/>
      <c r="C29" s="525"/>
      <c r="D29" s="525"/>
      <c r="E29" s="119"/>
      <c r="F29" s="47"/>
      <c r="G29" s="706" t="s">
        <v>538</v>
      </c>
      <c r="H29" s="707"/>
      <c r="I29" s="47"/>
      <c r="J29" s="119"/>
      <c r="K29" s="706" t="s">
        <v>538</v>
      </c>
      <c r="L29" s="707"/>
      <c r="M29" s="528"/>
      <c r="N29" s="2"/>
      <c r="O29" s="708" t="s">
        <v>538</v>
      </c>
      <c r="P29" s="708"/>
      <c r="Q29" s="528"/>
      <c r="R29" s="530"/>
      <c r="S29" s="709" t="s">
        <v>538</v>
      </c>
      <c r="T29" s="710"/>
      <c r="U29" s="400"/>
      <c r="V29" s="35"/>
    </row>
    <row r="30" spans="1:25" ht="1.5" customHeight="1" thickBot="1" x14ac:dyDescent="0.25">
      <c r="A30" s="15"/>
      <c r="B30" s="2"/>
      <c r="C30" s="525"/>
      <c r="D30" s="525"/>
      <c r="E30" s="119"/>
      <c r="F30" s="47"/>
      <c r="G30" s="537"/>
      <c r="H30" s="538"/>
      <c r="I30" s="47"/>
      <c r="J30" s="119"/>
      <c r="K30" s="537"/>
      <c r="L30" s="538"/>
      <c r="M30" s="528"/>
      <c r="N30" s="400"/>
      <c r="O30" s="539"/>
      <c r="P30" s="539"/>
      <c r="Q30" s="528"/>
      <c r="R30" s="528"/>
      <c r="S30" s="537"/>
      <c r="T30" s="538"/>
      <c r="U30" s="2"/>
      <c r="V30" s="35"/>
    </row>
    <row r="31" spans="1:25" ht="18" customHeight="1" thickBot="1" x14ac:dyDescent="0.25">
      <c r="A31" s="15"/>
      <c r="B31" s="2"/>
      <c r="C31" s="678" t="s">
        <v>997</v>
      </c>
      <c r="D31" s="678"/>
      <c r="E31" s="678"/>
      <c r="F31" s="47"/>
      <c r="G31" s="711">
        <f>VLOOKUP($F$1,Part4,15,FALSE)</f>
        <v>0.5</v>
      </c>
      <c r="H31" s="712"/>
      <c r="I31" s="397"/>
      <c r="J31" s="398"/>
      <c r="K31" s="711">
        <f>VLOOKUP($F$1,Part4,16,FALSE)</f>
        <v>0.49</v>
      </c>
      <c r="L31" s="712"/>
      <c r="M31" s="397"/>
      <c r="N31" s="401"/>
      <c r="O31" s="711">
        <f>VLOOKUP($F$1,Part4,17,FALSE)</f>
        <v>0</v>
      </c>
      <c r="P31" s="712"/>
      <c r="Q31" s="399"/>
      <c r="R31" s="399"/>
      <c r="S31" s="711">
        <f>VLOOKUP($F$1,Part4,18,FALSE)</f>
        <v>0.01</v>
      </c>
      <c r="T31" s="712"/>
      <c r="U31" s="400"/>
      <c r="V31" s="35"/>
    </row>
    <row r="32" spans="1:25" ht="18" customHeight="1" x14ac:dyDescent="0.2">
      <c r="A32" s="15"/>
      <c r="B32" s="2"/>
      <c r="C32" s="678"/>
      <c r="D32" s="678"/>
      <c r="E32" s="678"/>
      <c r="F32" s="47"/>
      <c r="G32" s="6"/>
      <c r="H32" s="537"/>
      <c r="I32" s="537"/>
      <c r="J32" s="119"/>
      <c r="K32" s="537"/>
      <c r="L32" s="537"/>
      <c r="M32" s="528"/>
      <c r="N32" s="528"/>
      <c r="O32" s="537"/>
      <c r="P32" s="528"/>
      <c r="Q32" s="537"/>
      <c r="R32" s="537"/>
      <c r="S32" s="526"/>
      <c r="T32" s="537"/>
      <c r="U32" s="537"/>
      <c r="V32" s="35"/>
    </row>
    <row r="33" spans="1:25" ht="18" customHeight="1" thickBot="1" x14ac:dyDescent="0.25">
      <c r="A33" s="15"/>
      <c r="B33" s="2"/>
      <c r="C33" s="525" t="s">
        <v>833</v>
      </c>
      <c r="D33" s="525"/>
      <c r="E33" s="47"/>
      <c r="F33" s="47"/>
      <c r="G33" s="706"/>
      <c r="H33" s="707"/>
      <c r="I33" s="47"/>
      <c r="J33" s="6"/>
      <c r="K33" s="706"/>
      <c r="L33" s="707"/>
      <c r="M33" s="528"/>
      <c r="N33" s="528"/>
      <c r="O33" s="706"/>
      <c r="P33" s="707"/>
      <c r="Q33" s="528"/>
      <c r="R33" s="528"/>
      <c r="S33" s="706"/>
      <c r="T33" s="707"/>
      <c r="U33" s="2"/>
      <c r="V33" s="35"/>
    </row>
    <row r="34" spans="1:25" ht="18" customHeight="1" thickBot="1" x14ac:dyDescent="0.25">
      <c r="A34" s="15"/>
      <c r="B34" s="2"/>
      <c r="C34" s="47" t="s">
        <v>998</v>
      </c>
      <c r="D34" s="47"/>
      <c r="E34" s="47"/>
      <c r="F34" s="47"/>
      <c r="G34" s="420"/>
      <c r="H34" s="420"/>
      <c r="I34" s="420"/>
      <c r="J34" s="332"/>
      <c r="K34" s="644">
        <f>VLOOKUP($F$1,Part4,19,FALSE)</f>
        <v>722649</v>
      </c>
      <c r="L34" s="660"/>
      <c r="M34" s="419"/>
      <c r="N34" s="419"/>
      <c r="O34" s="419"/>
      <c r="P34" s="419"/>
      <c r="Q34" s="419"/>
      <c r="R34" s="419"/>
      <c r="S34" s="528"/>
      <c r="T34" s="528"/>
      <c r="U34" s="2"/>
      <c r="V34" s="35"/>
      <c r="Y34" s="49"/>
    </row>
    <row r="35" spans="1:25" ht="18" customHeight="1" thickBot="1" x14ac:dyDescent="0.25">
      <c r="A35" s="15"/>
      <c r="B35" s="2"/>
      <c r="C35" s="47"/>
      <c r="D35" s="47"/>
      <c r="E35" s="47"/>
      <c r="F35" s="47"/>
      <c r="G35" s="420"/>
      <c r="H35" s="420"/>
      <c r="I35" s="420"/>
      <c r="J35" s="332"/>
      <c r="K35" s="332"/>
      <c r="L35" s="332"/>
      <c r="M35" s="419"/>
      <c r="N35" s="419"/>
      <c r="O35" s="419"/>
      <c r="P35" s="419"/>
      <c r="Q35" s="419"/>
      <c r="R35" s="419"/>
      <c r="S35" s="528"/>
      <c r="T35" s="528"/>
      <c r="U35" s="2"/>
      <c r="V35" s="35"/>
      <c r="Y35" s="49"/>
    </row>
    <row r="36" spans="1:25" ht="18" customHeight="1" thickBot="1" x14ac:dyDescent="0.25">
      <c r="A36" s="15"/>
      <c r="B36" s="2"/>
      <c r="C36" s="47" t="s">
        <v>999</v>
      </c>
      <c r="D36" s="47"/>
      <c r="E36" s="47"/>
      <c r="F36" s="47"/>
      <c r="G36" s="420"/>
      <c r="H36" s="420"/>
      <c r="I36" s="420"/>
      <c r="J36" s="332"/>
      <c r="K36" s="644">
        <f>VLOOKUP($F$1,Part4,20,FALSE)</f>
        <v>722649</v>
      </c>
      <c r="L36" s="660"/>
      <c r="M36" s="419"/>
      <c r="N36" s="419"/>
      <c r="O36" s="419"/>
      <c r="P36" s="419"/>
      <c r="Q36" s="419"/>
      <c r="R36" s="419"/>
      <c r="S36" s="528"/>
      <c r="T36" s="528"/>
      <c r="U36" s="2"/>
      <c r="V36" s="35"/>
      <c r="Y36" s="49"/>
    </row>
    <row r="37" spans="1:25" ht="18" customHeight="1" thickBot="1" x14ac:dyDescent="0.25">
      <c r="A37" s="15"/>
      <c r="B37" s="2"/>
      <c r="C37" s="47"/>
      <c r="D37" s="47"/>
      <c r="E37" s="47"/>
      <c r="F37" s="47"/>
      <c r="G37" s="420"/>
      <c r="H37" s="420"/>
      <c r="I37" s="420"/>
      <c r="J37" s="332"/>
      <c r="K37" s="541"/>
      <c r="L37" s="528"/>
      <c r="M37" s="419"/>
      <c r="N37" s="419"/>
      <c r="O37" s="419"/>
      <c r="P37" s="419"/>
      <c r="Q37" s="419"/>
      <c r="R37" s="419"/>
      <c r="S37" s="528"/>
      <c r="T37" s="528"/>
      <c r="U37" s="2"/>
      <c r="V37" s="35"/>
    </row>
    <row r="38" spans="1:25" ht="18" customHeight="1" thickBot="1" x14ac:dyDescent="0.25">
      <c r="A38" s="15"/>
      <c r="B38" s="2"/>
      <c r="C38" s="47" t="s">
        <v>1000</v>
      </c>
      <c r="D38" s="47"/>
      <c r="E38" s="47"/>
      <c r="F38" s="47"/>
      <c r="G38" s="420"/>
      <c r="H38" s="420"/>
      <c r="I38" s="420"/>
      <c r="J38" s="332"/>
      <c r="K38" s="644">
        <f>VLOOKUP($F$1,Part4,21,FALSE)</f>
        <v>0</v>
      </c>
      <c r="L38" s="660"/>
      <c r="M38" s="419"/>
      <c r="N38" s="419"/>
      <c r="O38" s="419"/>
      <c r="P38" s="419"/>
      <c r="Q38" s="419"/>
      <c r="R38" s="419"/>
      <c r="S38" s="528"/>
      <c r="T38" s="528"/>
      <c r="U38" s="2"/>
      <c r="V38" s="35"/>
    </row>
    <row r="39" spans="1:25" ht="18" customHeight="1" x14ac:dyDescent="0.2">
      <c r="A39" s="15"/>
      <c r="B39" s="2"/>
      <c r="C39" s="47"/>
      <c r="D39" s="47"/>
      <c r="E39" s="47"/>
      <c r="F39" s="47"/>
      <c r="G39" s="420"/>
      <c r="H39" s="420"/>
      <c r="I39" s="420"/>
      <c r="J39" s="332"/>
      <c r="K39" s="419"/>
      <c r="L39" s="419"/>
      <c r="M39" s="419"/>
      <c r="N39" s="419"/>
      <c r="O39" s="419"/>
      <c r="P39" s="419"/>
      <c r="Q39" s="419"/>
      <c r="R39" s="419"/>
      <c r="S39" s="528"/>
      <c r="T39" s="528"/>
      <c r="U39" s="2"/>
      <c r="V39" s="35"/>
    </row>
    <row r="40" spans="1:25" ht="18" customHeight="1" thickBot="1" x14ac:dyDescent="0.25">
      <c r="A40" s="15"/>
      <c r="B40" s="2"/>
      <c r="C40" s="525" t="s">
        <v>897</v>
      </c>
      <c r="D40" s="525"/>
      <c r="E40" s="47"/>
      <c r="F40" s="47"/>
      <c r="G40" s="420"/>
      <c r="H40" s="420"/>
      <c r="I40" s="420"/>
      <c r="J40" s="332"/>
      <c r="K40" s="419"/>
      <c r="L40" s="419"/>
      <c r="M40" s="419"/>
      <c r="N40" s="419"/>
      <c r="O40" s="419"/>
      <c r="P40" s="419"/>
      <c r="Q40" s="419"/>
      <c r="R40" s="419"/>
      <c r="S40" s="528"/>
      <c r="T40" s="528"/>
      <c r="U40" s="2"/>
      <c r="V40" s="35"/>
    </row>
    <row r="41" spans="1:25" ht="18" customHeight="1" thickBot="1" x14ac:dyDescent="0.25">
      <c r="A41" s="15"/>
      <c r="B41" s="2"/>
      <c r="C41" s="47" t="s">
        <v>1001</v>
      </c>
      <c r="D41" s="47"/>
      <c r="E41" s="47"/>
      <c r="F41" s="47"/>
      <c r="G41" s="420"/>
      <c r="H41" s="420"/>
      <c r="I41" s="420"/>
      <c r="J41" s="332"/>
      <c r="K41" s="644">
        <f>VLOOKUP($F$1,Part4,22,FALSE)</f>
        <v>5331087</v>
      </c>
      <c r="L41" s="660"/>
      <c r="M41" s="419"/>
      <c r="N41" s="419"/>
      <c r="O41" s="419"/>
      <c r="P41" s="419"/>
      <c r="Q41" s="419"/>
      <c r="R41" s="419"/>
      <c r="S41" s="528"/>
      <c r="T41" s="528"/>
      <c r="U41" s="2"/>
      <c r="V41" s="35"/>
    </row>
    <row r="42" spans="1:25" ht="18" customHeight="1" thickBot="1" x14ac:dyDescent="0.25">
      <c r="A42" s="15"/>
      <c r="B42" s="2"/>
      <c r="C42" s="47"/>
      <c r="D42" s="47"/>
      <c r="E42" s="47"/>
      <c r="F42" s="47"/>
      <c r="G42" s="420"/>
      <c r="H42" s="420"/>
      <c r="I42" s="420"/>
      <c r="J42" s="332"/>
      <c r="K42" s="332"/>
      <c r="L42" s="332"/>
      <c r="M42" s="419"/>
      <c r="N42" s="419"/>
      <c r="O42" s="419"/>
      <c r="P42" s="419"/>
      <c r="Q42" s="419"/>
      <c r="R42" s="419"/>
      <c r="S42" s="528"/>
      <c r="T42" s="528"/>
      <c r="U42" s="2"/>
      <c r="V42" s="35"/>
    </row>
    <row r="43" spans="1:25" ht="18" customHeight="1" thickBot="1" x14ac:dyDescent="0.25">
      <c r="A43" s="15"/>
      <c r="B43" s="2"/>
      <c r="C43" s="47" t="s">
        <v>1002</v>
      </c>
      <c r="D43" s="47"/>
      <c r="E43" s="47"/>
      <c r="F43" s="47"/>
      <c r="G43" s="420"/>
      <c r="H43" s="420"/>
      <c r="I43" s="420"/>
      <c r="J43" s="332"/>
      <c r="K43" s="644">
        <f>VLOOKUP($F$1,Part4,23,FALSE)</f>
        <v>4378558</v>
      </c>
      <c r="L43" s="660"/>
      <c r="M43" s="419"/>
      <c r="N43" s="419"/>
      <c r="O43" s="419"/>
      <c r="P43" s="419"/>
      <c r="Q43" s="419"/>
      <c r="R43" s="419"/>
      <c r="S43" s="528"/>
      <c r="T43" s="528"/>
      <c r="U43" s="2"/>
      <c r="V43" s="35"/>
      <c r="Y43" s="49"/>
    </row>
    <row r="44" spans="1:25" ht="18" customHeight="1" thickBot="1" x14ac:dyDescent="0.25">
      <c r="A44" s="15"/>
      <c r="B44" s="2"/>
      <c r="C44" s="47"/>
      <c r="D44" s="47"/>
      <c r="E44" s="47"/>
      <c r="F44" s="47"/>
      <c r="G44" s="420"/>
      <c r="H44" s="420"/>
      <c r="I44" s="420"/>
      <c r="J44" s="332"/>
      <c r="K44" s="541"/>
      <c r="L44" s="528"/>
      <c r="M44" s="419"/>
      <c r="N44" s="419"/>
      <c r="O44" s="419"/>
      <c r="P44" s="419"/>
      <c r="Q44" s="419"/>
      <c r="R44" s="419"/>
      <c r="S44" s="528"/>
      <c r="T44" s="528"/>
      <c r="U44" s="2"/>
      <c r="V44" s="35"/>
    </row>
    <row r="45" spans="1:25" ht="18" customHeight="1" thickBot="1" x14ac:dyDescent="0.25">
      <c r="A45" s="15"/>
      <c r="B45" s="2"/>
      <c r="C45" s="47" t="s">
        <v>1003</v>
      </c>
      <c r="D45" s="47"/>
      <c r="E45" s="47"/>
      <c r="F45" s="47"/>
      <c r="G45" s="420"/>
      <c r="H45" s="420"/>
      <c r="I45" s="420"/>
      <c r="J45" s="332"/>
      <c r="K45" s="644">
        <f>VLOOKUP($F$1,Part4,24,FALSE)</f>
        <v>952529</v>
      </c>
      <c r="L45" s="660"/>
      <c r="M45" s="419"/>
      <c r="N45" s="419"/>
      <c r="O45" s="419"/>
      <c r="P45" s="419"/>
      <c r="Q45" s="419"/>
      <c r="R45" s="419"/>
      <c r="S45" s="528"/>
      <c r="T45" s="528"/>
      <c r="U45" s="2"/>
      <c r="V45" s="35"/>
    </row>
    <row r="46" spans="1:25" ht="18" customHeight="1" x14ac:dyDescent="0.2">
      <c r="A46" s="15"/>
      <c r="B46" s="2"/>
      <c r="C46" s="47"/>
      <c r="D46" s="47"/>
      <c r="E46" s="47"/>
      <c r="F46" s="47"/>
      <c r="G46" s="420"/>
      <c r="H46" s="420"/>
      <c r="I46" s="420"/>
      <c r="J46" s="332"/>
      <c r="K46" s="419"/>
      <c r="L46" s="419"/>
      <c r="M46" s="419"/>
      <c r="N46" s="419"/>
      <c r="O46" s="419"/>
      <c r="P46" s="419"/>
      <c r="Q46" s="419"/>
      <c r="R46" s="419"/>
      <c r="S46" s="528"/>
      <c r="T46" s="528"/>
      <c r="U46" s="2"/>
      <c r="V46" s="35"/>
    </row>
    <row r="47" spans="1:25" ht="18" customHeight="1" thickBot="1" x14ac:dyDescent="0.25">
      <c r="A47" s="15"/>
      <c r="B47" s="2"/>
      <c r="C47" s="525" t="s">
        <v>834</v>
      </c>
      <c r="D47" s="525"/>
      <c r="E47" s="47"/>
      <c r="F47" s="47"/>
      <c r="G47" s="420"/>
      <c r="H47" s="420"/>
      <c r="I47" s="420"/>
      <c r="J47" s="332"/>
      <c r="K47" s="419"/>
      <c r="L47" s="419"/>
      <c r="M47" s="419"/>
      <c r="N47" s="419"/>
      <c r="O47" s="419"/>
      <c r="P47" s="419"/>
      <c r="Q47" s="419"/>
      <c r="R47" s="419"/>
      <c r="S47" s="528"/>
      <c r="T47" s="528"/>
      <c r="U47" s="113"/>
      <c r="V47" s="35"/>
    </row>
    <row r="48" spans="1:25" ht="18" customHeight="1" thickBot="1" x14ac:dyDescent="0.25">
      <c r="A48" s="15"/>
      <c r="B48" s="2"/>
      <c r="C48" s="47" t="s">
        <v>1004</v>
      </c>
      <c r="D48" s="47"/>
      <c r="E48" s="47"/>
      <c r="F48" s="47"/>
      <c r="G48" s="420"/>
      <c r="H48" s="420"/>
      <c r="I48" s="420"/>
      <c r="J48" s="332"/>
      <c r="K48" s="644">
        <f>VLOOKUP($F$1,Part4,25,FALSE)</f>
        <v>258</v>
      </c>
      <c r="L48" s="660"/>
      <c r="M48" s="419"/>
      <c r="N48" s="419"/>
      <c r="O48" s="644">
        <f>VLOOKUP($F$1,Part4,26,FALSE)</f>
        <v>0</v>
      </c>
      <c r="P48" s="660"/>
      <c r="Q48" s="419"/>
      <c r="R48" s="419"/>
      <c r="S48" s="528"/>
      <c r="T48" s="528"/>
      <c r="U48" s="113"/>
      <c r="V48" s="35"/>
    </row>
    <row r="49" spans="1:25" ht="18" customHeight="1" thickBot="1" x14ac:dyDescent="0.25">
      <c r="A49" s="15"/>
      <c r="B49" s="2"/>
      <c r="C49" s="47"/>
      <c r="D49" s="47"/>
      <c r="E49" s="47"/>
      <c r="F49" s="47"/>
      <c r="G49" s="420"/>
      <c r="H49" s="420"/>
      <c r="I49" s="420"/>
      <c r="J49" s="332"/>
      <c r="K49" s="332"/>
      <c r="L49" s="332"/>
      <c r="M49" s="419"/>
      <c r="N49" s="419"/>
      <c r="O49" s="332"/>
      <c r="P49" s="332"/>
      <c r="Q49" s="419"/>
      <c r="R49" s="419"/>
      <c r="S49" s="528"/>
      <c r="T49" s="528"/>
      <c r="U49" s="113"/>
      <c r="V49" s="35"/>
    </row>
    <row r="50" spans="1:25" ht="18" customHeight="1" thickBot="1" x14ac:dyDescent="0.25">
      <c r="A50" s="15"/>
      <c r="B50" s="2"/>
      <c r="C50" s="47" t="s">
        <v>1005</v>
      </c>
      <c r="D50" s="47"/>
      <c r="E50" s="47"/>
      <c r="F50" s="47"/>
      <c r="G50" s="420"/>
      <c r="H50" s="420"/>
      <c r="I50" s="420"/>
      <c r="J50" s="332"/>
      <c r="K50" s="644">
        <f>VLOOKUP($F$1,Part4,27,FALSE)</f>
        <v>258</v>
      </c>
      <c r="L50" s="660"/>
      <c r="M50" s="419"/>
      <c r="N50" s="419"/>
      <c r="O50" s="644">
        <f>VLOOKUP($F$1,Part4,28,FALSE)</f>
        <v>0</v>
      </c>
      <c r="P50" s="660"/>
      <c r="Q50" s="419"/>
      <c r="R50" s="419"/>
      <c r="S50" s="528"/>
      <c r="T50" s="528"/>
      <c r="U50" s="113"/>
      <c r="V50" s="35"/>
      <c r="Y50" s="49"/>
    </row>
    <row r="51" spans="1:25" ht="18" customHeight="1" thickBot="1" x14ac:dyDescent="0.25">
      <c r="A51" s="15"/>
      <c r="B51" s="2"/>
      <c r="C51" s="47"/>
      <c r="D51" s="47"/>
      <c r="E51" s="47"/>
      <c r="F51" s="47"/>
      <c r="G51" s="420"/>
      <c r="H51" s="420"/>
      <c r="I51" s="420"/>
      <c r="J51" s="332"/>
      <c r="K51" s="541"/>
      <c r="L51" s="528"/>
      <c r="M51" s="419"/>
      <c r="N51" s="419"/>
      <c r="O51" s="541"/>
      <c r="P51" s="528"/>
      <c r="Q51" s="419"/>
      <c r="R51" s="419"/>
      <c r="S51" s="528"/>
      <c r="T51" s="528"/>
      <c r="U51" s="113"/>
      <c r="V51" s="35"/>
    </row>
    <row r="52" spans="1:25" ht="18" customHeight="1" thickBot="1" x14ac:dyDescent="0.25">
      <c r="A52" s="15"/>
      <c r="B52" s="2"/>
      <c r="C52" s="47" t="s">
        <v>1006</v>
      </c>
      <c r="D52" s="47"/>
      <c r="E52" s="47"/>
      <c r="F52" s="47"/>
      <c r="G52" s="420"/>
      <c r="H52" s="420"/>
      <c r="I52" s="420"/>
      <c r="J52" s="332"/>
      <c r="K52" s="644">
        <f>VLOOKUP($F$1,Part4,29,FALSE)</f>
        <v>0</v>
      </c>
      <c r="L52" s="660"/>
      <c r="M52" s="419"/>
      <c r="N52" s="419"/>
      <c r="O52" s="644">
        <f>VLOOKUP($F$1,Part4,30,FALSE)</f>
        <v>0</v>
      </c>
      <c r="P52" s="660"/>
      <c r="Q52" s="419"/>
      <c r="R52" s="419"/>
      <c r="S52" s="528"/>
      <c r="T52" s="528"/>
      <c r="U52" s="113"/>
      <c r="V52" s="35"/>
    </row>
    <row r="53" spans="1:25" ht="18" customHeight="1" x14ac:dyDescent="0.2">
      <c r="A53" s="15"/>
      <c r="B53" s="2"/>
      <c r="C53" s="47"/>
      <c r="D53" s="47"/>
      <c r="E53" s="47"/>
      <c r="F53" s="47"/>
      <c r="G53" s="420"/>
      <c r="H53" s="420"/>
      <c r="I53" s="420"/>
      <c r="J53" s="332"/>
      <c r="K53" s="332"/>
      <c r="L53" s="419"/>
      <c r="M53" s="419"/>
      <c r="N53" s="419"/>
      <c r="O53" s="419"/>
      <c r="P53" s="332"/>
      <c r="Q53" s="419"/>
      <c r="R53" s="419"/>
      <c r="S53" s="528"/>
      <c r="T53" s="528"/>
      <c r="U53" s="113"/>
      <c r="V53" s="35"/>
    </row>
    <row r="54" spans="1:25" ht="18" customHeight="1" thickBot="1" x14ac:dyDescent="0.25">
      <c r="A54" s="15"/>
      <c r="B54" s="2"/>
      <c r="C54" s="525" t="s">
        <v>1175</v>
      </c>
      <c r="D54" s="525"/>
      <c r="E54" s="47"/>
      <c r="F54" s="47"/>
      <c r="G54" s="420"/>
      <c r="H54" s="420"/>
      <c r="I54" s="420"/>
      <c r="J54" s="332"/>
      <c r="K54" s="332"/>
      <c r="L54" s="419"/>
      <c r="M54" s="419"/>
      <c r="N54" s="419"/>
      <c r="O54" s="419"/>
      <c r="P54" s="419"/>
      <c r="Q54" s="419"/>
      <c r="R54" s="419"/>
      <c r="S54" s="528"/>
      <c r="T54" s="528"/>
      <c r="U54" s="113"/>
      <c r="V54" s="35"/>
    </row>
    <row r="55" spans="1:25" ht="16.5" customHeight="1" thickBot="1" x14ac:dyDescent="0.3">
      <c r="A55" s="15"/>
      <c r="B55" s="2"/>
      <c r="C55" s="684" t="s">
        <v>1007</v>
      </c>
      <c r="D55" s="684"/>
      <c r="E55" s="684"/>
      <c r="F55" s="47"/>
      <c r="G55" s="644">
        <f>VLOOKUP($F$1,Part4,31,FALSE)</f>
        <v>619486.21</v>
      </c>
      <c r="H55" s="660"/>
      <c r="I55" s="419"/>
      <c r="J55" s="419"/>
      <c r="K55" s="644">
        <f>VLOOKUP($F$1,Part4,32,FALSE)</f>
        <v>619486.21</v>
      </c>
      <c r="L55" s="660"/>
      <c r="M55" s="419"/>
      <c r="N55" s="419"/>
      <c r="O55" s="644">
        <f>VLOOKUP($F$1,Part4,33,FALSE)</f>
        <v>0</v>
      </c>
      <c r="P55" s="660"/>
      <c r="Q55" s="419"/>
      <c r="R55" s="419"/>
      <c r="S55" s="644">
        <f>VLOOKUP($F$1,Part4,34,FALSE)</f>
        <v>0</v>
      </c>
      <c r="T55" s="660"/>
      <c r="U55" s="113"/>
      <c r="V55" s="35"/>
      <c r="X55" s="224"/>
    </row>
    <row r="56" spans="1:25" ht="15" x14ac:dyDescent="0.2">
      <c r="A56" s="15"/>
      <c r="B56" s="2"/>
      <c r="C56" s="684"/>
      <c r="D56" s="684"/>
      <c r="E56" s="684"/>
      <c r="F56" s="47"/>
      <c r="G56" s="420"/>
      <c r="H56" s="420"/>
      <c r="I56" s="420"/>
      <c r="J56" s="420"/>
      <c r="K56" s="420"/>
      <c r="L56" s="420"/>
      <c r="M56" s="420"/>
      <c r="N56" s="420"/>
      <c r="O56" s="420"/>
      <c r="P56" s="420"/>
      <c r="Q56" s="420"/>
      <c r="R56" s="420"/>
      <c r="S56" s="420"/>
      <c r="T56" s="420"/>
      <c r="U56" s="113"/>
      <c r="V56" s="35"/>
    </row>
    <row r="57" spans="1:25" ht="15.75" thickBot="1" x14ac:dyDescent="0.25">
      <c r="A57" s="15"/>
      <c r="B57" s="128"/>
      <c r="C57" s="47"/>
      <c r="D57" s="47"/>
      <c r="E57" s="47"/>
      <c r="F57" s="47"/>
      <c r="G57" s="332"/>
      <c r="H57" s="332"/>
      <c r="I57" s="420"/>
      <c r="J57" s="332"/>
      <c r="K57" s="332"/>
      <c r="L57" s="332"/>
      <c r="M57" s="419"/>
      <c r="N57" s="419"/>
      <c r="O57" s="332"/>
      <c r="P57" s="332"/>
      <c r="Q57" s="419"/>
      <c r="R57" s="419"/>
      <c r="S57" s="332"/>
      <c r="T57" s="332"/>
      <c r="U57" s="113"/>
      <c r="V57" s="35"/>
    </row>
    <row r="58" spans="1:25" ht="18" customHeight="1" thickBot="1" x14ac:dyDescent="0.3">
      <c r="A58" s="15"/>
      <c r="B58" s="128"/>
      <c r="C58" s="47" t="s">
        <v>1008</v>
      </c>
      <c r="D58" s="47"/>
      <c r="E58" s="47"/>
      <c r="F58" s="47"/>
      <c r="G58" s="644">
        <f>VLOOKUP($F$1,Part4,35,FALSE)</f>
        <v>280000</v>
      </c>
      <c r="H58" s="660"/>
      <c r="I58" s="419"/>
      <c r="J58" s="419"/>
      <c r="K58" s="644">
        <f>VLOOKUP($F$1,Part4,36,FALSE)</f>
        <v>280000</v>
      </c>
      <c r="L58" s="660"/>
      <c r="M58" s="419"/>
      <c r="N58" s="419"/>
      <c r="O58" s="644">
        <f>VLOOKUP($F$1,Part4,37,FALSE)</f>
        <v>0</v>
      </c>
      <c r="P58" s="660"/>
      <c r="Q58" s="419"/>
      <c r="R58" s="419"/>
      <c r="S58" s="644">
        <f>VLOOKUP($F$1,Part4,38,FALSE)</f>
        <v>0</v>
      </c>
      <c r="T58" s="660"/>
      <c r="U58" s="113"/>
      <c r="V58" s="35"/>
      <c r="X58" s="224"/>
      <c r="Y58" s="49"/>
    </row>
    <row r="59" spans="1:25" ht="18" customHeight="1" thickBot="1" x14ac:dyDescent="0.25">
      <c r="A59" s="15"/>
      <c r="B59" s="128"/>
      <c r="C59" s="47"/>
      <c r="D59" s="47"/>
      <c r="E59" s="47"/>
      <c r="F59" s="47"/>
      <c r="G59" s="541"/>
      <c r="H59" s="528"/>
      <c r="I59" s="420"/>
      <c r="J59" s="332"/>
      <c r="K59" s="541"/>
      <c r="L59" s="528"/>
      <c r="M59" s="419"/>
      <c r="N59" s="419"/>
      <c r="O59" s="541"/>
      <c r="P59" s="528"/>
      <c r="Q59" s="419"/>
      <c r="R59" s="419"/>
      <c r="S59" s="541"/>
      <c r="T59" s="528"/>
      <c r="U59" s="113"/>
      <c r="V59" s="35"/>
    </row>
    <row r="60" spans="1:25" ht="18" customHeight="1" thickBot="1" x14ac:dyDescent="0.3">
      <c r="A60" s="15"/>
      <c r="B60" s="128"/>
      <c r="C60" s="47" t="s">
        <v>1009</v>
      </c>
      <c r="D60" s="47"/>
      <c r="E60" s="47"/>
      <c r="F60" s="47"/>
      <c r="G60" s="644">
        <f>VLOOKUP($F$1,Part4,39,FALSE)</f>
        <v>339486</v>
      </c>
      <c r="H60" s="660"/>
      <c r="I60" s="419"/>
      <c r="J60" s="419"/>
      <c r="K60" s="644">
        <f>VLOOKUP($F$1,Part4,40,FALSE)</f>
        <v>339486</v>
      </c>
      <c r="L60" s="660"/>
      <c r="M60" s="419"/>
      <c r="N60" s="419"/>
      <c r="O60" s="644">
        <f>VLOOKUP($F$1,Part4,41,FALSE)</f>
        <v>0</v>
      </c>
      <c r="P60" s="660"/>
      <c r="Q60" s="419"/>
      <c r="R60" s="419"/>
      <c r="S60" s="644">
        <f>VLOOKUP($F$1,Part4,42,FALSE)</f>
        <v>0</v>
      </c>
      <c r="T60" s="660"/>
      <c r="U60" s="113"/>
      <c r="V60" s="35"/>
      <c r="X60" s="224"/>
    </row>
    <row r="61" spans="1:25" ht="18" customHeight="1" x14ac:dyDescent="0.2">
      <c r="A61" s="15"/>
      <c r="B61" s="128"/>
      <c r="C61" s="47"/>
      <c r="D61" s="47"/>
      <c r="E61" s="47"/>
      <c r="F61" s="47"/>
      <c r="G61" s="420"/>
      <c r="H61" s="420"/>
      <c r="I61" s="420"/>
      <c r="J61" s="332"/>
      <c r="K61" s="419"/>
      <c r="L61" s="419"/>
      <c r="M61" s="419"/>
      <c r="N61" s="419"/>
      <c r="O61" s="419"/>
      <c r="P61" s="419"/>
      <c r="Q61" s="419"/>
      <c r="R61" s="419"/>
      <c r="S61" s="541"/>
      <c r="T61" s="528"/>
      <c r="U61" s="113"/>
      <c r="V61" s="35"/>
    </row>
    <row r="62" spans="1:25" ht="18" customHeight="1" x14ac:dyDescent="0.2">
      <c r="A62" s="15"/>
      <c r="B62" s="128"/>
      <c r="C62" s="525" t="s">
        <v>835</v>
      </c>
      <c r="D62" s="525"/>
      <c r="E62" s="119"/>
      <c r="F62" s="119"/>
      <c r="G62" s="471"/>
      <c r="H62" s="471"/>
      <c r="I62" s="471"/>
      <c r="J62" s="419"/>
      <c r="K62" s="419"/>
      <c r="L62" s="419"/>
      <c r="M62" s="419"/>
      <c r="N62" s="419"/>
      <c r="O62" s="419"/>
      <c r="P62" s="419"/>
      <c r="Q62" s="419"/>
      <c r="R62" s="419"/>
      <c r="S62" s="528"/>
      <c r="T62" s="528"/>
      <c r="U62" s="113"/>
      <c r="V62" s="35"/>
    </row>
    <row r="63" spans="1:25" ht="18" customHeight="1" thickBot="1" x14ac:dyDescent="0.25">
      <c r="A63" s="15"/>
      <c r="B63" s="128"/>
      <c r="C63" s="525" t="s">
        <v>836</v>
      </c>
      <c r="D63" s="525"/>
      <c r="E63" s="47"/>
      <c r="F63" s="47"/>
      <c r="G63" s="420"/>
      <c r="H63" s="420"/>
      <c r="I63" s="420"/>
      <c r="J63" s="332"/>
      <c r="K63" s="419"/>
      <c r="L63" s="419"/>
      <c r="M63" s="419"/>
      <c r="N63" s="419"/>
      <c r="O63" s="419"/>
      <c r="P63" s="419"/>
      <c r="Q63" s="419"/>
      <c r="R63" s="419"/>
      <c r="S63" s="528"/>
      <c r="T63" s="528"/>
      <c r="U63" s="113"/>
      <c r="V63" s="35"/>
    </row>
    <row r="64" spans="1:25" ht="18" customHeight="1" thickBot="1" x14ac:dyDescent="0.25">
      <c r="A64" s="15"/>
      <c r="B64" s="128"/>
      <c r="C64" s="47" t="s">
        <v>1010</v>
      </c>
      <c r="D64" s="47"/>
      <c r="E64" s="47"/>
      <c r="F64" s="47"/>
      <c r="G64" s="420"/>
      <c r="H64" s="420"/>
      <c r="I64" s="420"/>
      <c r="J64" s="332"/>
      <c r="K64" s="644">
        <f>VLOOKUP($F$1,Part4,43,FALSE)</f>
        <v>2064189.29</v>
      </c>
      <c r="L64" s="660"/>
      <c r="M64" s="419"/>
      <c r="N64" s="419"/>
      <c r="O64" s="644">
        <f>VLOOKUP($F$1,Part4,44,FALSE)</f>
        <v>0</v>
      </c>
      <c r="P64" s="660"/>
      <c r="Q64" s="419"/>
      <c r="R64" s="419"/>
      <c r="S64" s="644">
        <f>VLOOKUP($F$1,Part4,45,FALSE)</f>
        <v>41187.01</v>
      </c>
      <c r="T64" s="660"/>
      <c r="U64" s="113"/>
      <c r="V64" s="35"/>
      <c r="Y64" s="331"/>
    </row>
    <row r="65" spans="1:25" ht="18" customHeight="1" thickBot="1" x14ac:dyDescent="0.25">
      <c r="A65" s="15"/>
      <c r="B65" s="128"/>
      <c r="C65" s="47"/>
      <c r="D65" s="47"/>
      <c r="E65" s="47"/>
      <c r="F65" s="47"/>
      <c r="G65" s="420"/>
      <c r="H65" s="420"/>
      <c r="I65" s="420"/>
      <c r="J65" s="332"/>
      <c r="K65" s="332"/>
      <c r="L65" s="332"/>
      <c r="M65" s="419"/>
      <c r="N65" s="419"/>
      <c r="O65" s="332"/>
      <c r="P65" s="332"/>
      <c r="Q65" s="419"/>
      <c r="R65" s="419"/>
      <c r="S65" s="332"/>
      <c r="T65" s="332"/>
      <c r="U65" s="113"/>
      <c r="V65" s="35"/>
      <c r="Y65" s="331"/>
    </row>
    <row r="66" spans="1:25" ht="18" customHeight="1" thickBot="1" x14ac:dyDescent="0.25">
      <c r="A66" s="15"/>
      <c r="B66" s="128"/>
      <c r="C66" s="47" t="s">
        <v>1011</v>
      </c>
      <c r="D66" s="47"/>
      <c r="E66" s="47"/>
      <c r="F66" s="47"/>
      <c r="G66" s="420"/>
      <c r="H66" s="420"/>
      <c r="I66" s="420"/>
      <c r="J66" s="332"/>
      <c r="K66" s="644">
        <f>VLOOKUP($F$1,Part4,46,FALSE)</f>
        <v>1330285</v>
      </c>
      <c r="L66" s="660"/>
      <c r="M66" s="419"/>
      <c r="N66" s="419"/>
      <c r="O66" s="644">
        <f>VLOOKUP($F$1,Part4,47,FALSE)</f>
        <v>0</v>
      </c>
      <c r="P66" s="660"/>
      <c r="Q66" s="419"/>
      <c r="R66" s="419"/>
      <c r="S66" s="644">
        <f>VLOOKUP($F$1,Part4,48,FALSE)</f>
        <v>27149</v>
      </c>
      <c r="T66" s="660"/>
      <c r="U66" s="113"/>
      <c r="V66" s="35"/>
      <c r="Y66" s="331"/>
    </row>
    <row r="67" spans="1:25" ht="18" customHeight="1" thickBot="1" x14ac:dyDescent="0.25">
      <c r="A67" s="15"/>
      <c r="B67" s="128"/>
      <c r="C67" s="47"/>
      <c r="D67" s="47"/>
      <c r="E67" s="47"/>
      <c r="F67" s="47"/>
      <c r="G67" s="420"/>
      <c r="H67" s="420"/>
      <c r="I67" s="420"/>
      <c r="J67" s="332"/>
      <c r="K67" s="541"/>
      <c r="L67" s="528"/>
      <c r="M67" s="419"/>
      <c r="N67" s="419"/>
      <c r="O67" s="541"/>
      <c r="P67" s="528"/>
      <c r="Q67" s="419"/>
      <c r="R67" s="419"/>
      <c r="S67" s="541"/>
      <c r="T67" s="528"/>
      <c r="U67" s="113"/>
      <c r="V67" s="35"/>
      <c r="Y67" s="331"/>
    </row>
    <row r="68" spans="1:25" ht="18" customHeight="1" thickBot="1" x14ac:dyDescent="0.25">
      <c r="A68" s="15"/>
      <c r="B68" s="128"/>
      <c r="C68" s="47" t="s">
        <v>1012</v>
      </c>
      <c r="D68" s="47"/>
      <c r="E68" s="47"/>
      <c r="F68" s="47"/>
      <c r="G68" s="420"/>
      <c r="H68" s="420"/>
      <c r="I68" s="420"/>
      <c r="J68" s="332"/>
      <c r="K68" s="644">
        <f>VLOOKUP($F$1,Part4,49,FALSE)</f>
        <v>733904</v>
      </c>
      <c r="L68" s="660"/>
      <c r="M68" s="419"/>
      <c r="N68" s="419"/>
      <c r="O68" s="644">
        <f>VLOOKUP($F$1,Part4,50,FALSE)</f>
        <v>0</v>
      </c>
      <c r="P68" s="660"/>
      <c r="Q68" s="419"/>
      <c r="R68" s="419"/>
      <c r="S68" s="644">
        <f>VLOOKUP($F$1,Part4,51,FALSE)</f>
        <v>14038</v>
      </c>
      <c r="T68" s="660"/>
      <c r="U68" s="113"/>
      <c r="V68" s="35"/>
      <c r="Y68" s="331"/>
    </row>
    <row r="69" spans="1:25" ht="18" customHeight="1" thickBot="1" x14ac:dyDescent="0.25">
      <c r="A69" s="16"/>
      <c r="B69" s="333"/>
      <c r="C69" s="334"/>
      <c r="D69" s="334"/>
      <c r="E69" s="334"/>
      <c r="F69" s="334"/>
      <c r="G69" s="334"/>
      <c r="H69" s="334"/>
      <c r="I69" s="334"/>
      <c r="J69" s="334"/>
      <c r="K69" s="421"/>
      <c r="L69" s="421"/>
      <c r="M69" s="421"/>
      <c r="N69" s="421"/>
      <c r="O69" s="422"/>
      <c r="P69" s="422"/>
      <c r="Q69" s="421"/>
      <c r="R69" s="421"/>
      <c r="S69" s="421"/>
      <c r="T69" s="421"/>
      <c r="U69" s="334"/>
      <c r="V69" s="36"/>
    </row>
    <row r="70" spans="1:25" ht="18" customHeight="1" thickBot="1" x14ac:dyDescent="0.3">
      <c r="A70" s="15"/>
      <c r="B70" s="128"/>
      <c r="C70" s="11" t="s">
        <v>1013</v>
      </c>
      <c r="D70" s="11"/>
      <c r="E70" s="113"/>
      <c r="F70" s="113"/>
      <c r="G70" s="113"/>
      <c r="H70" s="113"/>
      <c r="I70" s="113"/>
      <c r="J70" s="113"/>
      <c r="K70" s="418"/>
      <c r="L70" s="418"/>
      <c r="M70" s="418"/>
      <c r="N70" s="418"/>
      <c r="O70" s="332"/>
      <c r="P70" s="332"/>
      <c r="Q70" s="418"/>
      <c r="R70" s="418"/>
      <c r="S70" s="418"/>
      <c r="T70" s="418"/>
      <c r="U70" s="113"/>
      <c r="V70" s="35"/>
    </row>
    <row r="71" spans="1:25" ht="18" customHeight="1" thickBot="1" x14ac:dyDescent="0.25">
      <c r="A71" s="15"/>
      <c r="B71" s="128"/>
      <c r="C71" s="684" t="s">
        <v>1014</v>
      </c>
      <c r="D71" s="684"/>
      <c r="E71" s="684"/>
      <c r="F71" s="684"/>
      <c r="G71" s="684"/>
      <c r="H71" s="684"/>
      <c r="I71" s="113"/>
      <c r="J71" s="113"/>
      <c r="K71" s="644">
        <f>VLOOKUP($F$1,Part4,52,FALSE)</f>
        <v>-5994.91</v>
      </c>
      <c r="L71" s="660"/>
      <c r="M71" s="419"/>
      <c r="N71" s="419"/>
      <c r="O71" s="644">
        <f>VLOOKUP($F$1,Part4,53,FALSE)</f>
        <v>0</v>
      </c>
      <c r="P71" s="660"/>
      <c r="Q71" s="419"/>
      <c r="R71" s="419"/>
      <c r="S71" s="644">
        <f>VLOOKUP($F$1,Part4,54,FALSE)</f>
        <v>-122.35</v>
      </c>
      <c r="T71" s="660"/>
      <c r="U71" s="113"/>
      <c r="V71" s="35"/>
    </row>
    <row r="72" spans="1:25" ht="18" customHeight="1" thickBot="1" x14ac:dyDescent="0.25">
      <c r="A72" s="15"/>
      <c r="B72" s="128"/>
      <c r="C72" s="684"/>
      <c r="D72" s="684"/>
      <c r="E72" s="684"/>
      <c r="F72" s="684"/>
      <c r="G72" s="684"/>
      <c r="H72" s="684"/>
      <c r="I72" s="113"/>
      <c r="J72" s="113"/>
      <c r="K72" s="332"/>
      <c r="L72" s="332"/>
      <c r="M72" s="332"/>
      <c r="N72" s="332"/>
      <c r="O72" s="332"/>
      <c r="P72" s="332"/>
      <c r="Q72" s="332"/>
      <c r="R72" s="332"/>
      <c r="S72" s="332"/>
      <c r="T72" s="332"/>
      <c r="U72" s="113"/>
      <c r="V72" s="35"/>
    </row>
    <row r="73" spans="1:25" ht="18" customHeight="1" thickBot="1" x14ac:dyDescent="0.25">
      <c r="A73" s="15"/>
      <c r="B73" s="128"/>
      <c r="C73" s="47" t="s">
        <v>1015</v>
      </c>
      <c r="D73" s="47"/>
      <c r="E73" s="113"/>
      <c r="F73" s="113"/>
      <c r="G73" s="113"/>
      <c r="H73" s="113"/>
      <c r="I73" s="113"/>
      <c r="J73" s="113"/>
      <c r="K73" s="644">
        <f>VLOOKUP($F$1,Part4,55,FALSE)</f>
        <v>49520</v>
      </c>
      <c r="L73" s="660"/>
      <c r="M73" s="419"/>
      <c r="N73" s="419"/>
      <c r="O73" s="644">
        <f>VLOOKUP($F$1,Part4,56,FALSE)</f>
        <v>0</v>
      </c>
      <c r="P73" s="660"/>
      <c r="Q73" s="419"/>
      <c r="R73" s="419"/>
      <c r="S73" s="644">
        <f>VLOOKUP($F$1,Part4,57,FALSE)</f>
        <v>1011</v>
      </c>
      <c r="T73" s="660"/>
      <c r="U73" s="113"/>
      <c r="V73" s="35"/>
      <c r="Y73" s="49"/>
    </row>
    <row r="74" spans="1:25" ht="18" customHeight="1" thickBot="1" x14ac:dyDescent="0.25">
      <c r="A74" s="15"/>
      <c r="B74" s="128"/>
      <c r="C74" s="47"/>
      <c r="D74" s="47"/>
      <c r="E74" s="113"/>
      <c r="F74" s="113"/>
      <c r="G74" s="113"/>
      <c r="H74" s="113"/>
      <c r="I74" s="113"/>
      <c r="J74" s="113"/>
      <c r="K74" s="541"/>
      <c r="L74" s="528"/>
      <c r="M74" s="332"/>
      <c r="N74" s="332"/>
      <c r="O74" s="541"/>
      <c r="P74" s="528"/>
      <c r="Q74" s="332"/>
      <c r="R74" s="332"/>
      <c r="S74" s="541"/>
      <c r="T74" s="528"/>
      <c r="U74" s="113"/>
      <c r="V74" s="35"/>
    </row>
    <row r="75" spans="1:25" ht="18" customHeight="1" thickBot="1" x14ac:dyDescent="0.25">
      <c r="A75" s="15"/>
      <c r="B75" s="128"/>
      <c r="C75" s="47" t="s">
        <v>1016</v>
      </c>
      <c r="D75" s="47"/>
      <c r="E75" s="113"/>
      <c r="F75" s="113"/>
      <c r="G75" s="113"/>
      <c r="H75" s="113"/>
      <c r="I75" s="113"/>
      <c r="J75" s="113"/>
      <c r="K75" s="644">
        <f>VLOOKUP($F$1,Part4,58,FALSE)</f>
        <v>-55515</v>
      </c>
      <c r="L75" s="660"/>
      <c r="M75" s="419"/>
      <c r="N75" s="419"/>
      <c r="O75" s="644">
        <f>VLOOKUP($F$1,Part4,59,FALSE)</f>
        <v>0</v>
      </c>
      <c r="P75" s="660"/>
      <c r="Q75" s="419"/>
      <c r="R75" s="419"/>
      <c r="S75" s="644">
        <f>VLOOKUP($F$1,Part4,60,FALSE)</f>
        <v>-1133</v>
      </c>
      <c r="T75" s="660"/>
      <c r="U75" s="113"/>
      <c r="V75" s="35"/>
    </row>
    <row r="76" spans="1:25" ht="18" customHeight="1" x14ac:dyDescent="0.2">
      <c r="A76" s="15"/>
      <c r="B76" s="128"/>
      <c r="C76" s="113"/>
      <c r="D76" s="113"/>
      <c r="E76" s="113"/>
      <c r="F76" s="113"/>
      <c r="G76" s="113"/>
      <c r="H76" s="113"/>
      <c r="I76" s="113"/>
      <c r="J76" s="113"/>
      <c r="K76" s="332"/>
      <c r="L76" s="332"/>
      <c r="M76" s="332"/>
      <c r="N76" s="332"/>
      <c r="O76" s="332"/>
      <c r="P76" s="332"/>
      <c r="Q76" s="332"/>
      <c r="R76" s="332"/>
      <c r="S76" s="332"/>
      <c r="T76" s="332"/>
      <c r="U76" s="113"/>
      <c r="V76" s="35"/>
    </row>
    <row r="77" spans="1:25" ht="18" customHeight="1" thickBot="1" x14ac:dyDescent="0.3">
      <c r="A77" s="15"/>
      <c r="B77" s="128"/>
      <c r="C77" s="11" t="s">
        <v>537</v>
      </c>
      <c r="D77" s="11"/>
      <c r="E77" s="113"/>
      <c r="F77" s="113"/>
      <c r="G77" s="113"/>
      <c r="H77" s="113"/>
      <c r="I77" s="113"/>
      <c r="J77" s="113"/>
      <c r="K77" s="332"/>
      <c r="L77" s="332"/>
      <c r="M77" s="332"/>
      <c r="N77" s="332"/>
      <c r="O77" s="332"/>
      <c r="P77" s="332"/>
      <c r="Q77" s="332"/>
      <c r="R77" s="332"/>
      <c r="S77" s="332"/>
      <c r="T77" s="332"/>
      <c r="U77" s="113"/>
      <c r="V77" s="35"/>
    </row>
    <row r="78" spans="1:25" ht="18" customHeight="1" thickBot="1" x14ac:dyDescent="0.25">
      <c r="A78" s="15"/>
      <c r="B78" s="128"/>
      <c r="C78" s="684" t="s">
        <v>1017</v>
      </c>
      <c r="D78" s="684"/>
      <c r="E78" s="684"/>
      <c r="F78" s="684"/>
      <c r="G78" s="684"/>
      <c r="H78" s="684"/>
      <c r="I78" s="113"/>
      <c r="J78" s="113"/>
      <c r="K78" s="644">
        <f>VLOOKUP($F$1,Part4,61,FALSE)</f>
        <v>0</v>
      </c>
      <c r="L78" s="660"/>
      <c r="M78" s="419"/>
      <c r="N78" s="419"/>
      <c r="O78" s="644">
        <f>VLOOKUP($F$1,Part4,62,FALSE)</f>
        <v>0</v>
      </c>
      <c r="P78" s="660"/>
      <c r="Q78" s="419"/>
      <c r="R78" s="419"/>
      <c r="S78" s="644">
        <f>VLOOKUP($F$1,Part4,63,FALSE)</f>
        <v>0</v>
      </c>
      <c r="T78" s="660"/>
      <c r="U78" s="113"/>
      <c r="V78" s="35"/>
    </row>
    <row r="79" spans="1:25" ht="18" customHeight="1" thickBot="1" x14ac:dyDescent="0.25">
      <c r="A79" s="15"/>
      <c r="B79" s="128"/>
      <c r="C79" s="684"/>
      <c r="D79" s="684"/>
      <c r="E79" s="684"/>
      <c r="F79" s="684"/>
      <c r="G79" s="684"/>
      <c r="H79" s="684"/>
      <c r="I79" s="113"/>
      <c r="J79" s="113"/>
      <c r="K79" s="332"/>
      <c r="L79" s="332"/>
      <c r="M79" s="332"/>
      <c r="N79" s="332"/>
      <c r="O79" s="332"/>
      <c r="P79" s="332"/>
      <c r="Q79" s="332"/>
      <c r="R79" s="332"/>
      <c r="S79" s="332"/>
      <c r="T79" s="332"/>
      <c r="U79" s="113"/>
      <c r="V79" s="35"/>
    </row>
    <row r="80" spans="1:25" ht="18" customHeight="1" thickBot="1" x14ac:dyDescent="0.25">
      <c r="A80" s="15"/>
      <c r="B80" s="128"/>
      <c r="C80" s="47" t="s">
        <v>1018</v>
      </c>
      <c r="D80" s="47"/>
      <c r="E80" s="113"/>
      <c r="F80" s="113"/>
      <c r="G80" s="113"/>
      <c r="H80" s="113"/>
      <c r="I80" s="113"/>
      <c r="J80" s="113"/>
      <c r="K80" s="644">
        <f>VLOOKUP($F$1,Part4,64,FALSE)</f>
        <v>0</v>
      </c>
      <c r="L80" s="660"/>
      <c r="M80" s="419"/>
      <c r="N80" s="419"/>
      <c r="O80" s="644">
        <f>VLOOKUP($F$1,Part4,65,FALSE)</f>
        <v>0</v>
      </c>
      <c r="P80" s="660"/>
      <c r="Q80" s="419"/>
      <c r="R80" s="419"/>
      <c r="S80" s="644">
        <f>VLOOKUP($F$1,Part4,66,FALSE)</f>
        <v>0</v>
      </c>
      <c r="T80" s="660"/>
      <c r="U80" s="113"/>
      <c r="V80" s="35"/>
      <c r="Y80" s="49"/>
    </row>
    <row r="81" spans="1:27" ht="18" customHeight="1" thickBot="1" x14ac:dyDescent="0.25">
      <c r="A81" s="15"/>
      <c r="B81" s="128"/>
      <c r="C81" s="47"/>
      <c r="D81" s="47"/>
      <c r="E81" s="113"/>
      <c r="F81" s="113"/>
      <c r="G81" s="113"/>
      <c r="H81" s="113"/>
      <c r="I81" s="113"/>
      <c r="J81" s="113"/>
      <c r="K81" s="541"/>
      <c r="L81" s="528"/>
      <c r="M81" s="332"/>
      <c r="N81" s="332"/>
      <c r="O81" s="541"/>
      <c r="P81" s="528"/>
      <c r="Q81" s="332"/>
      <c r="R81" s="332"/>
      <c r="S81" s="541"/>
      <c r="T81" s="528"/>
      <c r="U81" s="113"/>
      <c r="V81" s="35"/>
    </row>
    <row r="82" spans="1:27" ht="18" customHeight="1" thickBot="1" x14ac:dyDescent="0.25">
      <c r="A82" s="15"/>
      <c r="B82" s="128"/>
      <c r="C82" s="47" t="s">
        <v>1019</v>
      </c>
      <c r="D82" s="47"/>
      <c r="E82" s="113"/>
      <c r="F82" s="113"/>
      <c r="G82" s="113"/>
      <c r="H82" s="113"/>
      <c r="I82" s="113"/>
      <c r="J82" s="113"/>
      <c r="K82" s="644">
        <f>VLOOKUP($F$1,Part4,67,FALSE)</f>
        <v>0</v>
      </c>
      <c r="L82" s="660"/>
      <c r="M82" s="419"/>
      <c r="N82" s="419"/>
      <c r="O82" s="644">
        <f>VLOOKUP($F$1,Part4,68,FALSE)</f>
        <v>0</v>
      </c>
      <c r="P82" s="660"/>
      <c r="Q82" s="419"/>
      <c r="R82" s="419"/>
      <c r="S82" s="644">
        <f>VLOOKUP($F$1,Part4,69,FALSE)</f>
        <v>0</v>
      </c>
      <c r="T82" s="660"/>
      <c r="U82" s="113"/>
      <c r="V82" s="35"/>
    </row>
    <row r="83" spans="1:27" ht="18" customHeight="1" x14ac:dyDescent="0.2">
      <c r="A83" s="15"/>
      <c r="B83" s="128"/>
      <c r="C83" s="113"/>
      <c r="D83" s="113"/>
      <c r="E83" s="113"/>
      <c r="F83" s="113"/>
      <c r="G83" s="113"/>
      <c r="H83" s="113"/>
      <c r="I83" s="113"/>
      <c r="J83" s="113"/>
      <c r="K83" s="332"/>
      <c r="L83" s="332"/>
      <c r="M83" s="332"/>
      <c r="N83" s="332"/>
      <c r="O83" s="332"/>
      <c r="P83" s="332"/>
      <c r="Q83" s="332"/>
      <c r="R83" s="332"/>
      <c r="S83" s="332"/>
      <c r="T83" s="332"/>
      <c r="U83" s="113"/>
      <c r="V83" s="35"/>
    </row>
    <row r="84" spans="1:27" ht="18" customHeight="1" thickBot="1" x14ac:dyDescent="0.3">
      <c r="A84" s="15"/>
      <c r="B84" s="128"/>
      <c r="C84" s="11" t="s">
        <v>1020</v>
      </c>
      <c r="D84" s="11"/>
      <c r="E84" s="113"/>
      <c r="F84" s="113"/>
      <c r="G84" s="113"/>
      <c r="H84" s="113"/>
      <c r="I84" s="113"/>
      <c r="J84" s="113"/>
      <c r="K84" s="332"/>
      <c r="L84" s="332"/>
      <c r="M84" s="332"/>
      <c r="N84" s="332"/>
      <c r="O84" s="332"/>
      <c r="P84" s="332"/>
      <c r="Q84" s="332"/>
      <c r="R84" s="332"/>
      <c r="S84" s="332"/>
      <c r="T84" s="332"/>
      <c r="U84" s="113"/>
      <c r="V84" s="35"/>
    </row>
    <row r="85" spans="1:27" ht="18" customHeight="1" thickBot="1" x14ac:dyDescent="0.25">
      <c r="A85" s="15"/>
      <c r="B85" s="128"/>
      <c r="C85" s="684" t="s">
        <v>1021</v>
      </c>
      <c r="D85" s="684"/>
      <c r="E85" s="684"/>
      <c r="F85" s="684"/>
      <c r="G85" s="684"/>
      <c r="H85" s="684"/>
      <c r="I85" s="113"/>
      <c r="J85" s="113"/>
      <c r="K85" s="644">
        <f>VLOOKUP($F$1,Part4,70,FALSE)</f>
        <v>33727.199999999997</v>
      </c>
      <c r="L85" s="660"/>
      <c r="M85" s="419"/>
      <c r="N85" s="419"/>
      <c r="O85" s="644">
        <f>VLOOKUP($F$1,Part4,71,FALSE)</f>
        <v>0</v>
      </c>
      <c r="P85" s="660"/>
      <c r="Q85" s="419"/>
      <c r="R85" s="419"/>
      <c r="S85" s="644">
        <f>VLOOKUP($F$1,Part4,72,FALSE)</f>
        <v>688.31</v>
      </c>
      <c r="T85" s="660"/>
      <c r="U85" s="113"/>
      <c r="V85" s="35"/>
      <c r="AA85" s="335"/>
    </row>
    <row r="86" spans="1:27" ht="18" customHeight="1" thickBot="1" x14ac:dyDescent="0.25">
      <c r="A86" s="15"/>
      <c r="B86" s="128"/>
      <c r="C86" s="684"/>
      <c r="D86" s="684"/>
      <c r="E86" s="684"/>
      <c r="F86" s="684"/>
      <c r="G86" s="684"/>
      <c r="H86" s="684"/>
      <c r="I86" s="113"/>
      <c r="J86" s="113"/>
      <c r="K86" s="332"/>
      <c r="L86" s="332"/>
      <c r="M86" s="332"/>
      <c r="N86" s="332"/>
      <c r="O86" s="332"/>
      <c r="P86" s="332"/>
      <c r="Q86" s="332"/>
      <c r="R86" s="332"/>
      <c r="S86" s="332"/>
      <c r="T86" s="332"/>
      <c r="U86" s="113"/>
      <c r="V86" s="35"/>
    </row>
    <row r="87" spans="1:27" ht="18" customHeight="1" thickBot="1" x14ac:dyDescent="0.25">
      <c r="A87" s="15"/>
      <c r="B87" s="128"/>
      <c r="C87" s="47" t="s">
        <v>1022</v>
      </c>
      <c r="D87" s="47"/>
      <c r="E87" s="113"/>
      <c r="F87" s="113"/>
      <c r="G87" s="113"/>
      <c r="H87" s="113"/>
      <c r="I87" s="113"/>
      <c r="J87" s="113"/>
      <c r="K87" s="644">
        <f>VLOOKUP($F$1,Part4,73,FALSE)</f>
        <v>619002.12</v>
      </c>
      <c r="L87" s="660"/>
      <c r="M87" s="419"/>
      <c r="N87" s="419"/>
      <c r="O87" s="644">
        <f>VLOOKUP($F$1,Part4,74,FALSE)</f>
        <v>0</v>
      </c>
      <c r="P87" s="660"/>
      <c r="Q87" s="419"/>
      <c r="R87" s="419"/>
      <c r="S87" s="644">
        <f>VLOOKUP($F$1,Part4,75,FALSE)</f>
        <v>12632.7</v>
      </c>
      <c r="T87" s="660"/>
      <c r="U87" s="113"/>
      <c r="V87" s="35"/>
      <c r="Y87" s="49"/>
    </row>
    <row r="88" spans="1:27" ht="18" customHeight="1" thickBot="1" x14ac:dyDescent="0.25">
      <c r="A88" s="15"/>
      <c r="B88" s="128"/>
      <c r="C88" s="47"/>
      <c r="D88" s="47"/>
      <c r="E88" s="113"/>
      <c r="F88" s="113"/>
      <c r="G88" s="113"/>
      <c r="H88" s="113"/>
      <c r="I88" s="113"/>
      <c r="J88" s="113"/>
      <c r="K88" s="541"/>
      <c r="L88" s="528"/>
      <c r="M88" s="332"/>
      <c r="N88" s="332"/>
      <c r="O88" s="541"/>
      <c r="P88" s="528"/>
      <c r="Q88" s="332"/>
      <c r="R88" s="332"/>
      <c r="S88" s="541"/>
      <c r="T88" s="528"/>
      <c r="U88" s="113"/>
      <c r="V88" s="35"/>
    </row>
    <row r="89" spans="1:27" ht="18" customHeight="1" thickBot="1" x14ac:dyDescent="0.25">
      <c r="A89" s="15"/>
      <c r="B89" s="128"/>
      <c r="C89" s="47" t="s">
        <v>1023</v>
      </c>
      <c r="D89" s="47"/>
      <c r="E89" s="113"/>
      <c r="F89" s="113"/>
      <c r="G89" s="113"/>
      <c r="H89" s="113"/>
      <c r="I89" s="113"/>
      <c r="J89" s="113"/>
      <c r="K89" s="644">
        <f>VLOOKUP($F$1,Part4,76,FALSE)</f>
        <v>-585275</v>
      </c>
      <c r="L89" s="660"/>
      <c r="M89" s="419"/>
      <c r="N89" s="419"/>
      <c r="O89" s="644">
        <f>VLOOKUP($F$1,Part4,77,FALSE)</f>
        <v>0</v>
      </c>
      <c r="P89" s="660"/>
      <c r="Q89" s="419"/>
      <c r="R89" s="419"/>
      <c r="S89" s="644">
        <f>VLOOKUP($F$1,Part4,78,FALSE)</f>
        <v>-11944</v>
      </c>
      <c r="T89" s="660"/>
      <c r="U89" s="113"/>
      <c r="V89" s="35"/>
    </row>
    <row r="90" spans="1:27" ht="18" customHeight="1" x14ac:dyDescent="0.2">
      <c r="A90" s="15"/>
      <c r="B90" s="2"/>
      <c r="C90" s="47"/>
      <c r="D90" s="47"/>
      <c r="E90" s="113"/>
      <c r="F90" s="113"/>
      <c r="G90" s="113"/>
      <c r="H90" s="113"/>
      <c r="I90" s="113"/>
      <c r="J90" s="113"/>
      <c r="K90" s="332"/>
      <c r="L90" s="332"/>
      <c r="M90" s="332"/>
      <c r="N90" s="332"/>
      <c r="O90" s="332"/>
      <c r="P90" s="332"/>
      <c r="Q90" s="332"/>
      <c r="R90" s="332"/>
      <c r="S90" s="332"/>
      <c r="T90" s="332"/>
      <c r="U90" s="113"/>
      <c r="V90" s="35"/>
    </row>
    <row r="91" spans="1:27" ht="18" customHeight="1" thickBot="1" x14ac:dyDescent="0.3">
      <c r="A91" s="15"/>
      <c r="B91" s="2"/>
      <c r="C91" s="11" t="s">
        <v>971</v>
      </c>
      <c r="D91" s="47"/>
      <c r="E91" s="113"/>
      <c r="F91" s="113"/>
      <c r="G91" s="113"/>
      <c r="H91" s="113"/>
      <c r="I91" s="113"/>
      <c r="J91" s="113"/>
      <c r="K91" s="332"/>
      <c r="L91" s="332"/>
      <c r="M91" s="332"/>
      <c r="N91" s="332"/>
      <c r="O91" s="332"/>
      <c r="P91" s="332"/>
      <c r="Q91" s="332"/>
      <c r="R91" s="332"/>
      <c r="S91" s="332"/>
      <c r="T91" s="332"/>
      <c r="U91" s="113"/>
      <c r="V91" s="35"/>
    </row>
    <row r="92" spans="1:27" ht="18" customHeight="1" thickBot="1" x14ac:dyDescent="0.25">
      <c r="A92" s="15"/>
      <c r="B92" s="2"/>
      <c r="C92" s="684" t="s">
        <v>1024</v>
      </c>
      <c r="D92" s="684"/>
      <c r="E92" s="684"/>
      <c r="F92" s="684"/>
      <c r="G92" s="684"/>
      <c r="H92" s="684"/>
      <c r="I92" s="113"/>
      <c r="J92" s="113"/>
      <c r="K92" s="644">
        <f>VLOOKUP($F$1,Part4,79,FALSE)</f>
        <v>361126.5</v>
      </c>
      <c r="L92" s="660"/>
      <c r="M92" s="419"/>
      <c r="N92" s="419"/>
      <c r="O92" s="644">
        <f>VLOOKUP($F$1,Part4,80,FALSE)</f>
        <v>0</v>
      </c>
      <c r="P92" s="660"/>
      <c r="Q92" s="419"/>
      <c r="R92" s="419"/>
      <c r="S92" s="644">
        <f>VLOOKUP($F$1,Part4,81,FALSE)</f>
        <v>7207.05</v>
      </c>
      <c r="T92" s="660"/>
      <c r="U92" s="113"/>
      <c r="V92" s="35"/>
      <c r="X92" s="49"/>
      <c r="Y92" s="49"/>
      <c r="Z92" s="49"/>
    </row>
    <row r="93" spans="1:27" ht="18" customHeight="1" thickBot="1" x14ac:dyDescent="0.25">
      <c r="A93" s="15"/>
      <c r="B93" s="2"/>
      <c r="C93" s="684"/>
      <c r="D93" s="684"/>
      <c r="E93" s="684"/>
      <c r="F93" s="684"/>
      <c r="G93" s="684"/>
      <c r="H93" s="684"/>
      <c r="I93" s="113"/>
      <c r="J93" s="113"/>
      <c r="K93" s="332"/>
      <c r="L93" s="332"/>
      <c r="M93" s="332"/>
      <c r="N93" s="332"/>
      <c r="O93" s="332"/>
      <c r="P93" s="332"/>
      <c r="Q93" s="332"/>
      <c r="R93" s="332"/>
      <c r="S93" s="332"/>
      <c r="T93" s="332"/>
      <c r="U93" s="113"/>
      <c r="V93" s="35"/>
    </row>
    <row r="94" spans="1:27" ht="18" customHeight="1" thickBot="1" x14ac:dyDescent="0.25">
      <c r="A94" s="15"/>
      <c r="B94" s="2"/>
      <c r="C94" s="47" t="s">
        <v>1025</v>
      </c>
      <c r="D94" s="47"/>
      <c r="E94" s="113"/>
      <c r="F94" s="113"/>
      <c r="G94" s="113"/>
      <c r="H94" s="113"/>
      <c r="I94" s="113"/>
      <c r="J94" s="113"/>
      <c r="K94" s="644">
        <f>VLOOKUP($F$1,Part4,82,FALSE)</f>
        <v>990403.4</v>
      </c>
      <c r="L94" s="660"/>
      <c r="M94" s="419"/>
      <c r="N94" s="419"/>
      <c r="O94" s="644">
        <f>VLOOKUP($F$1,Part4,83,FALSE)</f>
        <v>0</v>
      </c>
      <c r="P94" s="660"/>
      <c r="Q94" s="419"/>
      <c r="R94" s="419"/>
      <c r="S94" s="644">
        <f>VLOOKUP($F$1,Part4,84,FALSE)</f>
        <v>20212.310000000001</v>
      </c>
      <c r="T94" s="660"/>
      <c r="U94" s="113"/>
      <c r="V94" s="35"/>
      <c r="Y94" s="49"/>
    </row>
    <row r="95" spans="1:27" ht="18" customHeight="1" thickBot="1" x14ac:dyDescent="0.25">
      <c r="A95" s="15"/>
      <c r="B95" s="2"/>
      <c r="C95" s="47"/>
      <c r="D95" s="47"/>
      <c r="E95" s="113"/>
      <c r="F95" s="113"/>
      <c r="G95" s="113"/>
      <c r="H95" s="113"/>
      <c r="I95" s="113"/>
      <c r="J95" s="113"/>
      <c r="K95" s="541"/>
      <c r="L95" s="528"/>
      <c r="M95" s="332"/>
      <c r="N95" s="332"/>
      <c r="O95" s="541"/>
      <c r="P95" s="528"/>
      <c r="Q95" s="332"/>
      <c r="R95" s="332"/>
      <c r="S95" s="541"/>
      <c r="T95" s="528"/>
      <c r="U95" s="113"/>
      <c r="V95" s="35"/>
    </row>
    <row r="96" spans="1:27" ht="18" customHeight="1" thickBot="1" x14ac:dyDescent="0.25">
      <c r="A96" s="15"/>
      <c r="B96" s="2"/>
      <c r="C96" s="47" t="s">
        <v>1026</v>
      </c>
      <c r="D96" s="47"/>
      <c r="E96" s="113"/>
      <c r="F96" s="113"/>
      <c r="G96" s="113"/>
      <c r="H96" s="113"/>
      <c r="I96" s="113"/>
      <c r="J96" s="113"/>
      <c r="K96" s="644">
        <f>VLOOKUP($F$1,Part4,85,FALSE)</f>
        <v>-629277</v>
      </c>
      <c r="L96" s="660"/>
      <c r="M96" s="419"/>
      <c r="N96" s="419"/>
      <c r="O96" s="644">
        <f>VLOOKUP($F$1,Part4,86,FALSE)</f>
        <v>0</v>
      </c>
      <c r="P96" s="660"/>
      <c r="Q96" s="419"/>
      <c r="R96" s="419"/>
      <c r="S96" s="644">
        <f>VLOOKUP($F$1,Part4,87,FALSE)</f>
        <v>-13005</v>
      </c>
      <c r="T96" s="660"/>
      <c r="U96" s="113"/>
      <c r="V96" s="35"/>
    </row>
    <row r="97" spans="1:26" ht="15" x14ac:dyDescent="0.2">
      <c r="A97" s="15"/>
      <c r="B97" s="2"/>
      <c r="C97" s="47"/>
      <c r="D97" s="47"/>
      <c r="E97" s="113"/>
      <c r="F97" s="113"/>
      <c r="G97" s="113"/>
      <c r="H97" s="113"/>
      <c r="I97" s="113"/>
      <c r="J97" s="113"/>
      <c r="K97" s="332"/>
      <c r="L97" s="332"/>
      <c r="M97" s="332"/>
      <c r="N97" s="332"/>
      <c r="O97" s="332"/>
      <c r="P97" s="332"/>
      <c r="Q97" s="332"/>
      <c r="R97" s="332"/>
      <c r="S97" s="332"/>
      <c r="T97" s="332"/>
      <c r="U97" s="2"/>
      <c r="V97" s="35"/>
    </row>
    <row r="98" spans="1:26" ht="16.5" thickBot="1" x14ac:dyDescent="0.3">
      <c r="A98" s="15"/>
      <c r="B98" s="2"/>
      <c r="C98" s="11" t="s">
        <v>1027</v>
      </c>
      <c r="D98" s="47"/>
      <c r="E98" s="113"/>
      <c r="F98" s="113"/>
      <c r="G98" s="113"/>
      <c r="H98" s="113"/>
      <c r="I98" s="113"/>
      <c r="J98" s="113"/>
      <c r="K98" s="332"/>
      <c r="L98" s="332"/>
      <c r="M98" s="332"/>
      <c r="N98" s="332"/>
      <c r="O98" s="332"/>
      <c r="P98" s="332"/>
      <c r="Q98" s="332"/>
      <c r="R98" s="332"/>
      <c r="S98" s="332"/>
      <c r="T98" s="332"/>
      <c r="U98" s="2"/>
      <c r="V98" s="35"/>
    </row>
    <row r="99" spans="1:26" ht="16.5" thickBot="1" x14ac:dyDescent="0.25">
      <c r="A99" s="15"/>
      <c r="B99" s="2"/>
      <c r="C99" s="684" t="s">
        <v>1028</v>
      </c>
      <c r="D99" s="684"/>
      <c r="E99" s="684"/>
      <c r="F99" s="684"/>
      <c r="G99" s="684"/>
      <c r="H99" s="684"/>
      <c r="I99" s="113"/>
      <c r="J99" s="113"/>
      <c r="K99" s="644">
        <f>VLOOKUP($F$1,Part4,88,FALSE)</f>
        <v>0</v>
      </c>
      <c r="L99" s="660"/>
      <c r="M99" s="419"/>
      <c r="N99" s="419"/>
      <c r="O99" s="644">
        <f>VLOOKUP($F$1,Part4,89,FALSE)</f>
        <v>0</v>
      </c>
      <c r="P99" s="660"/>
      <c r="Q99" s="419"/>
      <c r="R99" s="419"/>
      <c r="S99" s="644">
        <f>VLOOKUP($F$1,Part4,90,FALSE)</f>
        <v>0</v>
      </c>
      <c r="T99" s="660"/>
      <c r="U99" s="2"/>
      <c r="V99" s="35"/>
      <c r="Y99" s="49"/>
    </row>
    <row r="100" spans="1:26" ht="16.5" thickBot="1" x14ac:dyDescent="0.25">
      <c r="A100" s="15"/>
      <c r="B100" s="2"/>
      <c r="C100" s="684"/>
      <c r="D100" s="684"/>
      <c r="E100" s="684"/>
      <c r="F100" s="684"/>
      <c r="G100" s="684"/>
      <c r="H100" s="684"/>
      <c r="I100" s="113"/>
      <c r="J100" s="113"/>
      <c r="K100" s="332"/>
      <c r="L100" s="332"/>
      <c r="M100" s="332"/>
      <c r="N100" s="332"/>
      <c r="O100" s="332"/>
      <c r="P100" s="332"/>
      <c r="Q100" s="332"/>
      <c r="R100" s="332"/>
      <c r="S100" s="336"/>
      <c r="T100" s="337"/>
      <c r="U100" s="2"/>
      <c r="V100" s="35"/>
    </row>
    <row r="101" spans="1:26" ht="16.5" thickBot="1" x14ac:dyDescent="0.25">
      <c r="A101" s="15"/>
      <c r="B101" s="2"/>
      <c r="C101" s="684" t="s">
        <v>1029</v>
      </c>
      <c r="D101" s="684"/>
      <c r="E101" s="684"/>
      <c r="F101" s="684"/>
      <c r="G101" s="684"/>
      <c r="H101" s="684"/>
      <c r="I101" s="113"/>
      <c r="J101" s="113"/>
      <c r="K101" s="644">
        <f>VLOOKUP($F$1,Part4,91,FALSE)</f>
        <v>0</v>
      </c>
      <c r="L101" s="660"/>
      <c r="M101" s="419"/>
      <c r="N101" s="419"/>
      <c r="O101" s="644">
        <f>VLOOKUP($F$1,Part4,92,FALSE)</f>
        <v>0</v>
      </c>
      <c r="P101" s="660"/>
      <c r="Q101" s="419"/>
      <c r="R101" s="419"/>
      <c r="S101" s="644">
        <f>VLOOKUP($F$1,Part4,93,FALSE)</f>
        <v>0</v>
      </c>
      <c r="T101" s="660"/>
      <c r="U101" s="2"/>
      <c r="V101" s="35"/>
      <c r="X101" s="49"/>
      <c r="Y101" s="49"/>
      <c r="Z101" s="49"/>
    </row>
    <row r="102" spans="1:26" ht="15.75" thickBot="1" x14ac:dyDescent="0.25">
      <c r="A102" s="15"/>
      <c r="B102" s="2"/>
      <c r="C102" s="684"/>
      <c r="D102" s="684"/>
      <c r="E102" s="684"/>
      <c r="F102" s="684"/>
      <c r="G102" s="684"/>
      <c r="H102" s="684"/>
      <c r="I102" s="113"/>
      <c r="J102" s="113"/>
      <c r="K102" s="332"/>
      <c r="L102" s="332"/>
      <c r="M102" s="332"/>
      <c r="N102" s="332"/>
      <c r="O102" s="332"/>
      <c r="P102" s="332"/>
      <c r="Q102" s="332"/>
      <c r="R102" s="332"/>
      <c r="S102" s="332"/>
      <c r="T102" s="332"/>
      <c r="U102" s="2"/>
      <c r="V102" s="35"/>
    </row>
    <row r="103" spans="1:26" ht="16.5" thickBot="1" x14ac:dyDescent="0.25">
      <c r="A103" s="15"/>
      <c r="B103" s="2"/>
      <c r="C103" s="47" t="s">
        <v>1030</v>
      </c>
      <c r="D103" s="47"/>
      <c r="E103" s="113"/>
      <c r="F103" s="113"/>
      <c r="G103" s="113"/>
      <c r="H103" s="113"/>
      <c r="I103" s="113"/>
      <c r="J103" s="113"/>
      <c r="K103" s="644">
        <f>VLOOKUP($F$1,Part4,94,FALSE)</f>
        <v>0</v>
      </c>
      <c r="L103" s="660"/>
      <c r="M103" s="419"/>
      <c r="N103" s="419"/>
      <c r="O103" s="644">
        <f>VLOOKUP($F$1,Part4,95,FALSE)</f>
        <v>0</v>
      </c>
      <c r="P103" s="660"/>
      <c r="Q103" s="419"/>
      <c r="R103" s="419"/>
      <c r="S103" s="644">
        <f>VLOOKUP($F$1,Part4,96,FALSE)</f>
        <v>0</v>
      </c>
      <c r="T103" s="660"/>
      <c r="U103" s="2"/>
      <c r="V103" s="35"/>
      <c r="Y103" s="49"/>
    </row>
    <row r="104" spans="1:26" ht="16.5" thickBot="1" x14ac:dyDescent="0.25">
      <c r="A104" s="15"/>
      <c r="B104" s="2"/>
      <c r="C104" s="47"/>
      <c r="D104" s="47"/>
      <c r="E104" s="113"/>
      <c r="F104" s="113"/>
      <c r="G104" s="113"/>
      <c r="H104" s="113"/>
      <c r="I104" s="113"/>
      <c r="J104" s="113"/>
      <c r="K104" s="541"/>
      <c r="L104" s="528"/>
      <c r="M104" s="332"/>
      <c r="N104" s="332"/>
      <c r="O104" s="541"/>
      <c r="P104" s="528"/>
      <c r="Q104" s="332"/>
      <c r="R104" s="332"/>
      <c r="S104" s="541"/>
      <c r="T104" s="528"/>
      <c r="U104" s="2"/>
      <c r="V104" s="35"/>
    </row>
    <row r="105" spans="1:26" ht="16.5" thickBot="1" x14ac:dyDescent="0.25">
      <c r="A105" s="15"/>
      <c r="B105" s="2"/>
      <c r="C105" s="47" t="s">
        <v>1031</v>
      </c>
      <c r="D105" s="47"/>
      <c r="E105" s="47"/>
      <c r="F105" s="47"/>
      <c r="G105" s="47"/>
      <c r="H105" s="113"/>
      <c r="I105" s="113"/>
      <c r="J105" s="113"/>
      <c r="K105" s="644">
        <f>VLOOKUP($F$1,Part4,97,FALSE)</f>
        <v>0</v>
      </c>
      <c r="L105" s="660"/>
      <c r="M105" s="419"/>
      <c r="N105" s="419"/>
      <c r="O105" s="644">
        <f>VLOOKUP($F$1,Part4,98,FALSE)</f>
        <v>0</v>
      </c>
      <c r="P105" s="660"/>
      <c r="Q105" s="419"/>
      <c r="R105" s="419"/>
      <c r="S105" s="644">
        <f>VLOOKUP($F$1,Part4,99,FALSE)</f>
        <v>0</v>
      </c>
      <c r="T105" s="660"/>
      <c r="U105" s="2"/>
      <c r="V105" s="35"/>
    </row>
    <row r="106" spans="1:26" ht="18" customHeight="1" x14ac:dyDescent="0.2">
      <c r="A106" s="15"/>
      <c r="B106" s="2"/>
      <c r="C106" s="47"/>
      <c r="D106" s="47"/>
      <c r="E106" s="113"/>
      <c r="F106" s="113"/>
      <c r="G106" s="113"/>
      <c r="H106" s="113"/>
      <c r="I106" s="113"/>
      <c r="J106" s="113"/>
      <c r="K106" s="332"/>
      <c r="L106" s="332"/>
      <c r="M106" s="332"/>
      <c r="N106" s="332"/>
      <c r="O106" s="332"/>
      <c r="P106" s="332"/>
      <c r="Q106" s="332"/>
      <c r="R106" s="332"/>
      <c r="S106" s="332"/>
      <c r="T106" s="332"/>
      <c r="U106" s="2"/>
      <c r="V106" s="35"/>
    </row>
    <row r="107" spans="1:26" ht="18" customHeight="1" thickBot="1" x14ac:dyDescent="0.3">
      <c r="A107" s="15"/>
      <c r="B107" s="2"/>
      <c r="C107" s="11" t="s">
        <v>1032</v>
      </c>
      <c r="D107" s="47"/>
      <c r="E107" s="113"/>
      <c r="F107" s="113"/>
      <c r="G107" s="113"/>
      <c r="H107" s="113"/>
      <c r="I107" s="113"/>
      <c r="J107" s="113"/>
      <c r="K107" s="332"/>
      <c r="L107" s="332"/>
      <c r="M107" s="332"/>
      <c r="N107" s="332"/>
      <c r="O107" s="332"/>
      <c r="P107" s="332"/>
      <c r="Q107" s="332"/>
      <c r="R107" s="332"/>
      <c r="S107" s="332"/>
      <c r="T107" s="332"/>
      <c r="U107" s="2"/>
      <c r="V107" s="35"/>
    </row>
    <row r="108" spans="1:26" ht="18" customHeight="1" thickBot="1" x14ac:dyDescent="0.3">
      <c r="A108" s="15"/>
      <c r="B108" s="2"/>
      <c r="C108" s="47" t="s">
        <v>1033</v>
      </c>
      <c r="D108" s="47"/>
      <c r="E108" s="113"/>
      <c r="F108" s="113"/>
      <c r="G108" s="113"/>
      <c r="H108" s="113"/>
      <c r="I108" s="113"/>
      <c r="J108" s="113"/>
      <c r="K108" s="644">
        <f>VLOOKUP($F$1,Part4,100,FALSE)</f>
        <v>1089401.93</v>
      </c>
      <c r="L108" s="660"/>
      <c r="M108" s="419"/>
      <c r="N108" s="419"/>
      <c r="O108" s="644">
        <f>VLOOKUP($F$1,Part4,101,FALSE)</f>
        <v>0</v>
      </c>
      <c r="P108" s="660"/>
      <c r="Q108" s="419"/>
      <c r="R108" s="419"/>
      <c r="S108" s="644">
        <f>VLOOKUP($F$1,Part4,102,FALSE)</f>
        <v>21077.67</v>
      </c>
      <c r="T108" s="660"/>
      <c r="U108" s="2"/>
      <c r="V108" s="35"/>
      <c r="X108" s="225"/>
      <c r="Y108" s="225"/>
      <c r="Z108" s="225"/>
    </row>
    <row r="109" spans="1:26" ht="18" customHeight="1" thickBot="1" x14ac:dyDescent="0.25">
      <c r="A109" s="15"/>
      <c r="B109" s="2"/>
      <c r="C109" s="47"/>
      <c r="D109" s="47"/>
      <c r="E109" s="113"/>
      <c r="F109" s="113"/>
      <c r="G109" s="113"/>
      <c r="H109" s="113"/>
      <c r="I109" s="113"/>
      <c r="J109" s="113"/>
      <c r="K109" s="332"/>
      <c r="L109" s="332"/>
      <c r="M109" s="332"/>
      <c r="N109" s="332"/>
      <c r="O109" s="332"/>
      <c r="P109" s="332"/>
      <c r="Q109" s="332"/>
      <c r="R109" s="332"/>
      <c r="S109" s="332"/>
      <c r="T109" s="332"/>
      <c r="U109" s="2"/>
      <c r="V109" s="35"/>
    </row>
    <row r="110" spans="1:26" ht="18" customHeight="1" thickBot="1" x14ac:dyDescent="0.25">
      <c r="A110" s="15"/>
      <c r="B110" s="2"/>
      <c r="C110" s="47" t="s">
        <v>1034</v>
      </c>
      <c r="D110" s="47"/>
      <c r="E110" s="113"/>
      <c r="F110" s="113"/>
      <c r="G110" s="113"/>
      <c r="H110" s="113"/>
      <c r="I110" s="113"/>
      <c r="J110" s="113"/>
      <c r="K110" s="644">
        <f>VLOOKUP($F$1,Part4,103,FALSE)</f>
        <v>1125546</v>
      </c>
      <c r="L110" s="660"/>
      <c r="M110" s="419"/>
      <c r="N110" s="419"/>
      <c r="O110" s="644">
        <f>VLOOKUP($F$1,Part4,104,FALSE)</f>
        <v>0</v>
      </c>
      <c r="P110" s="660"/>
      <c r="Q110" s="419"/>
      <c r="R110" s="419"/>
      <c r="S110" s="644">
        <f>VLOOKUP($F$1,Part4,105,FALSE)</f>
        <v>21804</v>
      </c>
      <c r="T110" s="660"/>
      <c r="U110" s="2"/>
      <c r="V110" s="35"/>
      <c r="Y110" s="49"/>
    </row>
    <row r="111" spans="1:26" ht="18" customHeight="1" thickBot="1" x14ac:dyDescent="0.25">
      <c r="A111" s="15"/>
      <c r="B111" s="2"/>
      <c r="C111" s="47"/>
      <c r="D111" s="47"/>
      <c r="E111" s="113"/>
      <c r="F111" s="113"/>
      <c r="G111" s="113"/>
      <c r="H111" s="113"/>
      <c r="I111" s="113"/>
      <c r="J111" s="113"/>
      <c r="K111" s="541"/>
      <c r="L111" s="528"/>
      <c r="M111" s="332"/>
      <c r="N111" s="332"/>
      <c r="O111" s="541"/>
      <c r="P111" s="528"/>
      <c r="Q111" s="332"/>
      <c r="R111" s="332"/>
      <c r="S111" s="541"/>
      <c r="T111" s="528"/>
      <c r="U111" s="2"/>
      <c r="V111" s="35"/>
    </row>
    <row r="112" spans="1:26" ht="18" customHeight="1" thickBot="1" x14ac:dyDescent="0.25">
      <c r="A112" s="15"/>
      <c r="B112" s="2"/>
      <c r="C112" s="47" t="s">
        <v>1035</v>
      </c>
      <c r="D112" s="47"/>
      <c r="E112" s="113"/>
      <c r="F112" s="113"/>
      <c r="G112" s="113"/>
      <c r="H112" s="113"/>
      <c r="I112" s="113"/>
      <c r="J112" s="113"/>
      <c r="K112" s="644">
        <f>VLOOKUP($F$1,Part4,106,FALSE)</f>
        <v>-36144</v>
      </c>
      <c r="L112" s="660"/>
      <c r="M112" s="419"/>
      <c r="N112" s="419"/>
      <c r="O112" s="644">
        <f>VLOOKUP($F$1,Part4,107,FALSE)</f>
        <v>0</v>
      </c>
      <c r="P112" s="660"/>
      <c r="Q112" s="419"/>
      <c r="R112" s="419"/>
      <c r="S112" s="644">
        <f>VLOOKUP($F$1,Part4,108,FALSE)</f>
        <v>-726</v>
      </c>
      <c r="T112" s="660"/>
      <c r="U112" s="2"/>
      <c r="V112" s="35"/>
    </row>
    <row r="113" spans="1:26" ht="15.75" thickBot="1" x14ac:dyDescent="0.25">
      <c r="A113" s="16"/>
      <c r="B113" s="229"/>
      <c r="C113" s="247"/>
      <c r="D113" s="247"/>
      <c r="E113" s="229"/>
      <c r="F113" s="229"/>
      <c r="G113" s="247"/>
      <c r="H113" s="247"/>
      <c r="I113" s="229"/>
      <c r="J113" s="229"/>
      <c r="K113" s="247"/>
      <c r="L113" s="247"/>
      <c r="M113" s="229"/>
      <c r="N113" s="229"/>
      <c r="O113" s="247"/>
      <c r="P113" s="247"/>
      <c r="Q113" s="229"/>
      <c r="R113" s="229"/>
      <c r="S113" s="247"/>
      <c r="T113" s="247"/>
      <c r="U113" s="229"/>
      <c r="V113" s="36"/>
    </row>
    <row r="115" spans="1:26" s="49" customFormat="1" x14ac:dyDescent="0.2">
      <c r="D115" s="551"/>
      <c r="E115" s="551"/>
      <c r="F115" s="551"/>
      <c r="G115" s="551"/>
      <c r="H115" s="551"/>
      <c r="I115" s="551"/>
      <c r="J115" s="551"/>
      <c r="K115" s="551"/>
      <c r="L115" s="551"/>
      <c r="M115" s="551"/>
      <c r="N115" s="551"/>
      <c r="O115" s="551"/>
      <c r="P115" s="551"/>
      <c r="Q115" s="551"/>
      <c r="R115" s="551"/>
      <c r="S115" s="551"/>
      <c r="T115" s="551"/>
      <c r="U115" s="551"/>
      <c r="V115" s="551"/>
      <c r="W115" s="551"/>
      <c r="X115" s="551"/>
      <c r="Y115" s="551"/>
      <c r="Z115" s="551"/>
    </row>
    <row r="116" spans="1:26" s="500" customFormat="1" ht="15" x14ac:dyDescent="0.25">
      <c r="D116" s="551"/>
      <c r="E116" s="552"/>
      <c r="F116" s="552"/>
      <c r="G116" s="552"/>
      <c r="H116" s="552"/>
      <c r="I116" s="552"/>
      <c r="J116" s="552"/>
      <c r="K116" s="552"/>
      <c r="L116" s="552"/>
      <c r="M116" s="552"/>
      <c r="N116" s="717" t="str">
        <f>VLOOKUP($F$1,Part4,109,FALSE)</f>
        <v>Bristol</v>
      </c>
      <c r="O116" s="717"/>
      <c r="P116" s="552"/>
      <c r="Q116" s="717" t="str">
        <f>VLOOKUP($F$1,Part4,110,FALSE)</f>
        <v>UA</v>
      </c>
      <c r="R116" s="717"/>
      <c r="S116" s="552"/>
      <c r="T116" s="717" t="str">
        <f>VLOOKUP($F$1,Part4,111,FALSE)</f>
        <v>Avon Fire Authority</v>
      </c>
      <c r="U116" s="717"/>
      <c r="V116" s="552"/>
      <c r="W116" s="552"/>
      <c r="X116" s="551"/>
      <c r="Y116" s="551"/>
      <c r="Z116" s="551"/>
    </row>
    <row r="117" spans="1:26" s="49" customFormat="1" ht="15" x14ac:dyDescent="0.25">
      <c r="D117" s="551"/>
      <c r="E117" s="552"/>
      <c r="F117" s="552"/>
      <c r="G117" s="552"/>
      <c r="H117" s="552"/>
      <c r="I117" s="552"/>
      <c r="J117" s="552"/>
      <c r="K117" s="552"/>
      <c r="L117" s="552"/>
      <c r="M117" s="552"/>
      <c r="N117" s="552"/>
      <c r="O117" s="552"/>
      <c r="P117" s="552"/>
      <c r="Q117" s="552"/>
      <c r="R117" s="552"/>
      <c r="S117" s="552"/>
      <c r="T117" s="552"/>
      <c r="U117" s="552"/>
      <c r="V117" s="552"/>
      <c r="W117" s="552"/>
      <c r="X117" s="551"/>
      <c r="Y117" s="551"/>
      <c r="Z117" s="551"/>
    </row>
    <row r="118" spans="1:26" ht="15" x14ac:dyDescent="0.25">
      <c r="D118" s="551"/>
      <c r="E118" s="552"/>
      <c r="F118" s="552"/>
      <c r="G118" s="552"/>
      <c r="H118" s="552"/>
      <c r="I118" s="552"/>
      <c r="J118" s="552"/>
      <c r="K118" s="552"/>
      <c r="L118" s="552"/>
      <c r="M118" s="552"/>
      <c r="N118" s="552"/>
      <c r="O118" s="552"/>
      <c r="P118" s="552"/>
      <c r="Q118" s="552"/>
      <c r="R118" s="552"/>
      <c r="S118" s="552"/>
      <c r="T118" s="552"/>
      <c r="U118" s="552"/>
      <c r="V118" s="552"/>
      <c r="W118" s="552"/>
      <c r="X118" s="551"/>
      <c r="Y118" s="551"/>
      <c r="Z118" s="551"/>
    </row>
    <row r="119" spans="1:26" ht="15" x14ac:dyDescent="0.25">
      <c r="D119" s="551"/>
      <c r="E119" s="552"/>
      <c r="F119" s="552"/>
      <c r="G119" s="552"/>
      <c r="H119" s="552"/>
      <c r="I119" s="552"/>
      <c r="J119" s="552"/>
      <c r="K119" s="552"/>
      <c r="L119" s="552"/>
      <c r="M119" s="552"/>
      <c r="N119" s="552"/>
      <c r="O119" s="552"/>
      <c r="P119" s="552"/>
      <c r="Q119" s="552"/>
      <c r="R119" s="552"/>
      <c r="S119" s="552"/>
      <c r="T119" s="552"/>
      <c r="U119" s="552"/>
      <c r="V119" s="552"/>
      <c r="W119" s="552"/>
      <c r="X119" s="551"/>
      <c r="Y119" s="551"/>
      <c r="Z119" s="551"/>
    </row>
    <row r="120" spans="1:26" ht="15" x14ac:dyDescent="0.25">
      <c r="D120" s="551"/>
      <c r="E120" s="552"/>
      <c r="F120" s="552"/>
      <c r="G120" s="552"/>
      <c r="H120" s="552"/>
      <c r="I120" s="552"/>
      <c r="J120" s="552"/>
      <c r="K120" s="552"/>
      <c r="L120" s="552"/>
      <c r="M120" s="552"/>
      <c r="N120" s="552"/>
      <c r="O120" s="552"/>
      <c r="P120" s="552"/>
      <c r="Q120" s="552"/>
      <c r="R120" s="552"/>
      <c r="S120" s="552"/>
      <c r="T120" s="552"/>
      <c r="U120" s="552"/>
      <c r="V120" s="552"/>
      <c r="W120" s="552"/>
      <c r="X120" s="551"/>
      <c r="Y120" s="551"/>
      <c r="Z120" s="551"/>
    </row>
    <row r="121" spans="1:26" ht="15" x14ac:dyDescent="0.25">
      <c r="D121" s="551"/>
      <c r="E121" s="552"/>
      <c r="F121" s="552"/>
      <c r="G121" s="552"/>
      <c r="H121" s="552"/>
      <c r="I121" s="552"/>
      <c r="J121" s="552"/>
      <c r="K121" s="552"/>
      <c r="L121" s="552"/>
      <c r="M121" s="552"/>
      <c r="N121" s="552"/>
      <c r="O121" s="552"/>
      <c r="P121" s="552"/>
      <c r="Q121" s="552"/>
      <c r="R121" s="552"/>
      <c r="S121" s="552"/>
      <c r="T121" s="552"/>
      <c r="U121" s="552"/>
      <c r="V121" s="552"/>
      <c r="W121" s="552"/>
      <c r="X121" s="551"/>
      <c r="Y121" s="551"/>
      <c r="Z121" s="551"/>
    </row>
    <row r="122" spans="1:26" ht="15" x14ac:dyDescent="0.25">
      <c r="D122" s="551"/>
      <c r="E122" s="552"/>
      <c r="F122" s="552"/>
      <c r="G122" s="552"/>
      <c r="H122" s="552"/>
      <c r="I122" s="552"/>
      <c r="J122" s="552"/>
      <c r="K122" s="552"/>
      <c r="L122" s="552"/>
      <c r="M122" s="552"/>
      <c r="N122" s="552"/>
      <c r="O122" s="552"/>
      <c r="P122" s="552"/>
      <c r="Q122" s="552"/>
      <c r="R122" s="552"/>
      <c r="S122" s="552"/>
      <c r="T122" s="552"/>
      <c r="U122" s="552"/>
      <c r="V122" s="552"/>
      <c r="W122" s="552"/>
      <c r="X122" s="551"/>
      <c r="Y122" s="551"/>
      <c r="Z122" s="551"/>
    </row>
    <row r="123" spans="1:26" x14ac:dyDescent="0.2">
      <c r="D123" s="551"/>
      <c r="E123" s="551"/>
      <c r="F123" s="551"/>
      <c r="G123" s="551"/>
      <c r="H123" s="551"/>
      <c r="I123" s="551"/>
      <c r="J123" s="551"/>
      <c r="K123" s="551"/>
      <c r="L123" s="551"/>
      <c r="M123" s="551"/>
      <c r="N123" s="551"/>
      <c r="O123" s="551"/>
      <c r="P123" s="551"/>
      <c r="Q123" s="551"/>
      <c r="R123" s="551"/>
      <c r="S123" s="551"/>
      <c r="T123" s="551"/>
      <c r="U123" s="551"/>
      <c r="V123" s="551"/>
      <c r="W123" s="551"/>
      <c r="X123" s="551"/>
      <c r="Y123" s="551"/>
      <c r="Z123" s="551"/>
    </row>
    <row r="124" spans="1:26" x14ac:dyDescent="0.2">
      <c r="D124" s="500"/>
      <c r="E124" s="500"/>
      <c r="F124" s="500"/>
      <c r="G124" s="500"/>
      <c r="H124" s="500"/>
      <c r="I124" s="500"/>
      <c r="J124" s="500"/>
      <c r="K124" s="500"/>
      <c r="L124" s="500"/>
      <c r="M124" s="500"/>
      <c r="N124" s="500"/>
      <c r="O124" s="500"/>
      <c r="P124" s="500"/>
      <c r="Q124" s="500"/>
      <c r="R124" s="500"/>
      <c r="S124" s="500"/>
      <c r="T124" s="500"/>
      <c r="U124" s="500"/>
      <c r="V124" s="500"/>
      <c r="W124" s="500"/>
      <c r="X124" s="500"/>
      <c r="Y124" s="500"/>
      <c r="Z124" s="500"/>
    </row>
  </sheetData>
  <mergeCells count="152">
    <mergeCell ref="N116:O116"/>
    <mergeCell ref="Q116:R116"/>
    <mergeCell ref="T116:U116"/>
    <mergeCell ref="J26:L27"/>
    <mergeCell ref="N26:P27"/>
    <mergeCell ref="A2:V2"/>
    <mergeCell ref="A3:V3"/>
    <mergeCell ref="A4:V4"/>
    <mergeCell ref="A5:V5"/>
    <mergeCell ref="A6:V6"/>
    <mergeCell ref="A7:V7"/>
    <mergeCell ref="K14:L14"/>
    <mergeCell ref="N14:Q14"/>
    <mergeCell ref="S14:T14"/>
    <mergeCell ref="K15:L15"/>
    <mergeCell ref="O15:P15"/>
    <mergeCell ref="S15:T15"/>
    <mergeCell ref="C9:I9"/>
    <mergeCell ref="K11:L11"/>
    <mergeCell ref="O11:P11"/>
    <mergeCell ref="S11:T11"/>
    <mergeCell ref="J12:M13"/>
    <mergeCell ref="N12:Q13"/>
    <mergeCell ref="F26:I27"/>
    <mergeCell ref="F28:I28"/>
    <mergeCell ref="G33:H33"/>
    <mergeCell ref="K33:L33"/>
    <mergeCell ref="O33:P33"/>
    <mergeCell ref="S33:T33"/>
    <mergeCell ref="S26:T27"/>
    <mergeCell ref="C31:E32"/>
    <mergeCell ref="S12:T13"/>
    <mergeCell ref="K21:L21"/>
    <mergeCell ref="O21:P21"/>
    <mergeCell ref="S21:T21"/>
    <mergeCell ref="G25:H25"/>
    <mergeCell ref="K25:L25"/>
    <mergeCell ref="O25:P25"/>
    <mergeCell ref="S25:T25"/>
    <mergeCell ref="C16:H16"/>
    <mergeCell ref="K16:L16"/>
    <mergeCell ref="O16:P16"/>
    <mergeCell ref="S16:T16"/>
    <mergeCell ref="C18:H19"/>
    <mergeCell ref="K18:L18"/>
    <mergeCell ref="O18:P18"/>
    <mergeCell ref="S18:T18"/>
    <mergeCell ref="K34:L34"/>
    <mergeCell ref="K36:L36"/>
    <mergeCell ref="G29:H29"/>
    <mergeCell ref="K29:L29"/>
    <mergeCell ref="O29:P29"/>
    <mergeCell ref="S29:T29"/>
    <mergeCell ref="K50:L50"/>
    <mergeCell ref="O50:P50"/>
    <mergeCell ref="K52:L52"/>
    <mergeCell ref="O52:P52"/>
    <mergeCell ref="G31:H31"/>
    <mergeCell ref="K31:L31"/>
    <mergeCell ref="O31:P31"/>
    <mergeCell ref="S31:T31"/>
    <mergeCell ref="C55:E56"/>
    <mergeCell ref="G55:H55"/>
    <mergeCell ref="K55:L55"/>
    <mergeCell ref="O55:P55"/>
    <mergeCell ref="K38:L38"/>
    <mergeCell ref="K41:L41"/>
    <mergeCell ref="K43:L43"/>
    <mergeCell ref="K45:L45"/>
    <mergeCell ref="K48:L48"/>
    <mergeCell ref="O48:P48"/>
    <mergeCell ref="S55:T55"/>
    <mergeCell ref="G58:H58"/>
    <mergeCell ref="K58:L58"/>
    <mergeCell ref="O58:P58"/>
    <mergeCell ref="S58:T58"/>
    <mergeCell ref="G60:H60"/>
    <mergeCell ref="K60:L60"/>
    <mergeCell ref="O60:P60"/>
    <mergeCell ref="S60:T60"/>
    <mergeCell ref="C71:H72"/>
    <mergeCell ref="K71:L71"/>
    <mergeCell ref="O71:P71"/>
    <mergeCell ref="S71:T71"/>
    <mergeCell ref="K64:L64"/>
    <mergeCell ref="O64:P64"/>
    <mergeCell ref="S64:T64"/>
    <mergeCell ref="K66:L66"/>
    <mergeCell ref="O66:P66"/>
    <mergeCell ref="S66:T66"/>
    <mergeCell ref="K73:L73"/>
    <mergeCell ref="O73:P73"/>
    <mergeCell ref="S73:T73"/>
    <mergeCell ref="K75:L75"/>
    <mergeCell ref="O75:P75"/>
    <mergeCell ref="S75:T75"/>
    <mergeCell ref="K68:L68"/>
    <mergeCell ref="O68:P68"/>
    <mergeCell ref="S68:T68"/>
    <mergeCell ref="K82:L82"/>
    <mergeCell ref="O82:P82"/>
    <mergeCell ref="S82:T82"/>
    <mergeCell ref="C85:H86"/>
    <mergeCell ref="K85:L85"/>
    <mergeCell ref="O85:P85"/>
    <mergeCell ref="S85:T85"/>
    <mergeCell ref="C78:H79"/>
    <mergeCell ref="K78:L78"/>
    <mergeCell ref="O78:P78"/>
    <mergeCell ref="S78:T78"/>
    <mergeCell ref="K80:L80"/>
    <mergeCell ref="O80:P80"/>
    <mergeCell ref="S80:T80"/>
    <mergeCell ref="C92:H93"/>
    <mergeCell ref="K92:L92"/>
    <mergeCell ref="O92:P92"/>
    <mergeCell ref="S92:T92"/>
    <mergeCell ref="K94:L94"/>
    <mergeCell ref="O94:P94"/>
    <mergeCell ref="S94:T94"/>
    <mergeCell ref="K87:L87"/>
    <mergeCell ref="O87:P87"/>
    <mergeCell ref="S87:T87"/>
    <mergeCell ref="K89:L89"/>
    <mergeCell ref="O89:P89"/>
    <mergeCell ref="S89:T89"/>
    <mergeCell ref="C101:H102"/>
    <mergeCell ref="K101:L101"/>
    <mergeCell ref="O101:P101"/>
    <mergeCell ref="S101:T101"/>
    <mergeCell ref="K103:L103"/>
    <mergeCell ref="O103:P103"/>
    <mergeCell ref="S103:T103"/>
    <mergeCell ref="K96:L96"/>
    <mergeCell ref="O96:P96"/>
    <mergeCell ref="S96:T96"/>
    <mergeCell ref="C99:H100"/>
    <mergeCell ref="K99:L99"/>
    <mergeCell ref="O99:P99"/>
    <mergeCell ref="S99:T99"/>
    <mergeCell ref="K110:L110"/>
    <mergeCell ref="O110:P110"/>
    <mergeCell ref="S110:T110"/>
    <mergeCell ref="K112:L112"/>
    <mergeCell ref="O112:P112"/>
    <mergeCell ref="S112:T112"/>
    <mergeCell ref="K105:L105"/>
    <mergeCell ref="O105:P105"/>
    <mergeCell ref="S105:T105"/>
    <mergeCell ref="K108:L108"/>
    <mergeCell ref="O108:P108"/>
    <mergeCell ref="S108:T108"/>
  </mergeCells>
  <printOptions horizontalCentered="1"/>
  <pageMargins left="0.59055118110236227" right="0.59055118110236227" top="0.59055118110236227" bottom="0.59055118110236227" header="0.51181102362204722" footer="0.51181102362204722"/>
  <pageSetup paperSize="9" scale="58" fitToHeight="0" orientation="portrait" r:id="rId1"/>
  <headerFooter alignWithMargins="0"/>
  <rowBreaks count="1" manualBreakCount="1">
    <brk id="69" max="2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C335"/>
  <sheetViews>
    <sheetView workbookViewId="0">
      <pane xSplit="3" ySplit="7" topLeftCell="D8" activePane="bottomRight" state="frozen"/>
      <selection pane="topRight" activeCell="D1" sqref="D1"/>
      <selection pane="bottomLeft" activeCell="A8" sqref="A8"/>
      <selection pane="bottomRight" activeCell="E20" sqref="E20"/>
    </sheetView>
  </sheetViews>
  <sheetFormatPr defaultRowHeight="15" x14ac:dyDescent="0.2"/>
  <cols>
    <col min="1" max="1" width="8.42578125" style="17" customWidth="1"/>
    <col min="2" max="2" width="33.140625" style="17" customWidth="1"/>
    <col min="3" max="3" width="8.140625" style="17" bestFit="1" customWidth="1"/>
  </cols>
  <sheetData>
    <row r="1" spans="1:3" ht="12.75" x14ac:dyDescent="0.2">
      <c r="A1" s="18"/>
      <c r="B1" s="19"/>
      <c r="C1" s="61"/>
    </row>
    <row r="2" spans="1:3" ht="12.75" x14ac:dyDescent="0.2">
      <c r="A2" s="50"/>
      <c r="B2" s="20"/>
      <c r="C2" s="62"/>
    </row>
    <row r="3" spans="1:3" ht="12.75" x14ac:dyDescent="0.2">
      <c r="A3" s="21">
        <v>1</v>
      </c>
      <c r="B3" s="22">
        <v>2</v>
      </c>
      <c r="C3" s="60">
        <v>3</v>
      </c>
    </row>
    <row r="4" spans="1:3" ht="12.75" x14ac:dyDescent="0.2">
      <c r="A4" s="23"/>
      <c r="B4" s="24"/>
      <c r="C4" s="62"/>
    </row>
    <row r="5" spans="1:3" ht="12.75" x14ac:dyDescent="0.2">
      <c r="A5" s="73" t="s">
        <v>559</v>
      </c>
      <c r="B5" s="74" t="s">
        <v>560</v>
      </c>
      <c r="C5" s="75" t="s">
        <v>561</v>
      </c>
    </row>
    <row r="6" spans="1:3" ht="13.5" thickBot="1" x14ac:dyDescent="0.25">
      <c r="A6" s="63"/>
      <c r="B6" s="64"/>
      <c r="C6" s="65"/>
    </row>
    <row r="7" spans="1:3" ht="13.5" thickBot="1" x14ac:dyDescent="0.25">
      <c r="A7" s="51"/>
      <c r="B7" s="52"/>
      <c r="C7" s="59"/>
    </row>
    <row r="8" spans="1:3" ht="12.75" x14ac:dyDescent="0.2">
      <c r="A8" s="66">
        <v>1</v>
      </c>
      <c r="B8" s="68" t="s">
        <v>562</v>
      </c>
      <c r="C8" s="55" t="s">
        <v>563</v>
      </c>
    </row>
    <row r="9" spans="1:3" ht="12.75" x14ac:dyDescent="0.2">
      <c r="A9" s="66">
        <v>2</v>
      </c>
      <c r="B9" s="69" t="s">
        <v>564</v>
      </c>
      <c r="C9" s="56" t="s">
        <v>565</v>
      </c>
    </row>
    <row r="10" spans="1:3" ht="12.75" x14ac:dyDescent="0.2">
      <c r="A10" s="66">
        <v>3</v>
      </c>
      <c r="B10" s="69" t="s">
        <v>566</v>
      </c>
      <c r="C10" s="56" t="s">
        <v>567</v>
      </c>
    </row>
    <row r="11" spans="1:3" ht="12.75" x14ac:dyDescent="0.2">
      <c r="A11" s="66">
        <v>4</v>
      </c>
      <c r="B11" s="69" t="s">
        <v>568</v>
      </c>
      <c r="C11" s="56" t="s">
        <v>569</v>
      </c>
    </row>
    <row r="12" spans="1:3" ht="12.75" x14ac:dyDescent="0.2">
      <c r="A12" s="66">
        <v>5</v>
      </c>
      <c r="B12" s="69" t="s">
        <v>570</v>
      </c>
      <c r="C12" s="56" t="s">
        <v>571</v>
      </c>
    </row>
    <row r="13" spans="1:3" ht="12.75" x14ac:dyDescent="0.2">
      <c r="A13" s="66">
        <v>6</v>
      </c>
      <c r="B13" s="69" t="s">
        <v>572</v>
      </c>
      <c r="C13" s="56" t="s">
        <v>573</v>
      </c>
    </row>
    <row r="14" spans="1:3" ht="12.75" x14ac:dyDescent="0.2">
      <c r="A14" s="66">
        <v>7</v>
      </c>
      <c r="B14" s="69" t="s">
        <v>574</v>
      </c>
      <c r="C14" s="56" t="s">
        <v>575</v>
      </c>
    </row>
    <row r="15" spans="1:3" ht="12.75" x14ac:dyDescent="0.2">
      <c r="A15" s="66">
        <v>8</v>
      </c>
      <c r="B15" s="69" t="s">
        <v>576</v>
      </c>
      <c r="C15" s="56" t="s">
        <v>577</v>
      </c>
    </row>
    <row r="16" spans="1:3" ht="12.75" x14ac:dyDescent="0.2">
      <c r="A16" s="66">
        <v>9</v>
      </c>
      <c r="B16" s="69" t="s">
        <v>578</v>
      </c>
      <c r="C16" s="56" t="s">
        <v>579</v>
      </c>
    </row>
    <row r="17" spans="1:3" ht="12.75" x14ac:dyDescent="0.2">
      <c r="A17" s="66">
        <v>10</v>
      </c>
      <c r="B17" s="69" t="s">
        <v>580</v>
      </c>
      <c r="C17" s="56" t="s">
        <v>581</v>
      </c>
    </row>
    <row r="18" spans="1:3" ht="12.75" x14ac:dyDescent="0.2">
      <c r="A18" s="66">
        <v>11</v>
      </c>
      <c r="B18" s="69" t="s">
        <v>582</v>
      </c>
      <c r="C18" s="56" t="s">
        <v>583</v>
      </c>
    </row>
    <row r="19" spans="1:3" ht="12.75" x14ac:dyDescent="0.2">
      <c r="A19" s="66">
        <v>12</v>
      </c>
      <c r="B19" s="69" t="s">
        <v>584</v>
      </c>
      <c r="C19" s="56" t="s">
        <v>585</v>
      </c>
    </row>
    <row r="20" spans="1:3" ht="12.75" x14ac:dyDescent="0.2">
      <c r="A20" s="66">
        <v>13</v>
      </c>
      <c r="B20" s="69" t="s">
        <v>586</v>
      </c>
      <c r="C20" s="56" t="s">
        <v>587</v>
      </c>
    </row>
    <row r="21" spans="1:3" ht="12.75" x14ac:dyDescent="0.2">
      <c r="A21" s="66">
        <v>14</v>
      </c>
      <c r="B21" s="69" t="s">
        <v>588</v>
      </c>
      <c r="C21" s="56" t="s">
        <v>589</v>
      </c>
    </row>
    <row r="22" spans="1:3" ht="12.75" x14ac:dyDescent="0.2">
      <c r="A22" s="66">
        <v>15</v>
      </c>
      <c r="B22" s="69" t="s">
        <v>590</v>
      </c>
      <c r="C22" s="56" t="s">
        <v>591</v>
      </c>
    </row>
    <row r="23" spans="1:3" ht="12.75" x14ac:dyDescent="0.2">
      <c r="A23" s="66">
        <v>16</v>
      </c>
      <c r="B23" s="69" t="s">
        <v>592</v>
      </c>
      <c r="C23" s="56" t="s">
        <v>593</v>
      </c>
    </row>
    <row r="24" spans="1:3" ht="12.75" x14ac:dyDescent="0.2">
      <c r="A24" s="66">
        <v>17</v>
      </c>
      <c r="B24" s="69" t="s">
        <v>594</v>
      </c>
      <c r="C24" s="56" t="s">
        <v>595</v>
      </c>
    </row>
    <row r="25" spans="1:3" ht="12.75" x14ac:dyDescent="0.2">
      <c r="A25" s="66">
        <v>18</v>
      </c>
      <c r="B25" s="69" t="s">
        <v>596</v>
      </c>
      <c r="C25" s="56" t="s">
        <v>597</v>
      </c>
    </row>
    <row r="26" spans="1:3" ht="12.75" x14ac:dyDescent="0.2">
      <c r="A26" s="66">
        <v>19</v>
      </c>
      <c r="B26" s="69" t="s">
        <v>598</v>
      </c>
      <c r="C26" s="56" t="s">
        <v>599</v>
      </c>
    </row>
    <row r="27" spans="1:3" ht="12.75" x14ac:dyDescent="0.2">
      <c r="A27" s="66">
        <v>20</v>
      </c>
      <c r="B27" s="69" t="s">
        <v>600</v>
      </c>
      <c r="C27" s="56" t="s">
        <v>601</v>
      </c>
    </row>
    <row r="28" spans="1:3" ht="12.75" x14ac:dyDescent="0.2">
      <c r="A28" s="66">
        <v>21</v>
      </c>
      <c r="B28" s="69" t="s">
        <v>602</v>
      </c>
      <c r="C28" s="56" t="s">
        <v>603</v>
      </c>
    </row>
    <row r="29" spans="1:3" ht="12.75" x14ac:dyDescent="0.2">
      <c r="A29" s="66">
        <v>22</v>
      </c>
      <c r="B29" s="69" t="s">
        <v>604</v>
      </c>
      <c r="C29" s="56" t="s">
        <v>605</v>
      </c>
    </row>
    <row r="30" spans="1:3" ht="12.75" x14ac:dyDescent="0.2">
      <c r="A30" s="66">
        <v>23</v>
      </c>
      <c r="B30" s="69" t="s">
        <v>606</v>
      </c>
      <c r="C30" s="56" t="s">
        <v>607</v>
      </c>
    </row>
    <row r="31" spans="1:3" ht="12.75" x14ac:dyDescent="0.2">
      <c r="A31" s="66">
        <v>24</v>
      </c>
      <c r="B31" s="69" t="s">
        <v>608</v>
      </c>
      <c r="C31" s="56" t="s">
        <v>609</v>
      </c>
    </row>
    <row r="32" spans="1:3" ht="12.75" x14ac:dyDescent="0.2">
      <c r="A32" s="66">
        <v>25</v>
      </c>
      <c r="B32" s="69" t="s">
        <v>610</v>
      </c>
      <c r="C32" s="56" t="s">
        <v>611</v>
      </c>
    </row>
    <row r="33" spans="1:3" ht="12.75" x14ac:dyDescent="0.2">
      <c r="A33" s="66">
        <v>26</v>
      </c>
      <c r="B33" s="69" t="s">
        <v>612</v>
      </c>
      <c r="C33" s="56" t="s">
        <v>613</v>
      </c>
    </row>
    <row r="34" spans="1:3" ht="12.75" x14ac:dyDescent="0.2">
      <c r="A34" s="66">
        <v>27</v>
      </c>
      <c r="B34" s="69" t="s">
        <v>614</v>
      </c>
      <c r="C34" s="56" t="s">
        <v>615</v>
      </c>
    </row>
    <row r="35" spans="1:3" ht="12.75" x14ac:dyDescent="0.2">
      <c r="A35" s="66">
        <v>28</v>
      </c>
      <c r="B35" s="69" t="s">
        <v>616</v>
      </c>
      <c r="C35" s="56" t="s">
        <v>617</v>
      </c>
    </row>
    <row r="36" spans="1:3" ht="12.75" x14ac:dyDescent="0.2">
      <c r="A36" s="66">
        <v>29</v>
      </c>
      <c r="B36" s="69" t="s">
        <v>618</v>
      </c>
      <c r="C36" s="56" t="s">
        <v>619</v>
      </c>
    </row>
    <row r="37" spans="1:3" ht="12.75" x14ac:dyDescent="0.2">
      <c r="A37" s="66">
        <v>30</v>
      </c>
      <c r="B37" s="69" t="s">
        <v>620</v>
      </c>
      <c r="C37" s="56" t="s">
        <v>621</v>
      </c>
    </row>
    <row r="38" spans="1:3" ht="12.75" x14ac:dyDescent="0.2">
      <c r="A38" s="66">
        <v>31</v>
      </c>
      <c r="B38" s="69" t="s">
        <v>622</v>
      </c>
      <c r="C38" s="56" t="s">
        <v>623</v>
      </c>
    </row>
    <row r="39" spans="1:3" ht="12.75" x14ac:dyDescent="0.2">
      <c r="A39" s="66">
        <v>32</v>
      </c>
      <c r="B39" s="69" t="s">
        <v>624</v>
      </c>
      <c r="C39" s="56" t="s">
        <v>625</v>
      </c>
    </row>
    <row r="40" spans="1:3" ht="12.75" x14ac:dyDescent="0.2">
      <c r="A40" s="66">
        <v>33</v>
      </c>
      <c r="B40" s="69" t="s">
        <v>626</v>
      </c>
      <c r="C40" s="56" t="s">
        <v>627</v>
      </c>
    </row>
    <row r="41" spans="1:3" ht="12.75" x14ac:dyDescent="0.2">
      <c r="A41" s="66">
        <v>34</v>
      </c>
      <c r="B41" s="69" t="s">
        <v>628</v>
      </c>
      <c r="C41" s="56" t="s">
        <v>629</v>
      </c>
    </row>
    <row r="42" spans="1:3" ht="12.75" x14ac:dyDescent="0.2">
      <c r="A42" s="66">
        <v>35</v>
      </c>
      <c r="B42" s="69" t="s">
        <v>630</v>
      </c>
      <c r="C42" s="56" t="s">
        <v>631</v>
      </c>
    </row>
    <row r="43" spans="1:3" ht="12.75" x14ac:dyDescent="0.2">
      <c r="A43" s="66">
        <v>36</v>
      </c>
      <c r="B43" s="69" t="s">
        <v>632</v>
      </c>
      <c r="C43" s="56" t="s">
        <v>633</v>
      </c>
    </row>
    <row r="44" spans="1:3" ht="12.75" x14ac:dyDescent="0.2">
      <c r="A44" s="66">
        <v>37</v>
      </c>
      <c r="B44" s="69" t="s">
        <v>634</v>
      </c>
      <c r="C44" s="56" t="s">
        <v>635</v>
      </c>
    </row>
    <row r="45" spans="1:3" ht="12.75" x14ac:dyDescent="0.2">
      <c r="A45" s="66">
        <v>38</v>
      </c>
      <c r="B45" s="69" t="s">
        <v>636</v>
      </c>
      <c r="C45" s="56" t="s">
        <v>637</v>
      </c>
    </row>
    <row r="46" spans="1:3" ht="12.75" x14ac:dyDescent="0.2">
      <c r="A46" s="66">
        <v>39</v>
      </c>
      <c r="B46" s="69" t="s">
        <v>638</v>
      </c>
      <c r="C46" s="56" t="s">
        <v>639</v>
      </c>
    </row>
    <row r="47" spans="1:3" ht="12.75" x14ac:dyDescent="0.2">
      <c r="A47" s="66">
        <v>40</v>
      </c>
      <c r="B47" s="69" t="s">
        <v>640</v>
      </c>
      <c r="C47" s="56" t="s">
        <v>641</v>
      </c>
    </row>
    <row r="48" spans="1:3" ht="12.75" x14ac:dyDescent="0.2">
      <c r="A48" s="66">
        <v>41</v>
      </c>
      <c r="B48" s="69" t="s">
        <v>642</v>
      </c>
      <c r="C48" s="56" t="s">
        <v>643</v>
      </c>
    </row>
    <row r="49" spans="1:3" ht="12.75" x14ac:dyDescent="0.2">
      <c r="A49" s="66">
        <v>42</v>
      </c>
      <c r="B49" s="69" t="s">
        <v>644</v>
      </c>
      <c r="C49" s="56" t="s">
        <v>645</v>
      </c>
    </row>
    <row r="50" spans="1:3" ht="12.75" x14ac:dyDescent="0.2">
      <c r="A50" s="66">
        <v>43</v>
      </c>
      <c r="B50" s="69" t="s">
        <v>646</v>
      </c>
      <c r="C50" s="56" t="s">
        <v>647</v>
      </c>
    </row>
    <row r="51" spans="1:3" ht="12.75" x14ac:dyDescent="0.2">
      <c r="A51" s="66">
        <v>44</v>
      </c>
      <c r="B51" s="69" t="s">
        <v>648</v>
      </c>
      <c r="C51" s="56" t="s">
        <v>649</v>
      </c>
    </row>
    <row r="52" spans="1:3" ht="12.75" x14ac:dyDescent="0.2">
      <c r="A52" s="66">
        <v>45</v>
      </c>
      <c r="B52" s="69" t="s">
        <v>650</v>
      </c>
      <c r="C52" s="56" t="s">
        <v>651</v>
      </c>
    </row>
    <row r="53" spans="1:3" ht="12.75" x14ac:dyDescent="0.2">
      <c r="A53" s="66">
        <v>46</v>
      </c>
      <c r="B53" s="69" t="s">
        <v>652</v>
      </c>
      <c r="C53" s="56" t="s">
        <v>653</v>
      </c>
    </row>
    <row r="54" spans="1:3" ht="12.75" x14ac:dyDescent="0.2">
      <c r="A54" s="66">
        <v>47</v>
      </c>
      <c r="B54" s="69" t="s">
        <v>654</v>
      </c>
      <c r="C54" s="56" t="s">
        <v>655</v>
      </c>
    </row>
    <row r="55" spans="1:3" ht="12.75" x14ac:dyDescent="0.2">
      <c r="A55" s="66">
        <v>48</v>
      </c>
      <c r="B55" s="69" t="s">
        <v>656</v>
      </c>
      <c r="C55" s="56" t="s">
        <v>657</v>
      </c>
    </row>
    <row r="56" spans="1:3" ht="12.75" x14ac:dyDescent="0.2">
      <c r="A56" s="66">
        <v>49</v>
      </c>
      <c r="B56" s="70" t="s">
        <v>658</v>
      </c>
      <c r="C56" s="57" t="s">
        <v>659</v>
      </c>
    </row>
    <row r="57" spans="1:3" ht="12.75" x14ac:dyDescent="0.2">
      <c r="A57" s="66">
        <v>50</v>
      </c>
      <c r="B57" s="69" t="s">
        <v>660</v>
      </c>
      <c r="C57" s="56" t="s">
        <v>661</v>
      </c>
    </row>
    <row r="58" spans="1:3" ht="12.75" x14ac:dyDescent="0.2">
      <c r="A58" s="66">
        <v>51</v>
      </c>
      <c r="B58" s="69" t="s">
        <v>662</v>
      </c>
      <c r="C58" s="56" t="s">
        <v>663</v>
      </c>
    </row>
    <row r="59" spans="1:3" ht="12.75" x14ac:dyDescent="0.2">
      <c r="A59" s="66">
        <v>52</v>
      </c>
      <c r="B59" s="69" t="s">
        <v>664</v>
      </c>
      <c r="C59" s="56" t="s">
        <v>665</v>
      </c>
    </row>
    <row r="60" spans="1:3" ht="12.75" x14ac:dyDescent="0.2">
      <c r="A60" s="66">
        <v>53</v>
      </c>
      <c r="B60" s="69" t="s">
        <v>666</v>
      </c>
      <c r="C60" s="56" t="s">
        <v>667</v>
      </c>
    </row>
    <row r="61" spans="1:3" ht="12.75" x14ac:dyDescent="0.2">
      <c r="A61" s="66">
        <v>54</v>
      </c>
      <c r="B61" s="69" t="s">
        <v>668</v>
      </c>
      <c r="C61" s="56" t="s">
        <v>669</v>
      </c>
    </row>
    <row r="62" spans="1:3" ht="12.75" x14ac:dyDescent="0.2">
      <c r="A62" s="66">
        <v>55</v>
      </c>
      <c r="B62" s="69" t="s">
        <v>670</v>
      </c>
      <c r="C62" s="56" t="s">
        <v>671</v>
      </c>
    </row>
    <row r="63" spans="1:3" ht="12.75" x14ac:dyDescent="0.2">
      <c r="A63" s="66">
        <v>56</v>
      </c>
      <c r="B63" s="69" t="s">
        <v>672</v>
      </c>
      <c r="C63" s="56" t="s">
        <v>673</v>
      </c>
    </row>
    <row r="64" spans="1:3" ht="12.75" x14ac:dyDescent="0.2">
      <c r="A64" s="66">
        <v>57</v>
      </c>
      <c r="B64" s="69" t="s">
        <v>674</v>
      </c>
      <c r="C64" s="56" t="s">
        <v>675</v>
      </c>
    </row>
    <row r="65" spans="1:3" ht="12.75" x14ac:dyDescent="0.2">
      <c r="A65" s="66">
        <v>58</v>
      </c>
      <c r="B65" s="69" t="s">
        <v>676</v>
      </c>
      <c r="C65" s="56" t="s">
        <v>677</v>
      </c>
    </row>
    <row r="66" spans="1:3" ht="12.75" x14ac:dyDescent="0.2">
      <c r="A66" s="66">
        <v>59</v>
      </c>
      <c r="B66" s="69" t="s">
        <v>678</v>
      </c>
      <c r="C66" s="56" t="s">
        <v>679</v>
      </c>
    </row>
    <row r="67" spans="1:3" ht="12.75" x14ac:dyDescent="0.2">
      <c r="A67" s="66">
        <v>60</v>
      </c>
      <c r="B67" s="69" t="s">
        <v>680</v>
      </c>
      <c r="C67" s="56" t="s">
        <v>681</v>
      </c>
    </row>
    <row r="68" spans="1:3" ht="12.75" x14ac:dyDescent="0.2">
      <c r="A68" s="66">
        <v>61</v>
      </c>
      <c r="B68" s="69" t="s">
        <v>682</v>
      </c>
      <c r="C68" s="56" t="s">
        <v>0</v>
      </c>
    </row>
    <row r="69" spans="1:3" ht="12.75" x14ac:dyDescent="0.2">
      <c r="A69" s="66">
        <v>62</v>
      </c>
      <c r="B69" s="69" t="s">
        <v>1</v>
      </c>
      <c r="C69" s="56" t="s">
        <v>2</v>
      </c>
    </row>
    <row r="70" spans="1:3" ht="12.75" x14ac:dyDescent="0.2">
      <c r="A70" s="66">
        <v>63</v>
      </c>
      <c r="B70" s="69" t="s">
        <v>3</v>
      </c>
      <c r="C70" s="56" t="s">
        <v>4</v>
      </c>
    </row>
    <row r="71" spans="1:3" ht="12.75" x14ac:dyDescent="0.2">
      <c r="A71" s="66">
        <v>64</v>
      </c>
      <c r="B71" s="69" t="s">
        <v>5</v>
      </c>
      <c r="C71" s="56" t="s">
        <v>6</v>
      </c>
    </row>
    <row r="72" spans="1:3" ht="12.75" x14ac:dyDescent="0.2">
      <c r="A72" s="66">
        <v>65</v>
      </c>
      <c r="B72" s="69" t="s">
        <v>7</v>
      </c>
      <c r="C72" s="56" t="s">
        <v>8</v>
      </c>
    </row>
    <row r="73" spans="1:3" ht="12.75" x14ac:dyDescent="0.2">
      <c r="A73" s="66">
        <v>66</v>
      </c>
      <c r="B73" s="69" t="s">
        <v>9</v>
      </c>
      <c r="C73" s="56" t="s">
        <v>10</v>
      </c>
    </row>
    <row r="74" spans="1:3" ht="12.75" x14ac:dyDescent="0.2">
      <c r="A74" s="66">
        <v>67</v>
      </c>
      <c r="B74" s="69" t="s">
        <v>11</v>
      </c>
      <c r="C74" s="56" t="s">
        <v>12</v>
      </c>
    </row>
    <row r="75" spans="1:3" ht="12.75" x14ac:dyDescent="0.2">
      <c r="A75" s="66">
        <v>68</v>
      </c>
      <c r="B75" s="69" t="s">
        <v>13</v>
      </c>
      <c r="C75" s="56" t="s">
        <v>14</v>
      </c>
    </row>
    <row r="76" spans="1:3" ht="12.75" x14ac:dyDescent="0.2">
      <c r="A76" s="66">
        <v>69</v>
      </c>
      <c r="B76" s="69" t="s">
        <v>15</v>
      </c>
      <c r="C76" s="56" t="s">
        <v>16</v>
      </c>
    </row>
    <row r="77" spans="1:3" ht="12.75" x14ac:dyDescent="0.2">
      <c r="A77" s="66">
        <v>70</v>
      </c>
      <c r="B77" s="69" t="s">
        <v>17</v>
      </c>
      <c r="C77" s="56" t="s">
        <v>18</v>
      </c>
    </row>
    <row r="78" spans="1:3" ht="12.75" x14ac:dyDescent="0.2">
      <c r="A78" s="66">
        <v>71</v>
      </c>
      <c r="B78" s="69" t="s">
        <v>19</v>
      </c>
      <c r="C78" s="56" t="s">
        <v>20</v>
      </c>
    </row>
    <row r="79" spans="1:3" ht="12.75" x14ac:dyDescent="0.2">
      <c r="A79" s="66">
        <v>72</v>
      </c>
      <c r="B79" s="69" t="s">
        <v>21</v>
      </c>
      <c r="C79" s="56" t="s">
        <v>22</v>
      </c>
    </row>
    <row r="80" spans="1:3" ht="12.75" x14ac:dyDescent="0.2">
      <c r="A80" s="66">
        <v>73</v>
      </c>
      <c r="B80" s="69" t="s">
        <v>23</v>
      </c>
      <c r="C80" s="56" t="s">
        <v>24</v>
      </c>
    </row>
    <row r="81" spans="1:3" ht="12.75" x14ac:dyDescent="0.2">
      <c r="A81" s="66">
        <v>74</v>
      </c>
      <c r="B81" s="69" t="s">
        <v>25</v>
      </c>
      <c r="C81" s="56" t="s">
        <v>26</v>
      </c>
    </row>
    <row r="82" spans="1:3" ht="12.75" x14ac:dyDescent="0.2">
      <c r="A82" s="66">
        <v>75</v>
      </c>
      <c r="B82" s="69" t="s">
        <v>27</v>
      </c>
      <c r="C82" s="56" t="s">
        <v>28</v>
      </c>
    </row>
    <row r="83" spans="1:3" ht="12.75" x14ac:dyDescent="0.2">
      <c r="A83" s="66">
        <v>76</v>
      </c>
      <c r="B83" s="69" t="s">
        <v>29</v>
      </c>
      <c r="C83" s="56" t="s">
        <v>30</v>
      </c>
    </row>
    <row r="84" spans="1:3" ht="12.75" x14ac:dyDescent="0.2">
      <c r="A84" s="66">
        <v>77</v>
      </c>
      <c r="B84" s="69" t="s">
        <v>31</v>
      </c>
      <c r="C84" s="56" t="s">
        <v>32</v>
      </c>
    </row>
    <row r="85" spans="1:3" ht="12.75" x14ac:dyDescent="0.2">
      <c r="A85" s="66">
        <v>78</v>
      </c>
      <c r="B85" s="69" t="s">
        <v>35</v>
      </c>
      <c r="C85" s="56" t="s">
        <v>36</v>
      </c>
    </row>
    <row r="86" spans="1:3" ht="12.75" x14ac:dyDescent="0.2">
      <c r="A86" s="66">
        <v>79</v>
      </c>
      <c r="B86" s="69" t="s">
        <v>37</v>
      </c>
      <c r="C86" s="56" t="s">
        <v>38</v>
      </c>
    </row>
    <row r="87" spans="1:3" ht="12.75" x14ac:dyDescent="0.2">
      <c r="A87" s="66">
        <v>80</v>
      </c>
      <c r="B87" s="69" t="s">
        <v>39</v>
      </c>
      <c r="C87" s="56" t="s">
        <v>40</v>
      </c>
    </row>
    <row r="88" spans="1:3" ht="12.75" x14ac:dyDescent="0.2">
      <c r="A88" s="66">
        <v>81</v>
      </c>
      <c r="B88" s="69" t="s">
        <v>41</v>
      </c>
      <c r="C88" s="56" t="s">
        <v>42</v>
      </c>
    </row>
    <row r="89" spans="1:3" ht="12.75" x14ac:dyDescent="0.2">
      <c r="A89" s="66">
        <v>82</v>
      </c>
      <c r="B89" s="69" t="s">
        <v>43</v>
      </c>
      <c r="C89" s="56" t="s">
        <v>44</v>
      </c>
    </row>
    <row r="90" spans="1:3" ht="12.75" x14ac:dyDescent="0.2">
      <c r="A90" s="66">
        <v>83</v>
      </c>
      <c r="B90" s="69" t="s">
        <v>45</v>
      </c>
      <c r="C90" s="56" t="s">
        <v>46</v>
      </c>
    </row>
    <row r="91" spans="1:3" ht="12.75" x14ac:dyDescent="0.2">
      <c r="A91" s="66">
        <v>84</v>
      </c>
      <c r="B91" s="69" t="s">
        <v>47</v>
      </c>
      <c r="C91" s="56" t="s">
        <v>48</v>
      </c>
    </row>
    <row r="92" spans="1:3" ht="12.75" x14ac:dyDescent="0.2">
      <c r="A92" s="66">
        <v>85</v>
      </c>
      <c r="B92" s="69" t="s">
        <v>49</v>
      </c>
      <c r="C92" s="56" t="s">
        <v>50</v>
      </c>
    </row>
    <row r="93" spans="1:3" ht="12.75" x14ac:dyDescent="0.2">
      <c r="A93" s="66">
        <v>86</v>
      </c>
      <c r="B93" s="69" t="s">
        <v>51</v>
      </c>
      <c r="C93" s="56" t="s">
        <v>52</v>
      </c>
    </row>
    <row r="94" spans="1:3" ht="12.75" x14ac:dyDescent="0.2">
      <c r="A94" s="66">
        <v>87</v>
      </c>
      <c r="B94" s="69" t="s">
        <v>53</v>
      </c>
      <c r="C94" s="56" t="s">
        <v>54</v>
      </c>
    </row>
    <row r="95" spans="1:3" ht="12.75" x14ac:dyDescent="0.2">
      <c r="A95" s="66">
        <v>88</v>
      </c>
      <c r="B95" s="69" t="s">
        <v>55</v>
      </c>
      <c r="C95" s="56" t="s">
        <v>56</v>
      </c>
    </row>
    <row r="96" spans="1:3" ht="12.75" x14ac:dyDescent="0.2">
      <c r="A96" s="66">
        <v>89</v>
      </c>
      <c r="B96" s="69" t="s">
        <v>57</v>
      </c>
      <c r="C96" s="56" t="s">
        <v>58</v>
      </c>
    </row>
    <row r="97" spans="1:3" ht="12.75" x14ac:dyDescent="0.2">
      <c r="A97" s="66">
        <v>90</v>
      </c>
      <c r="B97" s="69" t="s">
        <v>59</v>
      </c>
      <c r="C97" s="56" t="s">
        <v>60</v>
      </c>
    </row>
    <row r="98" spans="1:3" ht="12.75" x14ac:dyDescent="0.2">
      <c r="A98" s="66">
        <v>91</v>
      </c>
      <c r="B98" s="69" t="s">
        <v>61</v>
      </c>
      <c r="C98" s="56" t="s">
        <v>62</v>
      </c>
    </row>
    <row r="99" spans="1:3" ht="12.75" x14ac:dyDescent="0.2">
      <c r="A99" s="66">
        <v>92</v>
      </c>
      <c r="B99" s="69" t="s">
        <v>63</v>
      </c>
      <c r="C99" s="56" t="s">
        <v>64</v>
      </c>
    </row>
    <row r="100" spans="1:3" ht="12.75" x14ac:dyDescent="0.2">
      <c r="A100" s="66">
        <v>93</v>
      </c>
      <c r="B100" s="69" t="s">
        <v>65</v>
      </c>
      <c r="C100" s="56" t="s">
        <v>66</v>
      </c>
    </row>
    <row r="101" spans="1:3" ht="12.75" x14ac:dyDescent="0.2">
      <c r="A101" s="66">
        <v>94</v>
      </c>
      <c r="B101" s="69" t="s">
        <v>67</v>
      </c>
      <c r="C101" s="56" t="s">
        <v>68</v>
      </c>
    </row>
    <row r="102" spans="1:3" ht="12.75" x14ac:dyDescent="0.2">
      <c r="A102" s="66">
        <v>95</v>
      </c>
      <c r="B102" s="69" t="s">
        <v>69</v>
      </c>
      <c r="C102" s="56" t="s">
        <v>70</v>
      </c>
    </row>
    <row r="103" spans="1:3" ht="12.75" x14ac:dyDescent="0.2">
      <c r="A103" s="66">
        <v>96</v>
      </c>
      <c r="B103" s="69" t="s">
        <v>71</v>
      </c>
      <c r="C103" s="56" t="s">
        <v>72</v>
      </c>
    </row>
    <row r="104" spans="1:3" ht="12.75" x14ac:dyDescent="0.2">
      <c r="A104" s="66">
        <v>97</v>
      </c>
      <c r="B104" s="69" t="s">
        <v>73</v>
      </c>
      <c r="C104" s="56" t="s">
        <v>74</v>
      </c>
    </row>
    <row r="105" spans="1:3" ht="12.75" x14ac:dyDescent="0.2">
      <c r="A105" s="66">
        <v>98</v>
      </c>
      <c r="B105" s="69" t="s">
        <v>75</v>
      </c>
      <c r="C105" s="56" t="s">
        <v>76</v>
      </c>
    </row>
    <row r="106" spans="1:3" ht="12.75" x14ac:dyDescent="0.2">
      <c r="A106" s="66">
        <v>99</v>
      </c>
      <c r="B106" s="69" t="s">
        <v>77</v>
      </c>
      <c r="C106" s="56" t="s">
        <v>78</v>
      </c>
    </row>
    <row r="107" spans="1:3" ht="12.75" x14ac:dyDescent="0.2">
      <c r="A107" s="66">
        <v>100</v>
      </c>
      <c r="B107" s="69" t="s">
        <v>79</v>
      </c>
      <c r="C107" s="56" t="s">
        <v>80</v>
      </c>
    </row>
    <row r="108" spans="1:3" ht="12.75" x14ac:dyDescent="0.2">
      <c r="A108" s="66">
        <v>101</v>
      </c>
      <c r="B108" s="69" t="s">
        <v>81</v>
      </c>
      <c r="C108" s="56" t="s">
        <v>82</v>
      </c>
    </row>
    <row r="109" spans="1:3" ht="12.75" x14ac:dyDescent="0.2">
      <c r="A109" s="66">
        <v>102</v>
      </c>
      <c r="B109" s="69" t="s">
        <v>83</v>
      </c>
      <c r="C109" s="56" t="s">
        <v>84</v>
      </c>
    </row>
    <row r="110" spans="1:3" ht="12.75" x14ac:dyDescent="0.2">
      <c r="A110" s="66">
        <v>103</v>
      </c>
      <c r="B110" s="69" t="s">
        <v>85</v>
      </c>
      <c r="C110" s="56" t="s">
        <v>86</v>
      </c>
    </row>
    <row r="111" spans="1:3" ht="12.75" x14ac:dyDescent="0.2">
      <c r="A111" s="66">
        <v>104</v>
      </c>
      <c r="B111" s="69" t="s">
        <v>87</v>
      </c>
      <c r="C111" s="56" t="s">
        <v>88</v>
      </c>
    </row>
    <row r="112" spans="1:3" ht="12.75" x14ac:dyDescent="0.2">
      <c r="A112" s="66">
        <v>105</v>
      </c>
      <c r="B112" s="69" t="s">
        <v>89</v>
      </c>
      <c r="C112" s="56" t="s">
        <v>90</v>
      </c>
    </row>
    <row r="113" spans="1:3" ht="12.75" x14ac:dyDescent="0.2">
      <c r="A113" s="66">
        <v>106</v>
      </c>
      <c r="B113" s="69" t="s">
        <v>91</v>
      </c>
      <c r="C113" s="56" t="s">
        <v>92</v>
      </c>
    </row>
    <row r="114" spans="1:3" ht="12.75" x14ac:dyDescent="0.2">
      <c r="A114" s="66">
        <v>107</v>
      </c>
      <c r="B114" s="69" t="s">
        <v>93</v>
      </c>
      <c r="C114" s="56" t="s">
        <v>94</v>
      </c>
    </row>
    <row r="115" spans="1:3" ht="12.75" x14ac:dyDescent="0.2">
      <c r="A115" s="66">
        <v>108</v>
      </c>
      <c r="B115" s="69" t="s">
        <v>95</v>
      </c>
      <c r="C115" s="56" t="s">
        <v>96</v>
      </c>
    </row>
    <row r="116" spans="1:3" ht="12.75" x14ac:dyDescent="0.2">
      <c r="A116" s="66">
        <v>109</v>
      </c>
      <c r="B116" s="69" t="s">
        <v>97</v>
      </c>
      <c r="C116" s="56" t="s">
        <v>98</v>
      </c>
    </row>
    <row r="117" spans="1:3" ht="12.75" x14ac:dyDescent="0.2">
      <c r="A117" s="66">
        <v>110</v>
      </c>
      <c r="B117" s="69" t="s">
        <v>99</v>
      </c>
      <c r="C117" s="56" t="s">
        <v>100</v>
      </c>
    </row>
    <row r="118" spans="1:3" ht="12.75" x14ac:dyDescent="0.2">
      <c r="A118" s="66">
        <v>111</v>
      </c>
      <c r="B118" s="69" t="s">
        <v>101</v>
      </c>
      <c r="C118" s="56" t="s">
        <v>102</v>
      </c>
    </row>
    <row r="119" spans="1:3" ht="12.75" x14ac:dyDescent="0.2">
      <c r="A119" s="66">
        <v>112</v>
      </c>
      <c r="B119" s="69" t="s">
        <v>103</v>
      </c>
      <c r="C119" s="56" t="s">
        <v>104</v>
      </c>
    </row>
    <row r="120" spans="1:3" ht="12.75" x14ac:dyDescent="0.2">
      <c r="A120" s="66">
        <v>113</v>
      </c>
      <c r="B120" s="69" t="s">
        <v>105</v>
      </c>
      <c r="C120" s="56" t="s">
        <v>106</v>
      </c>
    </row>
    <row r="121" spans="1:3" ht="12.75" x14ac:dyDescent="0.2">
      <c r="A121" s="66">
        <v>114</v>
      </c>
      <c r="B121" s="69" t="s">
        <v>107</v>
      </c>
      <c r="C121" s="56" t="s">
        <v>108</v>
      </c>
    </row>
    <row r="122" spans="1:3" ht="12.75" x14ac:dyDescent="0.2">
      <c r="A122" s="66">
        <v>115</v>
      </c>
      <c r="B122" s="69" t="s">
        <v>109</v>
      </c>
      <c r="C122" s="56" t="s">
        <v>110</v>
      </c>
    </row>
    <row r="123" spans="1:3" ht="12.75" x14ac:dyDescent="0.2">
      <c r="A123" s="66">
        <v>116</v>
      </c>
      <c r="B123" s="69" t="s">
        <v>111</v>
      </c>
      <c r="C123" s="56" t="s">
        <v>112</v>
      </c>
    </row>
    <row r="124" spans="1:3" ht="12.75" x14ac:dyDescent="0.2">
      <c r="A124" s="66">
        <v>117</v>
      </c>
      <c r="B124" s="69" t="s">
        <v>113</v>
      </c>
      <c r="C124" s="56" t="s">
        <v>114</v>
      </c>
    </row>
    <row r="125" spans="1:3" ht="12.75" x14ac:dyDescent="0.2">
      <c r="A125" s="66">
        <v>118</v>
      </c>
      <c r="B125" s="69" t="s">
        <v>115</v>
      </c>
      <c r="C125" s="56" t="s">
        <v>116</v>
      </c>
    </row>
    <row r="126" spans="1:3" ht="12.75" x14ac:dyDescent="0.2">
      <c r="A126" s="66">
        <v>119</v>
      </c>
      <c r="B126" s="69" t="s">
        <v>117</v>
      </c>
      <c r="C126" s="56" t="s">
        <v>118</v>
      </c>
    </row>
    <row r="127" spans="1:3" ht="12.75" x14ac:dyDescent="0.2">
      <c r="A127" s="66">
        <v>120</v>
      </c>
      <c r="B127" s="69" t="s">
        <v>119</v>
      </c>
      <c r="C127" s="56" t="s">
        <v>120</v>
      </c>
    </row>
    <row r="128" spans="1:3" ht="12.75" x14ac:dyDescent="0.2">
      <c r="A128" s="66">
        <v>121</v>
      </c>
      <c r="B128" s="69" t="s">
        <v>121</v>
      </c>
      <c r="C128" s="56" t="s">
        <v>122</v>
      </c>
    </row>
    <row r="129" spans="1:3" ht="12.75" x14ac:dyDescent="0.2">
      <c r="A129" s="66">
        <v>122</v>
      </c>
      <c r="B129" s="69" t="s">
        <v>123</v>
      </c>
      <c r="C129" s="56" t="s">
        <v>124</v>
      </c>
    </row>
    <row r="130" spans="1:3" ht="12.75" x14ac:dyDescent="0.2">
      <c r="A130" s="66">
        <v>123</v>
      </c>
      <c r="B130" s="69" t="s">
        <v>125</v>
      </c>
      <c r="C130" s="56" t="s">
        <v>126</v>
      </c>
    </row>
    <row r="131" spans="1:3" ht="12.75" x14ac:dyDescent="0.2">
      <c r="A131" s="66">
        <v>124</v>
      </c>
      <c r="B131" s="69" t="s">
        <v>127</v>
      </c>
      <c r="C131" s="56" t="s">
        <v>128</v>
      </c>
    </row>
    <row r="132" spans="1:3" ht="12.75" x14ac:dyDescent="0.2">
      <c r="A132" s="66">
        <v>125</v>
      </c>
      <c r="B132" s="69" t="s">
        <v>129</v>
      </c>
      <c r="C132" s="56" t="s">
        <v>130</v>
      </c>
    </row>
    <row r="133" spans="1:3" ht="12.75" x14ac:dyDescent="0.2">
      <c r="A133" s="66">
        <v>126</v>
      </c>
      <c r="B133" s="69" t="s">
        <v>131</v>
      </c>
      <c r="C133" s="56" t="s">
        <v>132</v>
      </c>
    </row>
    <row r="134" spans="1:3" ht="12.75" x14ac:dyDescent="0.2">
      <c r="A134" s="66">
        <v>127</v>
      </c>
      <c r="B134" s="69" t="s">
        <v>133</v>
      </c>
      <c r="C134" s="56" t="s">
        <v>134</v>
      </c>
    </row>
    <row r="135" spans="1:3" ht="12.75" x14ac:dyDescent="0.2">
      <c r="A135" s="66">
        <v>128</v>
      </c>
      <c r="B135" s="69" t="s">
        <v>135</v>
      </c>
      <c r="C135" s="56" t="s">
        <v>136</v>
      </c>
    </row>
    <row r="136" spans="1:3" ht="12.75" x14ac:dyDescent="0.2">
      <c r="A136" s="66">
        <v>129</v>
      </c>
      <c r="B136" s="69" t="s">
        <v>137</v>
      </c>
      <c r="C136" s="56" t="s">
        <v>138</v>
      </c>
    </row>
    <row r="137" spans="1:3" ht="12.75" x14ac:dyDescent="0.2">
      <c r="A137" s="66">
        <v>130</v>
      </c>
      <c r="B137" s="69" t="s">
        <v>139</v>
      </c>
      <c r="C137" s="56" t="s">
        <v>140</v>
      </c>
    </row>
    <row r="138" spans="1:3" ht="12.75" x14ac:dyDescent="0.2">
      <c r="A138" s="66">
        <v>131</v>
      </c>
      <c r="B138" s="69" t="s">
        <v>141</v>
      </c>
      <c r="C138" s="56" t="s">
        <v>142</v>
      </c>
    </row>
    <row r="139" spans="1:3" ht="12.75" x14ac:dyDescent="0.2">
      <c r="A139" s="66">
        <v>132</v>
      </c>
      <c r="B139" s="69" t="s">
        <v>143</v>
      </c>
      <c r="C139" s="56" t="s">
        <v>144</v>
      </c>
    </row>
    <row r="140" spans="1:3" ht="12.75" x14ac:dyDescent="0.2">
      <c r="A140" s="66">
        <v>133</v>
      </c>
      <c r="B140" s="69" t="s">
        <v>145</v>
      </c>
      <c r="C140" s="56" t="s">
        <v>146</v>
      </c>
    </row>
    <row r="141" spans="1:3" ht="12.75" x14ac:dyDescent="0.2">
      <c r="A141" s="66">
        <v>134</v>
      </c>
      <c r="B141" s="69" t="s">
        <v>147</v>
      </c>
      <c r="C141" s="56" t="s">
        <v>148</v>
      </c>
    </row>
    <row r="142" spans="1:3" ht="12.75" x14ac:dyDescent="0.2">
      <c r="A142" s="66">
        <v>135</v>
      </c>
      <c r="B142" s="69" t="s">
        <v>149</v>
      </c>
      <c r="C142" s="56" t="s">
        <v>150</v>
      </c>
    </row>
    <row r="143" spans="1:3" ht="12.75" x14ac:dyDescent="0.2">
      <c r="A143" s="66">
        <v>136</v>
      </c>
      <c r="B143" s="69" t="s">
        <v>151</v>
      </c>
      <c r="C143" s="56" t="s">
        <v>152</v>
      </c>
    </row>
    <row r="144" spans="1:3" ht="12.75" x14ac:dyDescent="0.2">
      <c r="A144" s="66">
        <v>137</v>
      </c>
      <c r="B144" s="69" t="s">
        <v>153</v>
      </c>
      <c r="C144" s="56" t="s">
        <v>154</v>
      </c>
    </row>
    <row r="145" spans="1:3" ht="12.75" x14ac:dyDescent="0.2">
      <c r="A145" s="66">
        <v>138</v>
      </c>
      <c r="B145" s="69" t="s">
        <v>155</v>
      </c>
      <c r="C145" s="56" t="s">
        <v>156</v>
      </c>
    </row>
    <row r="146" spans="1:3" ht="12.75" x14ac:dyDescent="0.2">
      <c r="A146" s="66">
        <v>139</v>
      </c>
      <c r="B146" s="69" t="s">
        <v>157</v>
      </c>
      <c r="C146" s="56" t="s">
        <v>158</v>
      </c>
    </row>
    <row r="147" spans="1:3" ht="12.75" x14ac:dyDescent="0.2">
      <c r="A147" s="66">
        <v>140</v>
      </c>
      <c r="B147" s="69" t="s">
        <v>159</v>
      </c>
      <c r="C147" s="56" t="s">
        <v>160</v>
      </c>
    </row>
    <row r="148" spans="1:3" ht="12.75" x14ac:dyDescent="0.2">
      <c r="A148" s="66">
        <v>141</v>
      </c>
      <c r="B148" s="69" t="s">
        <v>161</v>
      </c>
      <c r="C148" s="56" t="s">
        <v>162</v>
      </c>
    </row>
    <row r="149" spans="1:3" ht="12.75" x14ac:dyDescent="0.2">
      <c r="A149" s="66">
        <v>142</v>
      </c>
      <c r="B149" s="69" t="s">
        <v>163</v>
      </c>
      <c r="C149" s="56" t="s">
        <v>164</v>
      </c>
    </row>
    <row r="150" spans="1:3" ht="12.75" x14ac:dyDescent="0.2">
      <c r="A150" s="66">
        <v>143</v>
      </c>
      <c r="B150" s="69" t="s">
        <v>165</v>
      </c>
      <c r="C150" s="56" t="s">
        <v>166</v>
      </c>
    </row>
    <row r="151" spans="1:3" ht="12.75" x14ac:dyDescent="0.2">
      <c r="A151" s="66">
        <v>144</v>
      </c>
      <c r="B151" s="69" t="s">
        <v>167</v>
      </c>
      <c r="C151" s="56" t="s">
        <v>168</v>
      </c>
    </row>
    <row r="152" spans="1:3" ht="12.75" x14ac:dyDescent="0.2">
      <c r="A152" s="66">
        <v>145</v>
      </c>
      <c r="B152" s="69" t="s">
        <v>169</v>
      </c>
      <c r="C152" s="56" t="s">
        <v>170</v>
      </c>
    </row>
    <row r="153" spans="1:3" ht="12.75" x14ac:dyDescent="0.2">
      <c r="A153" s="66">
        <v>146</v>
      </c>
      <c r="B153" s="69" t="s">
        <v>171</v>
      </c>
      <c r="C153" s="56" t="s">
        <v>172</v>
      </c>
    </row>
    <row r="154" spans="1:3" ht="12.75" x14ac:dyDescent="0.2">
      <c r="A154" s="66">
        <v>147</v>
      </c>
      <c r="B154" s="69" t="s">
        <v>173</v>
      </c>
      <c r="C154" s="56" t="s">
        <v>174</v>
      </c>
    </row>
    <row r="155" spans="1:3" ht="12.75" x14ac:dyDescent="0.2">
      <c r="A155" s="66">
        <v>148</v>
      </c>
      <c r="B155" s="69" t="s">
        <v>175</v>
      </c>
      <c r="C155" s="56" t="s">
        <v>176</v>
      </c>
    </row>
    <row r="156" spans="1:3" ht="12.75" x14ac:dyDescent="0.2">
      <c r="A156" s="66">
        <v>149</v>
      </c>
      <c r="B156" s="69" t="s">
        <v>177</v>
      </c>
      <c r="C156" s="56" t="s">
        <v>178</v>
      </c>
    </row>
    <row r="157" spans="1:3" ht="12.75" x14ac:dyDescent="0.2">
      <c r="A157" s="66">
        <v>150</v>
      </c>
      <c r="B157" s="69" t="s">
        <v>179</v>
      </c>
      <c r="C157" s="56" t="s">
        <v>180</v>
      </c>
    </row>
    <row r="158" spans="1:3" ht="12.75" x14ac:dyDescent="0.2">
      <c r="A158" s="66">
        <v>151</v>
      </c>
      <c r="B158" s="69" t="s">
        <v>181</v>
      </c>
      <c r="C158" s="56" t="s">
        <v>182</v>
      </c>
    </row>
    <row r="159" spans="1:3" ht="12.75" x14ac:dyDescent="0.2">
      <c r="A159" s="66">
        <v>152</v>
      </c>
      <c r="B159" s="69" t="s">
        <v>183</v>
      </c>
      <c r="C159" s="56" t="s">
        <v>184</v>
      </c>
    </row>
    <row r="160" spans="1:3" ht="12.75" x14ac:dyDescent="0.2">
      <c r="A160" s="66">
        <v>153</v>
      </c>
      <c r="B160" s="69" t="s">
        <v>185</v>
      </c>
      <c r="C160" s="56" t="s">
        <v>186</v>
      </c>
    </row>
    <row r="161" spans="1:3" ht="12.75" x14ac:dyDescent="0.2">
      <c r="A161" s="66">
        <v>154</v>
      </c>
      <c r="B161" s="69" t="s">
        <v>187</v>
      </c>
      <c r="C161" s="56" t="s">
        <v>188</v>
      </c>
    </row>
    <row r="162" spans="1:3" ht="12.75" x14ac:dyDescent="0.2">
      <c r="A162" s="66">
        <v>155</v>
      </c>
      <c r="B162" s="69" t="s">
        <v>189</v>
      </c>
      <c r="C162" s="56" t="s">
        <v>190</v>
      </c>
    </row>
    <row r="163" spans="1:3" ht="12.75" x14ac:dyDescent="0.2">
      <c r="A163" s="66">
        <v>156</v>
      </c>
      <c r="B163" s="69" t="s">
        <v>191</v>
      </c>
      <c r="C163" s="56" t="s">
        <v>192</v>
      </c>
    </row>
    <row r="164" spans="1:3" ht="12.75" x14ac:dyDescent="0.2">
      <c r="A164" s="66">
        <v>157</v>
      </c>
      <c r="B164" s="69" t="s">
        <v>193</v>
      </c>
      <c r="C164" s="56" t="s">
        <v>194</v>
      </c>
    </row>
    <row r="165" spans="1:3" ht="12.75" x14ac:dyDescent="0.2">
      <c r="A165" s="66">
        <v>158</v>
      </c>
      <c r="B165" s="69" t="s">
        <v>195</v>
      </c>
      <c r="C165" s="56" t="s">
        <v>196</v>
      </c>
    </row>
    <row r="166" spans="1:3" ht="12.75" x14ac:dyDescent="0.2">
      <c r="A166" s="66">
        <v>159</v>
      </c>
      <c r="B166" s="69" t="s">
        <v>197</v>
      </c>
      <c r="C166" s="56" t="s">
        <v>198</v>
      </c>
    </row>
    <row r="167" spans="1:3" ht="12.75" x14ac:dyDescent="0.2">
      <c r="A167" s="66">
        <v>160</v>
      </c>
      <c r="B167" s="69" t="s">
        <v>199</v>
      </c>
      <c r="C167" s="56" t="s">
        <v>200</v>
      </c>
    </row>
    <row r="168" spans="1:3" ht="12.75" x14ac:dyDescent="0.2">
      <c r="A168" s="66">
        <v>161</v>
      </c>
      <c r="B168" s="69" t="s">
        <v>201</v>
      </c>
      <c r="C168" s="56" t="s">
        <v>202</v>
      </c>
    </row>
    <row r="169" spans="1:3" ht="12.75" x14ac:dyDescent="0.2">
      <c r="A169" s="66">
        <v>162</v>
      </c>
      <c r="B169" s="69" t="s">
        <v>203</v>
      </c>
      <c r="C169" s="56" t="s">
        <v>204</v>
      </c>
    </row>
    <row r="170" spans="1:3" ht="12.75" x14ac:dyDescent="0.2">
      <c r="A170" s="66">
        <v>163</v>
      </c>
      <c r="B170" s="69" t="s">
        <v>205</v>
      </c>
      <c r="C170" s="56" t="s">
        <v>206</v>
      </c>
    </row>
    <row r="171" spans="1:3" ht="12.75" x14ac:dyDescent="0.2">
      <c r="A171" s="66">
        <v>164</v>
      </c>
      <c r="B171" s="69" t="s">
        <v>207</v>
      </c>
      <c r="C171" s="56" t="s">
        <v>208</v>
      </c>
    </row>
    <row r="172" spans="1:3" ht="12.75" x14ac:dyDescent="0.2">
      <c r="A172" s="66">
        <v>165</v>
      </c>
      <c r="B172" s="69" t="s">
        <v>209</v>
      </c>
      <c r="C172" s="56" t="s">
        <v>210</v>
      </c>
    </row>
    <row r="173" spans="1:3" ht="12.75" x14ac:dyDescent="0.2">
      <c r="A173" s="66">
        <v>166</v>
      </c>
      <c r="B173" s="69" t="s">
        <v>211</v>
      </c>
      <c r="C173" s="56" t="s">
        <v>212</v>
      </c>
    </row>
    <row r="174" spans="1:3" ht="12.75" x14ac:dyDescent="0.2">
      <c r="A174" s="66">
        <v>167</v>
      </c>
      <c r="B174" s="69" t="s">
        <v>213</v>
      </c>
      <c r="C174" s="56" t="s">
        <v>214</v>
      </c>
    </row>
    <row r="175" spans="1:3" ht="12.75" x14ac:dyDescent="0.2">
      <c r="A175" s="66">
        <v>168</v>
      </c>
      <c r="B175" s="69" t="s">
        <v>215</v>
      </c>
      <c r="C175" s="56" t="s">
        <v>216</v>
      </c>
    </row>
    <row r="176" spans="1:3" ht="12.75" x14ac:dyDescent="0.2">
      <c r="A176" s="66">
        <v>169</v>
      </c>
      <c r="B176" s="69" t="s">
        <v>217</v>
      </c>
      <c r="C176" s="56" t="s">
        <v>218</v>
      </c>
    </row>
    <row r="177" spans="1:3" ht="12.75" x14ac:dyDescent="0.2">
      <c r="A177" s="66">
        <v>170</v>
      </c>
      <c r="B177" s="69" t="s">
        <v>219</v>
      </c>
      <c r="C177" s="56" t="s">
        <v>220</v>
      </c>
    </row>
    <row r="178" spans="1:3" ht="12.75" x14ac:dyDescent="0.2">
      <c r="A178" s="66">
        <v>171</v>
      </c>
      <c r="B178" s="69" t="s">
        <v>221</v>
      </c>
      <c r="C178" s="56" t="s">
        <v>222</v>
      </c>
    </row>
    <row r="179" spans="1:3" ht="12.75" x14ac:dyDescent="0.2">
      <c r="A179" s="66">
        <v>172</v>
      </c>
      <c r="B179" s="69" t="s">
        <v>223</v>
      </c>
      <c r="C179" s="56" t="s">
        <v>224</v>
      </c>
    </row>
    <row r="180" spans="1:3" ht="12.75" x14ac:dyDescent="0.2">
      <c r="A180" s="66">
        <v>173</v>
      </c>
      <c r="B180" s="69" t="s">
        <v>225</v>
      </c>
      <c r="C180" s="56" t="s">
        <v>226</v>
      </c>
    </row>
    <row r="181" spans="1:3" ht="12.75" x14ac:dyDescent="0.2">
      <c r="A181" s="66">
        <v>174</v>
      </c>
      <c r="B181" s="69" t="s">
        <v>227</v>
      </c>
      <c r="C181" s="56" t="s">
        <v>228</v>
      </c>
    </row>
    <row r="182" spans="1:3" ht="12.75" x14ac:dyDescent="0.2">
      <c r="A182" s="66">
        <v>175</v>
      </c>
      <c r="B182" s="69" t="s">
        <v>229</v>
      </c>
      <c r="C182" s="56" t="s">
        <v>230</v>
      </c>
    </row>
    <row r="183" spans="1:3" ht="12.75" x14ac:dyDescent="0.2">
      <c r="A183" s="66">
        <v>176</v>
      </c>
      <c r="B183" s="69" t="s">
        <v>231</v>
      </c>
      <c r="C183" s="56" t="s">
        <v>232</v>
      </c>
    </row>
    <row r="184" spans="1:3" ht="12.75" x14ac:dyDescent="0.2">
      <c r="A184" s="66">
        <v>177</v>
      </c>
      <c r="B184" s="69" t="s">
        <v>233</v>
      </c>
      <c r="C184" s="56" t="s">
        <v>234</v>
      </c>
    </row>
    <row r="185" spans="1:3" ht="12.75" x14ac:dyDescent="0.2">
      <c r="A185" s="66">
        <v>178</v>
      </c>
      <c r="B185" s="69" t="s">
        <v>235</v>
      </c>
      <c r="C185" s="56" t="s">
        <v>236</v>
      </c>
    </row>
    <row r="186" spans="1:3" ht="12.75" x14ac:dyDescent="0.2">
      <c r="A186" s="66">
        <v>179</v>
      </c>
      <c r="B186" s="69" t="s">
        <v>237</v>
      </c>
      <c r="C186" s="56" t="s">
        <v>238</v>
      </c>
    </row>
    <row r="187" spans="1:3" ht="12.75" x14ac:dyDescent="0.2">
      <c r="A187" s="66">
        <v>180</v>
      </c>
      <c r="B187" s="69" t="s">
        <v>239</v>
      </c>
      <c r="C187" s="56" t="s">
        <v>240</v>
      </c>
    </row>
    <row r="188" spans="1:3" ht="12.75" x14ac:dyDescent="0.2">
      <c r="A188" s="66">
        <v>181</v>
      </c>
      <c r="B188" s="69" t="s">
        <v>241</v>
      </c>
      <c r="C188" s="56" t="s">
        <v>242</v>
      </c>
    </row>
    <row r="189" spans="1:3" ht="12.75" x14ac:dyDescent="0.2">
      <c r="A189" s="66">
        <v>182</v>
      </c>
      <c r="B189" s="69" t="s">
        <v>243</v>
      </c>
      <c r="C189" s="56" t="s">
        <v>244</v>
      </c>
    </row>
    <row r="190" spans="1:3" ht="12.75" x14ac:dyDescent="0.2">
      <c r="A190" s="66">
        <v>183</v>
      </c>
      <c r="B190" s="69" t="s">
        <v>245</v>
      </c>
      <c r="C190" s="56" t="s">
        <v>246</v>
      </c>
    </row>
    <row r="191" spans="1:3" ht="12.75" x14ac:dyDescent="0.2">
      <c r="A191" s="66">
        <v>184</v>
      </c>
      <c r="B191" s="69" t="s">
        <v>247</v>
      </c>
      <c r="C191" s="56" t="s">
        <v>248</v>
      </c>
    </row>
    <row r="192" spans="1:3" ht="12.75" x14ac:dyDescent="0.2">
      <c r="A192" s="66">
        <v>185</v>
      </c>
      <c r="B192" s="69" t="s">
        <v>249</v>
      </c>
      <c r="C192" s="56" t="s">
        <v>250</v>
      </c>
    </row>
    <row r="193" spans="1:3" ht="12.75" x14ac:dyDescent="0.2">
      <c r="A193" s="66">
        <v>186</v>
      </c>
      <c r="B193" s="69" t="s">
        <v>251</v>
      </c>
      <c r="C193" s="56" t="s">
        <v>252</v>
      </c>
    </row>
    <row r="194" spans="1:3" ht="12.75" x14ac:dyDescent="0.2">
      <c r="A194" s="66">
        <v>187</v>
      </c>
      <c r="B194" s="69" t="s">
        <v>253</v>
      </c>
      <c r="C194" s="56" t="s">
        <v>254</v>
      </c>
    </row>
    <row r="195" spans="1:3" ht="12.75" x14ac:dyDescent="0.2">
      <c r="A195" s="66">
        <v>188</v>
      </c>
      <c r="B195" s="69" t="s">
        <v>255</v>
      </c>
      <c r="C195" s="56" t="s">
        <v>256</v>
      </c>
    </row>
    <row r="196" spans="1:3" ht="12.75" x14ac:dyDescent="0.2">
      <c r="A196" s="66">
        <v>189</v>
      </c>
      <c r="B196" s="69" t="s">
        <v>257</v>
      </c>
      <c r="C196" s="56" t="s">
        <v>258</v>
      </c>
    </row>
    <row r="197" spans="1:3" ht="12.75" x14ac:dyDescent="0.2">
      <c r="A197" s="66">
        <v>190</v>
      </c>
      <c r="B197" s="69" t="s">
        <v>259</v>
      </c>
      <c r="C197" s="56" t="s">
        <v>260</v>
      </c>
    </row>
    <row r="198" spans="1:3" ht="12.75" x14ac:dyDescent="0.2">
      <c r="A198" s="66">
        <v>191</v>
      </c>
      <c r="B198" s="69" t="s">
        <v>261</v>
      </c>
      <c r="C198" s="56" t="s">
        <v>262</v>
      </c>
    </row>
    <row r="199" spans="1:3" ht="12.75" x14ac:dyDescent="0.2">
      <c r="A199" s="66">
        <v>192</v>
      </c>
      <c r="B199" s="69" t="s">
        <v>263</v>
      </c>
      <c r="C199" s="56" t="s">
        <v>264</v>
      </c>
    </row>
    <row r="200" spans="1:3" ht="12.75" x14ac:dyDescent="0.2">
      <c r="A200" s="66">
        <v>193</v>
      </c>
      <c r="B200" s="69" t="s">
        <v>265</v>
      </c>
      <c r="C200" s="56" t="s">
        <v>266</v>
      </c>
    </row>
    <row r="201" spans="1:3" ht="12.75" x14ac:dyDescent="0.2">
      <c r="A201" s="66">
        <v>194</v>
      </c>
      <c r="B201" s="69" t="s">
        <v>267</v>
      </c>
      <c r="C201" s="56" t="s">
        <v>268</v>
      </c>
    </row>
    <row r="202" spans="1:3" ht="12.75" x14ac:dyDescent="0.2">
      <c r="A202" s="66">
        <v>195</v>
      </c>
      <c r="B202" s="69" t="s">
        <v>269</v>
      </c>
      <c r="C202" s="56" t="s">
        <v>270</v>
      </c>
    </row>
    <row r="203" spans="1:3" ht="12.75" x14ac:dyDescent="0.2">
      <c r="A203" s="66">
        <v>196</v>
      </c>
      <c r="B203" s="69" t="s">
        <v>271</v>
      </c>
      <c r="C203" s="56" t="s">
        <v>272</v>
      </c>
    </row>
    <row r="204" spans="1:3" ht="12.75" x14ac:dyDescent="0.2">
      <c r="A204" s="66">
        <v>197</v>
      </c>
      <c r="B204" s="69" t="s">
        <v>273</v>
      </c>
      <c r="C204" s="56" t="s">
        <v>274</v>
      </c>
    </row>
    <row r="205" spans="1:3" ht="12.75" x14ac:dyDescent="0.2">
      <c r="A205" s="66">
        <v>198</v>
      </c>
      <c r="B205" s="69" t="s">
        <v>275</v>
      </c>
      <c r="C205" s="56" t="s">
        <v>276</v>
      </c>
    </row>
    <row r="206" spans="1:3" ht="12.75" x14ac:dyDescent="0.2">
      <c r="A206" s="66">
        <v>199</v>
      </c>
      <c r="B206" s="69" t="s">
        <v>277</v>
      </c>
      <c r="C206" s="56" t="s">
        <v>278</v>
      </c>
    </row>
    <row r="207" spans="1:3" ht="12.75" x14ac:dyDescent="0.2">
      <c r="A207" s="66">
        <v>200</v>
      </c>
      <c r="B207" s="69" t="s">
        <v>279</v>
      </c>
      <c r="C207" s="56" t="s">
        <v>280</v>
      </c>
    </row>
    <row r="208" spans="1:3" ht="12.75" x14ac:dyDescent="0.2">
      <c r="A208" s="66">
        <v>201</v>
      </c>
      <c r="B208" s="69" t="s">
        <v>281</v>
      </c>
      <c r="C208" s="56" t="s">
        <v>282</v>
      </c>
    </row>
    <row r="209" spans="1:3" ht="12.75" x14ac:dyDescent="0.2">
      <c r="A209" s="66">
        <v>202</v>
      </c>
      <c r="B209" s="69" t="s">
        <v>283</v>
      </c>
      <c r="C209" s="56" t="s">
        <v>284</v>
      </c>
    </row>
    <row r="210" spans="1:3" ht="12.75" x14ac:dyDescent="0.2">
      <c r="A210" s="66">
        <v>203</v>
      </c>
      <c r="B210" s="69" t="s">
        <v>285</v>
      </c>
      <c r="C210" s="56" t="s">
        <v>286</v>
      </c>
    </row>
    <row r="211" spans="1:3" ht="12.75" x14ac:dyDescent="0.2">
      <c r="A211" s="66">
        <v>204</v>
      </c>
      <c r="B211" s="69" t="s">
        <v>287</v>
      </c>
      <c r="C211" s="56" t="s">
        <v>288</v>
      </c>
    </row>
    <row r="212" spans="1:3" ht="12.75" x14ac:dyDescent="0.2">
      <c r="A212" s="66">
        <v>205</v>
      </c>
      <c r="B212" s="69" t="s">
        <v>289</v>
      </c>
      <c r="C212" s="56" t="s">
        <v>290</v>
      </c>
    </row>
    <row r="213" spans="1:3" ht="12.75" x14ac:dyDescent="0.2">
      <c r="A213" s="66">
        <v>206</v>
      </c>
      <c r="B213" s="69" t="s">
        <v>291</v>
      </c>
      <c r="C213" s="56" t="s">
        <v>292</v>
      </c>
    </row>
    <row r="214" spans="1:3" ht="12.75" x14ac:dyDescent="0.2">
      <c r="A214" s="66">
        <v>207</v>
      </c>
      <c r="B214" s="69" t="s">
        <v>293</v>
      </c>
      <c r="C214" s="56" t="s">
        <v>294</v>
      </c>
    </row>
    <row r="215" spans="1:3" ht="12.75" x14ac:dyDescent="0.2">
      <c r="A215" s="66">
        <v>208</v>
      </c>
      <c r="B215" s="69" t="s">
        <v>295</v>
      </c>
      <c r="C215" s="56" t="s">
        <v>296</v>
      </c>
    </row>
    <row r="216" spans="1:3" ht="12.75" x14ac:dyDescent="0.2">
      <c r="A216" s="66">
        <v>209</v>
      </c>
      <c r="B216" s="69" t="s">
        <v>297</v>
      </c>
      <c r="C216" s="56" t="s">
        <v>298</v>
      </c>
    </row>
    <row r="217" spans="1:3" ht="12.75" x14ac:dyDescent="0.2">
      <c r="A217" s="66">
        <v>210</v>
      </c>
      <c r="B217" s="69" t="s">
        <v>299</v>
      </c>
      <c r="C217" s="56" t="s">
        <v>300</v>
      </c>
    </row>
    <row r="218" spans="1:3" ht="12.75" x14ac:dyDescent="0.2">
      <c r="A218" s="66">
        <v>211</v>
      </c>
      <c r="B218" s="69" t="s">
        <v>301</v>
      </c>
      <c r="C218" s="56" t="s">
        <v>302</v>
      </c>
    </row>
    <row r="219" spans="1:3" ht="12.75" x14ac:dyDescent="0.2">
      <c r="A219" s="66">
        <v>212</v>
      </c>
      <c r="B219" s="69" t="s">
        <v>303</v>
      </c>
      <c r="C219" s="56" t="s">
        <v>304</v>
      </c>
    </row>
    <row r="220" spans="1:3" ht="12.75" x14ac:dyDescent="0.2">
      <c r="A220" s="66">
        <v>213</v>
      </c>
      <c r="B220" s="69" t="s">
        <v>305</v>
      </c>
      <c r="C220" s="56" t="s">
        <v>306</v>
      </c>
    </row>
    <row r="221" spans="1:3" ht="12.75" x14ac:dyDescent="0.2">
      <c r="A221" s="66">
        <v>214</v>
      </c>
      <c r="B221" s="69" t="s">
        <v>307</v>
      </c>
      <c r="C221" s="56" t="s">
        <v>308</v>
      </c>
    </row>
    <row r="222" spans="1:3" ht="12.75" x14ac:dyDescent="0.2">
      <c r="A222" s="66">
        <v>215</v>
      </c>
      <c r="B222" s="69" t="s">
        <v>309</v>
      </c>
      <c r="C222" s="56" t="s">
        <v>310</v>
      </c>
    </row>
    <row r="223" spans="1:3" ht="12.75" x14ac:dyDescent="0.2">
      <c r="A223" s="66">
        <v>216</v>
      </c>
      <c r="B223" s="69" t="s">
        <v>311</v>
      </c>
      <c r="C223" s="56" t="s">
        <v>312</v>
      </c>
    </row>
    <row r="224" spans="1:3" ht="12.75" x14ac:dyDescent="0.2">
      <c r="A224" s="66">
        <v>217</v>
      </c>
      <c r="B224" s="69" t="s">
        <v>313</v>
      </c>
      <c r="C224" s="56" t="s">
        <v>314</v>
      </c>
    </row>
    <row r="225" spans="1:3" ht="12.75" x14ac:dyDescent="0.2">
      <c r="A225" s="66">
        <v>218</v>
      </c>
      <c r="B225" s="69" t="s">
        <v>315</v>
      </c>
      <c r="C225" s="56" t="s">
        <v>316</v>
      </c>
    </row>
    <row r="226" spans="1:3" ht="12.75" x14ac:dyDescent="0.2">
      <c r="A226" s="66">
        <v>219</v>
      </c>
      <c r="B226" s="69" t="s">
        <v>317</v>
      </c>
      <c r="C226" s="56" t="s">
        <v>318</v>
      </c>
    </row>
    <row r="227" spans="1:3" ht="12.75" x14ac:dyDescent="0.2">
      <c r="A227" s="66">
        <v>220</v>
      </c>
      <c r="B227" s="69" t="s">
        <v>319</v>
      </c>
      <c r="C227" s="56" t="s">
        <v>320</v>
      </c>
    </row>
    <row r="228" spans="1:3" ht="12.75" x14ac:dyDescent="0.2">
      <c r="A228" s="66">
        <v>221</v>
      </c>
      <c r="B228" s="69" t="s">
        <v>321</v>
      </c>
      <c r="C228" s="56" t="s">
        <v>322</v>
      </c>
    </row>
    <row r="229" spans="1:3" ht="12.75" x14ac:dyDescent="0.2">
      <c r="A229" s="66">
        <v>222</v>
      </c>
      <c r="B229" s="69" t="s">
        <v>323</v>
      </c>
      <c r="C229" s="56" t="s">
        <v>324</v>
      </c>
    </row>
    <row r="230" spans="1:3" ht="12.75" x14ac:dyDescent="0.2">
      <c r="A230" s="66">
        <v>223</v>
      </c>
      <c r="B230" s="69" t="s">
        <v>325</v>
      </c>
      <c r="C230" s="56" t="s">
        <v>326</v>
      </c>
    </row>
    <row r="231" spans="1:3" ht="12.75" x14ac:dyDescent="0.2">
      <c r="A231" s="66">
        <v>224</v>
      </c>
      <c r="B231" s="69" t="s">
        <v>327</v>
      </c>
      <c r="C231" s="56" t="s">
        <v>328</v>
      </c>
    </row>
    <row r="232" spans="1:3" ht="12.75" x14ac:dyDescent="0.2">
      <c r="A232" s="66">
        <v>225</v>
      </c>
      <c r="B232" s="69" t="s">
        <v>329</v>
      </c>
      <c r="C232" s="56" t="s">
        <v>330</v>
      </c>
    </row>
    <row r="233" spans="1:3" ht="12.75" x14ac:dyDescent="0.2">
      <c r="A233" s="66">
        <v>226</v>
      </c>
      <c r="B233" s="69" t="s">
        <v>331</v>
      </c>
      <c r="C233" s="56" t="s">
        <v>332</v>
      </c>
    </row>
    <row r="234" spans="1:3" ht="12.75" x14ac:dyDescent="0.2">
      <c r="A234" s="66">
        <v>227</v>
      </c>
      <c r="B234" s="69" t="s">
        <v>333</v>
      </c>
      <c r="C234" s="56" t="s">
        <v>334</v>
      </c>
    </row>
    <row r="235" spans="1:3" ht="12.75" x14ac:dyDescent="0.2">
      <c r="A235" s="66">
        <v>228</v>
      </c>
      <c r="B235" s="69" t="s">
        <v>335</v>
      </c>
      <c r="C235" s="56" t="s">
        <v>336</v>
      </c>
    </row>
    <row r="236" spans="1:3" ht="12.75" x14ac:dyDescent="0.2">
      <c r="A236" s="66">
        <v>229</v>
      </c>
      <c r="B236" s="69" t="s">
        <v>337</v>
      </c>
      <c r="C236" s="56" t="s">
        <v>338</v>
      </c>
    </row>
    <row r="237" spans="1:3" ht="12.75" x14ac:dyDescent="0.2">
      <c r="A237" s="66">
        <v>230</v>
      </c>
      <c r="B237" s="69" t="s">
        <v>339</v>
      </c>
      <c r="C237" s="56" t="s">
        <v>340</v>
      </c>
    </row>
    <row r="238" spans="1:3" ht="12.75" x14ac:dyDescent="0.2">
      <c r="A238" s="66">
        <v>231</v>
      </c>
      <c r="B238" s="69" t="s">
        <v>341</v>
      </c>
      <c r="C238" s="56" t="s">
        <v>342</v>
      </c>
    </row>
    <row r="239" spans="1:3" ht="12.75" x14ac:dyDescent="0.2">
      <c r="A239" s="66">
        <v>232</v>
      </c>
      <c r="B239" s="69" t="s">
        <v>343</v>
      </c>
      <c r="C239" s="56" t="s">
        <v>344</v>
      </c>
    </row>
    <row r="240" spans="1:3" ht="12.75" x14ac:dyDescent="0.2">
      <c r="A240" s="66">
        <v>233</v>
      </c>
      <c r="B240" s="69" t="s">
        <v>345</v>
      </c>
      <c r="C240" s="56" t="s">
        <v>346</v>
      </c>
    </row>
    <row r="241" spans="1:3" ht="12.75" x14ac:dyDescent="0.2">
      <c r="A241" s="66">
        <v>234</v>
      </c>
      <c r="B241" s="69" t="s">
        <v>347</v>
      </c>
      <c r="C241" s="56" t="s">
        <v>348</v>
      </c>
    </row>
    <row r="242" spans="1:3" ht="12.75" x14ac:dyDescent="0.2">
      <c r="A242" s="66">
        <v>235</v>
      </c>
      <c r="B242" s="69" t="s">
        <v>349</v>
      </c>
      <c r="C242" s="56" t="s">
        <v>350</v>
      </c>
    </row>
    <row r="243" spans="1:3" ht="12.75" x14ac:dyDescent="0.2">
      <c r="A243" s="66">
        <v>236</v>
      </c>
      <c r="B243" s="69" t="s">
        <v>351</v>
      </c>
      <c r="C243" s="56" t="s">
        <v>352</v>
      </c>
    </row>
    <row r="244" spans="1:3" ht="12.75" x14ac:dyDescent="0.2">
      <c r="A244" s="66">
        <v>237</v>
      </c>
      <c r="B244" s="69" t="s">
        <v>353</v>
      </c>
      <c r="C244" s="56" t="s">
        <v>354</v>
      </c>
    </row>
    <row r="245" spans="1:3" ht="12.75" x14ac:dyDescent="0.2">
      <c r="A245" s="66">
        <v>238</v>
      </c>
      <c r="B245" s="69" t="s">
        <v>355</v>
      </c>
      <c r="C245" s="56" t="s">
        <v>356</v>
      </c>
    </row>
    <row r="246" spans="1:3" ht="12.75" x14ac:dyDescent="0.2">
      <c r="A246" s="66">
        <v>239</v>
      </c>
      <c r="B246" s="69" t="s">
        <v>357</v>
      </c>
      <c r="C246" s="56" t="s">
        <v>358</v>
      </c>
    </row>
    <row r="247" spans="1:3" ht="12.75" x14ac:dyDescent="0.2">
      <c r="A247" s="66">
        <v>240</v>
      </c>
      <c r="B247" s="69" t="s">
        <v>359</v>
      </c>
      <c r="C247" s="56" t="s">
        <v>360</v>
      </c>
    </row>
    <row r="248" spans="1:3" ht="12.75" x14ac:dyDescent="0.2">
      <c r="A248" s="66">
        <v>241</v>
      </c>
      <c r="B248" s="69" t="s">
        <v>361</v>
      </c>
      <c r="C248" s="56" t="s">
        <v>362</v>
      </c>
    </row>
    <row r="249" spans="1:3" ht="12.75" x14ac:dyDescent="0.2">
      <c r="A249" s="66">
        <v>242</v>
      </c>
      <c r="B249" s="69" t="s">
        <v>363</v>
      </c>
      <c r="C249" s="56" t="s">
        <v>364</v>
      </c>
    </row>
    <row r="250" spans="1:3" ht="12.75" x14ac:dyDescent="0.2">
      <c r="A250" s="66">
        <v>243</v>
      </c>
      <c r="B250" s="69" t="s">
        <v>365</v>
      </c>
      <c r="C250" s="56" t="s">
        <v>366</v>
      </c>
    </row>
    <row r="251" spans="1:3" ht="12.75" x14ac:dyDescent="0.2">
      <c r="A251" s="66">
        <v>244</v>
      </c>
      <c r="B251" s="69" t="s">
        <v>367</v>
      </c>
      <c r="C251" s="56" t="s">
        <v>368</v>
      </c>
    </row>
    <row r="252" spans="1:3" ht="12.75" x14ac:dyDescent="0.2">
      <c r="A252" s="66">
        <v>245</v>
      </c>
      <c r="B252" s="69" t="s">
        <v>369</v>
      </c>
      <c r="C252" s="56" t="s">
        <v>370</v>
      </c>
    </row>
    <row r="253" spans="1:3" ht="12.75" x14ac:dyDescent="0.2">
      <c r="A253" s="66">
        <v>246</v>
      </c>
      <c r="B253" s="69" t="s">
        <v>371</v>
      </c>
      <c r="C253" s="56" t="s">
        <v>372</v>
      </c>
    </row>
    <row r="254" spans="1:3" ht="12.75" x14ac:dyDescent="0.2">
      <c r="A254" s="66">
        <v>247</v>
      </c>
      <c r="B254" s="69" t="s">
        <v>373</v>
      </c>
      <c r="C254" s="56" t="s">
        <v>374</v>
      </c>
    </row>
    <row r="255" spans="1:3" ht="12.75" x14ac:dyDescent="0.2">
      <c r="A255" s="66">
        <v>248</v>
      </c>
      <c r="B255" s="69" t="s">
        <v>375</v>
      </c>
      <c r="C255" s="56" t="s">
        <v>376</v>
      </c>
    </row>
    <row r="256" spans="1:3" ht="12.75" x14ac:dyDescent="0.2">
      <c r="A256" s="66">
        <v>249</v>
      </c>
      <c r="B256" s="69" t="s">
        <v>377</v>
      </c>
      <c r="C256" s="56" t="s">
        <v>378</v>
      </c>
    </row>
    <row r="257" spans="1:3" ht="12.75" x14ac:dyDescent="0.2">
      <c r="A257" s="66">
        <v>250</v>
      </c>
      <c r="B257" s="69" t="s">
        <v>379</v>
      </c>
      <c r="C257" s="56" t="s">
        <v>380</v>
      </c>
    </row>
    <row r="258" spans="1:3" ht="12.75" x14ac:dyDescent="0.2">
      <c r="A258" s="66">
        <v>251</v>
      </c>
      <c r="B258" s="69" t="s">
        <v>381</v>
      </c>
      <c r="C258" s="56" t="s">
        <v>382</v>
      </c>
    </row>
    <row r="259" spans="1:3" ht="12.75" x14ac:dyDescent="0.2">
      <c r="A259" s="66">
        <v>252</v>
      </c>
      <c r="B259" s="69" t="s">
        <v>383</v>
      </c>
      <c r="C259" s="56" t="s">
        <v>384</v>
      </c>
    </row>
    <row r="260" spans="1:3" ht="12.75" x14ac:dyDescent="0.2">
      <c r="A260" s="66">
        <v>253</v>
      </c>
      <c r="B260" s="69" t="s">
        <v>385</v>
      </c>
      <c r="C260" s="56" t="s">
        <v>386</v>
      </c>
    </row>
    <row r="261" spans="1:3" ht="12.75" x14ac:dyDescent="0.2">
      <c r="A261" s="66">
        <v>254</v>
      </c>
      <c r="B261" s="69" t="s">
        <v>387</v>
      </c>
      <c r="C261" s="56" t="s">
        <v>388</v>
      </c>
    </row>
    <row r="262" spans="1:3" ht="12.75" x14ac:dyDescent="0.2">
      <c r="A262" s="66">
        <v>255</v>
      </c>
      <c r="B262" s="69" t="s">
        <v>389</v>
      </c>
      <c r="C262" s="56" t="s">
        <v>390</v>
      </c>
    </row>
    <row r="263" spans="1:3" ht="12.75" x14ac:dyDescent="0.2">
      <c r="A263" s="66">
        <v>256</v>
      </c>
      <c r="B263" s="69" t="s">
        <v>391</v>
      </c>
      <c r="C263" s="56" t="s">
        <v>392</v>
      </c>
    </row>
    <row r="264" spans="1:3" ht="12.75" x14ac:dyDescent="0.2">
      <c r="A264" s="66">
        <v>257</v>
      </c>
      <c r="B264" s="69" t="s">
        <v>393</v>
      </c>
      <c r="C264" s="56" t="s">
        <v>394</v>
      </c>
    </row>
    <row r="265" spans="1:3" ht="12.75" x14ac:dyDescent="0.2">
      <c r="A265" s="66">
        <v>258</v>
      </c>
      <c r="B265" s="69" t="s">
        <v>395</v>
      </c>
      <c r="C265" s="56" t="s">
        <v>396</v>
      </c>
    </row>
    <row r="266" spans="1:3" ht="12.75" x14ac:dyDescent="0.2">
      <c r="A266" s="66">
        <v>259</v>
      </c>
      <c r="B266" s="69" t="s">
        <v>397</v>
      </c>
      <c r="C266" s="56" t="s">
        <v>398</v>
      </c>
    </row>
    <row r="267" spans="1:3" ht="12.75" x14ac:dyDescent="0.2">
      <c r="A267" s="66">
        <v>260</v>
      </c>
      <c r="B267" s="69" t="s">
        <v>399</v>
      </c>
      <c r="C267" s="56" t="s">
        <v>400</v>
      </c>
    </row>
    <row r="268" spans="1:3" ht="12.75" x14ac:dyDescent="0.2">
      <c r="A268" s="66">
        <v>261</v>
      </c>
      <c r="B268" s="69" t="s">
        <v>401</v>
      </c>
      <c r="C268" s="56" t="s">
        <v>402</v>
      </c>
    </row>
    <row r="269" spans="1:3" ht="12.75" x14ac:dyDescent="0.2">
      <c r="A269" s="66">
        <v>262</v>
      </c>
      <c r="B269" s="69" t="s">
        <v>403</v>
      </c>
      <c r="C269" s="56" t="s">
        <v>404</v>
      </c>
    </row>
    <row r="270" spans="1:3" ht="12.75" x14ac:dyDescent="0.2">
      <c r="A270" s="66">
        <v>263</v>
      </c>
      <c r="B270" s="69" t="s">
        <v>405</v>
      </c>
      <c r="C270" s="56" t="s">
        <v>406</v>
      </c>
    </row>
    <row r="271" spans="1:3" ht="12.75" x14ac:dyDescent="0.2">
      <c r="A271" s="66">
        <v>264</v>
      </c>
      <c r="B271" s="69" t="s">
        <v>407</v>
      </c>
      <c r="C271" s="56" t="s">
        <v>408</v>
      </c>
    </row>
    <row r="272" spans="1:3" ht="12.75" x14ac:dyDescent="0.2">
      <c r="A272" s="66">
        <v>265</v>
      </c>
      <c r="B272" s="69" t="s">
        <v>409</v>
      </c>
      <c r="C272" s="56" t="s">
        <v>410</v>
      </c>
    </row>
    <row r="273" spans="1:3" ht="12.75" x14ac:dyDescent="0.2">
      <c r="A273" s="66">
        <v>266</v>
      </c>
      <c r="B273" s="69" t="s">
        <v>411</v>
      </c>
      <c r="C273" s="56" t="s">
        <v>412</v>
      </c>
    </row>
    <row r="274" spans="1:3" ht="12.75" x14ac:dyDescent="0.2">
      <c r="A274" s="66">
        <v>267</v>
      </c>
      <c r="B274" s="69" t="s">
        <v>413</v>
      </c>
      <c r="C274" s="56" t="s">
        <v>414</v>
      </c>
    </row>
    <row r="275" spans="1:3" ht="12.75" x14ac:dyDescent="0.2">
      <c r="A275" s="66">
        <v>268</v>
      </c>
      <c r="B275" s="69" t="s">
        <v>415</v>
      </c>
      <c r="C275" s="56" t="s">
        <v>416</v>
      </c>
    </row>
    <row r="276" spans="1:3" ht="12.75" x14ac:dyDescent="0.2">
      <c r="A276" s="66">
        <v>269</v>
      </c>
      <c r="B276" s="69" t="s">
        <v>417</v>
      </c>
      <c r="C276" s="56" t="s">
        <v>418</v>
      </c>
    </row>
    <row r="277" spans="1:3" ht="12.75" x14ac:dyDescent="0.2">
      <c r="A277" s="66">
        <v>270</v>
      </c>
      <c r="B277" s="69" t="s">
        <v>419</v>
      </c>
      <c r="C277" s="56" t="s">
        <v>420</v>
      </c>
    </row>
    <row r="278" spans="1:3" ht="12.75" x14ac:dyDescent="0.2">
      <c r="A278" s="66">
        <v>271</v>
      </c>
      <c r="B278" s="69" t="s">
        <v>421</v>
      </c>
      <c r="C278" s="56" t="s">
        <v>422</v>
      </c>
    </row>
    <row r="279" spans="1:3" ht="12.75" x14ac:dyDescent="0.2">
      <c r="A279" s="66">
        <v>272</v>
      </c>
      <c r="B279" s="69" t="s">
        <v>423</v>
      </c>
      <c r="C279" s="56" t="s">
        <v>424</v>
      </c>
    </row>
    <row r="280" spans="1:3" ht="12.75" x14ac:dyDescent="0.2">
      <c r="A280" s="66">
        <v>273</v>
      </c>
      <c r="B280" s="69" t="s">
        <v>425</v>
      </c>
      <c r="C280" s="56" t="s">
        <v>426</v>
      </c>
    </row>
    <row r="281" spans="1:3" ht="12.75" x14ac:dyDescent="0.2">
      <c r="A281" s="66">
        <v>274</v>
      </c>
      <c r="B281" s="69" t="s">
        <v>427</v>
      </c>
      <c r="C281" s="56" t="s">
        <v>428</v>
      </c>
    </row>
    <row r="282" spans="1:3" ht="12.75" x14ac:dyDescent="0.2">
      <c r="A282" s="66">
        <v>275</v>
      </c>
      <c r="B282" s="69" t="s">
        <v>429</v>
      </c>
      <c r="C282" s="56" t="s">
        <v>430</v>
      </c>
    </row>
    <row r="283" spans="1:3" ht="12.75" x14ac:dyDescent="0.2">
      <c r="A283" s="66">
        <v>276</v>
      </c>
      <c r="B283" s="69" t="s">
        <v>431</v>
      </c>
      <c r="C283" s="56" t="s">
        <v>432</v>
      </c>
    </row>
    <row r="284" spans="1:3" ht="12.75" x14ac:dyDescent="0.2">
      <c r="A284" s="66">
        <v>277</v>
      </c>
      <c r="B284" s="69" t="s">
        <v>433</v>
      </c>
      <c r="C284" s="56" t="s">
        <v>434</v>
      </c>
    </row>
    <row r="285" spans="1:3" ht="12.75" x14ac:dyDescent="0.2">
      <c r="A285" s="66">
        <v>278</v>
      </c>
      <c r="B285" s="69" t="s">
        <v>435</v>
      </c>
      <c r="C285" s="56" t="s">
        <v>436</v>
      </c>
    </row>
    <row r="286" spans="1:3" ht="12.75" x14ac:dyDescent="0.2">
      <c r="A286" s="66">
        <v>279</v>
      </c>
      <c r="B286" s="69" t="s">
        <v>437</v>
      </c>
      <c r="C286" s="56" t="s">
        <v>438</v>
      </c>
    </row>
    <row r="287" spans="1:3" ht="12.75" x14ac:dyDescent="0.2">
      <c r="A287" s="66">
        <v>280</v>
      </c>
      <c r="B287" s="69" t="s">
        <v>439</v>
      </c>
      <c r="C287" s="56" t="s">
        <v>440</v>
      </c>
    </row>
    <row r="288" spans="1:3" ht="12.75" x14ac:dyDescent="0.2">
      <c r="A288" s="66">
        <v>281</v>
      </c>
      <c r="B288" s="69" t="s">
        <v>441</v>
      </c>
      <c r="C288" s="56" t="s">
        <v>442</v>
      </c>
    </row>
    <row r="289" spans="1:3" ht="12.75" x14ac:dyDescent="0.2">
      <c r="A289" s="66">
        <v>282</v>
      </c>
      <c r="B289" s="69" t="s">
        <v>443</v>
      </c>
      <c r="C289" s="56" t="s">
        <v>444</v>
      </c>
    </row>
    <row r="290" spans="1:3" ht="12.75" x14ac:dyDescent="0.2">
      <c r="A290" s="66">
        <v>283</v>
      </c>
      <c r="B290" s="69" t="s">
        <v>445</v>
      </c>
      <c r="C290" s="56" t="s">
        <v>446</v>
      </c>
    </row>
    <row r="291" spans="1:3" ht="12.75" x14ac:dyDescent="0.2">
      <c r="A291" s="66">
        <v>284</v>
      </c>
      <c r="B291" s="69" t="s">
        <v>447</v>
      </c>
      <c r="C291" s="56" t="s">
        <v>448</v>
      </c>
    </row>
    <row r="292" spans="1:3" ht="12.75" x14ac:dyDescent="0.2">
      <c r="A292" s="66">
        <v>285</v>
      </c>
      <c r="B292" s="69" t="s">
        <v>449</v>
      </c>
      <c r="C292" s="56" t="s">
        <v>450</v>
      </c>
    </row>
    <row r="293" spans="1:3" ht="12.75" x14ac:dyDescent="0.2">
      <c r="A293" s="66">
        <v>286</v>
      </c>
      <c r="B293" s="69" t="s">
        <v>451</v>
      </c>
      <c r="C293" s="56" t="s">
        <v>452</v>
      </c>
    </row>
    <row r="294" spans="1:3" ht="12.75" x14ac:dyDescent="0.2">
      <c r="A294" s="66">
        <v>287</v>
      </c>
      <c r="B294" s="69" t="s">
        <v>453</v>
      </c>
      <c r="C294" s="56" t="s">
        <v>454</v>
      </c>
    </row>
    <row r="295" spans="1:3" ht="12.75" x14ac:dyDescent="0.2">
      <c r="A295" s="66">
        <v>288</v>
      </c>
      <c r="B295" s="69" t="s">
        <v>455</v>
      </c>
      <c r="C295" s="56" t="s">
        <v>456</v>
      </c>
    </row>
    <row r="296" spans="1:3" ht="12.75" x14ac:dyDescent="0.2">
      <c r="A296" s="66">
        <v>289</v>
      </c>
      <c r="B296" s="69" t="s">
        <v>457</v>
      </c>
      <c r="C296" s="56" t="s">
        <v>458</v>
      </c>
    </row>
    <row r="297" spans="1:3" ht="12.75" x14ac:dyDescent="0.2">
      <c r="A297" s="66">
        <v>290</v>
      </c>
      <c r="B297" s="69" t="s">
        <v>459</v>
      </c>
      <c r="C297" s="56" t="s">
        <v>460</v>
      </c>
    </row>
    <row r="298" spans="1:3" ht="12.75" x14ac:dyDescent="0.2">
      <c r="A298" s="66">
        <v>291</v>
      </c>
      <c r="B298" s="69" t="s">
        <v>461</v>
      </c>
      <c r="C298" s="56" t="s">
        <v>462</v>
      </c>
    </row>
    <row r="299" spans="1:3" ht="12.75" x14ac:dyDescent="0.2">
      <c r="A299" s="66">
        <v>292</v>
      </c>
      <c r="B299" s="69" t="s">
        <v>463</v>
      </c>
      <c r="C299" s="56" t="s">
        <v>464</v>
      </c>
    </row>
    <row r="300" spans="1:3" ht="12.75" x14ac:dyDescent="0.2">
      <c r="A300" s="66">
        <v>293</v>
      </c>
      <c r="B300" s="69" t="s">
        <v>465</v>
      </c>
      <c r="C300" s="56" t="s">
        <v>466</v>
      </c>
    </row>
    <row r="301" spans="1:3" ht="12.75" x14ac:dyDescent="0.2">
      <c r="A301" s="66">
        <v>294</v>
      </c>
      <c r="B301" s="69" t="s">
        <v>467</v>
      </c>
      <c r="C301" s="56" t="s">
        <v>468</v>
      </c>
    </row>
    <row r="302" spans="1:3" ht="12.75" x14ac:dyDescent="0.2">
      <c r="A302" s="66">
        <v>295</v>
      </c>
      <c r="B302" s="69" t="s">
        <v>469</v>
      </c>
      <c r="C302" s="56" t="s">
        <v>470</v>
      </c>
    </row>
    <row r="303" spans="1:3" ht="12.75" x14ac:dyDescent="0.2">
      <c r="A303" s="66">
        <v>296</v>
      </c>
      <c r="B303" s="69" t="s">
        <v>471</v>
      </c>
      <c r="C303" s="56" t="s">
        <v>472</v>
      </c>
    </row>
    <row r="304" spans="1:3" ht="12.75" x14ac:dyDescent="0.2">
      <c r="A304" s="66">
        <v>297</v>
      </c>
      <c r="B304" s="69" t="s">
        <v>473</v>
      </c>
      <c r="C304" s="56" t="s">
        <v>474</v>
      </c>
    </row>
    <row r="305" spans="1:3" ht="12.75" x14ac:dyDescent="0.2">
      <c r="A305" s="66">
        <v>298</v>
      </c>
      <c r="B305" s="69" t="s">
        <v>475</v>
      </c>
      <c r="C305" s="56" t="s">
        <v>476</v>
      </c>
    </row>
    <row r="306" spans="1:3" ht="12.75" x14ac:dyDescent="0.2">
      <c r="A306" s="66">
        <v>299</v>
      </c>
      <c r="B306" s="69" t="s">
        <v>477</v>
      </c>
      <c r="C306" s="56" t="s">
        <v>478</v>
      </c>
    </row>
    <row r="307" spans="1:3" ht="12.75" x14ac:dyDescent="0.2">
      <c r="A307" s="66">
        <v>300</v>
      </c>
      <c r="B307" s="69" t="s">
        <v>479</v>
      </c>
      <c r="C307" s="56" t="s">
        <v>480</v>
      </c>
    </row>
    <row r="308" spans="1:3" ht="12.75" x14ac:dyDescent="0.2">
      <c r="A308" s="66">
        <v>301</v>
      </c>
      <c r="B308" s="69" t="s">
        <v>481</v>
      </c>
      <c r="C308" s="56" t="s">
        <v>482</v>
      </c>
    </row>
    <row r="309" spans="1:3" ht="12.75" x14ac:dyDescent="0.2">
      <c r="A309" s="66">
        <v>302</v>
      </c>
      <c r="B309" s="69" t="s">
        <v>483</v>
      </c>
      <c r="C309" s="56" t="s">
        <v>484</v>
      </c>
    </row>
    <row r="310" spans="1:3" ht="12.75" x14ac:dyDescent="0.2">
      <c r="A310" s="66">
        <v>303</v>
      </c>
      <c r="B310" s="69" t="s">
        <v>485</v>
      </c>
      <c r="C310" s="56" t="s">
        <v>486</v>
      </c>
    </row>
    <row r="311" spans="1:3" ht="12.75" x14ac:dyDescent="0.2">
      <c r="A311" s="66">
        <v>304</v>
      </c>
      <c r="B311" s="69" t="s">
        <v>487</v>
      </c>
      <c r="C311" s="56" t="s">
        <v>488</v>
      </c>
    </row>
    <row r="312" spans="1:3" ht="12.75" x14ac:dyDescent="0.2">
      <c r="A312" s="66">
        <v>305</v>
      </c>
      <c r="B312" s="69" t="s">
        <v>489</v>
      </c>
      <c r="C312" s="56" t="s">
        <v>490</v>
      </c>
    </row>
    <row r="313" spans="1:3" ht="12.75" x14ac:dyDescent="0.2">
      <c r="A313" s="66">
        <v>306</v>
      </c>
      <c r="B313" s="69" t="s">
        <v>491</v>
      </c>
      <c r="C313" s="56" t="s">
        <v>492</v>
      </c>
    </row>
    <row r="314" spans="1:3" ht="12.75" x14ac:dyDescent="0.2">
      <c r="A314" s="66">
        <v>307</v>
      </c>
      <c r="B314" s="69" t="s">
        <v>493</v>
      </c>
      <c r="C314" s="56" t="s">
        <v>494</v>
      </c>
    </row>
    <row r="315" spans="1:3" ht="12.75" x14ac:dyDescent="0.2">
      <c r="A315" s="66">
        <v>308</v>
      </c>
      <c r="B315" s="69" t="s">
        <v>495</v>
      </c>
      <c r="C315" s="56" t="s">
        <v>496</v>
      </c>
    </row>
    <row r="316" spans="1:3" ht="12.75" x14ac:dyDescent="0.2">
      <c r="A316" s="66">
        <v>309</v>
      </c>
      <c r="B316" s="69" t="s">
        <v>497</v>
      </c>
      <c r="C316" s="56" t="s">
        <v>498</v>
      </c>
    </row>
    <row r="317" spans="1:3" ht="12.75" x14ac:dyDescent="0.2">
      <c r="A317" s="66">
        <v>310</v>
      </c>
      <c r="B317" s="69" t="s">
        <v>499</v>
      </c>
      <c r="C317" s="56" t="s">
        <v>500</v>
      </c>
    </row>
    <row r="318" spans="1:3" ht="12.75" x14ac:dyDescent="0.2">
      <c r="A318" s="66">
        <v>311</v>
      </c>
      <c r="B318" s="69" t="s">
        <v>501</v>
      </c>
      <c r="C318" s="56" t="s">
        <v>502</v>
      </c>
    </row>
    <row r="319" spans="1:3" ht="12.75" x14ac:dyDescent="0.2">
      <c r="A319" s="66">
        <v>312</v>
      </c>
      <c r="B319" s="69" t="s">
        <v>503</v>
      </c>
      <c r="C319" s="56" t="s">
        <v>504</v>
      </c>
    </row>
    <row r="320" spans="1:3" ht="12.75" x14ac:dyDescent="0.2">
      <c r="A320" s="66">
        <v>313</v>
      </c>
      <c r="B320" s="69" t="s">
        <v>505</v>
      </c>
      <c r="C320" s="56" t="s">
        <v>506</v>
      </c>
    </row>
    <row r="321" spans="1:3" ht="12.75" x14ac:dyDescent="0.2">
      <c r="A321" s="66">
        <v>314</v>
      </c>
      <c r="B321" s="69" t="s">
        <v>507</v>
      </c>
      <c r="C321" s="56" t="s">
        <v>508</v>
      </c>
    </row>
    <row r="322" spans="1:3" ht="12.75" x14ac:dyDescent="0.2">
      <c r="A322" s="66">
        <v>315</v>
      </c>
      <c r="B322" s="69" t="s">
        <v>509</v>
      </c>
      <c r="C322" s="56" t="s">
        <v>510</v>
      </c>
    </row>
    <row r="323" spans="1:3" ht="12.75" x14ac:dyDescent="0.2">
      <c r="A323" s="66">
        <v>316</v>
      </c>
      <c r="B323" s="69" t="s">
        <v>511</v>
      </c>
      <c r="C323" s="56" t="s">
        <v>512</v>
      </c>
    </row>
    <row r="324" spans="1:3" ht="12.75" x14ac:dyDescent="0.2">
      <c r="A324" s="66">
        <v>317</v>
      </c>
      <c r="B324" s="69" t="s">
        <v>513</v>
      </c>
      <c r="C324" s="56" t="s">
        <v>514</v>
      </c>
    </row>
    <row r="325" spans="1:3" ht="12.75" x14ac:dyDescent="0.2">
      <c r="A325" s="66">
        <v>318</v>
      </c>
      <c r="B325" s="69" t="s">
        <v>515</v>
      </c>
      <c r="C325" s="56" t="s">
        <v>516</v>
      </c>
    </row>
    <row r="326" spans="1:3" ht="12.75" x14ac:dyDescent="0.2">
      <c r="A326" s="66">
        <v>319</v>
      </c>
      <c r="B326" s="69" t="s">
        <v>517</v>
      </c>
      <c r="C326" s="56" t="s">
        <v>518</v>
      </c>
    </row>
    <row r="327" spans="1:3" ht="12.75" x14ac:dyDescent="0.2">
      <c r="A327" s="66">
        <v>320</v>
      </c>
      <c r="B327" s="69" t="s">
        <v>519</v>
      </c>
      <c r="C327" s="56" t="s">
        <v>520</v>
      </c>
    </row>
    <row r="328" spans="1:3" ht="12.75" x14ac:dyDescent="0.2">
      <c r="A328" s="66">
        <v>321</v>
      </c>
      <c r="B328" s="69" t="s">
        <v>521</v>
      </c>
      <c r="C328" s="56" t="s">
        <v>522</v>
      </c>
    </row>
    <row r="329" spans="1:3" ht="12.75" x14ac:dyDescent="0.2">
      <c r="A329" s="66">
        <v>322</v>
      </c>
      <c r="B329" s="69" t="s">
        <v>523</v>
      </c>
      <c r="C329" s="56" t="s">
        <v>524</v>
      </c>
    </row>
    <row r="330" spans="1:3" ht="12.75" x14ac:dyDescent="0.2">
      <c r="A330" s="66">
        <v>323</v>
      </c>
      <c r="B330" s="69" t="s">
        <v>525</v>
      </c>
      <c r="C330" s="56" t="s">
        <v>526</v>
      </c>
    </row>
    <row r="331" spans="1:3" ht="12.75" x14ac:dyDescent="0.2">
      <c r="A331" s="66">
        <v>324</v>
      </c>
      <c r="B331" s="69" t="s">
        <v>527</v>
      </c>
      <c r="C331" s="56" t="s">
        <v>528</v>
      </c>
    </row>
    <row r="332" spans="1:3" ht="12.75" x14ac:dyDescent="0.2">
      <c r="A332" s="66">
        <v>325</v>
      </c>
      <c r="B332" s="69" t="s">
        <v>529</v>
      </c>
      <c r="C332" s="56" t="s">
        <v>530</v>
      </c>
    </row>
    <row r="333" spans="1:3" ht="13.5" thickBot="1" x14ac:dyDescent="0.25">
      <c r="A333" s="67">
        <v>326</v>
      </c>
      <c r="B333" s="71" t="s">
        <v>531</v>
      </c>
      <c r="C333" s="58" t="s">
        <v>532</v>
      </c>
    </row>
    <row r="334" spans="1:3" ht="13.5" thickBot="1" x14ac:dyDescent="0.25">
      <c r="A334" s="72">
        <v>327</v>
      </c>
      <c r="B334" s="94" t="s">
        <v>686</v>
      </c>
      <c r="C334" s="54" t="s">
        <v>533</v>
      </c>
    </row>
    <row r="335" spans="1:3" ht="12.75" x14ac:dyDescent="0.2">
      <c r="A335" s="53"/>
      <c r="B335" s="53"/>
      <c r="C335" s="53"/>
    </row>
  </sheetData>
  <phoneticPr fontId="5" type="noConversion"/>
  <pageMargins left="0.39370078740157483" right="0.39370078740157483" top="0.39370078740157483" bottom="0.39370078740157483" header="0.51181102362204722" footer="0.51181102362204722"/>
  <pageSetup paperSize="9" scale="25" fitToHeight="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66"/>
  <sheetViews>
    <sheetView showGridLines="0" zoomScaleNormal="100" zoomScaleSheetLayoutView="100" workbookViewId="0"/>
  </sheetViews>
  <sheetFormatPr defaultColWidth="9.140625" defaultRowHeight="15" x14ac:dyDescent="0.2"/>
  <cols>
    <col min="1" max="2" width="1.7109375" style="5" customWidth="1"/>
    <col min="3" max="3" width="5.5703125" style="5" customWidth="1"/>
    <col min="4" max="6" width="9.140625" style="5"/>
    <col min="7" max="7" width="10.7109375" style="5" bestFit="1" customWidth="1"/>
    <col min="8" max="8" width="9.140625" style="5"/>
    <col min="9" max="9" width="13" style="5" bestFit="1" customWidth="1"/>
    <col min="10" max="10" width="3.7109375" style="5" customWidth="1"/>
    <col min="11" max="12" width="9.28515625" style="5" customWidth="1"/>
    <col min="13" max="14" width="2.7109375" style="5" customWidth="1"/>
    <col min="15" max="16" width="9.140625" style="5"/>
    <col min="17" max="18" width="2.7109375" style="5" customWidth="1"/>
    <col min="19" max="20" width="9.140625" style="5"/>
    <col min="21" max="22" width="2.7109375" style="5" customWidth="1"/>
    <col min="23" max="24" width="11.42578125" style="5" customWidth="1"/>
    <col min="25" max="26" width="2.7109375" style="5" customWidth="1"/>
    <col min="27" max="27" width="9.140625" style="5"/>
    <col min="28" max="28" width="10.85546875" style="5" customWidth="1"/>
    <col min="29" max="29" width="1.5703125" style="5" customWidth="1"/>
    <col min="30" max="30" width="1.7109375" style="5" customWidth="1"/>
    <col min="31" max="31" width="10.7109375" style="263" bestFit="1" customWidth="1"/>
    <col min="32" max="32" width="10.140625" style="4" bestFit="1" customWidth="1"/>
    <col min="33" max="33" width="22.85546875" style="5" bestFit="1" customWidth="1"/>
    <col min="34" max="35" width="10.140625" style="5" bestFit="1" customWidth="1"/>
    <col min="36" max="36" width="17.5703125" style="5" bestFit="1" customWidth="1"/>
    <col min="37" max="37" width="10.7109375" style="5" bestFit="1" customWidth="1"/>
    <col min="38" max="38" width="9.140625" style="5"/>
    <col min="39" max="39" width="16.28515625" style="5" bestFit="1" customWidth="1"/>
    <col min="40" max="16384" width="9.140625" style="5"/>
  </cols>
  <sheetData>
    <row r="1" spans="1:33" x14ac:dyDescent="0.2">
      <c r="A1" s="338"/>
      <c r="B1" s="339"/>
      <c r="C1" s="339"/>
      <c r="D1" s="339"/>
      <c r="E1" s="339"/>
      <c r="F1" s="324">
        <f>+'Part 1'!F1</f>
        <v>35</v>
      </c>
      <c r="G1" s="339"/>
      <c r="H1" s="339"/>
      <c r="I1" s="339"/>
      <c r="J1" s="339"/>
      <c r="K1" s="339"/>
      <c r="L1" s="339"/>
      <c r="M1" s="339"/>
      <c r="N1" s="339"/>
      <c r="O1" s="339"/>
      <c r="P1" s="339"/>
      <c r="Q1" s="339"/>
      <c r="R1" s="339"/>
      <c r="S1" s="339"/>
      <c r="T1" s="725"/>
      <c r="U1" s="725"/>
      <c r="V1" s="725"/>
      <c r="W1" s="339"/>
      <c r="X1" s="339"/>
      <c r="Y1" s="339"/>
      <c r="Z1" s="339"/>
      <c r="AA1" s="339"/>
      <c r="AB1" s="339"/>
      <c r="AC1" s="339"/>
      <c r="AD1" s="340"/>
      <c r="AE1" s="177"/>
      <c r="AF1" s="5"/>
    </row>
    <row r="2" spans="1:33" ht="20.25" x14ac:dyDescent="0.3">
      <c r="A2" s="690" t="s">
        <v>826</v>
      </c>
      <c r="B2" s="726"/>
      <c r="C2" s="726"/>
      <c r="D2" s="726"/>
      <c r="E2" s="726"/>
      <c r="F2" s="726"/>
      <c r="G2" s="726"/>
      <c r="H2" s="726"/>
      <c r="I2" s="726"/>
      <c r="J2" s="726"/>
      <c r="K2" s="726"/>
      <c r="L2" s="726"/>
      <c r="M2" s="726"/>
      <c r="N2" s="726"/>
      <c r="O2" s="726"/>
      <c r="P2" s="726"/>
      <c r="Q2" s="726"/>
      <c r="R2" s="726"/>
      <c r="S2" s="726"/>
      <c r="T2" s="726"/>
      <c r="U2" s="726"/>
      <c r="V2" s="726"/>
      <c r="W2" s="726"/>
      <c r="X2" s="726"/>
      <c r="Y2" s="726"/>
      <c r="Z2" s="726"/>
      <c r="AA2" s="726"/>
      <c r="AB2" s="726"/>
      <c r="AC2" s="726"/>
      <c r="AD2" s="727"/>
      <c r="AE2" s="177"/>
      <c r="AF2" s="5"/>
    </row>
    <row r="3" spans="1:33" ht="20.25" x14ac:dyDescent="0.3">
      <c r="A3" s="690" t="s">
        <v>927</v>
      </c>
      <c r="B3" s="726"/>
      <c r="C3" s="726"/>
      <c r="D3" s="726"/>
      <c r="E3" s="726"/>
      <c r="F3" s="726"/>
      <c r="G3" s="726"/>
      <c r="H3" s="726"/>
      <c r="I3" s="726"/>
      <c r="J3" s="726"/>
      <c r="K3" s="726"/>
      <c r="L3" s="726"/>
      <c r="M3" s="726"/>
      <c r="N3" s="726"/>
      <c r="O3" s="726"/>
      <c r="P3" s="726"/>
      <c r="Q3" s="726"/>
      <c r="R3" s="726"/>
      <c r="S3" s="726"/>
      <c r="T3" s="726"/>
      <c r="U3" s="726"/>
      <c r="V3" s="726"/>
      <c r="W3" s="726"/>
      <c r="X3" s="726"/>
      <c r="Y3" s="726"/>
      <c r="Z3" s="726"/>
      <c r="AA3" s="726"/>
      <c r="AB3" s="726"/>
      <c r="AC3" s="726"/>
      <c r="AD3" s="727"/>
      <c r="AE3" s="177"/>
      <c r="AF3" s="5"/>
    </row>
    <row r="4" spans="1:33" ht="20.25" x14ac:dyDescent="0.3">
      <c r="A4" s="378"/>
      <c r="B4" s="379"/>
      <c r="C4" s="379"/>
      <c r="D4" s="379"/>
      <c r="E4" s="379"/>
      <c r="F4" s="379"/>
      <c r="G4" s="379"/>
      <c r="H4" s="379"/>
      <c r="I4" s="379"/>
      <c r="J4" s="379"/>
      <c r="K4" s="379"/>
      <c r="L4" s="379"/>
      <c r="M4" s="379"/>
      <c r="N4" s="379"/>
      <c r="O4" s="379"/>
      <c r="P4" s="379"/>
      <c r="Q4" s="379"/>
      <c r="R4" s="379"/>
      <c r="S4" s="379"/>
      <c r="T4" s="379"/>
      <c r="U4" s="379"/>
      <c r="V4" s="379"/>
      <c r="W4" s="379"/>
      <c r="X4" s="379"/>
      <c r="Y4" s="379"/>
      <c r="Z4" s="379"/>
      <c r="AA4" s="379"/>
      <c r="AB4" s="379"/>
      <c r="AC4" s="379"/>
      <c r="AD4" s="380"/>
      <c r="AE4" s="177"/>
      <c r="AF4" s="5"/>
    </row>
    <row r="5" spans="1:33" x14ac:dyDescent="0.2">
      <c r="A5" s="693"/>
      <c r="B5" s="652"/>
      <c r="C5" s="652"/>
      <c r="D5" s="652"/>
      <c r="E5" s="652"/>
      <c r="F5" s="652"/>
      <c r="G5" s="652"/>
      <c r="H5" s="652"/>
      <c r="I5" s="652"/>
      <c r="J5" s="652"/>
      <c r="K5" s="652"/>
      <c r="L5" s="652"/>
      <c r="M5" s="652"/>
      <c r="N5" s="652"/>
      <c r="O5" s="652"/>
      <c r="P5" s="652"/>
      <c r="Q5" s="652"/>
      <c r="R5" s="652"/>
      <c r="S5" s="652"/>
      <c r="T5" s="652"/>
      <c r="U5" s="652"/>
      <c r="V5" s="652"/>
      <c r="W5" s="652"/>
      <c r="X5" s="652"/>
      <c r="Y5" s="652"/>
      <c r="Z5" s="652"/>
      <c r="AA5" s="652"/>
      <c r="AB5" s="652"/>
      <c r="AC5" s="652"/>
      <c r="AD5" s="653"/>
      <c r="AE5" s="177"/>
      <c r="AF5" s="5"/>
    </row>
    <row r="6" spans="1:33" x14ac:dyDescent="0.2">
      <c r="A6" s="217"/>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8"/>
      <c r="AE6" s="177"/>
      <c r="AF6" s="5"/>
    </row>
    <row r="7" spans="1:33" x14ac:dyDescent="0.2">
      <c r="A7" s="693"/>
      <c r="B7" s="652"/>
      <c r="C7" s="652"/>
      <c r="D7" s="652"/>
      <c r="E7" s="652"/>
      <c r="F7" s="652"/>
      <c r="G7" s="652"/>
      <c r="H7" s="652"/>
      <c r="I7" s="652"/>
      <c r="J7" s="652"/>
      <c r="K7" s="652"/>
      <c r="L7" s="652"/>
      <c r="M7" s="652"/>
      <c r="N7" s="652"/>
      <c r="O7" s="652"/>
      <c r="P7" s="652"/>
      <c r="Q7" s="652"/>
      <c r="R7" s="652"/>
      <c r="S7" s="652"/>
      <c r="T7" s="652"/>
      <c r="U7" s="652"/>
      <c r="V7" s="652"/>
      <c r="W7" s="652"/>
      <c r="X7" s="652"/>
      <c r="Y7" s="652"/>
      <c r="Z7" s="652"/>
      <c r="AA7" s="652"/>
      <c r="AB7" s="652"/>
      <c r="AC7" s="652"/>
      <c r="AD7" s="653"/>
      <c r="AE7" s="177"/>
      <c r="AF7" s="5"/>
    </row>
    <row r="8" spans="1:33" ht="15.75" thickBot="1" x14ac:dyDescent="0.25">
      <c r="A8" s="32"/>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2"/>
      <c r="AB8" s="261"/>
      <c r="AC8" s="341"/>
      <c r="AD8" s="34"/>
      <c r="AE8" s="177"/>
      <c r="AF8" s="5"/>
    </row>
    <row r="9" spans="1:33" x14ac:dyDescent="0.2">
      <c r="A9" s="7"/>
      <c r="B9" s="6"/>
      <c r="C9" s="6"/>
      <c r="D9" s="6"/>
      <c r="E9" s="6"/>
      <c r="F9" s="6"/>
      <c r="G9" s="6"/>
      <c r="H9" s="6"/>
      <c r="I9" s="6"/>
      <c r="J9" s="6"/>
      <c r="K9" s="6"/>
      <c r="L9" s="6"/>
      <c r="M9" s="6"/>
      <c r="N9" s="6"/>
      <c r="O9" s="6"/>
      <c r="P9" s="6"/>
      <c r="Q9" s="6"/>
      <c r="R9" s="6"/>
      <c r="S9" s="6"/>
      <c r="T9" s="6"/>
      <c r="U9" s="6"/>
      <c r="V9" s="6"/>
      <c r="W9" s="6"/>
      <c r="X9" s="6"/>
      <c r="Y9" s="6"/>
      <c r="Z9" s="6"/>
      <c r="AA9" s="6"/>
      <c r="AB9" s="6"/>
      <c r="AC9" s="6"/>
      <c r="AD9" s="8"/>
      <c r="AE9" s="177"/>
      <c r="AF9" s="5"/>
    </row>
    <row r="10" spans="1:33" ht="18" x14ac:dyDescent="0.25">
      <c r="A10" s="7"/>
      <c r="B10" s="6"/>
      <c r="C10" s="39" t="str">
        <f>+CONCATENATE("Local Authority : ",VLOOKUP(F1,Part4,5,FALSE))</f>
        <v>Local Authority : Bristol</v>
      </c>
      <c r="D10" s="6"/>
      <c r="E10" s="6"/>
      <c r="F10" s="6"/>
      <c r="G10" s="6"/>
      <c r="H10" s="6"/>
      <c r="I10" s="6"/>
      <c r="J10" s="6"/>
      <c r="K10" s="40"/>
      <c r="L10" s="40"/>
      <c r="M10" s="40"/>
      <c r="N10" s="40"/>
      <c r="O10" s="40"/>
      <c r="P10" s="43"/>
      <c r="Q10" s="43"/>
      <c r="R10" s="40"/>
      <c r="S10" s="40"/>
      <c r="T10" s="40"/>
      <c r="U10" s="40"/>
      <c r="V10" s="48"/>
      <c r="W10" s="40"/>
      <c r="X10" s="40"/>
      <c r="Y10" s="40"/>
      <c r="Z10" s="40"/>
      <c r="AA10" s="40"/>
      <c r="AB10" s="40"/>
      <c r="AC10" s="6"/>
      <c r="AD10" s="8"/>
      <c r="AE10" s="177"/>
      <c r="AF10" s="5"/>
    </row>
    <row r="11" spans="1:33" ht="15.75" x14ac:dyDescent="0.25">
      <c r="A11" s="7"/>
      <c r="B11" s="6"/>
      <c r="C11" s="6"/>
      <c r="D11" s="6"/>
      <c r="E11" s="6"/>
      <c r="F11" s="6"/>
      <c r="G11" s="6"/>
      <c r="H11" s="6"/>
      <c r="I11" s="6"/>
      <c r="J11" s="6"/>
      <c r="K11" s="40"/>
      <c r="L11" s="40"/>
      <c r="M11" s="40"/>
      <c r="N11" s="40"/>
      <c r="O11" s="40"/>
      <c r="P11" s="40"/>
      <c r="Q11" s="40"/>
      <c r="R11" s="40"/>
      <c r="S11" s="40"/>
      <c r="T11" s="40"/>
      <c r="U11" s="40"/>
      <c r="V11" s="40"/>
      <c r="W11" s="40"/>
      <c r="X11" s="40"/>
      <c r="Y11" s="40"/>
      <c r="Z11" s="40"/>
      <c r="AA11" s="40"/>
      <c r="AB11" s="40"/>
      <c r="AC11" s="6"/>
      <c r="AD11" s="8"/>
      <c r="AE11" s="177"/>
      <c r="AF11" s="225"/>
    </row>
    <row r="12" spans="1:33" ht="15.75" x14ac:dyDescent="0.25">
      <c r="A12" s="7"/>
      <c r="B12" s="6"/>
      <c r="C12" s="676" t="s">
        <v>837</v>
      </c>
      <c r="D12" s="676"/>
      <c r="E12" s="676"/>
      <c r="F12" s="676"/>
      <c r="G12" s="676"/>
      <c r="H12" s="676"/>
      <c r="I12" s="6"/>
      <c r="J12" s="6"/>
      <c r="K12" s="40"/>
      <c r="L12" s="40"/>
      <c r="M12" s="40"/>
      <c r="N12" s="40"/>
      <c r="O12" s="40"/>
      <c r="P12" s="40"/>
      <c r="Q12" s="40"/>
      <c r="R12" s="40"/>
      <c r="S12" s="40"/>
      <c r="T12" s="40"/>
      <c r="U12" s="40"/>
      <c r="V12" s="40"/>
      <c r="W12" s="40"/>
      <c r="X12" s="40"/>
      <c r="Y12" s="40"/>
      <c r="Z12" s="40"/>
      <c r="AA12" s="40"/>
      <c r="AB12" s="40"/>
      <c r="AC12" s="6"/>
      <c r="AD12" s="8"/>
    </row>
    <row r="13" spans="1:33" ht="15.75" x14ac:dyDescent="0.25">
      <c r="A13" s="7"/>
      <c r="B13" s="6"/>
      <c r="C13" s="722" t="s">
        <v>838</v>
      </c>
      <c r="D13" s="686"/>
      <c r="E13" s="686"/>
      <c r="F13" s="686"/>
      <c r="G13" s="686"/>
      <c r="H13" s="686"/>
      <c r="I13" s="686"/>
      <c r="J13" s="686"/>
      <c r="K13" s="686"/>
      <c r="L13" s="686"/>
      <c r="M13" s="686"/>
      <c r="N13" s="686"/>
      <c r="O13" s="686"/>
      <c r="P13" s="686"/>
      <c r="Q13" s="686"/>
      <c r="R13" s="686"/>
      <c r="S13" s="686"/>
      <c r="T13" s="686"/>
      <c r="U13" s="686"/>
      <c r="V13" s="686"/>
      <c r="W13" s="686"/>
      <c r="X13" s="686"/>
      <c r="Y13" s="686"/>
      <c r="Z13" s="686"/>
      <c r="AA13" s="686"/>
      <c r="AB13" s="40"/>
      <c r="AC13" s="6"/>
      <c r="AD13" s="8"/>
      <c r="AF13" s="343"/>
    </row>
    <row r="14" spans="1:33" x14ac:dyDescent="0.2">
      <c r="A14" s="7"/>
      <c r="B14" s="6"/>
      <c r="C14" s="686"/>
      <c r="D14" s="686"/>
      <c r="E14" s="686"/>
      <c r="F14" s="686"/>
      <c r="G14" s="686"/>
      <c r="H14" s="686"/>
      <c r="I14" s="686"/>
      <c r="J14" s="686"/>
      <c r="K14" s="686"/>
      <c r="L14" s="686"/>
      <c r="M14" s="686"/>
      <c r="N14" s="686"/>
      <c r="O14" s="686"/>
      <c r="P14" s="686"/>
      <c r="Q14" s="686"/>
      <c r="R14" s="686"/>
      <c r="S14" s="686"/>
      <c r="T14" s="686"/>
      <c r="U14" s="686"/>
      <c r="V14" s="686"/>
      <c r="W14" s="686"/>
      <c r="X14" s="686"/>
      <c r="Y14" s="686"/>
      <c r="Z14" s="686"/>
      <c r="AA14" s="686"/>
      <c r="AB14" s="40"/>
      <c r="AC14" s="6"/>
      <c r="AD14" s="8"/>
    </row>
    <row r="15" spans="1:33" ht="15.75" x14ac:dyDescent="0.25">
      <c r="A15" s="7"/>
      <c r="B15" s="6"/>
      <c r="C15" s="6"/>
      <c r="D15" s="6"/>
      <c r="E15" s="6"/>
      <c r="F15" s="6"/>
      <c r="G15" s="6"/>
      <c r="H15" s="6"/>
      <c r="I15" s="6"/>
      <c r="J15" s="6"/>
      <c r="K15" s="671" t="s">
        <v>539</v>
      </c>
      <c r="L15" s="671"/>
      <c r="M15" s="174"/>
      <c r="N15" s="40"/>
      <c r="O15" s="671" t="s">
        <v>540</v>
      </c>
      <c r="P15" s="671"/>
      <c r="Q15" s="174"/>
      <c r="R15" s="174"/>
      <c r="S15" s="671" t="s">
        <v>541</v>
      </c>
      <c r="T15" s="671"/>
      <c r="U15" s="174"/>
      <c r="V15" s="174"/>
      <c r="W15" s="671" t="s">
        <v>542</v>
      </c>
      <c r="X15" s="671"/>
      <c r="Y15" s="174"/>
      <c r="Z15" s="174"/>
      <c r="AA15" s="671" t="s">
        <v>551</v>
      </c>
      <c r="AB15" s="671"/>
      <c r="AC15" s="6"/>
      <c r="AD15" s="8"/>
      <c r="AF15" s="343"/>
    </row>
    <row r="16" spans="1:33" ht="15.75" customHeight="1" x14ac:dyDescent="0.25">
      <c r="A16" s="7"/>
      <c r="B16" s="6"/>
      <c r="C16" s="6"/>
      <c r="D16" s="6"/>
      <c r="E16" s="6"/>
      <c r="F16" s="6"/>
      <c r="G16" s="6"/>
      <c r="H16" s="6"/>
      <c r="I16" s="6"/>
      <c r="J16" s="6"/>
      <c r="K16" s="713" t="s">
        <v>33</v>
      </c>
      <c r="L16" s="724"/>
      <c r="M16" s="344"/>
      <c r="N16" s="540"/>
      <c r="O16" s="713" t="str">
        <f>+'Part 4'!J26</f>
        <v>Bristol</v>
      </c>
      <c r="P16" s="724"/>
      <c r="Q16" s="344"/>
      <c r="R16" s="344"/>
      <c r="S16" s="713" t="str">
        <f>+'Part 4'!N26</f>
        <v>-</v>
      </c>
      <c r="T16" s="724"/>
      <c r="U16" s="344"/>
      <c r="V16" s="344"/>
      <c r="W16" s="713" t="str">
        <f>+'Part 4'!S26</f>
        <v>Avon Fire Authority</v>
      </c>
      <c r="X16" s="724"/>
      <c r="Y16" s="344"/>
      <c r="Z16" s="540"/>
      <c r="AA16" s="713" t="s">
        <v>547</v>
      </c>
      <c r="AB16" s="713"/>
      <c r="AC16" s="6"/>
      <c r="AD16" s="8"/>
      <c r="AG16" s="230"/>
    </row>
    <row r="17" spans="1:39" ht="15" customHeight="1" x14ac:dyDescent="0.25">
      <c r="A17" s="7"/>
      <c r="B17" s="6"/>
      <c r="C17" s="6"/>
      <c r="D17" s="6"/>
      <c r="E17" s="6"/>
      <c r="F17" s="6"/>
      <c r="G17" s="6"/>
      <c r="H17" s="6"/>
      <c r="I17" s="6"/>
      <c r="J17" s="6"/>
      <c r="K17" s="724"/>
      <c r="L17" s="724"/>
      <c r="M17" s="344"/>
      <c r="N17" s="540"/>
      <c r="O17" s="724"/>
      <c r="P17" s="724"/>
      <c r="Q17" s="344"/>
      <c r="R17" s="344"/>
      <c r="S17" s="724"/>
      <c r="T17" s="724"/>
      <c r="U17" s="344"/>
      <c r="V17" s="344"/>
      <c r="W17" s="724"/>
      <c r="X17" s="724"/>
      <c r="Y17" s="344"/>
      <c r="Z17" s="344"/>
      <c r="AA17" s="713"/>
      <c r="AB17" s="713"/>
      <c r="AC17" s="6"/>
      <c r="AD17" s="8"/>
    </row>
    <row r="18" spans="1:39" ht="15.75" x14ac:dyDescent="0.2">
      <c r="A18" s="7"/>
      <c r="B18" s="6"/>
      <c r="C18" s="6"/>
      <c r="D18" s="6"/>
      <c r="E18" s="6"/>
      <c r="F18" s="6"/>
      <c r="G18" s="6"/>
      <c r="H18" s="6"/>
      <c r="I18" s="6"/>
      <c r="J18" s="6"/>
      <c r="K18" s="706" t="s">
        <v>538</v>
      </c>
      <c r="L18" s="706"/>
      <c r="M18" s="174"/>
      <c r="N18" s="173"/>
      <c r="O18" s="706" t="s">
        <v>538</v>
      </c>
      <c r="P18" s="706"/>
      <c r="Q18" s="174"/>
      <c r="R18" s="40"/>
      <c r="S18" s="706" t="s">
        <v>538</v>
      </c>
      <c r="T18" s="706"/>
      <c r="U18" s="174"/>
      <c r="V18" s="40"/>
      <c r="W18" s="706" t="s">
        <v>538</v>
      </c>
      <c r="X18" s="706"/>
      <c r="Y18" s="174"/>
      <c r="Z18" s="173"/>
      <c r="AA18" s="706" t="s">
        <v>538</v>
      </c>
      <c r="AB18" s="706"/>
      <c r="AC18" s="6"/>
      <c r="AD18" s="8"/>
    </row>
    <row r="19" spans="1:39" ht="16.5" thickBot="1" x14ac:dyDescent="0.3">
      <c r="A19" s="7"/>
      <c r="B19" s="6"/>
      <c r="C19" s="9" t="s">
        <v>1036</v>
      </c>
      <c r="D19" s="9"/>
      <c r="E19" s="6"/>
      <c r="F19" s="6"/>
      <c r="G19" s="6"/>
      <c r="H19" s="6"/>
      <c r="I19" s="6"/>
      <c r="J19" s="6"/>
      <c r="K19" s="172"/>
      <c r="L19" s="172"/>
      <c r="M19" s="174"/>
      <c r="N19" s="173"/>
      <c r="O19" s="172"/>
      <c r="P19" s="172"/>
      <c r="Q19" s="174"/>
      <c r="R19" s="40"/>
      <c r="S19" s="172"/>
      <c r="T19" s="172"/>
      <c r="U19" s="174"/>
      <c r="V19" s="40"/>
      <c r="W19" s="172"/>
      <c r="X19" s="172"/>
      <c r="Y19" s="174"/>
      <c r="Z19" s="173"/>
      <c r="AA19" s="172"/>
      <c r="AB19" s="172"/>
      <c r="AC19" s="6"/>
      <c r="AD19" s="8"/>
      <c r="AF19" s="343"/>
    </row>
    <row r="20" spans="1:39" ht="16.5" thickBot="1" x14ac:dyDescent="0.25">
      <c r="A20" s="7"/>
      <c r="B20" s="6"/>
      <c r="C20" s="6"/>
      <c r="D20" s="722" t="s">
        <v>997</v>
      </c>
      <c r="E20" s="723"/>
      <c r="F20" s="723"/>
      <c r="G20" s="723"/>
      <c r="H20" s="723"/>
      <c r="I20" s="723"/>
      <c r="J20" s="6"/>
      <c r="K20" s="711">
        <f>VLOOKUP($F$1,Part5,6,FALSE)</f>
        <v>0.5</v>
      </c>
      <c r="L20" s="712"/>
      <c r="M20" s="399"/>
      <c r="N20" s="402"/>
      <c r="O20" s="711">
        <f>VLOOKUP($F$1,Part5,7,FALSE)</f>
        <v>0.49</v>
      </c>
      <c r="P20" s="712"/>
      <c r="Q20" s="399"/>
      <c r="R20" s="402"/>
      <c r="S20" s="711">
        <f>VLOOKUP($F$1,Part5,8,FALSE)</f>
        <v>0</v>
      </c>
      <c r="T20" s="712"/>
      <c r="U20" s="399"/>
      <c r="V20" s="402"/>
      <c r="W20" s="711">
        <f>VLOOKUP($F$1,Part5,9,FALSE)</f>
        <v>0.01</v>
      </c>
      <c r="X20" s="712"/>
      <c r="Y20" s="399"/>
      <c r="Z20" s="399"/>
      <c r="AA20" s="711">
        <f>VLOOKUP($F$1,Part5,10,FALSE)</f>
        <v>1</v>
      </c>
      <c r="AB20" s="712"/>
      <c r="AC20" s="6"/>
      <c r="AD20" s="8"/>
    </row>
    <row r="21" spans="1:39" ht="15.75" x14ac:dyDescent="0.2">
      <c r="A21" s="7"/>
      <c r="B21" s="6"/>
      <c r="C21" s="6"/>
      <c r="D21" s="723"/>
      <c r="E21" s="723"/>
      <c r="F21" s="723"/>
      <c r="G21" s="723"/>
      <c r="H21" s="723"/>
      <c r="I21" s="723"/>
      <c r="J21" s="6"/>
      <c r="K21" s="172"/>
      <c r="L21" s="172"/>
      <c r="M21" s="174"/>
      <c r="N21" s="173"/>
      <c r="O21" s="172"/>
      <c r="P21" s="172"/>
      <c r="Q21" s="174"/>
      <c r="R21" s="40"/>
      <c r="S21" s="172"/>
      <c r="T21" s="172"/>
      <c r="U21" s="174"/>
      <c r="V21" s="40"/>
      <c r="W21" s="172"/>
      <c r="X21" s="172"/>
      <c r="Y21" s="174"/>
      <c r="Z21" s="173"/>
      <c r="AA21" s="172"/>
      <c r="AB21" s="172"/>
      <c r="AC21" s="6"/>
      <c r="AD21" s="8"/>
    </row>
    <row r="22" spans="1:39" ht="15.75" x14ac:dyDescent="0.2">
      <c r="A22" s="7"/>
      <c r="B22" s="6"/>
      <c r="C22" s="6"/>
      <c r="D22" s="6"/>
      <c r="E22" s="6"/>
      <c r="F22" s="6"/>
      <c r="G22" s="6"/>
      <c r="H22" s="6"/>
      <c r="I22" s="6"/>
      <c r="J22" s="6"/>
      <c r="K22" s="6"/>
      <c r="L22" s="172"/>
      <c r="M22" s="174"/>
      <c r="N22" s="173"/>
      <c r="O22" s="172"/>
      <c r="P22" s="172"/>
      <c r="Q22" s="174"/>
      <c r="R22" s="40"/>
      <c r="S22" s="172"/>
      <c r="T22" s="172"/>
      <c r="U22" s="174"/>
      <c r="V22" s="40"/>
      <c r="W22" s="172"/>
      <c r="X22" s="172"/>
      <c r="Y22" s="174"/>
      <c r="Z22" s="173"/>
      <c r="AA22" s="172"/>
      <c r="AB22" s="172"/>
      <c r="AC22" s="6"/>
      <c r="AD22" s="8"/>
    </row>
    <row r="23" spans="1:39" ht="16.5" thickBot="1" x14ac:dyDescent="0.3">
      <c r="A23" s="7"/>
      <c r="B23" s="6"/>
      <c r="C23" s="9" t="s">
        <v>1036</v>
      </c>
      <c r="D23" s="6"/>
      <c r="E23" s="6"/>
      <c r="F23" s="6"/>
      <c r="G23" s="6"/>
      <c r="H23" s="6"/>
      <c r="I23" s="6"/>
      <c r="J23" s="6"/>
      <c r="K23" s="40"/>
      <c r="L23" s="40"/>
      <c r="M23" s="174"/>
      <c r="N23" s="40"/>
      <c r="O23" s="40"/>
      <c r="P23" s="40"/>
      <c r="Q23" s="174"/>
      <c r="R23" s="40"/>
      <c r="S23" s="40"/>
      <c r="T23" s="40"/>
      <c r="U23" s="174"/>
      <c r="V23" s="40"/>
      <c r="W23" s="40"/>
      <c r="X23" s="40"/>
      <c r="Y23" s="174"/>
      <c r="Z23" s="40"/>
      <c r="AA23" s="40"/>
      <c r="AB23" s="40"/>
      <c r="AC23" s="6"/>
      <c r="AD23" s="8"/>
      <c r="AF23" s="263"/>
      <c r="AG23" s="177"/>
      <c r="AH23" s="177"/>
      <c r="AI23" s="177"/>
      <c r="AJ23" s="177"/>
      <c r="AK23" s="177"/>
    </row>
    <row r="24" spans="1:39" s="351" customFormat="1" ht="16.5" customHeight="1" thickBot="1" x14ac:dyDescent="0.25">
      <c r="A24" s="345"/>
      <c r="B24" s="346"/>
      <c r="C24" s="346"/>
      <c r="D24" s="346" t="s">
        <v>839</v>
      </c>
      <c r="E24" s="346"/>
      <c r="F24" s="346"/>
      <c r="G24" s="346"/>
      <c r="H24" s="346"/>
      <c r="I24" s="346"/>
      <c r="J24" s="346"/>
      <c r="K24" s="644">
        <f>VLOOKUP($F$1,Part5,11,FALSE)</f>
        <v>99275833</v>
      </c>
      <c r="L24" s="660"/>
      <c r="M24" s="40"/>
      <c r="N24" s="423"/>
      <c r="O24" s="644">
        <f>VLOOKUP($F$1,Part5,12,FALSE)</f>
        <v>97290317</v>
      </c>
      <c r="P24" s="660"/>
      <c r="Q24" s="40"/>
      <c r="R24" s="423"/>
      <c r="S24" s="644">
        <f>VLOOKUP($F$1,Part5,13,FALSE)</f>
        <v>0</v>
      </c>
      <c r="T24" s="660"/>
      <c r="U24" s="40"/>
      <c r="V24" s="423"/>
      <c r="W24" s="644">
        <f>VLOOKUP($F$1,Part5,14,FALSE)</f>
        <v>1985517</v>
      </c>
      <c r="X24" s="660"/>
      <c r="Y24" s="40"/>
      <c r="Z24" s="40"/>
      <c r="AA24" s="644">
        <f>VLOOKUP($F$1,Part5,15,FALSE)</f>
        <v>198551667</v>
      </c>
      <c r="AB24" s="660"/>
      <c r="AC24" s="346"/>
      <c r="AD24" s="347"/>
      <c r="AE24" s="348"/>
      <c r="AF24" s="348"/>
      <c r="AG24" s="349"/>
      <c r="AH24" s="349"/>
      <c r="AI24" s="349"/>
      <c r="AJ24" s="349"/>
      <c r="AK24" s="349"/>
      <c r="AL24" s="350"/>
      <c r="AM24" s="350"/>
    </row>
    <row r="25" spans="1:39" s="351" customFormat="1" ht="15.75" thickBot="1" x14ac:dyDescent="0.25">
      <c r="A25" s="345"/>
      <c r="B25" s="346"/>
      <c r="C25" s="346"/>
      <c r="D25" s="346"/>
      <c r="E25" s="346"/>
      <c r="F25" s="346"/>
      <c r="G25" s="346"/>
      <c r="H25" s="346"/>
      <c r="I25" s="346"/>
      <c r="J25" s="346"/>
      <c r="K25" s="40"/>
      <c r="L25" s="40"/>
      <c r="M25" s="40"/>
      <c r="N25" s="40"/>
      <c r="O25" s="40"/>
      <c r="P25" s="40"/>
      <c r="Q25" s="40"/>
      <c r="R25" s="40"/>
      <c r="S25" s="40"/>
      <c r="T25" s="40"/>
      <c r="U25" s="40"/>
      <c r="V25" s="40"/>
      <c r="W25" s="40"/>
      <c r="X25" s="40"/>
      <c r="Y25" s="40"/>
      <c r="Z25" s="40"/>
      <c r="AA25" s="40"/>
      <c r="AB25" s="40"/>
      <c r="AC25" s="346"/>
      <c r="AD25" s="347"/>
      <c r="AE25" s="348"/>
      <c r="AF25" s="348"/>
      <c r="AG25" s="349"/>
      <c r="AH25" s="349"/>
      <c r="AI25" s="349"/>
      <c r="AJ25" s="349"/>
      <c r="AK25" s="349"/>
      <c r="AL25" s="350"/>
      <c r="AM25" s="350"/>
    </row>
    <row r="26" spans="1:39" s="351" customFormat="1" ht="16.5" thickBot="1" x14ac:dyDescent="0.25">
      <c r="A26" s="345"/>
      <c r="B26" s="346"/>
      <c r="C26" s="346"/>
      <c r="D26" s="346" t="s">
        <v>840</v>
      </c>
      <c r="E26" s="346"/>
      <c r="F26" s="346"/>
      <c r="G26" s="346"/>
      <c r="H26" s="346"/>
      <c r="I26" s="346"/>
      <c r="J26" s="346"/>
      <c r="K26" s="644">
        <f>VLOOKUP($F$1,Part5,16,FALSE)</f>
        <v>619486.21</v>
      </c>
      <c r="L26" s="660"/>
      <c r="M26" s="40"/>
      <c r="N26" s="40"/>
      <c r="O26" s="40"/>
      <c r="P26" s="40"/>
      <c r="Q26" s="40"/>
      <c r="R26" s="40"/>
      <c r="S26" s="40"/>
      <c r="T26" s="40"/>
      <c r="U26" s="40"/>
      <c r="V26" s="40"/>
      <c r="W26" s="40"/>
      <c r="X26" s="40"/>
      <c r="Y26" s="40"/>
      <c r="Z26" s="40"/>
      <c r="AA26" s="644">
        <f>VLOOKUP($F$1,Part5,17,FALSE)</f>
        <v>619486.21</v>
      </c>
      <c r="AB26" s="660"/>
      <c r="AC26" s="346"/>
      <c r="AD26" s="347"/>
      <c r="AE26" s="348"/>
      <c r="AF26" s="348"/>
      <c r="AG26" s="349"/>
      <c r="AH26" s="349"/>
      <c r="AI26" s="349"/>
      <c r="AJ26" s="349"/>
      <c r="AK26" s="349"/>
      <c r="AL26" s="350"/>
      <c r="AM26" s="350"/>
    </row>
    <row r="27" spans="1:39" s="351" customFormat="1" ht="15.75" thickBot="1" x14ac:dyDescent="0.25">
      <c r="A27" s="345"/>
      <c r="B27" s="346"/>
      <c r="C27" s="346"/>
      <c r="D27" s="346"/>
      <c r="E27" s="346"/>
      <c r="F27" s="346"/>
      <c r="G27" s="346"/>
      <c r="H27" s="346"/>
      <c r="I27" s="346"/>
      <c r="J27" s="346"/>
      <c r="K27" s="40"/>
      <c r="L27" s="40"/>
      <c r="M27" s="40"/>
      <c r="N27" s="40"/>
      <c r="O27" s="40"/>
      <c r="P27" s="40"/>
      <c r="Q27" s="40"/>
      <c r="R27" s="40"/>
      <c r="S27" s="40"/>
      <c r="T27" s="40"/>
      <c r="U27" s="40"/>
      <c r="V27" s="40"/>
      <c r="W27" s="40"/>
      <c r="X27" s="40"/>
      <c r="Y27" s="40"/>
      <c r="Z27" s="40"/>
      <c r="AA27" s="40"/>
      <c r="AB27" s="40"/>
      <c r="AC27" s="346"/>
      <c r="AD27" s="347"/>
      <c r="AE27" s="348"/>
      <c r="AF27" s="348"/>
      <c r="AG27" s="349"/>
      <c r="AH27" s="349"/>
      <c r="AI27" s="349"/>
      <c r="AJ27" s="349"/>
      <c r="AK27" s="349"/>
      <c r="AL27" s="350"/>
      <c r="AM27" s="350"/>
    </row>
    <row r="28" spans="1:39" s="351" customFormat="1" ht="16.5" thickBot="1" x14ac:dyDescent="0.25">
      <c r="A28" s="345"/>
      <c r="B28" s="346"/>
      <c r="C28" s="346"/>
      <c r="D28" s="352">
        <v>3</v>
      </c>
      <c r="E28" s="346"/>
      <c r="F28" s="346"/>
      <c r="G28" s="346"/>
      <c r="H28" s="346"/>
      <c r="I28" s="346"/>
      <c r="J28" s="353" t="s">
        <v>1037</v>
      </c>
      <c r="K28" s="644">
        <f>VLOOKUP($F$1,Part5,18,FALSE)</f>
        <v>98656346.700000003</v>
      </c>
      <c r="L28" s="660"/>
      <c r="M28" s="40"/>
      <c r="N28" s="40"/>
      <c r="O28" s="40"/>
      <c r="P28" s="40"/>
      <c r="Q28" s="40"/>
      <c r="R28" s="40"/>
      <c r="S28" s="40"/>
      <c r="T28" s="40"/>
      <c r="U28" s="40"/>
      <c r="V28" s="40"/>
      <c r="W28" s="40"/>
      <c r="X28" s="40"/>
      <c r="Y28" s="40"/>
      <c r="Z28" s="40"/>
      <c r="AA28" s="40"/>
      <c r="AB28" s="40"/>
      <c r="AC28" s="346"/>
      <c r="AD28" s="347"/>
      <c r="AE28" s="348"/>
      <c r="AF28" s="348"/>
      <c r="AG28" s="349"/>
      <c r="AH28" s="349"/>
      <c r="AI28" s="349"/>
      <c r="AJ28" s="349"/>
      <c r="AK28" s="349"/>
      <c r="AL28" s="350"/>
      <c r="AM28" s="350"/>
    </row>
    <row r="29" spans="1:39" s="351" customFormat="1" x14ac:dyDescent="0.2">
      <c r="A29" s="345"/>
      <c r="B29" s="346"/>
      <c r="C29" s="346"/>
      <c r="D29" s="346"/>
      <c r="E29" s="346"/>
      <c r="F29" s="346"/>
      <c r="G29" s="346"/>
      <c r="H29" s="346"/>
      <c r="I29" s="346"/>
      <c r="J29" s="346"/>
      <c r="K29" s="40"/>
      <c r="L29" s="40"/>
      <c r="M29" s="40"/>
      <c r="N29" s="40"/>
      <c r="O29" s="40"/>
      <c r="P29" s="40"/>
      <c r="Q29" s="40"/>
      <c r="R29" s="40"/>
      <c r="S29" s="40"/>
      <c r="T29" s="40"/>
      <c r="U29" s="40"/>
      <c r="V29" s="40"/>
      <c r="W29" s="40"/>
      <c r="X29" s="40"/>
      <c r="Y29" s="40"/>
      <c r="Z29" s="40"/>
      <c r="AA29" s="40"/>
      <c r="AB29" s="40"/>
      <c r="AC29" s="346"/>
      <c r="AD29" s="347"/>
      <c r="AE29" s="348"/>
      <c r="AF29" s="348"/>
      <c r="AG29" s="349"/>
      <c r="AH29" s="349"/>
      <c r="AI29" s="349"/>
      <c r="AJ29" s="349"/>
      <c r="AK29" s="349"/>
      <c r="AL29" s="350"/>
      <c r="AM29" s="350"/>
    </row>
    <row r="30" spans="1:39" s="351" customFormat="1" ht="16.5" thickBot="1" x14ac:dyDescent="0.25">
      <c r="A30" s="345"/>
      <c r="B30" s="346"/>
      <c r="C30" s="354" t="s">
        <v>1038</v>
      </c>
      <c r="D30" s="346"/>
      <c r="E30" s="346"/>
      <c r="F30" s="346"/>
      <c r="G30" s="346"/>
      <c r="H30" s="346"/>
      <c r="I30" s="346"/>
      <c r="J30" s="346"/>
      <c r="K30" s="40"/>
      <c r="L30" s="40"/>
      <c r="M30" s="40"/>
      <c r="N30" s="40"/>
      <c r="O30" s="40"/>
      <c r="P30" s="40"/>
      <c r="Q30" s="40"/>
      <c r="R30" s="40"/>
      <c r="S30" s="40"/>
      <c r="T30" s="40"/>
      <c r="U30" s="40"/>
      <c r="V30" s="40"/>
      <c r="W30" s="40"/>
      <c r="X30" s="40"/>
      <c r="Y30" s="40"/>
      <c r="Z30" s="40"/>
      <c r="AA30" s="40"/>
      <c r="AB30" s="40"/>
      <c r="AC30" s="346"/>
      <c r="AD30" s="347"/>
      <c r="AE30" s="348"/>
      <c r="AF30" s="348"/>
      <c r="AG30" s="349"/>
      <c r="AH30" s="349"/>
      <c r="AI30" s="349"/>
      <c r="AJ30" s="349"/>
      <c r="AK30" s="349"/>
      <c r="AL30" s="350"/>
      <c r="AM30" s="350"/>
    </row>
    <row r="31" spans="1:39" s="351" customFormat="1" ht="16.5" thickBot="1" x14ac:dyDescent="0.25">
      <c r="A31" s="345"/>
      <c r="B31" s="346"/>
      <c r="C31" s="346"/>
      <c r="D31" s="346" t="s">
        <v>841</v>
      </c>
      <c r="E31" s="346"/>
      <c r="F31" s="346"/>
      <c r="G31" s="346"/>
      <c r="H31" s="346"/>
      <c r="I31" s="346"/>
      <c r="J31" s="346"/>
      <c r="K31" s="40"/>
      <c r="L31" s="40"/>
      <c r="M31" s="40"/>
      <c r="N31" s="40"/>
      <c r="O31" s="644">
        <f>VLOOKUP($F$1,Part5,19,FALSE)</f>
        <v>722649</v>
      </c>
      <c r="P31" s="660"/>
      <c r="Q31" s="40"/>
      <c r="R31" s="40"/>
      <c r="S31" s="40"/>
      <c r="T31" s="40"/>
      <c r="U31" s="40"/>
      <c r="V31" s="40"/>
      <c r="W31" s="40"/>
      <c r="X31" s="40"/>
      <c r="Y31" s="40"/>
      <c r="Z31" s="40"/>
      <c r="AA31" s="644">
        <f>VLOOKUP($F$1,Part5,20,FALSE)</f>
        <v>722649</v>
      </c>
      <c r="AB31" s="660"/>
      <c r="AC31" s="346"/>
      <c r="AD31" s="347"/>
      <c r="AE31" s="355"/>
      <c r="AF31" s="355"/>
      <c r="AG31" s="349"/>
      <c r="AH31" s="349"/>
      <c r="AI31" s="349"/>
      <c r="AJ31" s="349"/>
      <c r="AK31" s="349"/>
      <c r="AL31" s="350"/>
      <c r="AM31" s="350"/>
    </row>
    <row r="32" spans="1:39" s="351" customFormat="1" ht="15.75" thickBot="1" x14ac:dyDescent="0.25">
      <c r="A32" s="345"/>
      <c r="B32" s="346"/>
      <c r="C32" s="346"/>
      <c r="D32" s="346"/>
      <c r="E32" s="346"/>
      <c r="F32" s="346"/>
      <c r="G32" s="346"/>
      <c r="H32" s="346"/>
      <c r="I32" s="346"/>
      <c r="J32" s="346"/>
      <c r="K32" s="40"/>
      <c r="L32" s="40"/>
      <c r="M32" s="40"/>
      <c r="N32" s="40"/>
      <c r="O32" s="40"/>
      <c r="P32" s="40"/>
      <c r="Q32" s="40"/>
      <c r="R32" s="40"/>
      <c r="S32" s="40"/>
      <c r="T32" s="40"/>
      <c r="U32" s="40"/>
      <c r="V32" s="40"/>
      <c r="W32" s="40"/>
      <c r="X32" s="40"/>
      <c r="Y32" s="40"/>
      <c r="Z32" s="40"/>
      <c r="AA32" s="40"/>
      <c r="AB32" s="40"/>
      <c r="AC32" s="346"/>
      <c r="AD32" s="347"/>
      <c r="AE32" s="348"/>
      <c r="AF32" s="348"/>
      <c r="AG32" s="349"/>
      <c r="AH32" s="349"/>
      <c r="AI32" s="349"/>
      <c r="AJ32" s="349"/>
      <c r="AK32" s="349"/>
      <c r="AL32" s="350"/>
      <c r="AM32" s="350"/>
    </row>
    <row r="33" spans="1:39" s="351" customFormat="1" ht="16.5" thickBot="1" x14ac:dyDescent="0.25">
      <c r="A33" s="345"/>
      <c r="B33" s="346"/>
      <c r="C33" s="346"/>
      <c r="D33" s="346" t="s">
        <v>1039</v>
      </c>
      <c r="E33" s="346"/>
      <c r="F33" s="346"/>
      <c r="G33" s="346"/>
      <c r="H33" s="346"/>
      <c r="I33" s="346"/>
      <c r="J33" s="346"/>
      <c r="K33" s="40"/>
      <c r="L33" s="40"/>
      <c r="M33" s="40"/>
      <c r="N33" s="40"/>
      <c r="O33" s="644">
        <f>VLOOKUP($F$1,Part5,21,FALSE)</f>
        <v>5331087</v>
      </c>
      <c r="P33" s="660"/>
      <c r="Q33" s="40"/>
      <c r="R33" s="40"/>
      <c r="S33" s="40"/>
      <c r="T33" s="40"/>
      <c r="U33" s="40"/>
      <c r="V33" s="40"/>
      <c r="W33" s="40"/>
      <c r="X33" s="40"/>
      <c r="Y33" s="40"/>
      <c r="Z33" s="40"/>
      <c r="AA33" s="644">
        <f>VLOOKUP($F$1,Part5,22,FALSE)</f>
        <v>5331087</v>
      </c>
      <c r="AB33" s="660"/>
      <c r="AC33" s="346"/>
      <c r="AD33" s="347"/>
      <c r="AE33" s="355"/>
      <c r="AF33" s="355"/>
      <c r="AG33" s="349"/>
      <c r="AH33" s="349"/>
      <c r="AI33" s="349"/>
      <c r="AJ33" s="349"/>
      <c r="AK33" s="349"/>
      <c r="AL33" s="350"/>
      <c r="AM33" s="350"/>
    </row>
    <row r="34" spans="1:39" s="351" customFormat="1" ht="15.75" thickBot="1" x14ac:dyDescent="0.25">
      <c r="A34" s="345"/>
      <c r="B34" s="346"/>
      <c r="C34" s="346"/>
      <c r="D34" s="346"/>
      <c r="E34" s="346"/>
      <c r="F34" s="346"/>
      <c r="G34" s="346"/>
      <c r="H34" s="346"/>
      <c r="I34" s="346"/>
      <c r="J34" s="346"/>
      <c r="K34" s="40"/>
      <c r="L34" s="40"/>
      <c r="M34" s="40"/>
      <c r="N34" s="40"/>
      <c r="O34" s="40"/>
      <c r="P34" s="40"/>
      <c r="Q34" s="40"/>
      <c r="R34" s="40"/>
      <c r="S34" s="40"/>
      <c r="T34" s="40"/>
      <c r="U34" s="40"/>
      <c r="V34" s="40"/>
      <c r="W34" s="40"/>
      <c r="X34" s="40"/>
      <c r="Y34" s="40"/>
      <c r="Z34" s="40"/>
      <c r="AA34" s="40"/>
      <c r="AB34" s="40"/>
      <c r="AC34" s="346"/>
      <c r="AD34" s="347"/>
      <c r="AE34" s="348"/>
      <c r="AF34" s="348"/>
      <c r="AG34" s="349"/>
      <c r="AH34" s="349"/>
      <c r="AI34" s="349"/>
      <c r="AJ34" s="349"/>
      <c r="AK34" s="349"/>
      <c r="AL34" s="350"/>
      <c r="AM34" s="350"/>
    </row>
    <row r="35" spans="1:39" s="351" customFormat="1" ht="16.5" thickBot="1" x14ac:dyDescent="0.25">
      <c r="A35" s="345"/>
      <c r="B35" s="346"/>
      <c r="C35" s="346"/>
      <c r="D35" s="346" t="s">
        <v>1040</v>
      </c>
      <c r="E35" s="346"/>
      <c r="F35" s="346"/>
      <c r="G35" s="346"/>
      <c r="H35" s="346"/>
      <c r="I35" s="346"/>
      <c r="J35" s="346"/>
      <c r="K35" s="40"/>
      <c r="L35" s="40"/>
      <c r="M35" s="40"/>
      <c r="N35" s="40"/>
      <c r="O35" s="644">
        <f>VLOOKUP($F$1,Part5,23,FALSE)</f>
        <v>258</v>
      </c>
      <c r="P35" s="660"/>
      <c r="Q35" s="40"/>
      <c r="R35" s="40"/>
      <c r="S35" s="644">
        <f>VLOOKUP($F$1,Part5,24,FALSE)</f>
        <v>0</v>
      </c>
      <c r="T35" s="660"/>
      <c r="U35" s="40"/>
      <c r="V35" s="40"/>
      <c r="W35" s="40"/>
      <c r="X35" s="40"/>
      <c r="Y35" s="40"/>
      <c r="Z35" s="40"/>
      <c r="AA35" s="644">
        <f>VLOOKUP($F$1,Part5,25,FALSE)</f>
        <v>258</v>
      </c>
      <c r="AB35" s="660"/>
      <c r="AC35" s="346"/>
      <c r="AD35" s="347"/>
      <c r="AE35" s="355"/>
      <c r="AF35" s="355"/>
      <c r="AG35" s="349"/>
      <c r="AH35" s="349"/>
      <c r="AI35" s="349"/>
      <c r="AJ35" s="349"/>
      <c r="AK35" s="349"/>
      <c r="AL35" s="350"/>
      <c r="AM35" s="350"/>
    </row>
    <row r="36" spans="1:39" s="351" customFormat="1" ht="15.75" thickBot="1" x14ac:dyDescent="0.25">
      <c r="A36" s="345"/>
      <c r="B36" s="346"/>
      <c r="C36" s="346"/>
      <c r="D36" s="346"/>
      <c r="E36" s="346"/>
      <c r="F36" s="346"/>
      <c r="G36" s="346"/>
      <c r="H36" s="346"/>
      <c r="I36" s="346"/>
      <c r="J36" s="346"/>
      <c r="K36" s="40"/>
      <c r="L36" s="40"/>
      <c r="M36" s="40"/>
      <c r="N36" s="40"/>
      <c r="O36" s="40"/>
      <c r="P36" s="40"/>
      <c r="Q36" s="40"/>
      <c r="R36" s="40"/>
      <c r="S36" s="40"/>
      <c r="T36" s="40"/>
      <c r="U36" s="40"/>
      <c r="V36" s="40"/>
      <c r="W36" s="40"/>
      <c r="X36" s="40"/>
      <c r="Y36" s="40"/>
      <c r="Z36" s="40"/>
      <c r="AA36" s="40"/>
      <c r="AB36" s="40"/>
      <c r="AC36" s="346"/>
      <c r="AD36" s="347"/>
      <c r="AE36" s="348"/>
      <c r="AF36" s="348"/>
      <c r="AG36" s="349"/>
      <c r="AH36" s="349"/>
      <c r="AI36" s="349"/>
      <c r="AJ36" s="349"/>
      <c r="AK36" s="349"/>
      <c r="AL36" s="350"/>
      <c r="AM36" s="350"/>
    </row>
    <row r="37" spans="1:39" s="351" customFormat="1" ht="16.5" thickBot="1" x14ac:dyDescent="0.25">
      <c r="A37" s="345"/>
      <c r="B37" s="346"/>
      <c r="C37" s="346"/>
      <c r="D37" s="346" t="s">
        <v>1041</v>
      </c>
      <c r="E37" s="346"/>
      <c r="F37" s="346"/>
      <c r="G37" s="346"/>
      <c r="H37" s="346"/>
      <c r="I37" s="346"/>
      <c r="J37" s="346"/>
      <c r="K37" s="40"/>
      <c r="L37" s="40"/>
      <c r="M37" s="40"/>
      <c r="N37" s="40"/>
      <c r="O37" s="644">
        <f>VLOOKUP($F$1,Part5,26,FALSE)</f>
        <v>619486.21</v>
      </c>
      <c r="P37" s="660"/>
      <c r="Q37" s="40"/>
      <c r="R37" s="40"/>
      <c r="S37" s="644">
        <f>VLOOKUP($F$1,Part5,27,FALSE)</f>
        <v>0</v>
      </c>
      <c r="T37" s="660"/>
      <c r="U37" s="40"/>
      <c r="V37" s="40"/>
      <c r="W37" s="644">
        <f>VLOOKUP($F$1,Part5,28,FALSE)</f>
        <v>0</v>
      </c>
      <c r="X37" s="660"/>
      <c r="Y37" s="40"/>
      <c r="Z37" s="40"/>
      <c r="AA37" s="644">
        <f>VLOOKUP($F$1,Part5,29,FALSE)</f>
        <v>619486.21</v>
      </c>
      <c r="AB37" s="660"/>
      <c r="AC37" s="346"/>
      <c r="AD37" s="347"/>
      <c r="AE37" s="348"/>
      <c r="AF37" s="348"/>
      <c r="AG37" s="349"/>
      <c r="AH37" s="349"/>
      <c r="AI37" s="349"/>
      <c r="AJ37" s="349"/>
      <c r="AK37" s="349"/>
      <c r="AL37" s="350"/>
      <c r="AM37" s="350"/>
    </row>
    <row r="38" spans="1:39" s="351" customFormat="1" ht="15.75" x14ac:dyDescent="0.2">
      <c r="A38" s="345"/>
      <c r="B38" s="346"/>
      <c r="C38" s="346"/>
      <c r="D38" s="346"/>
      <c r="E38" s="346"/>
      <c r="F38" s="346"/>
      <c r="G38" s="346"/>
      <c r="H38" s="346"/>
      <c r="I38" s="346"/>
      <c r="J38" s="346"/>
      <c r="K38" s="40"/>
      <c r="L38" s="40"/>
      <c r="M38" s="40"/>
      <c r="N38" s="40"/>
      <c r="O38" s="430"/>
      <c r="P38" s="40"/>
      <c r="Q38" s="40"/>
      <c r="R38" s="40"/>
      <c r="S38" s="430"/>
      <c r="T38" s="40"/>
      <c r="U38" s="40"/>
      <c r="V38" s="40"/>
      <c r="W38" s="430"/>
      <c r="X38" s="40"/>
      <c r="Y38" s="40"/>
      <c r="Z38" s="40"/>
      <c r="AA38" s="430"/>
      <c r="AB38" s="40"/>
      <c r="AC38" s="346"/>
      <c r="AD38" s="347"/>
      <c r="AE38" s="348"/>
      <c r="AF38" s="348"/>
      <c r="AG38" s="349"/>
      <c r="AH38" s="349"/>
      <c r="AI38" s="349"/>
      <c r="AJ38" s="349"/>
      <c r="AK38" s="349"/>
      <c r="AL38" s="350"/>
      <c r="AM38" s="350"/>
    </row>
    <row r="39" spans="1:39" s="351" customFormat="1" ht="15.75" x14ac:dyDescent="0.2">
      <c r="A39" s="345"/>
      <c r="B39" s="346"/>
      <c r="C39" s="354" t="s">
        <v>842</v>
      </c>
      <c r="D39" s="346"/>
      <c r="E39" s="346"/>
      <c r="F39" s="346"/>
      <c r="G39" s="346"/>
      <c r="H39" s="346"/>
      <c r="I39" s="346"/>
      <c r="J39" s="346"/>
      <c r="K39" s="40"/>
      <c r="L39" s="40"/>
      <c r="M39" s="40"/>
      <c r="N39" s="40"/>
      <c r="O39" s="430"/>
      <c r="P39" s="40"/>
      <c r="Q39" s="40"/>
      <c r="R39" s="40"/>
      <c r="S39" s="430"/>
      <c r="T39" s="40"/>
      <c r="U39" s="40"/>
      <c r="V39" s="40"/>
      <c r="W39" s="430"/>
      <c r="X39" s="40"/>
      <c r="Y39" s="40"/>
      <c r="Z39" s="40"/>
      <c r="AA39" s="430"/>
      <c r="AB39" s="40"/>
      <c r="AC39" s="346"/>
      <c r="AD39" s="347"/>
      <c r="AE39" s="348"/>
      <c r="AF39" s="348"/>
      <c r="AG39" s="349"/>
      <c r="AH39" s="349"/>
      <c r="AI39" s="349"/>
      <c r="AJ39" s="349"/>
      <c r="AK39" s="349"/>
      <c r="AL39" s="350"/>
      <c r="AM39" s="350"/>
    </row>
    <row r="40" spans="1:39" s="351" customFormat="1" ht="16.5" thickBot="1" x14ac:dyDescent="0.25">
      <c r="A40" s="345"/>
      <c r="B40" s="346"/>
      <c r="C40" s="354" t="s">
        <v>843</v>
      </c>
      <c r="D40" s="346"/>
      <c r="E40" s="346"/>
      <c r="F40" s="346"/>
      <c r="G40" s="346"/>
      <c r="H40" s="346"/>
      <c r="I40" s="346"/>
      <c r="J40" s="346"/>
      <c r="K40" s="721" t="s">
        <v>538</v>
      </c>
      <c r="L40" s="721"/>
      <c r="M40" s="40"/>
      <c r="N40" s="356"/>
      <c r="O40" s="721" t="s">
        <v>538</v>
      </c>
      <c r="P40" s="721"/>
      <c r="Q40" s="40"/>
      <c r="R40" s="40"/>
      <c r="S40" s="721" t="s">
        <v>538</v>
      </c>
      <c r="T40" s="721"/>
      <c r="U40" s="40"/>
      <c r="V40" s="40"/>
      <c r="W40" s="721" t="s">
        <v>538</v>
      </c>
      <c r="X40" s="721"/>
      <c r="Y40" s="40"/>
      <c r="Z40" s="356"/>
      <c r="AA40" s="721" t="s">
        <v>538</v>
      </c>
      <c r="AB40" s="721"/>
      <c r="AC40" s="346"/>
      <c r="AD40" s="347"/>
      <c r="AE40" s="348"/>
      <c r="AF40" s="348"/>
      <c r="AG40" s="349"/>
      <c r="AH40" s="349"/>
      <c r="AI40" s="349"/>
      <c r="AJ40" s="349"/>
      <c r="AK40" s="349"/>
      <c r="AL40" s="350"/>
      <c r="AM40" s="350"/>
    </row>
    <row r="41" spans="1:39" s="351" customFormat="1" ht="16.5" thickBot="1" x14ac:dyDescent="0.25">
      <c r="A41" s="345"/>
      <c r="B41" s="346"/>
      <c r="C41" s="346"/>
      <c r="D41" s="346" t="s">
        <v>1042</v>
      </c>
      <c r="E41" s="346"/>
      <c r="F41" s="346"/>
      <c r="G41" s="346"/>
      <c r="H41" s="346"/>
      <c r="I41" s="346"/>
      <c r="J41" s="346"/>
      <c r="K41" s="644">
        <f>VLOOKUP($F$1,Part5,30,FALSE)</f>
        <v>2217265</v>
      </c>
      <c r="L41" s="660"/>
      <c r="M41" s="40"/>
      <c r="N41" s="423"/>
      <c r="O41" s="644">
        <f>VLOOKUP($F$1,Part5,31,FALSE)</f>
        <v>2172920</v>
      </c>
      <c r="P41" s="660"/>
      <c r="Q41" s="40"/>
      <c r="R41" s="423"/>
      <c r="S41" s="644">
        <f>VLOOKUP($F$1,Part5,32,FALSE)</f>
        <v>0</v>
      </c>
      <c r="T41" s="660"/>
      <c r="U41" s="40"/>
      <c r="V41" s="423"/>
      <c r="W41" s="644">
        <f>VLOOKUP($F$1,Part5,33,FALSE)</f>
        <v>44345</v>
      </c>
      <c r="X41" s="660"/>
      <c r="Y41" s="40"/>
      <c r="Z41" s="40"/>
      <c r="AA41" s="644">
        <f>VLOOKUP($F$1,Part5,34,FALSE)</f>
        <v>4434530</v>
      </c>
      <c r="AB41" s="660"/>
      <c r="AC41" s="346"/>
      <c r="AD41" s="347"/>
      <c r="AE41" s="355"/>
      <c r="AF41" s="355"/>
      <c r="AG41" s="349"/>
      <c r="AH41" s="349"/>
      <c r="AI41" s="349"/>
      <c r="AJ41" s="349"/>
      <c r="AK41" s="349"/>
      <c r="AL41" s="350"/>
      <c r="AM41" s="350"/>
    </row>
    <row r="42" spans="1:39" s="351" customFormat="1" ht="15.75" thickBot="1" x14ac:dyDescent="0.25">
      <c r="A42" s="345"/>
      <c r="B42" s="346"/>
      <c r="C42" s="346"/>
      <c r="D42" s="346"/>
      <c r="E42" s="346"/>
      <c r="F42" s="346"/>
      <c r="G42" s="346"/>
      <c r="H42" s="346"/>
      <c r="I42" s="346"/>
      <c r="J42" s="346"/>
      <c r="K42" s="40"/>
      <c r="L42" s="40"/>
      <c r="M42" s="40"/>
      <c r="N42" s="40"/>
      <c r="O42" s="40"/>
      <c r="P42" s="40"/>
      <c r="Q42" s="40"/>
      <c r="R42" s="40"/>
      <c r="S42" s="40"/>
      <c r="T42" s="40"/>
      <c r="U42" s="40"/>
      <c r="V42" s="40"/>
      <c r="W42" s="40"/>
      <c r="X42" s="40"/>
      <c r="Y42" s="40"/>
      <c r="Z42" s="40"/>
      <c r="AA42" s="40"/>
      <c r="AB42" s="40"/>
      <c r="AC42" s="346"/>
      <c r="AD42" s="347"/>
      <c r="AE42" s="348"/>
      <c r="AF42" s="348"/>
      <c r="AG42" s="349"/>
      <c r="AH42" s="349"/>
      <c r="AI42" s="349"/>
      <c r="AJ42" s="349"/>
      <c r="AK42" s="349"/>
      <c r="AL42" s="350"/>
      <c r="AM42" s="350"/>
    </row>
    <row r="43" spans="1:39" s="351" customFormat="1" ht="16.5" thickBot="1" x14ac:dyDescent="0.25">
      <c r="A43" s="345"/>
      <c r="B43" s="346"/>
      <c r="C43" s="346"/>
      <c r="D43" s="346" t="s">
        <v>1043</v>
      </c>
      <c r="E43" s="346"/>
      <c r="F43" s="346"/>
      <c r="G43" s="346"/>
      <c r="H43" s="346"/>
      <c r="I43" s="346"/>
      <c r="J43" s="346"/>
      <c r="K43" s="644">
        <f>VLOOKUP($F$1,Part5,35,FALSE)</f>
        <v>-1280330</v>
      </c>
      <c r="L43" s="660"/>
      <c r="M43" s="40"/>
      <c r="N43" s="423"/>
      <c r="O43" s="644">
        <f>VLOOKUP($F$1,Part5,36,FALSE)</f>
        <v>-1254723</v>
      </c>
      <c r="P43" s="660"/>
      <c r="Q43" s="40"/>
      <c r="R43" s="423"/>
      <c r="S43" s="644">
        <f>VLOOKUP($F$1,Part5,37,FALSE)</f>
        <v>0</v>
      </c>
      <c r="T43" s="660"/>
      <c r="U43" s="40"/>
      <c r="V43" s="423"/>
      <c r="W43" s="644">
        <f>VLOOKUP($F$1,Part5,38,FALSE)</f>
        <v>-25607</v>
      </c>
      <c r="X43" s="660"/>
      <c r="Y43" s="40"/>
      <c r="Z43" s="40"/>
      <c r="AA43" s="644">
        <f>VLOOKUP($F$1,Part5,39,FALSE)</f>
        <v>-2560660</v>
      </c>
      <c r="AB43" s="660"/>
      <c r="AC43" s="346"/>
      <c r="AD43" s="347"/>
      <c r="AE43" s="355"/>
      <c r="AF43" s="355"/>
      <c r="AG43" s="349"/>
      <c r="AH43" s="349"/>
      <c r="AI43" s="349"/>
      <c r="AJ43" s="349"/>
      <c r="AK43" s="349"/>
      <c r="AL43" s="350"/>
      <c r="AM43" s="350"/>
    </row>
    <row r="44" spans="1:39" s="351" customFormat="1" x14ac:dyDescent="0.2">
      <c r="A44" s="345"/>
      <c r="B44" s="346"/>
      <c r="C44" s="346"/>
      <c r="D44" s="346"/>
      <c r="E44" s="346"/>
      <c r="F44" s="346"/>
      <c r="G44" s="346"/>
      <c r="H44" s="346"/>
      <c r="I44" s="346"/>
      <c r="J44" s="346"/>
      <c r="K44" s="40"/>
      <c r="L44" s="40"/>
      <c r="M44" s="40"/>
      <c r="N44" s="40"/>
      <c r="O44" s="40"/>
      <c r="P44" s="40"/>
      <c r="Q44" s="40"/>
      <c r="R44" s="40"/>
      <c r="S44" s="40"/>
      <c r="T44" s="40"/>
      <c r="U44" s="40"/>
      <c r="V44" s="40"/>
      <c r="W44" s="40"/>
      <c r="X44" s="40"/>
      <c r="Y44" s="40"/>
      <c r="Z44" s="40"/>
      <c r="AA44" s="40"/>
      <c r="AB44" s="40"/>
      <c r="AC44" s="346"/>
      <c r="AD44" s="347"/>
      <c r="AE44" s="348"/>
      <c r="AF44" s="348"/>
      <c r="AG44" s="349"/>
      <c r="AH44" s="349"/>
      <c r="AI44" s="349"/>
      <c r="AJ44" s="349"/>
      <c r="AK44" s="349"/>
      <c r="AL44" s="350"/>
      <c r="AM44" s="350"/>
    </row>
    <row r="45" spans="1:39" s="351" customFormat="1" ht="16.5" thickBot="1" x14ac:dyDescent="0.25">
      <c r="A45" s="357"/>
      <c r="B45" s="358"/>
      <c r="C45" s="354" t="s">
        <v>1044</v>
      </c>
      <c r="D45" s="346"/>
      <c r="E45" s="358"/>
      <c r="F45" s="358"/>
      <c r="G45" s="358"/>
      <c r="H45" s="358"/>
      <c r="I45" s="358"/>
      <c r="J45" s="358"/>
      <c r="K45" s="359"/>
      <c r="L45" s="359"/>
      <c r="M45" s="40"/>
      <c r="N45" s="359"/>
      <c r="O45" s="359"/>
      <c r="P45" s="359"/>
      <c r="Q45" s="40"/>
      <c r="R45" s="359"/>
      <c r="S45" s="359"/>
      <c r="T45" s="359"/>
      <c r="U45" s="40"/>
      <c r="V45" s="359"/>
      <c r="W45" s="359"/>
      <c r="X45" s="359"/>
      <c r="Y45" s="40"/>
      <c r="Z45" s="359"/>
      <c r="AA45" s="359"/>
      <c r="AB45" s="359"/>
      <c r="AC45" s="358"/>
      <c r="AD45" s="347"/>
      <c r="AE45" s="360"/>
      <c r="AF45" s="360"/>
      <c r="AG45" s="361"/>
      <c r="AH45" s="361"/>
      <c r="AI45" s="361"/>
      <c r="AJ45" s="361"/>
      <c r="AK45" s="361"/>
    </row>
    <row r="46" spans="1:39" s="351" customFormat="1" ht="16.5" thickBot="1" x14ac:dyDescent="0.25">
      <c r="A46" s="357"/>
      <c r="B46" s="358"/>
      <c r="C46" s="346"/>
      <c r="D46" s="346" t="s">
        <v>1045</v>
      </c>
      <c r="E46" s="358"/>
      <c r="F46" s="358"/>
      <c r="G46" s="358"/>
      <c r="H46" s="358"/>
      <c r="I46" s="358"/>
      <c r="J46" s="358"/>
      <c r="K46" s="644">
        <f>VLOOKUP($F$1,Part5,40,FALSE)</f>
        <v>-1102000</v>
      </c>
      <c r="L46" s="660"/>
      <c r="M46" s="40"/>
      <c r="N46" s="423"/>
      <c r="O46" s="644">
        <f>VLOOKUP($F$1,Part5,41,FALSE)</f>
        <v>-1079960</v>
      </c>
      <c r="P46" s="660"/>
      <c r="Q46" s="40"/>
      <c r="R46" s="423"/>
      <c r="S46" s="644">
        <f>VLOOKUP($F$1,Part5,42,FALSE)</f>
        <v>0</v>
      </c>
      <c r="T46" s="660"/>
      <c r="U46" s="40"/>
      <c r="V46" s="423"/>
      <c r="W46" s="644">
        <f>VLOOKUP($F$1,Part5,43,FALSE)</f>
        <v>-22040</v>
      </c>
      <c r="X46" s="660"/>
      <c r="Y46" s="40"/>
      <c r="Z46" s="40"/>
      <c r="AA46" s="644">
        <f>VLOOKUP($F$1,Part5,44,FALSE)</f>
        <v>-2204000</v>
      </c>
      <c r="AB46" s="660"/>
      <c r="AC46" s="358"/>
      <c r="AD46" s="347"/>
      <c r="AE46" s="362"/>
      <c r="AF46" s="362"/>
      <c r="AG46" s="361"/>
      <c r="AH46" s="361"/>
      <c r="AI46" s="361"/>
      <c r="AJ46" s="361"/>
      <c r="AK46" s="361"/>
    </row>
    <row r="47" spans="1:39" s="351" customFormat="1" ht="16.5" thickBot="1" x14ac:dyDescent="0.25">
      <c r="A47" s="357"/>
      <c r="B47" s="358"/>
      <c r="C47" s="346"/>
      <c r="D47" s="346"/>
      <c r="E47" s="358"/>
      <c r="F47" s="358"/>
      <c r="G47" s="358"/>
      <c r="H47" s="358"/>
      <c r="I47" s="358"/>
      <c r="J47" s="363"/>
      <c r="K47" s="427"/>
      <c r="L47" s="427"/>
      <c r="M47" s="40"/>
      <c r="N47" s="428"/>
      <c r="O47" s="427"/>
      <c r="P47" s="427"/>
      <c r="Q47" s="40"/>
      <c r="R47" s="428"/>
      <c r="S47" s="427"/>
      <c r="T47" s="427"/>
      <c r="U47" s="40"/>
      <c r="V47" s="428"/>
      <c r="W47" s="427"/>
      <c r="X47" s="427"/>
      <c r="Y47" s="40"/>
      <c r="Z47" s="428"/>
      <c r="AA47" s="427"/>
      <c r="AB47" s="428"/>
      <c r="AC47" s="363"/>
      <c r="AD47" s="364"/>
      <c r="AE47" s="360"/>
      <c r="AF47" s="360"/>
      <c r="AG47" s="361"/>
      <c r="AH47" s="361"/>
      <c r="AI47" s="361"/>
      <c r="AJ47" s="361"/>
      <c r="AK47" s="361"/>
    </row>
    <row r="48" spans="1:39" s="351" customFormat="1" ht="16.5" thickBot="1" x14ac:dyDescent="0.25">
      <c r="A48" s="357"/>
      <c r="B48" s="358"/>
      <c r="C48" s="346"/>
      <c r="D48" s="346" t="s">
        <v>1046</v>
      </c>
      <c r="E48" s="358"/>
      <c r="F48" s="358"/>
      <c r="G48" s="358"/>
      <c r="H48" s="358"/>
      <c r="I48" s="358"/>
      <c r="J48" s="363"/>
      <c r="K48" s="644">
        <f>VLOOKUP($F$1,Part5,45,FALSE)</f>
        <v>1102000</v>
      </c>
      <c r="L48" s="660"/>
      <c r="M48" s="40"/>
      <c r="N48" s="423"/>
      <c r="O48" s="644">
        <f>VLOOKUP($F$1,Part5,46,FALSE)</f>
        <v>1079960</v>
      </c>
      <c r="P48" s="660"/>
      <c r="Q48" s="40"/>
      <c r="R48" s="423"/>
      <c r="S48" s="644">
        <f>VLOOKUP($F$1,Part5,47,FALSE)</f>
        <v>0</v>
      </c>
      <c r="T48" s="660"/>
      <c r="U48" s="40"/>
      <c r="V48" s="423"/>
      <c r="W48" s="644">
        <f>VLOOKUP($F$1,Part5,48,FALSE)</f>
        <v>22040</v>
      </c>
      <c r="X48" s="660"/>
      <c r="Y48" s="40"/>
      <c r="Z48" s="40"/>
      <c r="AA48" s="644">
        <f>VLOOKUP($F$1,Part5,49,FALSE)</f>
        <v>2204000</v>
      </c>
      <c r="AB48" s="660"/>
      <c r="AC48" s="363"/>
      <c r="AD48" s="364"/>
      <c r="AE48" s="365"/>
      <c r="AF48" s="365"/>
      <c r="AG48" s="361"/>
      <c r="AH48" s="361"/>
      <c r="AI48" s="361"/>
      <c r="AJ48" s="361"/>
      <c r="AK48" s="361"/>
    </row>
    <row r="49" spans="1:37" s="351" customFormat="1" ht="15.75" thickBot="1" x14ac:dyDescent="0.25">
      <c r="A49" s="357"/>
      <c r="B49" s="358"/>
      <c r="C49" s="346"/>
      <c r="D49" s="346"/>
      <c r="E49" s="358"/>
      <c r="F49" s="358"/>
      <c r="G49" s="358"/>
      <c r="H49" s="358"/>
      <c r="I49" s="358"/>
      <c r="J49" s="358"/>
      <c r="K49" s="359"/>
      <c r="L49" s="359"/>
      <c r="M49" s="40"/>
      <c r="N49" s="359"/>
      <c r="O49" s="359"/>
      <c r="P49" s="359"/>
      <c r="Q49" s="40"/>
      <c r="R49" s="359"/>
      <c r="S49" s="359"/>
      <c r="T49" s="359"/>
      <c r="U49" s="40"/>
      <c r="V49" s="359"/>
      <c r="W49" s="359"/>
      <c r="X49" s="359"/>
      <c r="Y49" s="40"/>
      <c r="Z49" s="359"/>
      <c r="AA49" s="359"/>
      <c r="AB49" s="359"/>
      <c r="AC49" s="358"/>
      <c r="AD49" s="347"/>
      <c r="AE49" s="348"/>
      <c r="AF49" s="348"/>
      <c r="AG49" s="361"/>
      <c r="AH49" s="361"/>
      <c r="AI49" s="361"/>
      <c r="AJ49" s="361"/>
      <c r="AK49" s="361"/>
    </row>
    <row r="50" spans="1:37" s="351" customFormat="1" ht="16.5" thickBot="1" x14ac:dyDescent="0.25">
      <c r="A50" s="357"/>
      <c r="B50" s="358"/>
      <c r="C50" s="346"/>
      <c r="D50" s="346" t="s">
        <v>1047</v>
      </c>
      <c r="E50" s="358"/>
      <c r="F50" s="358"/>
      <c r="G50" s="358"/>
      <c r="H50" s="358"/>
      <c r="I50" s="358"/>
      <c r="J50" s="358"/>
      <c r="K50" s="644">
        <f>VLOOKUP($F$1,Part5,50,FALSE)</f>
        <v>-772500</v>
      </c>
      <c r="L50" s="660"/>
      <c r="M50" s="40"/>
      <c r="N50" s="423"/>
      <c r="O50" s="644">
        <f>VLOOKUP($F$1,Part5,51,FALSE)</f>
        <v>-757050</v>
      </c>
      <c r="P50" s="660"/>
      <c r="Q50" s="40"/>
      <c r="R50" s="423"/>
      <c r="S50" s="644">
        <f>VLOOKUP($F$1,Part5,52,FALSE)</f>
        <v>0</v>
      </c>
      <c r="T50" s="660"/>
      <c r="U50" s="40"/>
      <c r="V50" s="423"/>
      <c r="W50" s="644">
        <f>VLOOKUP($F$1,Part5,53,FALSE)</f>
        <v>-15450</v>
      </c>
      <c r="X50" s="660"/>
      <c r="Y50" s="40"/>
      <c r="Z50" s="40"/>
      <c r="AA50" s="644">
        <f>VLOOKUP($F$1,Part5,54,FALSE)</f>
        <v>-1545000</v>
      </c>
      <c r="AB50" s="660"/>
      <c r="AC50" s="358"/>
      <c r="AD50" s="347"/>
      <c r="AE50" s="365"/>
      <c r="AF50" s="365"/>
      <c r="AG50" s="366"/>
      <c r="AH50" s="361"/>
      <c r="AI50" s="361"/>
      <c r="AJ50" s="361"/>
      <c r="AK50" s="361"/>
    </row>
    <row r="51" spans="1:37" s="351" customFormat="1" ht="15.75" thickBot="1" x14ac:dyDescent="0.25">
      <c r="A51" s="357"/>
      <c r="B51" s="358"/>
      <c r="C51" s="346"/>
      <c r="D51" s="346"/>
      <c r="E51" s="358"/>
      <c r="F51" s="358"/>
      <c r="G51" s="358"/>
      <c r="H51" s="358"/>
      <c r="I51" s="358"/>
      <c r="J51" s="358"/>
      <c r="K51" s="359"/>
      <c r="L51" s="359"/>
      <c r="M51" s="40"/>
      <c r="N51" s="359"/>
      <c r="O51" s="359"/>
      <c r="P51" s="359"/>
      <c r="Q51" s="40"/>
      <c r="R51" s="359"/>
      <c r="S51" s="359"/>
      <c r="T51" s="359"/>
      <c r="U51" s="40"/>
      <c r="V51" s="359"/>
      <c r="W51" s="359"/>
      <c r="X51" s="359"/>
      <c r="Y51" s="40"/>
      <c r="Z51" s="359"/>
      <c r="AA51" s="359"/>
      <c r="AB51" s="359"/>
      <c r="AC51" s="358"/>
      <c r="AD51" s="347"/>
      <c r="AE51" s="348"/>
      <c r="AF51" s="348"/>
      <c r="AG51" s="361"/>
      <c r="AH51" s="361"/>
      <c r="AI51" s="361"/>
      <c r="AJ51" s="361"/>
      <c r="AK51" s="361"/>
    </row>
    <row r="52" spans="1:37" s="351" customFormat="1" ht="16.5" thickBot="1" x14ac:dyDescent="0.25">
      <c r="A52" s="357"/>
      <c r="B52" s="358"/>
      <c r="C52" s="346"/>
      <c r="D52" s="346" t="s">
        <v>1048</v>
      </c>
      <c r="E52" s="358"/>
      <c r="F52" s="358"/>
      <c r="G52" s="358"/>
      <c r="H52" s="358"/>
      <c r="I52" s="358"/>
      <c r="J52" s="358"/>
      <c r="K52" s="644">
        <f>VLOOKUP($F$1,Part5,55,FALSE)</f>
        <v>-772500</v>
      </c>
      <c r="L52" s="660"/>
      <c r="M52" s="40"/>
      <c r="N52" s="423"/>
      <c r="O52" s="644">
        <f>VLOOKUP($F$1,Part5,56,FALSE)</f>
        <v>-757050</v>
      </c>
      <c r="P52" s="660"/>
      <c r="Q52" s="40"/>
      <c r="R52" s="423"/>
      <c r="S52" s="644">
        <f>VLOOKUP($F$1,Part5,57,FALSE)</f>
        <v>0</v>
      </c>
      <c r="T52" s="660"/>
      <c r="U52" s="40"/>
      <c r="V52" s="423"/>
      <c r="W52" s="644">
        <f>VLOOKUP($F$1,Part5,58,FALSE)</f>
        <v>-15450</v>
      </c>
      <c r="X52" s="660"/>
      <c r="Y52" s="40"/>
      <c r="Z52" s="40"/>
      <c r="AA52" s="644">
        <f>VLOOKUP($F$1,Part5,59,FALSE)</f>
        <v>-1545000</v>
      </c>
      <c r="AB52" s="660"/>
      <c r="AC52" s="358"/>
      <c r="AD52" s="347"/>
      <c r="AE52" s="367"/>
      <c r="AF52" s="367"/>
      <c r="AG52" s="361"/>
      <c r="AH52" s="361"/>
      <c r="AI52" s="361"/>
      <c r="AJ52" s="361"/>
      <c r="AK52" s="361"/>
    </row>
    <row r="53" spans="1:37" s="351" customFormat="1" x14ac:dyDescent="0.2">
      <c r="A53" s="357"/>
      <c r="B53" s="358"/>
      <c r="C53" s="346"/>
      <c r="D53" s="346"/>
      <c r="E53" s="358"/>
      <c r="F53" s="358"/>
      <c r="G53" s="358"/>
      <c r="H53" s="358"/>
      <c r="I53" s="358"/>
      <c r="J53" s="358"/>
      <c r="K53" s="359"/>
      <c r="L53" s="359"/>
      <c r="M53" s="40"/>
      <c r="N53" s="359"/>
      <c r="O53" s="359"/>
      <c r="P53" s="359"/>
      <c r="Q53" s="40"/>
      <c r="R53" s="359"/>
      <c r="S53" s="359"/>
      <c r="T53" s="359"/>
      <c r="U53" s="40"/>
      <c r="V53" s="359"/>
      <c r="W53" s="359"/>
      <c r="X53" s="359"/>
      <c r="Y53" s="40"/>
      <c r="Z53" s="359"/>
      <c r="AA53" s="359"/>
      <c r="AB53" s="359"/>
      <c r="AC53" s="358"/>
      <c r="AD53" s="347"/>
      <c r="AE53" s="348"/>
      <c r="AF53" s="348"/>
      <c r="AG53" s="361"/>
      <c r="AH53" s="361"/>
      <c r="AI53" s="361"/>
      <c r="AJ53" s="361"/>
      <c r="AK53" s="361"/>
    </row>
    <row r="54" spans="1:37" s="351" customFormat="1" ht="15.75" x14ac:dyDescent="0.2">
      <c r="A54" s="357"/>
      <c r="B54" s="358"/>
      <c r="C54" s="354" t="s">
        <v>844</v>
      </c>
      <c r="D54" s="346"/>
      <c r="E54" s="358"/>
      <c r="F54" s="358"/>
      <c r="G54" s="358"/>
      <c r="H54" s="358"/>
      <c r="I54" s="358"/>
      <c r="J54" s="358"/>
      <c r="K54" s="359"/>
      <c r="L54" s="359"/>
      <c r="M54" s="40"/>
      <c r="N54" s="359"/>
      <c r="O54" s="359"/>
      <c r="P54" s="359"/>
      <c r="Q54" s="40"/>
      <c r="R54" s="359"/>
      <c r="S54" s="359"/>
      <c r="T54" s="359"/>
      <c r="U54" s="40"/>
      <c r="V54" s="359"/>
      <c r="W54" s="359"/>
      <c r="X54" s="359"/>
      <c r="Y54" s="40"/>
      <c r="Z54" s="359"/>
      <c r="AA54" s="359"/>
      <c r="AB54" s="359"/>
      <c r="AC54" s="358"/>
      <c r="AD54" s="347"/>
      <c r="AE54" s="348"/>
      <c r="AF54" s="348"/>
      <c r="AG54" s="361"/>
      <c r="AH54" s="361"/>
      <c r="AI54" s="361"/>
      <c r="AJ54" s="361"/>
      <c r="AK54" s="361"/>
    </row>
    <row r="55" spans="1:37" s="351" customFormat="1" ht="16.5" thickBot="1" x14ac:dyDescent="0.25">
      <c r="A55" s="357"/>
      <c r="B55" s="358"/>
      <c r="C55" s="354"/>
      <c r="D55" s="354" t="s">
        <v>845</v>
      </c>
      <c r="E55" s="358"/>
      <c r="F55" s="358"/>
      <c r="G55" s="358"/>
      <c r="H55" s="358"/>
      <c r="I55" s="358"/>
      <c r="J55" s="358"/>
      <c r="K55" s="359"/>
      <c r="L55" s="359"/>
      <c r="M55" s="40"/>
      <c r="N55" s="359"/>
      <c r="O55" s="359"/>
      <c r="P55" s="359"/>
      <c r="Q55" s="40"/>
      <c r="R55" s="359"/>
      <c r="S55" s="359"/>
      <c r="T55" s="359"/>
      <c r="U55" s="40"/>
      <c r="V55" s="359"/>
      <c r="W55" s="359"/>
      <c r="X55" s="359"/>
      <c r="Y55" s="40"/>
      <c r="Z55" s="359"/>
      <c r="AA55" s="359"/>
      <c r="AB55" s="359"/>
      <c r="AC55" s="358"/>
      <c r="AD55" s="347"/>
      <c r="AE55" s="348"/>
      <c r="AF55" s="348"/>
      <c r="AG55" s="361"/>
      <c r="AH55" s="361"/>
      <c r="AI55" s="361"/>
      <c r="AJ55" s="361"/>
      <c r="AK55" s="361"/>
    </row>
    <row r="56" spans="1:37" s="351" customFormat="1" ht="16.5" thickBot="1" x14ac:dyDescent="0.25">
      <c r="A56" s="357"/>
      <c r="B56" s="358"/>
      <c r="C56" s="346"/>
      <c r="D56" s="346" t="s">
        <v>1049</v>
      </c>
      <c r="E56" s="358"/>
      <c r="F56" s="358"/>
      <c r="G56" s="358"/>
      <c r="H56" s="358"/>
      <c r="I56" s="358"/>
      <c r="J56" s="358"/>
      <c r="K56" s="644">
        <f>VLOOKUP($F$1,Part5,60,FALSE)</f>
        <v>-7041000</v>
      </c>
      <c r="L56" s="660"/>
      <c r="M56" s="40"/>
      <c r="N56" s="423"/>
      <c r="O56" s="644">
        <f>VLOOKUP($F$1,Part5,61,FALSE)</f>
        <v>-6900180</v>
      </c>
      <c r="P56" s="660"/>
      <c r="Q56" s="40"/>
      <c r="R56" s="423"/>
      <c r="S56" s="644">
        <f>VLOOKUP($F$1,Part5,62,FALSE)</f>
        <v>0</v>
      </c>
      <c r="T56" s="660"/>
      <c r="U56" s="40"/>
      <c r="V56" s="423"/>
      <c r="W56" s="644">
        <f>VLOOKUP($F$1,Part5,63,FALSE)</f>
        <v>-140820</v>
      </c>
      <c r="X56" s="660"/>
      <c r="Y56" s="40"/>
      <c r="Z56" s="40"/>
      <c r="AA56" s="644">
        <f>VLOOKUP($F$1,Part5,64,FALSE)</f>
        <v>-14082000</v>
      </c>
      <c r="AB56" s="660"/>
      <c r="AC56" s="358"/>
      <c r="AD56" s="347"/>
      <c r="AE56" s="362"/>
      <c r="AF56" s="362"/>
      <c r="AG56" s="361"/>
      <c r="AH56" s="361"/>
      <c r="AI56" s="361"/>
      <c r="AJ56" s="361"/>
      <c r="AK56" s="361"/>
    </row>
    <row r="57" spans="1:37" s="351" customFormat="1" ht="15.75" thickBot="1" x14ac:dyDescent="0.25">
      <c r="A57" s="357"/>
      <c r="B57" s="358"/>
      <c r="C57" s="346"/>
      <c r="D57" s="346"/>
      <c r="E57" s="358"/>
      <c r="F57" s="358"/>
      <c r="G57" s="358"/>
      <c r="H57" s="358"/>
      <c r="I57" s="358"/>
      <c r="J57" s="358"/>
      <c r="K57" s="359"/>
      <c r="L57" s="359"/>
      <c r="M57" s="40"/>
      <c r="N57" s="359"/>
      <c r="O57" s="359"/>
      <c r="P57" s="359"/>
      <c r="Q57" s="40"/>
      <c r="R57" s="359"/>
      <c r="S57" s="359"/>
      <c r="T57" s="359"/>
      <c r="U57" s="40"/>
      <c r="V57" s="359"/>
      <c r="W57" s="359"/>
      <c r="X57" s="359"/>
      <c r="Y57" s="40"/>
      <c r="Z57" s="359"/>
      <c r="AA57" s="359"/>
      <c r="AB57" s="359"/>
      <c r="AC57" s="358"/>
      <c r="AD57" s="347"/>
      <c r="AE57" s="348"/>
      <c r="AF57" s="348"/>
      <c r="AG57" s="361"/>
      <c r="AH57" s="361"/>
      <c r="AI57" s="361"/>
      <c r="AJ57" s="361"/>
      <c r="AK57" s="361"/>
    </row>
    <row r="58" spans="1:37" s="351" customFormat="1" ht="16.5" thickBot="1" x14ac:dyDescent="0.25">
      <c r="A58" s="357"/>
      <c r="B58" s="358"/>
      <c r="C58" s="346"/>
      <c r="D58" s="346" t="s">
        <v>1050</v>
      </c>
      <c r="E58" s="358"/>
      <c r="F58" s="358"/>
      <c r="G58" s="358"/>
      <c r="H58" s="358"/>
      <c r="I58" s="358"/>
      <c r="J58" s="358"/>
      <c r="K58" s="644">
        <f>VLOOKUP($F$1,Part5,65,FALSE)</f>
        <v>1790717</v>
      </c>
      <c r="L58" s="660"/>
      <c r="M58" s="40"/>
      <c r="N58" s="423"/>
      <c r="O58" s="644">
        <f>VLOOKUP($F$1,Part5,66,FALSE)</f>
        <v>1754902</v>
      </c>
      <c r="P58" s="660"/>
      <c r="Q58" s="40"/>
      <c r="R58" s="423"/>
      <c r="S58" s="644">
        <f>VLOOKUP($F$1,Part5,67,FALSE)</f>
        <v>0</v>
      </c>
      <c r="T58" s="660"/>
      <c r="U58" s="40"/>
      <c r="V58" s="423"/>
      <c r="W58" s="644">
        <f>VLOOKUP($F$1,Part5,68,FALSE)</f>
        <v>35814</v>
      </c>
      <c r="X58" s="660"/>
      <c r="Y58" s="40"/>
      <c r="Z58" s="40"/>
      <c r="AA58" s="644">
        <f>VLOOKUP($F$1,Part5,69,FALSE)</f>
        <v>3581433</v>
      </c>
      <c r="AB58" s="660"/>
      <c r="AC58" s="358"/>
      <c r="AD58" s="347"/>
      <c r="AE58" s="355"/>
      <c r="AF58" s="355"/>
      <c r="AG58" s="361"/>
      <c r="AH58" s="361"/>
      <c r="AI58" s="361"/>
      <c r="AJ58" s="361"/>
      <c r="AK58" s="361"/>
    </row>
    <row r="59" spans="1:37" s="351" customFormat="1" ht="15.75" thickBot="1" x14ac:dyDescent="0.25">
      <c r="A59" s="357"/>
      <c r="B59" s="358"/>
      <c r="C59" s="346"/>
      <c r="D59" s="346"/>
      <c r="E59" s="358"/>
      <c r="F59" s="358"/>
      <c r="G59" s="358"/>
      <c r="H59" s="358"/>
      <c r="I59" s="358"/>
      <c r="J59" s="358"/>
      <c r="K59" s="359"/>
      <c r="L59" s="359"/>
      <c r="M59" s="40"/>
      <c r="N59" s="359"/>
      <c r="O59" s="359"/>
      <c r="P59" s="359"/>
      <c r="Q59" s="40"/>
      <c r="R59" s="359"/>
      <c r="S59" s="359"/>
      <c r="T59" s="359"/>
      <c r="U59" s="40"/>
      <c r="V59" s="359"/>
      <c r="W59" s="359"/>
      <c r="X59" s="359"/>
      <c r="Y59" s="40"/>
      <c r="Z59" s="359"/>
      <c r="AA59" s="359"/>
      <c r="AB59" s="359"/>
      <c r="AC59" s="358"/>
      <c r="AD59" s="347"/>
      <c r="AE59" s="348"/>
      <c r="AF59" s="348"/>
      <c r="AG59" s="361"/>
      <c r="AH59" s="361"/>
      <c r="AI59" s="361"/>
      <c r="AJ59" s="361"/>
      <c r="AK59" s="361"/>
    </row>
    <row r="60" spans="1:37" s="351" customFormat="1" ht="16.5" thickBot="1" x14ac:dyDescent="0.25">
      <c r="A60" s="357"/>
      <c r="B60" s="358"/>
      <c r="C60" s="346"/>
      <c r="D60" s="346" t="s">
        <v>1051</v>
      </c>
      <c r="E60" s="358"/>
      <c r="F60" s="358"/>
      <c r="G60" s="358"/>
      <c r="H60" s="358"/>
      <c r="I60" s="358"/>
      <c r="J60" s="358"/>
      <c r="K60" s="644">
        <f>VLOOKUP($F$1,Part5,70,FALSE)</f>
        <v>-3547521</v>
      </c>
      <c r="L60" s="660"/>
      <c r="M60" s="40"/>
      <c r="N60" s="423"/>
      <c r="O60" s="644">
        <f>VLOOKUP($F$1,Part5,71,FALSE)</f>
        <v>-3476570</v>
      </c>
      <c r="P60" s="660"/>
      <c r="Q60" s="40"/>
      <c r="R60" s="423"/>
      <c r="S60" s="644">
        <f>VLOOKUP($F$1,Part5,72,FALSE)</f>
        <v>0</v>
      </c>
      <c r="T60" s="660"/>
      <c r="U60" s="40"/>
      <c r="V60" s="423"/>
      <c r="W60" s="644">
        <f>VLOOKUP($F$1,Part5,73,FALSE)</f>
        <v>-70950</v>
      </c>
      <c r="X60" s="660"/>
      <c r="Y60" s="40"/>
      <c r="Z60" s="40"/>
      <c r="AA60" s="644">
        <f>VLOOKUP($F$1,Part5,74,FALSE)</f>
        <v>-7095041</v>
      </c>
      <c r="AB60" s="660"/>
      <c r="AC60" s="358"/>
      <c r="AD60" s="347"/>
      <c r="AE60" s="367"/>
      <c r="AF60" s="367"/>
      <c r="AG60" s="361"/>
      <c r="AH60" s="361"/>
      <c r="AI60" s="361"/>
      <c r="AJ60" s="361"/>
      <c r="AK60" s="361"/>
    </row>
    <row r="61" spans="1:37" s="351" customFormat="1" ht="15.75" thickBot="1" x14ac:dyDescent="0.25">
      <c r="A61" s="357"/>
      <c r="B61" s="358"/>
      <c r="C61" s="346"/>
      <c r="D61" s="346"/>
      <c r="E61" s="358"/>
      <c r="F61" s="358"/>
      <c r="G61" s="358"/>
      <c r="H61" s="358"/>
      <c r="I61" s="358"/>
      <c r="J61" s="358"/>
      <c r="K61" s="359"/>
      <c r="L61" s="359"/>
      <c r="M61" s="40"/>
      <c r="N61" s="359"/>
      <c r="O61" s="359"/>
      <c r="P61" s="359"/>
      <c r="Q61" s="40"/>
      <c r="R61" s="359"/>
      <c r="S61" s="359"/>
      <c r="T61" s="359"/>
      <c r="U61" s="40"/>
      <c r="V61" s="359"/>
      <c r="W61" s="359"/>
      <c r="X61" s="359"/>
      <c r="Y61" s="40"/>
      <c r="Z61" s="359"/>
      <c r="AA61" s="359"/>
      <c r="AB61" s="359"/>
      <c r="AC61" s="358"/>
      <c r="AD61" s="347"/>
      <c r="AE61" s="367"/>
      <c r="AF61" s="367"/>
      <c r="AG61" s="361"/>
      <c r="AH61" s="361"/>
      <c r="AI61" s="361"/>
      <c r="AJ61" s="361"/>
      <c r="AK61" s="361"/>
    </row>
    <row r="62" spans="1:37" s="351" customFormat="1" ht="16.5" thickBot="1" x14ac:dyDescent="0.25">
      <c r="A62" s="357"/>
      <c r="B62" s="358"/>
      <c r="C62" s="346"/>
      <c r="D62" s="346" t="s">
        <v>1052</v>
      </c>
      <c r="E62" s="358"/>
      <c r="F62" s="358"/>
      <c r="G62" s="358"/>
      <c r="H62" s="358"/>
      <c r="I62" s="358"/>
      <c r="J62" s="358"/>
      <c r="K62" s="644">
        <f>VLOOKUP($F$1,Part5,75,FALSE)</f>
        <v>-8797804</v>
      </c>
      <c r="L62" s="660"/>
      <c r="M62" s="40"/>
      <c r="N62" s="423"/>
      <c r="O62" s="644">
        <f>VLOOKUP($F$1,Part5,76,FALSE)</f>
        <v>-8621848</v>
      </c>
      <c r="P62" s="660"/>
      <c r="Q62" s="40"/>
      <c r="R62" s="423"/>
      <c r="S62" s="644">
        <f>VLOOKUP($F$1,Part5,77,FALSE)</f>
        <v>0</v>
      </c>
      <c r="T62" s="660"/>
      <c r="U62" s="40"/>
      <c r="V62" s="423"/>
      <c r="W62" s="644">
        <f>VLOOKUP($F$1,Part5,78,FALSE)</f>
        <v>-175956</v>
      </c>
      <c r="X62" s="660"/>
      <c r="Y62" s="40"/>
      <c r="Z62" s="40"/>
      <c r="AA62" s="644">
        <f>VLOOKUP($F$1,Part5,79,FALSE)</f>
        <v>-17595608</v>
      </c>
      <c r="AB62" s="660"/>
      <c r="AC62" s="358"/>
      <c r="AD62" s="347"/>
      <c r="AE62" s="367"/>
      <c r="AF62" s="367"/>
      <c r="AG62" s="361"/>
      <c r="AH62" s="361"/>
      <c r="AI62" s="361"/>
      <c r="AJ62" s="361"/>
      <c r="AK62" s="361"/>
    </row>
    <row r="63" spans="1:37" ht="15.75" thickBot="1" x14ac:dyDescent="0.25">
      <c r="A63" s="368"/>
      <c r="B63" s="229"/>
      <c r="C63" s="248"/>
      <c r="D63" s="248"/>
      <c r="E63" s="229"/>
      <c r="F63" s="229"/>
      <c r="G63" s="229"/>
      <c r="H63" s="229"/>
      <c r="I63" s="229"/>
      <c r="J63" s="229"/>
      <c r="K63" s="334"/>
      <c r="L63" s="334"/>
      <c r="M63" s="334"/>
      <c r="N63" s="334"/>
      <c r="O63" s="334"/>
      <c r="P63" s="334"/>
      <c r="Q63" s="334"/>
      <c r="R63" s="334"/>
      <c r="S63" s="334"/>
      <c r="T63" s="334"/>
      <c r="U63" s="334"/>
      <c r="V63" s="334"/>
      <c r="W63" s="334"/>
      <c r="X63" s="334"/>
      <c r="Y63" s="334"/>
      <c r="Z63" s="334"/>
      <c r="AA63" s="334"/>
      <c r="AB63" s="334"/>
      <c r="AC63" s="334"/>
      <c r="AD63" s="369"/>
      <c r="AF63" s="263"/>
      <c r="AG63" s="177"/>
      <c r="AH63" s="177"/>
      <c r="AI63" s="177"/>
      <c r="AJ63" s="177"/>
      <c r="AK63" s="177"/>
    </row>
    <row r="66" spans="11:19" x14ac:dyDescent="0.2">
      <c r="K66" s="719"/>
      <c r="L66" s="720"/>
      <c r="M66" s="720"/>
      <c r="N66" s="720"/>
      <c r="O66" s="720"/>
      <c r="P66" s="720"/>
      <c r="Q66" s="720"/>
      <c r="R66" s="720"/>
      <c r="S66" s="720"/>
    </row>
  </sheetData>
  <mergeCells count="103">
    <mergeCell ref="C13:AA14"/>
    <mergeCell ref="K15:L15"/>
    <mergeCell ref="O15:P15"/>
    <mergeCell ref="S15:T15"/>
    <mergeCell ref="W15:X15"/>
    <mergeCell ref="AA15:AB15"/>
    <mergeCell ref="T1:V1"/>
    <mergeCell ref="A2:AD2"/>
    <mergeCell ref="A3:AD3"/>
    <mergeCell ref="A5:AD5"/>
    <mergeCell ref="A7:AD7"/>
    <mergeCell ref="C12:H12"/>
    <mergeCell ref="D20:I21"/>
    <mergeCell ref="K20:L20"/>
    <mergeCell ref="O20:P20"/>
    <mergeCell ref="S20:T20"/>
    <mergeCell ref="W20:X20"/>
    <mergeCell ref="AA20:AB20"/>
    <mergeCell ref="K16:L17"/>
    <mergeCell ref="O16:P17"/>
    <mergeCell ref="S16:T17"/>
    <mergeCell ref="W16:X17"/>
    <mergeCell ref="K18:L18"/>
    <mergeCell ref="O18:P18"/>
    <mergeCell ref="S18:T18"/>
    <mergeCell ref="W18:X18"/>
    <mergeCell ref="AA18:AB18"/>
    <mergeCell ref="AA16:AB17"/>
    <mergeCell ref="K28:L28"/>
    <mergeCell ref="O31:P31"/>
    <mergeCell ref="AA31:AB31"/>
    <mergeCell ref="O33:P33"/>
    <mergeCell ref="AA33:AB33"/>
    <mergeCell ref="O35:P35"/>
    <mergeCell ref="S35:T35"/>
    <mergeCell ref="AA35:AB35"/>
    <mergeCell ref="K24:L24"/>
    <mergeCell ref="O24:P24"/>
    <mergeCell ref="S24:T24"/>
    <mergeCell ref="W24:X24"/>
    <mergeCell ref="AA24:AB24"/>
    <mergeCell ref="K26:L26"/>
    <mergeCell ref="AA26:AB26"/>
    <mergeCell ref="O37:P37"/>
    <mergeCell ref="S37:T37"/>
    <mergeCell ref="W37:X37"/>
    <mergeCell ref="AA37:AB37"/>
    <mergeCell ref="K40:L40"/>
    <mergeCell ref="O40:P40"/>
    <mergeCell ref="S40:T40"/>
    <mergeCell ref="W40:X40"/>
    <mergeCell ref="AA40:AB40"/>
    <mergeCell ref="K41:L41"/>
    <mergeCell ref="O41:P41"/>
    <mergeCell ref="S41:T41"/>
    <mergeCell ref="W41:X41"/>
    <mergeCell ref="AA41:AB41"/>
    <mergeCell ref="K43:L43"/>
    <mergeCell ref="O43:P43"/>
    <mergeCell ref="S43:T43"/>
    <mergeCell ref="W43:X43"/>
    <mergeCell ref="AA43:AB43"/>
    <mergeCell ref="K46:L46"/>
    <mergeCell ref="O46:P46"/>
    <mergeCell ref="S46:T46"/>
    <mergeCell ref="W46:X46"/>
    <mergeCell ref="AA46:AB46"/>
    <mergeCell ref="K48:L48"/>
    <mergeCell ref="O48:P48"/>
    <mergeCell ref="S48:T48"/>
    <mergeCell ref="W48:X48"/>
    <mergeCell ref="AA48:AB48"/>
    <mergeCell ref="K50:L50"/>
    <mergeCell ref="O50:P50"/>
    <mergeCell ref="S50:T50"/>
    <mergeCell ref="W50:X50"/>
    <mergeCell ref="AA50:AB50"/>
    <mergeCell ref="K52:L52"/>
    <mergeCell ref="O52:P52"/>
    <mergeCell ref="S52:T52"/>
    <mergeCell ref="W52:X52"/>
    <mergeCell ref="AA52:AB52"/>
    <mergeCell ref="K56:L56"/>
    <mergeCell ref="O56:P56"/>
    <mergeCell ref="S56:T56"/>
    <mergeCell ref="W56:X56"/>
    <mergeCell ref="AA56:AB56"/>
    <mergeCell ref="K58:L58"/>
    <mergeCell ref="O58:P58"/>
    <mergeCell ref="S58:T58"/>
    <mergeCell ref="W58:X58"/>
    <mergeCell ref="AA58:AB58"/>
    <mergeCell ref="K66:S66"/>
    <mergeCell ref="K60:L60"/>
    <mergeCell ref="O60:P60"/>
    <mergeCell ref="S60:T60"/>
    <mergeCell ref="W60:X60"/>
    <mergeCell ref="AA60:AB60"/>
    <mergeCell ref="K62:L62"/>
    <mergeCell ref="O62:P62"/>
    <mergeCell ref="S62:T62"/>
    <mergeCell ref="W62:X62"/>
    <mergeCell ref="AA62:AB62"/>
  </mergeCells>
  <printOptions horizontalCentered="1"/>
  <pageMargins left="0.39370078740157483" right="0.39370078740157483" top="0.59055118110236227" bottom="0.59055118110236227" header="0.51181102362204722" footer="0.51181102362204722"/>
  <pageSetup paperSize="9" scale="4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2"/>
  <sheetViews>
    <sheetView zoomScaleNormal="100" workbookViewId="0">
      <pane xSplit="4" ySplit="7" topLeftCell="E83" activePane="bottomRight" state="frozen"/>
      <selection pane="topRight" activeCell="D1" sqref="D1"/>
      <selection pane="bottomLeft" activeCell="A8" sqref="A8"/>
      <selection pane="bottomRight" activeCell="R97" sqref="R97"/>
    </sheetView>
  </sheetViews>
  <sheetFormatPr defaultRowHeight="15" x14ac:dyDescent="0.2"/>
  <cols>
    <col min="1" max="1" width="4" style="93" bestFit="1" customWidth="1"/>
    <col min="2" max="2" width="8.42578125" style="17" customWidth="1"/>
    <col min="3" max="3" width="5.5703125" style="17" customWidth="1"/>
    <col min="4" max="4" width="8.140625" style="17" hidden="1" customWidth="1"/>
    <col min="5" max="5" width="27" style="17" bestFit="1" customWidth="1"/>
    <col min="6" max="6" width="14.7109375" style="80" customWidth="1"/>
    <col min="7" max="8" width="14.7109375" style="17" customWidth="1"/>
    <col min="9" max="17" width="14.7109375" customWidth="1"/>
    <col min="18" max="18" width="28.42578125" bestFit="1" customWidth="1"/>
    <col min="19" max="19" width="23.28515625" bestFit="1" customWidth="1"/>
    <col min="20" max="20" width="33" bestFit="1" customWidth="1"/>
  </cols>
  <sheetData>
    <row r="1" spans="1:22" ht="13.5" thickBot="1" x14ac:dyDescent="0.25">
      <c r="A1" s="616"/>
      <c r="B1" s="583"/>
      <c r="C1" s="584"/>
      <c r="D1" s="585"/>
      <c r="E1" s="586"/>
      <c r="F1" s="581"/>
      <c r="G1" s="405"/>
      <c r="H1" s="405"/>
      <c r="I1" s="406"/>
      <c r="J1" s="406"/>
      <c r="K1" s="406"/>
      <c r="L1" s="406"/>
      <c r="M1" s="406"/>
      <c r="N1" s="406"/>
      <c r="O1" s="406"/>
      <c r="P1" s="406"/>
      <c r="Q1" s="406"/>
    </row>
    <row r="2" spans="1:22" s="101" customFormat="1" ht="52.5" thickTop="1" thickBot="1" x14ac:dyDescent="0.25">
      <c r="A2" s="617"/>
      <c r="B2" s="587"/>
      <c r="C2" s="588"/>
      <c r="D2" s="589"/>
      <c r="E2" s="590"/>
      <c r="F2" s="594" t="s">
        <v>740</v>
      </c>
      <c r="G2" s="595" t="s">
        <v>741</v>
      </c>
      <c r="H2" s="595" t="s">
        <v>742</v>
      </c>
      <c r="I2" s="595" t="s">
        <v>743</v>
      </c>
      <c r="J2" s="595" t="s">
        <v>744</v>
      </c>
      <c r="K2" s="595" t="s">
        <v>745</v>
      </c>
      <c r="L2" s="595" t="s">
        <v>746</v>
      </c>
      <c r="M2" s="595" t="s">
        <v>1053</v>
      </c>
      <c r="N2" s="595" t="s">
        <v>1054</v>
      </c>
      <c r="O2" s="595" t="s">
        <v>747</v>
      </c>
      <c r="P2" s="595" t="s">
        <v>748</v>
      </c>
      <c r="Q2" s="595" t="s">
        <v>557</v>
      </c>
      <c r="R2" s="107" t="s">
        <v>820</v>
      </c>
      <c r="S2" s="107" t="s">
        <v>821</v>
      </c>
      <c r="T2" s="108" t="s">
        <v>822</v>
      </c>
    </row>
    <row r="3" spans="1:22" s="93" customFormat="1" ht="13.5" thickBot="1" x14ac:dyDescent="0.25">
      <c r="A3" s="591">
        <v>1</v>
      </c>
      <c r="B3" s="582">
        <v>2</v>
      </c>
      <c r="C3" s="582">
        <v>3</v>
      </c>
      <c r="D3" s="592">
        <v>4</v>
      </c>
      <c r="E3" s="467">
        <v>5</v>
      </c>
      <c r="F3" s="403">
        <v>6</v>
      </c>
      <c r="G3" s="593">
        <v>7</v>
      </c>
      <c r="H3" s="403">
        <v>8</v>
      </c>
      <c r="I3" s="403">
        <v>9</v>
      </c>
      <c r="J3" s="593">
        <v>10</v>
      </c>
      <c r="K3" s="403">
        <v>11</v>
      </c>
      <c r="L3" s="403">
        <v>12</v>
      </c>
      <c r="M3" s="593">
        <v>13</v>
      </c>
      <c r="N3" s="403">
        <v>14</v>
      </c>
      <c r="O3" s="403">
        <v>15</v>
      </c>
      <c r="P3" s="593">
        <v>16</v>
      </c>
      <c r="Q3" s="404">
        <v>17</v>
      </c>
      <c r="R3" s="411">
        <v>19</v>
      </c>
      <c r="S3" s="22">
        <v>20</v>
      </c>
      <c r="T3" s="22">
        <v>21</v>
      </c>
    </row>
    <row r="4" spans="1:22" ht="13.5" thickBot="1" x14ac:dyDescent="0.25">
      <c r="A4" s="411"/>
      <c r="B4" s="156"/>
      <c r="C4" s="24"/>
      <c r="D4" s="62"/>
      <c r="E4" s="62"/>
      <c r="F4" s="83"/>
      <c r="G4" s="84"/>
      <c r="H4" s="84"/>
      <c r="I4" s="85"/>
      <c r="J4" s="85"/>
      <c r="K4" s="85"/>
      <c r="L4" s="85"/>
      <c r="M4" s="85"/>
      <c r="N4" s="85"/>
      <c r="O4" s="85"/>
      <c r="P4" s="85"/>
      <c r="Q4" s="85"/>
      <c r="R4" s="86"/>
      <c r="S4" s="86"/>
      <c r="T4" s="86"/>
    </row>
    <row r="5" spans="1:22" s="93" customFormat="1" ht="13.5" thickBot="1" x14ac:dyDescent="0.25">
      <c r="A5" s="411"/>
      <c r="B5" s="81" t="s">
        <v>561</v>
      </c>
      <c r="C5" s="140" t="s">
        <v>864</v>
      </c>
      <c r="D5" s="161" t="s">
        <v>865</v>
      </c>
      <c r="E5" s="81" t="s">
        <v>560</v>
      </c>
      <c r="F5" s="95">
        <v>1</v>
      </c>
      <c r="G5" s="96">
        <v>2</v>
      </c>
      <c r="H5" s="96">
        <v>3</v>
      </c>
      <c r="I5" s="96">
        <v>4</v>
      </c>
      <c r="J5" s="96">
        <v>5</v>
      </c>
      <c r="K5" s="96">
        <v>6</v>
      </c>
      <c r="L5" s="96">
        <v>7</v>
      </c>
      <c r="M5" s="96">
        <v>8</v>
      </c>
      <c r="N5" s="96">
        <v>9</v>
      </c>
      <c r="O5" s="96">
        <v>10</v>
      </c>
      <c r="P5" s="96">
        <v>11</v>
      </c>
      <c r="Q5" s="96">
        <v>12</v>
      </c>
      <c r="R5" s="86"/>
      <c r="S5" s="86"/>
      <c r="T5" s="86"/>
    </row>
    <row r="6" spans="1:22" s="93" customFormat="1" ht="13.5" thickBot="1" x14ac:dyDescent="0.25">
      <c r="A6" s="591"/>
      <c r="B6" s="157"/>
      <c r="C6" s="82"/>
      <c r="D6" s="65"/>
      <c r="E6" s="82"/>
      <c r="F6" s="97">
        <v>1</v>
      </c>
      <c r="G6" s="98">
        <v>1</v>
      </c>
      <c r="H6" s="98">
        <v>1</v>
      </c>
      <c r="I6" s="98">
        <v>1</v>
      </c>
      <c r="J6" s="98">
        <v>1</v>
      </c>
      <c r="K6" s="98">
        <v>1</v>
      </c>
      <c r="L6" s="98">
        <v>1</v>
      </c>
      <c r="M6" s="98">
        <v>1</v>
      </c>
      <c r="N6" s="98">
        <v>1</v>
      </c>
      <c r="O6" s="98">
        <v>1</v>
      </c>
      <c r="P6" s="98">
        <v>1</v>
      </c>
      <c r="Q6" s="98">
        <v>1</v>
      </c>
      <c r="R6" s="86"/>
      <c r="S6" s="86"/>
      <c r="T6" s="86"/>
    </row>
    <row r="7" spans="1:22" ht="13.5" thickBot="1" x14ac:dyDescent="0.25">
      <c r="A7" s="614"/>
      <c r="B7" s="51"/>
      <c r="C7" s="52"/>
      <c r="D7" s="59"/>
      <c r="E7" s="152"/>
      <c r="F7" s="87"/>
      <c r="G7" s="88"/>
      <c r="H7" s="88"/>
      <c r="I7" s="89"/>
      <c r="J7" s="90"/>
      <c r="K7" s="89"/>
      <c r="L7" s="89"/>
      <c r="M7" s="89"/>
      <c r="N7" s="89"/>
      <c r="O7" s="89"/>
      <c r="P7" s="89"/>
      <c r="Q7" s="89"/>
      <c r="R7" s="91"/>
      <c r="S7" s="91"/>
      <c r="T7" s="91"/>
      <c r="U7" s="140"/>
      <c r="V7" s="140"/>
    </row>
    <row r="8" spans="1:22" ht="12.75" x14ac:dyDescent="0.2">
      <c r="A8" s="93">
        <v>2</v>
      </c>
      <c r="B8" s="145" t="s">
        <v>563</v>
      </c>
      <c r="C8" s="141" t="s">
        <v>866</v>
      </c>
      <c r="D8" s="142" t="s">
        <v>867</v>
      </c>
      <c r="E8" s="149" t="s">
        <v>562</v>
      </c>
      <c r="F8" s="542">
        <v>16794412</v>
      </c>
      <c r="G8" s="542">
        <v>1043068</v>
      </c>
      <c r="H8" s="542">
        <v>0</v>
      </c>
      <c r="I8" s="542">
        <v>86084</v>
      </c>
      <c r="J8" s="542">
        <v>0</v>
      </c>
      <c r="K8" s="542">
        <v>86084</v>
      </c>
      <c r="L8" s="542">
        <v>0</v>
      </c>
      <c r="M8" s="542">
        <v>0</v>
      </c>
      <c r="N8" s="542">
        <v>0</v>
      </c>
      <c r="O8" s="542">
        <v>0</v>
      </c>
      <c r="P8" s="542">
        <v>0</v>
      </c>
      <c r="Q8" s="542">
        <v>17751396</v>
      </c>
      <c r="R8" s="102" t="s">
        <v>562</v>
      </c>
      <c r="S8" s="103" t="s">
        <v>749</v>
      </c>
      <c r="T8" s="104" t="s">
        <v>751</v>
      </c>
      <c r="U8" s="141"/>
      <c r="V8" s="142"/>
    </row>
    <row r="9" spans="1:22" ht="12.75" x14ac:dyDescent="0.2">
      <c r="A9" s="93">
        <v>3</v>
      </c>
      <c r="B9" s="145" t="s">
        <v>565</v>
      </c>
      <c r="C9" s="141" t="s">
        <v>866</v>
      </c>
      <c r="D9" s="142" t="s">
        <v>868</v>
      </c>
      <c r="E9" s="149" t="s">
        <v>564</v>
      </c>
      <c r="F9" s="542">
        <v>25483478</v>
      </c>
      <c r="G9" s="542">
        <v>0</v>
      </c>
      <c r="H9" s="542">
        <v>168817</v>
      </c>
      <c r="I9" s="542">
        <v>181754</v>
      </c>
      <c r="J9" s="542">
        <v>0</v>
      </c>
      <c r="K9" s="542">
        <v>181754</v>
      </c>
      <c r="L9" s="542">
        <v>0</v>
      </c>
      <c r="M9" s="542">
        <v>0</v>
      </c>
      <c r="N9" s="542">
        <v>411621</v>
      </c>
      <c r="O9" s="542">
        <v>411621</v>
      </c>
      <c r="P9" s="542">
        <v>0</v>
      </c>
      <c r="Q9" s="542">
        <v>24721286</v>
      </c>
      <c r="R9" s="102" t="s">
        <v>564</v>
      </c>
      <c r="S9" s="103" t="s">
        <v>752</v>
      </c>
      <c r="T9" s="104" t="s">
        <v>751</v>
      </c>
      <c r="U9" s="141"/>
      <c r="V9" s="142"/>
    </row>
    <row r="10" spans="1:22" ht="12.75" x14ac:dyDescent="0.2">
      <c r="A10" s="93">
        <v>4</v>
      </c>
      <c r="B10" s="145" t="s">
        <v>567</v>
      </c>
      <c r="C10" s="141" t="s">
        <v>866</v>
      </c>
      <c r="D10" s="142" t="s">
        <v>869</v>
      </c>
      <c r="E10" s="149" t="s">
        <v>566</v>
      </c>
      <c r="F10" s="542">
        <v>29342292</v>
      </c>
      <c r="G10" s="542">
        <v>0</v>
      </c>
      <c r="H10" s="542">
        <v>213617</v>
      </c>
      <c r="I10" s="542">
        <v>154029</v>
      </c>
      <c r="J10" s="542">
        <v>0</v>
      </c>
      <c r="K10" s="542">
        <v>154029</v>
      </c>
      <c r="L10" s="542">
        <v>0</v>
      </c>
      <c r="M10" s="542">
        <v>0</v>
      </c>
      <c r="N10" s="542">
        <v>0</v>
      </c>
      <c r="O10" s="542">
        <v>0</v>
      </c>
      <c r="P10" s="542">
        <v>0</v>
      </c>
      <c r="Q10" s="542">
        <v>28974646</v>
      </c>
      <c r="R10" s="102" t="s">
        <v>566</v>
      </c>
      <c r="S10" s="103" t="s">
        <v>753</v>
      </c>
      <c r="T10" s="104" t="s">
        <v>754</v>
      </c>
      <c r="U10" s="141"/>
      <c r="V10" s="142"/>
    </row>
    <row r="11" spans="1:22" ht="12.75" x14ac:dyDescent="0.2">
      <c r="A11" s="93">
        <v>5</v>
      </c>
      <c r="B11" s="145" t="s">
        <v>569</v>
      </c>
      <c r="C11" s="141" t="s">
        <v>866</v>
      </c>
      <c r="D11" s="142" t="s">
        <v>867</v>
      </c>
      <c r="E11" s="149" t="s">
        <v>568</v>
      </c>
      <c r="F11" s="542">
        <v>32217233</v>
      </c>
      <c r="G11" s="542">
        <v>0</v>
      </c>
      <c r="H11" s="542">
        <v>246851</v>
      </c>
      <c r="I11" s="542">
        <v>174261</v>
      </c>
      <c r="J11" s="542">
        <v>0</v>
      </c>
      <c r="K11" s="542">
        <v>174261</v>
      </c>
      <c r="L11" s="542">
        <v>0</v>
      </c>
      <c r="M11" s="542">
        <v>0</v>
      </c>
      <c r="N11" s="542">
        <v>0</v>
      </c>
      <c r="O11" s="542">
        <v>0</v>
      </c>
      <c r="P11" s="542">
        <v>0</v>
      </c>
      <c r="Q11" s="542">
        <v>31796121</v>
      </c>
      <c r="R11" s="102" t="s">
        <v>568</v>
      </c>
      <c r="S11" s="103" t="s">
        <v>749</v>
      </c>
      <c r="T11" s="104" t="s">
        <v>751</v>
      </c>
      <c r="U11" s="141"/>
      <c r="V11" s="142"/>
    </row>
    <row r="12" spans="1:22" ht="12.75" x14ac:dyDescent="0.2">
      <c r="A12" s="93">
        <v>6</v>
      </c>
      <c r="B12" s="145" t="s">
        <v>571</v>
      </c>
      <c r="C12" s="141" t="s">
        <v>866</v>
      </c>
      <c r="D12" s="142" t="s">
        <v>869</v>
      </c>
      <c r="E12" s="149" t="s">
        <v>570</v>
      </c>
      <c r="F12" s="542">
        <v>32645634</v>
      </c>
      <c r="G12" s="542">
        <v>49659</v>
      </c>
      <c r="H12" s="542">
        <v>0</v>
      </c>
      <c r="I12" s="542">
        <v>128854</v>
      </c>
      <c r="J12" s="542">
        <v>0</v>
      </c>
      <c r="K12" s="542">
        <v>128854</v>
      </c>
      <c r="L12" s="542">
        <v>0</v>
      </c>
      <c r="M12" s="542">
        <v>0</v>
      </c>
      <c r="N12" s="542">
        <v>0</v>
      </c>
      <c r="O12" s="542">
        <v>0</v>
      </c>
      <c r="P12" s="542">
        <v>0</v>
      </c>
      <c r="Q12" s="542">
        <v>32566439</v>
      </c>
      <c r="R12" s="102" t="s">
        <v>570</v>
      </c>
      <c r="S12" s="103" t="s">
        <v>755</v>
      </c>
      <c r="T12" s="104" t="s">
        <v>756</v>
      </c>
      <c r="U12" s="141"/>
      <c r="V12" s="142"/>
    </row>
    <row r="13" spans="1:22" ht="12.75" x14ac:dyDescent="0.2">
      <c r="A13" s="93">
        <v>7</v>
      </c>
      <c r="B13" s="145" t="s">
        <v>573</v>
      </c>
      <c r="C13" s="141" t="s">
        <v>866</v>
      </c>
      <c r="D13" s="142" t="s">
        <v>867</v>
      </c>
      <c r="E13" s="149" t="s">
        <v>572</v>
      </c>
      <c r="F13" s="542">
        <v>45246040</v>
      </c>
      <c r="G13" s="542">
        <v>0</v>
      </c>
      <c r="H13" s="542">
        <v>58908</v>
      </c>
      <c r="I13" s="542">
        <v>180466</v>
      </c>
      <c r="J13" s="542">
        <v>0</v>
      </c>
      <c r="K13" s="542">
        <v>180466</v>
      </c>
      <c r="L13" s="542">
        <v>0</v>
      </c>
      <c r="M13" s="542">
        <v>0</v>
      </c>
      <c r="N13" s="542">
        <v>0</v>
      </c>
      <c r="O13" s="542">
        <v>0</v>
      </c>
      <c r="P13" s="542">
        <v>0</v>
      </c>
      <c r="Q13" s="542">
        <v>45006666</v>
      </c>
      <c r="R13" s="105" t="s">
        <v>572</v>
      </c>
      <c r="S13" s="103" t="s">
        <v>757</v>
      </c>
      <c r="T13" s="104" t="s">
        <v>758</v>
      </c>
      <c r="U13" s="141"/>
      <c r="V13" s="142"/>
    </row>
    <row r="14" spans="1:22" ht="12.75" x14ac:dyDescent="0.2">
      <c r="A14" s="93">
        <v>8</v>
      </c>
      <c r="B14" s="145" t="s">
        <v>575</v>
      </c>
      <c r="C14" s="141" t="s">
        <v>866</v>
      </c>
      <c r="D14" s="142" t="s">
        <v>867</v>
      </c>
      <c r="E14" s="149" t="s">
        <v>574</v>
      </c>
      <c r="F14" s="542">
        <v>49519009</v>
      </c>
      <c r="G14" s="542">
        <v>0</v>
      </c>
      <c r="H14" s="542">
        <v>231050</v>
      </c>
      <c r="I14" s="542">
        <v>224284</v>
      </c>
      <c r="J14" s="542">
        <v>0</v>
      </c>
      <c r="K14" s="542">
        <v>224284</v>
      </c>
      <c r="L14" s="542">
        <v>0</v>
      </c>
      <c r="M14" s="542">
        <v>0</v>
      </c>
      <c r="N14" s="542">
        <v>0</v>
      </c>
      <c r="O14" s="542">
        <v>0</v>
      </c>
      <c r="P14" s="542">
        <v>0</v>
      </c>
      <c r="Q14" s="542">
        <v>49063675</v>
      </c>
      <c r="R14" s="102" t="s">
        <v>574</v>
      </c>
      <c r="S14" s="103" t="s">
        <v>759</v>
      </c>
      <c r="T14" s="104" t="s">
        <v>760</v>
      </c>
      <c r="U14" s="141"/>
      <c r="V14" s="142"/>
    </row>
    <row r="15" spans="1:22" ht="12.75" x14ac:dyDescent="0.2">
      <c r="A15" s="93">
        <v>9</v>
      </c>
      <c r="B15" s="145" t="s">
        <v>577</v>
      </c>
      <c r="C15" s="141" t="s">
        <v>866</v>
      </c>
      <c r="D15" s="142" t="s">
        <v>870</v>
      </c>
      <c r="E15" s="149" t="s">
        <v>576</v>
      </c>
      <c r="F15" s="542">
        <v>22826684</v>
      </c>
      <c r="G15" s="542">
        <v>0</v>
      </c>
      <c r="H15" s="542">
        <v>38792</v>
      </c>
      <c r="I15" s="542">
        <v>127190</v>
      </c>
      <c r="J15" s="542">
        <v>0</v>
      </c>
      <c r="K15" s="542">
        <v>127190</v>
      </c>
      <c r="L15" s="542">
        <v>0</v>
      </c>
      <c r="M15" s="542">
        <v>0</v>
      </c>
      <c r="N15" s="542">
        <v>0</v>
      </c>
      <c r="O15" s="542">
        <v>0</v>
      </c>
      <c r="P15" s="542">
        <v>0</v>
      </c>
      <c r="Q15" s="542">
        <v>22660702</v>
      </c>
      <c r="R15" s="102" t="s">
        <v>576</v>
      </c>
      <c r="S15" s="103" t="s">
        <v>761</v>
      </c>
      <c r="T15" s="104" t="s">
        <v>751</v>
      </c>
      <c r="U15" s="141"/>
      <c r="V15" s="142"/>
    </row>
    <row r="16" spans="1:22" ht="12.75" x14ac:dyDescent="0.2">
      <c r="A16" s="93">
        <v>10</v>
      </c>
      <c r="B16" s="145" t="s">
        <v>579</v>
      </c>
      <c r="C16" s="141" t="s">
        <v>871</v>
      </c>
      <c r="D16" s="142" t="s">
        <v>872</v>
      </c>
      <c r="E16" s="149" t="s">
        <v>688</v>
      </c>
      <c r="F16" s="542">
        <v>56946695</v>
      </c>
      <c r="G16" s="542">
        <v>1934398</v>
      </c>
      <c r="H16" s="542">
        <v>0</v>
      </c>
      <c r="I16" s="542">
        <v>205029</v>
      </c>
      <c r="J16" s="542">
        <v>0</v>
      </c>
      <c r="K16" s="542">
        <v>205029</v>
      </c>
      <c r="L16" s="542">
        <v>0</v>
      </c>
      <c r="M16" s="542">
        <v>0</v>
      </c>
      <c r="N16" s="542">
        <v>0</v>
      </c>
      <c r="O16" s="542">
        <v>0</v>
      </c>
      <c r="P16" s="542">
        <v>0</v>
      </c>
      <c r="Q16" s="542">
        <v>58676064</v>
      </c>
      <c r="R16" s="102" t="s">
        <v>688</v>
      </c>
      <c r="S16" s="103" t="s">
        <v>762</v>
      </c>
      <c r="T16" s="103" t="s">
        <v>750</v>
      </c>
      <c r="U16" s="141"/>
      <c r="V16" s="142"/>
    </row>
    <row r="17" spans="1:22" ht="12.75" x14ac:dyDescent="0.2">
      <c r="A17" s="93">
        <v>11</v>
      </c>
      <c r="B17" s="145" t="s">
        <v>581</v>
      </c>
      <c r="C17" s="141" t="s">
        <v>871</v>
      </c>
      <c r="D17" s="142" t="s">
        <v>872</v>
      </c>
      <c r="E17" s="149" t="s">
        <v>580</v>
      </c>
      <c r="F17" s="542">
        <v>104658079</v>
      </c>
      <c r="G17" s="542">
        <v>0</v>
      </c>
      <c r="H17" s="542">
        <v>833855</v>
      </c>
      <c r="I17" s="542">
        <v>418239</v>
      </c>
      <c r="J17" s="542">
        <v>0</v>
      </c>
      <c r="K17" s="542">
        <v>418239</v>
      </c>
      <c r="L17" s="542">
        <v>0</v>
      </c>
      <c r="M17" s="542">
        <v>0</v>
      </c>
      <c r="N17" s="542">
        <v>0</v>
      </c>
      <c r="O17" s="542">
        <v>0</v>
      </c>
      <c r="P17" s="542">
        <v>0</v>
      </c>
      <c r="Q17" s="542">
        <v>103405985</v>
      </c>
      <c r="R17" s="102" t="s">
        <v>580</v>
      </c>
      <c r="S17" s="103" t="s">
        <v>762</v>
      </c>
      <c r="T17" s="103" t="s">
        <v>750</v>
      </c>
      <c r="U17" s="141"/>
      <c r="V17" s="142"/>
    </row>
    <row r="18" spans="1:22" ht="12.75" x14ac:dyDescent="0.2">
      <c r="A18" s="93">
        <v>12</v>
      </c>
      <c r="B18" s="145" t="s">
        <v>583</v>
      </c>
      <c r="C18" s="141" t="s">
        <v>873</v>
      </c>
      <c r="D18" s="142" t="s">
        <v>874</v>
      </c>
      <c r="E18" s="149" t="s">
        <v>582</v>
      </c>
      <c r="F18" s="542">
        <v>50729444</v>
      </c>
      <c r="G18" s="542">
        <v>0</v>
      </c>
      <c r="H18" s="542">
        <v>231128</v>
      </c>
      <c r="I18" s="542">
        <v>271980</v>
      </c>
      <c r="J18" s="542">
        <v>0</v>
      </c>
      <c r="K18" s="542">
        <v>271980</v>
      </c>
      <c r="L18" s="542">
        <v>0</v>
      </c>
      <c r="M18" s="542">
        <v>306548</v>
      </c>
      <c r="N18" s="542">
        <v>0</v>
      </c>
      <c r="O18" s="542">
        <v>0</v>
      </c>
      <c r="P18" s="542">
        <v>0</v>
      </c>
      <c r="Q18" s="542">
        <v>49919788</v>
      </c>
      <c r="R18" s="102" t="s">
        <v>582</v>
      </c>
      <c r="S18" s="103" t="s">
        <v>763</v>
      </c>
      <c r="T18" s="104" t="s">
        <v>764</v>
      </c>
      <c r="U18" s="141"/>
      <c r="V18" s="142"/>
    </row>
    <row r="19" spans="1:22" ht="12.75" x14ac:dyDescent="0.2">
      <c r="A19" s="93">
        <v>13</v>
      </c>
      <c r="B19" s="145" t="s">
        <v>585</v>
      </c>
      <c r="C19" s="141" t="s">
        <v>866</v>
      </c>
      <c r="D19" s="142" t="s">
        <v>868</v>
      </c>
      <c r="E19" s="149" t="s">
        <v>584</v>
      </c>
      <c r="F19" s="542">
        <v>23274349</v>
      </c>
      <c r="G19" s="542">
        <v>0</v>
      </c>
      <c r="H19" s="542">
        <v>27369</v>
      </c>
      <c r="I19" s="542">
        <v>97916</v>
      </c>
      <c r="J19" s="542">
        <v>0</v>
      </c>
      <c r="K19" s="542">
        <v>97916</v>
      </c>
      <c r="L19" s="542">
        <v>0</v>
      </c>
      <c r="M19" s="542">
        <v>0</v>
      </c>
      <c r="N19" s="542">
        <v>0</v>
      </c>
      <c r="O19" s="542">
        <v>0</v>
      </c>
      <c r="P19" s="542">
        <v>0</v>
      </c>
      <c r="Q19" s="542">
        <v>23149064</v>
      </c>
      <c r="R19" s="102" t="s">
        <v>584</v>
      </c>
      <c r="S19" s="103" t="s">
        <v>752</v>
      </c>
      <c r="T19" s="104" t="s">
        <v>751</v>
      </c>
      <c r="U19" s="141"/>
      <c r="V19" s="142"/>
    </row>
    <row r="20" spans="1:22" ht="12.75" x14ac:dyDescent="0.2">
      <c r="A20" s="93">
        <v>14</v>
      </c>
      <c r="B20" s="145" t="s">
        <v>587</v>
      </c>
      <c r="C20" s="141" t="s">
        <v>866</v>
      </c>
      <c r="D20" s="142" t="s">
        <v>870</v>
      </c>
      <c r="E20" s="149" t="s">
        <v>586</v>
      </c>
      <c r="F20" s="542">
        <v>75319968</v>
      </c>
      <c r="G20" s="542">
        <v>0</v>
      </c>
      <c r="H20" s="542">
        <v>1450577</v>
      </c>
      <c r="I20" s="542">
        <v>236158</v>
      </c>
      <c r="J20" s="542">
        <v>2450</v>
      </c>
      <c r="K20" s="542">
        <v>238608</v>
      </c>
      <c r="L20" s="542">
        <v>0</v>
      </c>
      <c r="M20" s="542">
        <v>0</v>
      </c>
      <c r="N20" s="542">
        <v>50</v>
      </c>
      <c r="O20" s="542">
        <v>50</v>
      </c>
      <c r="P20" s="542">
        <v>0</v>
      </c>
      <c r="Q20" s="542">
        <v>73630733</v>
      </c>
      <c r="R20" s="102" t="s">
        <v>586</v>
      </c>
      <c r="S20" s="103" t="s">
        <v>765</v>
      </c>
      <c r="T20" s="104" t="s">
        <v>766</v>
      </c>
      <c r="U20" s="141"/>
      <c r="V20" s="142"/>
    </row>
    <row r="21" spans="1:22" ht="12.75" x14ac:dyDescent="0.2">
      <c r="A21" s="93">
        <v>15</v>
      </c>
      <c r="B21" s="145" t="s">
        <v>589</v>
      </c>
      <c r="C21" s="141" t="s">
        <v>866</v>
      </c>
      <c r="D21" s="142" t="s">
        <v>867</v>
      </c>
      <c r="E21" s="149" t="s">
        <v>588</v>
      </c>
      <c r="F21" s="542">
        <v>72500673</v>
      </c>
      <c r="G21" s="542">
        <v>0</v>
      </c>
      <c r="H21" s="542">
        <v>1635670</v>
      </c>
      <c r="I21" s="542">
        <v>206524</v>
      </c>
      <c r="J21" s="542">
        <v>0</v>
      </c>
      <c r="K21" s="542">
        <v>206524</v>
      </c>
      <c r="L21" s="542">
        <v>0</v>
      </c>
      <c r="M21" s="542">
        <v>0</v>
      </c>
      <c r="N21" s="542">
        <v>233541</v>
      </c>
      <c r="O21" s="542">
        <v>28735</v>
      </c>
      <c r="P21" s="542">
        <v>204806</v>
      </c>
      <c r="Q21" s="542">
        <v>70424938</v>
      </c>
      <c r="R21" s="102" t="s">
        <v>588</v>
      </c>
      <c r="S21" s="103" t="s">
        <v>767</v>
      </c>
      <c r="T21" s="104" t="s">
        <v>768</v>
      </c>
      <c r="U21" s="141"/>
      <c r="V21" s="142"/>
    </row>
    <row r="22" spans="1:22" ht="12.75" x14ac:dyDescent="0.2">
      <c r="A22" s="93">
        <v>16</v>
      </c>
      <c r="B22" s="145" t="s">
        <v>591</v>
      </c>
      <c r="C22" s="141" t="s">
        <v>866</v>
      </c>
      <c r="D22" s="142" t="s">
        <v>869</v>
      </c>
      <c r="E22" s="149" t="s">
        <v>590</v>
      </c>
      <c r="F22" s="542">
        <v>52790502</v>
      </c>
      <c r="G22" s="542">
        <v>1228850</v>
      </c>
      <c r="H22" s="542">
        <v>0</v>
      </c>
      <c r="I22" s="542">
        <v>165835</v>
      </c>
      <c r="J22" s="542">
        <v>0</v>
      </c>
      <c r="K22" s="542">
        <v>165835</v>
      </c>
      <c r="L22" s="542">
        <v>0</v>
      </c>
      <c r="M22" s="542">
        <v>0</v>
      </c>
      <c r="N22" s="542">
        <v>115279</v>
      </c>
      <c r="O22" s="542">
        <v>103751</v>
      </c>
      <c r="P22" s="542">
        <v>11528</v>
      </c>
      <c r="Q22" s="542">
        <v>53738238</v>
      </c>
      <c r="R22" s="102" t="s">
        <v>590</v>
      </c>
      <c r="S22" s="103" t="s">
        <v>755</v>
      </c>
      <c r="T22" s="104" t="s">
        <v>756</v>
      </c>
      <c r="U22" s="141"/>
      <c r="V22" s="142"/>
    </row>
    <row r="23" spans="1:22" ht="12.75" x14ac:dyDescent="0.2">
      <c r="A23" s="93">
        <v>17</v>
      </c>
      <c r="B23" s="145" t="s">
        <v>593</v>
      </c>
      <c r="C23" s="141" t="s">
        <v>770</v>
      </c>
      <c r="D23" s="142" t="s">
        <v>875</v>
      </c>
      <c r="E23" s="149" t="s">
        <v>592</v>
      </c>
      <c r="F23" s="542">
        <v>61297437</v>
      </c>
      <c r="G23" s="542">
        <v>0</v>
      </c>
      <c r="H23" s="542">
        <v>141857</v>
      </c>
      <c r="I23" s="542">
        <v>261473</v>
      </c>
      <c r="J23" s="542">
        <v>0</v>
      </c>
      <c r="K23" s="542">
        <v>261473</v>
      </c>
      <c r="L23" s="542">
        <v>0</v>
      </c>
      <c r="M23" s="542">
        <v>741828</v>
      </c>
      <c r="N23" s="542">
        <v>0</v>
      </c>
      <c r="O23" s="542">
        <v>0</v>
      </c>
      <c r="P23" s="542">
        <v>0</v>
      </c>
      <c r="Q23" s="542">
        <v>60152279</v>
      </c>
      <c r="R23" s="102" t="s">
        <v>769</v>
      </c>
      <c r="S23" s="103" t="s">
        <v>770</v>
      </c>
      <c r="T23" s="104" t="s">
        <v>771</v>
      </c>
      <c r="U23" s="141"/>
      <c r="V23" s="142"/>
    </row>
    <row r="24" spans="1:22" ht="12.75" x14ac:dyDescent="0.2">
      <c r="A24" s="93">
        <v>18</v>
      </c>
      <c r="B24" s="145" t="s">
        <v>595</v>
      </c>
      <c r="C24" s="141" t="s">
        <v>770</v>
      </c>
      <c r="D24" s="142" t="s">
        <v>870</v>
      </c>
      <c r="E24" s="149" t="s">
        <v>594</v>
      </c>
      <c r="F24" s="542">
        <v>61557785</v>
      </c>
      <c r="G24" s="542">
        <v>0</v>
      </c>
      <c r="H24" s="542">
        <v>24993</v>
      </c>
      <c r="I24" s="542">
        <v>234144</v>
      </c>
      <c r="J24" s="542">
        <v>0</v>
      </c>
      <c r="K24" s="542">
        <v>234144</v>
      </c>
      <c r="L24" s="542">
        <v>0</v>
      </c>
      <c r="M24" s="542">
        <v>0</v>
      </c>
      <c r="N24" s="542">
        <v>0</v>
      </c>
      <c r="O24" s="542">
        <v>0</v>
      </c>
      <c r="P24" s="542">
        <v>0</v>
      </c>
      <c r="Q24" s="542">
        <v>61298648</v>
      </c>
      <c r="R24" s="103" t="s">
        <v>594</v>
      </c>
      <c r="S24" s="103" t="s">
        <v>770</v>
      </c>
      <c r="T24" s="104" t="s">
        <v>772</v>
      </c>
      <c r="U24" s="141"/>
      <c r="V24" s="142"/>
    </row>
    <row r="25" spans="1:22" ht="12.75" x14ac:dyDescent="0.2">
      <c r="A25" s="93">
        <v>19</v>
      </c>
      <c r="B25" s="145" t="s">
        <v>597</v>
      </c>
      <c r="C25" s="141" t="s">
        <v>871</v>
      </c>
      <c r="D25" s="142" t="s">
        <v>872</v>
      </c>
      <c r="E25" s="149" t="s">
        <v>596</v>
      </c>
      <c r="F25" s="542">
        <v>64935744</v>
      </c>
      <c r="G25" s="542">
        <v>0</v>
      </c>
      <c r="H25" s="542">
        <v>207797</v>
      </c>
      <c r="I25" s="542">
        <v>262101</v>
      </c>
      <c r="J25" s="542">
        <v>0</v>
      </c>
      <c r="K25" s="542">
        <v>262101</v>
      </c>
      <c r="L25" s="542">
        <v>0</v>
      </c>
      <c r="M25" s="542">
        <v>0</v>
      </c>
      <c r="N25" s="542">
        <v>0</v>
      </c>
      <c r="O25" s="542">
        <v>0</v>
      </c>
      <c r="P25" s="542">
        <v>0</v>
      </c>
      <c r="Q25" s="542">
        <v>64465846</v>
      </c>
      <c r="R25" s="102" t="s">
        <v>596</v>
      </c>
      <c r="S25" s="103" t="s">
        <v>762</v>
      </c>
      <c r="T25" s="103" t="s">
        <v>750</v>
      </c>
      <c r="U25" s="141"/>
      <c r="V25" s="142"/>
    </row>
    <row r="26" spans="1:22" ht="12.75" x14ac:dyDescent="0.2">
      <c r="A26" s="93">
        <v>20</v>
      </c>
      <c r="B26" s="145" t="s">
        <v>599</v>
      </c>
      <c r="C26" s="141" t="s">
        <v>873</v>
      </c>
      <c r="D26" s="142" t="s">
        <v>876</v>
      </c>
      <c r="E26" s="149" t="s">
        <v>598</v>
      </c>
      <c r="F26" s="542">
        <v>400725395</v>
      </c>
      <c r="G26" s="542">
        <v>0</v>
      </c>
      <c r="H26" s="542">
        <v>4805783</v>
      </c>
      <c r="I26" s="542">
        <v>1925309</v>
      </c>
      <c r="J26" s="542">
        <v>0</v>
      </c>
      <c r="K26" s="542">
        <v>1925309</v>
      </c>
      <c r="L26" s="542">
        <v>0</v>
      </c>
      <c r="M26" s="542">
        <v>1214671</v>
      </c>
      <c r="N26" s="542">
        <v>0</v>
      </c>
      <c r="O26" s="542">
        <v>0</v>
      </c>
      <c r="P26" s="542">
        <v>0</v>
      </c>
      <c r="Q26" s="542">
        <v>392779632</v>
      </c>
      <c r="R26" s="102" t="s">
        <v>598</v>
      </c>
      <c r="S26" s="103" t="s">
        <v>763</v>
      </c>
      <c r="T26" s="104" t="s">
        <v>773</v>
      </c>
      <c r="U26" s="141"/>
      <c r="V26" s="142"/>
    </row>
    <row r="27" spans="1:22" ht="12.75" x14ac:dyDescent="0.2">
      <c r="A27" s="93">
        <v>21</v>
      </c>
      <c r="B27" s="145" t="s">
        <v>601</v>
      </c>
      <c r="C27" s="141" t="s">
        <v>866</v>
      </c>
      <c r="D27" s="142" t="s">
        <v>869</v>
      </c>
      <c r="E27" s="149" t="s">
        <v>600</v>
      </c>
      <c r="F27" s="542">
        <v>39556900</v>
      </c>
      <c r="G27" s="542">
        <v>0</v>
      </c>
      <c r="H27" s="542">
        <v>268082</v>
      </c>
      <c r="I27" s="542">
        <v>101208</v>
      </c>
      <c r="J27" s="542">
        <v>0</v>
      </c>
      <c r="K27" s="542">
        <v>101208</v>
      </c>
      <c r="L27" s="542">
        <v>0</v>
      </c>
      <c r="M27" s="542">
        <v>0</v>
      </c>
      <c r="N27" s="542">
        <v>0</v>
      </c>
      <c r="O27" s="542">
        <v>0</v>
      </c>
      <c r="P27" s="542">
        <v>0</v>
      </c>
      <c r="Q27" s="542">
        <v>39187610</v>
      </c>
      <c r="R27" s="102" t="s">
        <v>600</v>
      </c>
      <c r="S27" s="103" t="s">
        <v>774</v>
      </c>
      <c r="T27" s="104" t="s">
        <v>775</v>
      </c>
      <c r="U27" s="141"/>
      <c r="V27" s="142"/>
    </row>
    <row r="28" spans="1:22" ht="12.75" x14ac:dyDescent="0.2">
      <c r="A28" s="93">
        <v>22</v>
      </c>
      <c r="B28" s="145" t="s">
        <v>603</v>
      </c>
      <c r="C28" s="141" t="s">
        <v>770</v>
      </c>
      <c r="D28" s="142" t="s">
        <v>868</v>
      </c>
      <c r="E28" s="149" t="s">
        <v>689</v>
      </c>
      <c r="F28" s="542">
        <v>46897352</v>
      </c>
      <c r="G28" s="542">
        <v>0</v>
      </c>
      <c r="H28" s="542">
        <v>954484</v>
      </c>
      <c r="I28" s="542">
        <v>250620</v>
      </c>
      <c r="J28" s="542">
        <v>0</v>
      </c>
      <c r="K28" s="542">
        <v>250620</v>
      </c>
      <c r="L28" s="542">
        <v>0</v>
      </c>
      <c r="M28" s="542">
        <v>0</v>
      </c>
      <c r="N28" s="542">
        <v>0</v>
      </c>
      <c r="O28" s="542">
        <v>0</v>
      </c>
      <c r="P28" s="542">
        <v>0</v>
      </c>
      <c r="Q28" s="542">
        <v>45692248</v>
      </c>
      <c r="R28" s="102" t="s">
        <v>689</v>
      </c>
      <c r="S28" s="103" t="s">
        <v>770</v>
      </c>
      <c r="T28" s="104" t="s">
        <v>776</v>
      </c>
      <c r="U28" s="141"/>
      <c r="V28" s="142"/>
    </row>
    <row r="29" spans="1:22" ht="12.75" x14ac:dyDescent="0.2">
      <c r="A29" s="93">
        <v>23</v>
      </c>
      <c r="B29" s="145" t="s">
        <v>605</v>
      </c>
      <c r="C29" s="141" t="s">
        <v>770</v>
      </c>
      <c r="D29" s="142" t="s">
        <v>868</v>
      </c>
      <c r="E29" s="149" t="s">
        <v>690</v>
      </c>
      <c r="F29" s="542">
        <v>41586120</v>
      </c>
      <c r="G29" s="542">
        <v>0</v>
      </c>
      <c r="H29" s="542">
        <v>1065605</v>
      </c>
      <c r="I29" s="542">
        <v>276503</v>
      </c>
      <c r="J29" s="542">
        <v>0</v>
      </c>
      <c r="K29" s="542">
        <v>276503</v>
      </c>
      <c r="L29" s="542">
        <v>0</v>
      </c>
      <c r="M29" s="542">
        <v>0</v>
      </c>
      <c r="N29" s="542">
        <v>0</v>
      </c>
      <c r="O29" s="542">
        <v>0</v>
      </c>
      <c r="P29" s="542">
        <v>0</v>
      </c>
      <c r="Q29" s="542">
        <v>40244012</v>
      </c>
      <c r="R29" s="102" t="s">
        <v>690</v>
      </c>
      <c r="S29" s="103" t="s">
        <v>770</v>
      </c>
      <c r="T29" s="104" t="s">
        <v>776</v>
      </c>
      <c r="U29" s="141"/>
      <c r="V29" s="142"/>
    </row>
    <row r="30" spans="1:22" ht="12.75" x14ac:dyDescent="0.2">
      <c r="A30" s="93">
        <v>24</v>
      </c>
      <c r="B30" s="145" t="s">
        <v>607</v>
      </c>
      <c r="C30" s="141" t="s">
        <v>866</v>
      </c>
      <c r="D30" s="142" t="s">
        <v>869</v>
      </c>
      <c r="E30" s="149" t="s">
        <v>606</v>
      </c>
      <c r="F30" s="542">
        <v>20630089</v>
      </c>
      <c r="G30" s="542">
        <v>0</v>
      </c>
      <c r="H30" s="542">
        <v>60655</v>
      </c>
      <c r="I30" s="542">
        <v>94759</v>
      </c>
      <c r="J30" s="542">
        <v>0</v>
      </c>
      <c r="K30" s="542">
        <v>94759</v>
      </c>
      <c r="L30" s="542">
        <v>0</v>
      </c>
      <c r="M30" s="542">
        <v>0</v>
      </c>
      <c r="N30" s="542">
        <v>0</v>
      </c>
      <c r="O30" s="542">
        <v>0</v>
      </c>
      <c r="P30" s="542">
        <v>0</v>
      </c>
      <c r="Q30" s="542">
        <v>20474675</v>
      </c>
      <c r="R30" s="102" t="s">
        <v>606</v>
      </c>
      <c r="S30" s="103" t="s">
        <v>753</v>
      </c>
      <c r="T30" s="104" t="s">
        <v>754</v>
      </c>
      <c r="U30" s="141"/>
      <c r="V30" s="142"/>
    </row>
    <row r="31" spans="1:22" ht="12.75" x14ac:dyDescent="0.2">
      <c r="A31" s="93">
        <v>25</v>
      </c>
      <c r="B31" s="145" t="s">
        <v>609</v>
      </c>
      <c r="C31" s="141" t="s">
        <v>873</v>
      </c>
      <c r="D31" s="142" t="s">
        <v>868</v>
      </c>
      <c r="E31" s="149" t="s">
        <v>608</v>
      </c>
      <c r="F31" s="542">
        <v>77258035</v>
      </c>
      <c r="G31" s="542">
        <v>0</v>
      </c>
      <c r="H31" s="542">
        <v>2526996</v>
      </c>
      <c r="I31" s="542">
        <v>401493</v>
      </c>
      <c r="J31" s="542">
        <v>0</v>
      </c>
      <c r="K31" s="542">
        <v>401493</v>
      </c>
      <c r="L31" s="542">
        <v>0</v>
      </c>
      <c r="M31" s="542">
        <v>0</v>
      </c>
      <c r="N31" s="542">
        <v>0</v>
      </c>
      <c r="O31" s="542">
        <v>0</v>
      </c>
      <c r="P31" s="542">
        <v>0</v>
      </c>
      <c r="Q31" s="542">
        <v>74329546</v>
      </c>
      <c r="R31" s="102" t="s">
        <v>608</v>
      </c>
      <c r="S31" s="103" t="s">
        <v>763</v>
      </c>
      <c r="T31" s="104" t="s">
        <v>777</v>
      </c>
      <c r="U31" s="141"/>
      <c r="V31" s="142"/>
    </row>
    <row r="32" spans="1:22" ht="12.75" x14ac:dyDescent="0.2">
      <c r="A32" s="93">
        <v>26</v>
      </c>
      <c r="B32" s="145" t="s">
        <v>611</v>
      </c>
      <c r="C32" s="141" t="s">
        <v>866</v>
      </c>
      <c r="D32" s="142" t="s">
        <v>869</v>
      </c>
      <c r="E32" s="149" t="s">
        <v>610</v>
      </c>
      <c r="F32" s="542">
        <v>17727787</v>
      </c>
      <c r="G32" s="542">
        <v>0</v>
      </c>
      <c r="H32" s="542">
        <v>252861</v>
      </c>
      <c r="I32" s="542">
        <v>87465</v>
      </c>
      <c r="J32" s="542">
        <v>0</v>
      </c>
      <c r="K32" s="542">
        <v>87465</v>
      </c>
      <c r="L32" s="542">
        <v>0</v>
      </c>
      <c r="M32" s="542">
        <v>0</v>
      </c>
      <c r="N32" s="542">
        <v>68138</v>
      </c>
      <c r="O32" s="542">
        <v>68138</v>
      </c>
      <c r="P32" s="542">
        <v>0</v>
      </c>
      <c r="Q32" s="542">
        <v>17319323</v>
      </c>
      <c r="R32" s="102" t="s">
        <v>610</v>
      </c>
      <c r="S32" s="103" t="s">
        <v>778</v>
      </c>
      <c r="T32" s="104" t="s">
        <v>751</v>
      </c>
      <c r="U32" s="141"/>
      <c r="V32" s="142"/>
    </row>
    <row r="33" spans="1:22" ht="12.75" x14ac:dyDescent="0.2">
      <c r="A33" s="93">
        <v>27</v>
      </c>
      <c r="B33" s="145" t="s">
        <v>613</v>
      </c>
      <c r="C33" s="141" t="s">
        <v>770</v>
      </c>
      <c r="D33" s="142" t="s">
        <v>875</v>
      </c>
      <c r="E33" s="149" t="s">
        <v>691</v>
      </c>
      <c r="F33" s="542">
        <v>66800741</v>
      </c>
      <c r="G33" s="542">
        <v>0</v>
      </c>
      <c r="H33" s="542">
        <v>461124</v>
      </c>
      <c r="I33" s="542">
        <v>305240</v>
      </c>
      <c r="J33" s="542">
        <v>0</v>
      </c>
      <c r="K33" s="542">
        <v>305240</v>
      </c>
      <c r="L33" s="542">
        <v>0</v>
      </c>
      <c r="M33" s="542">
        <v>0</v>
      </c>
      <c r="N33" s="542">
        <v>185</v>
      </c>
      <c r="O33" s="542">
        <v>185</v>
      </c>
      <c r="P33" s="542">
        <v>0</v>
      </c>
      <c r="Q33" s="542">
        <v>66034192</v>
      </c>
      <c r="R33" s="102" t="s">
        <v>691</v>
      </c>
      <c r="S33" s="103" t="s">
        <v>770</v>
      </c>
      <c r="T33" s="104" t="s">
        <v>779</v>
      </c>
      <c r="U33" s="141"/>
      <c r="V33" s="142"/>
    </row>
    <row r="34" spans="1:22" ht="12.75" x14ac:dyDescent="0.2">
      <c r="A34" s="93">
        <v>28</v>
      </c>
      <c r="B34" s="145" t="s">
        <v>615</v>
      </c>
      <c r="C34" s="141" t="s">
        <v>770</v>
      </c>
      <c r="D34" s="142" t="s">
        <v>867</v>
      </c>
      <c r="E34" s="149" t="s">
        <v>692</v>
      </c>
      <c r="F34" s="542">
        <v>59072902</v>
      </c>
      <c r="G34" s="542">
        <v>0</v>
      </c>
      <c r="H34" s="542">
        <v>141601</v>
      </c>
      <c r="I34" s="542">
        <v>157208</v>
      </c>
      <c r="J34" s="542">
        <v>0</v>
      </c>
      <c r="K34" s="542">
        <v>157208</v>
      </c>
      <c r="L34" s="542">
        <v>0</v>
      </c>
      <c r="M34" s="542">
        <v>0</v>
      </c>
      <c r="N34" s="542">
        <v>744</v>
      </c>
      <c r="O34" s="542">
        <v>744</v>
      </c>
      <c r="P34" s="542">
        <v>0</v>
      </c>
      <c r="Q34" s="542">
        <v>58773349</v>
      </c>
      <c r="R34" s="102" t="s">
        <v>692</v>
      </c>
      <c r="S34" s="103" t="s">
        <v>770</v>
      </c>
      <c r="T34" s="104" t="s">
        <v>780</v>
      </c>
      <c r="U34" s="141"/>
      <c r="V34" s="142"/>
    </row>
    <row r="35" spans="1:22" ht="12.75" x14ac:dyDescent="0.2">
      <c r="A35" s="93">
        <v>29</v>
      </c>
      <c r="B35" s="145" t="s">
        <v>617</v>
      </c>
      <c r="C35" s="141" t="s">
        <v>873</v>
      </c>
      <c r="D35" s="142" t="s">
        <v>874</v>
      </c>
      <c r="E35" s="149" t="s">
        <v>616</v>
      </c>
      <c r="F35" s="542">
        <v>132335345</v>
      </c>
      <c r="G35" s="542">
        <v>0</v>
      </c>
      <c r="H35" s="542">
        <v>1607422</v>
      </c>
      <c r="I35" s="542">
        <v>733780</v>
      </c>
      <c r="J35" s="542">
        <v>0</v>
      </c>
      <c r="K35" s="542">
        <v>733780</v>
      </c>
      <c r="L35" s="542">
        <v>0</v>
      </c>
      <c r="M35" s="542">
        <v>0</v>
      </c>
      <c r="N35" s="542">
        <v>0</v>
      </c>
      <c r="O35" s="542">
        <v>0</v>
      </c>
      <c r="P35" s="542">
        <v>0</v>
      </c>
      <c r="Q35" s="542">
        <v>129994143</v>
      </c>
      <c r="R35" s="102" t="s">
        <v>616</v>
      </c>
      <c r="S35" s="103" t="s">
        <v>763</v>
      </c>
      <c r="T35" s="104" t="s">
        <v>781</v>
      </c>
      <c r="U35" s="141"/>
      <c r="V35" s="142"/>
    </row>
    <row r="36" spans="1:22" ht="12.75" x14ac:dyDescent="0.2">
      <c r="A36" s="93">
        <v>30</v>
      </c>
      <c r="B36" s="145" t="s">
        <v>619</v>
      </c>
      <c r="C36" s="141" t="s">
        <v>866</v>
      </c>
      <c r="D36" s="142" t="s">
        <v>870</v>
      </c>
      <c r="E36" s="149" t="s">
        <v>618</v>
      </c>
      <c r="F36" s="542">
        <v>38375744</v>
      </c>
      <c r="G36" s="542">
        <v>12479</v>
      </c>
      <c r="H36" s="542">
        <v>0</v>
      </c>
      <c r="I36" s="542">
        <v>188604</v>
      </c>
      <c r="J36" s="542">
        <v>0</v>
      </c>
      <c r="K36" s="542">
        <v>188604</v>
      </c>
      <c r="L36" s="542">
        <v>0</v>
      </c>
      <c r="M36" s="542">
        <v>0</v>
      </c>
      <c r="N36" s="542">
        <v>0</v>
      </c>
      <c r="O36" s="542">
        <v>0</v>
      </c>
      <c r="P36" s="542">
        <v>0</v>
      </c>
      <c r="Q36" s="542">
        <v>38199619</v>
      </c>
      <c r="R36" s="102" t="s">
        <v>618</v>
      </c>
      <c r="S36" s="103" t="s">
        <v>765</v>
      </c>
      <c r="T36" s="104" t="s">
        <v>766</v>
      </c>
      <c r="U36" s="141"/>
      <c r="V36" s="142"/>
    </row>
    <row r="37" spans="1:22" ht="12.75" x14ac:dyDescent="0.2">
      <c r="A37" s="93">
        <v>31</v>
      </c>
      <c r="B37" s="145" t="s">
        <v>621</v>
      </c>
      <c r="C37" s="141" t="s">
        <v>866</v>
      </c>
      <c r="D37" s="142" t="s">
        <v>870</v>
      </c>
      <c r="E37" s="149" t="s">
        <v>620</v>
      </c>
      <c r="F37" s="542">
        <v>29386820</v>
      </c>
      <c r="G37" s="542">
        <v>232461</v>
      </c>
      <c r="H37" s="542">
        <v>0</v>
      </c>
      <c r="I37" s="542">
        <v>167365</v>
      </c>
      <c r="J37" s="542">
        <v>0</v>
      </c>
      <c r="K37" s="542">
        <v>167365</v>
      </c>
      <c r="L37" s="542">
        <v>0</v>
      </c>
      <c r="M37" s="542">
        <v>0</v>
      </c>
      <c r="N37" s="542">
        <v>151964</v>
      </c>
      <c r="O37" s="542">
        <v>151964</v>
      </c>
      <c r="P37" s="542">
        <v>0</v>
      </c>
      <c r="Q37" s="542">
        <v>29299952</v>
      </c>
      <c r="R37" s="102" t="s">
        <v>620</v>
      </c>
      <c r="S37" s="103" t="s">
        <v>782</v>
      </c>
      <c r="T37" s="104" t="s">
        <v>751</v>
      </c>
      <c r="U37" s="141"/>
      <c r="V37" s="142"/>
    </row>
    <row r="38" spans="1:22" ht="12.75" x14ac:dyDescent="0.2">
      <c r="A38" s="93">
        <v>32</v>
      </c>
      <c r="B38" s="145" t="s">
        <v>623</v>
      </c>
      <c r="C38" s="141" t="s">
        <v>871</v>
      </c>
      <c r="D38" s="142" t="s">
        <v>872</v>
      </c>
      <c r="E38" s="149" t="s">
        <v>622</v>
      </c>
      <c r="F38" s="542">
        <v>110674568</v>
      </c>
      <c r="G38" s="542">
        <v>0</v>
      </c>
      <c r="H38" s="542">
        <v>488124</v>
      </c>
      <c r="I38" s="542">
        <v>417441</v>
      </c>
      <c r="J38" s="542">
        <v>0</v>
      </c>
      <c r="K38" s="542">
        <v>417441</v>
      </c>
      <c r="L38" s="542">
        <v>0</v>
      </c>
      <c r="M38" s="542">
        <v>0</v>
      </c>
      <c r="N38" s="542">
        <v>0</v>
      </c>
      <c r="O38" s="542">
        <v>0</v>
      </c>
      <c r="P38" s="542">
        <v>0</v>
      </c>
      <c r="Q38" s="542">
        <v>109769003</v>
      </c>
      <c r="R38" s="102" t="s">
        <v>622</v>
      </c>
      <c r="S38" s="103" t="s">
        <v>762</v>
      </c>
      <c r="T38" s="103" t="s">
        <v>750</v>
      </c>
      <c r="U38" s="141"/>
      <c r="V38" s="142"/>
    </row>
    <row r="39" spans="1:22" ht="12.75" x14ac:dyDescent="0.2">
      <c r="A39" s="93">
        <v>33</v>
      </c>
      <c r="B39" s="145" t="s">
        <v>625</v>
      </c>
      <c r="C39" s="141" t="s">
        <v>866</v>
      </c>
      <c r="D39" s="142" t="s">
        <v>870</v>
      </c>
      <c r="E39" s="149" t="s">
        <v>624</v>
      </c>
      <c r="F39" s="542">
        <v>30041251</v>
      </c>
      <c r="G39" s="542">
        <v>0</v>
      </c>
      <c r="H39" s="542">
        <v>254728</v>
      </c>
      <c r="I39" s="542">
        <v>104749</v>
      </c>
      <c r="J39" s="542">
        <v>0</v>
      </c>
      <c r="K39" s="542">
        <v>104749</v>
      </c>
      <c r="L39" s="542">
        <v>0</v>
      </c>
      <c r="M39" s="542">
        <v>0</v>
      </c>
      <c r="N39" s="542">
        <v>0</v>
      </c>
      <c r="O39" s="542">
        <v>0</v>
      </c>
      <c r="P39" s="542">
        <v>0</v>
      </c>
      <c r="Q39" s="542">
        <v>29681774</v>
      </c>
      <c r="R39" s="102" t="s">
        <v>624</v>
      </c>
      <c r="S39" s="103" t="s">
        <v>765</v>
      </c>
      <c r="T39" s="104" t="s">
        <v>766</v>
      </c>
      <c r="U39" s="141"/>
      <c r="V39" s="142"/>
    </row>
    <row r="40" spans="1:22" ht="12.75" x14ac:dyDescent="0.2">
      <c r="A40" s="93">
        <v>34</v>
      </c>
      <c r="B40" s="145" t="s">
        <v>627</v>
      </c>
      <c r="C40" s="141" t="s">
        <v>770</v>
      </c>
      <c r="D40" s="142" t="s">
        <v>867</v>
      </c>
      <c r="E40" s="149" t="s">
        <v>879</v>
      </c>
      <c r="F40" s="542">
        <v>106457046</v>
      </c>
      <c r="G40" s="542">
        <v>0</v>
      </c>
      <c r="H40" s="542">
        <v>987953</v>
      </c>
      <c r="I40" s="542">
        <v>418801</v>
      </c>
      <c r="J40" s="542">
        <v>0</v>
      </c>
      <c r="K40" s="542">
        <v>418801</v>
      </c>
      <c r="L40" s="542">
        <v>0</v>
      </c>
      <c r="M40" s="542">
        <v>0</v>
      </c>
      <c r="N40" s="542">
        <v>0</v>
      </c>
      <c r="O40" s="542">
        <v>0</v>
      </c>
      <c r="P40" s="542">
        <v>0</v>
      </c>
      <c r="Q40" s="542">
        <v>105050292</v>
      </c>
      <c r="R40" s="102" t="s">
        <v>783</v>
      </c>
      <c r="S40" s="103" t="s">
        <v>770</v>
      </c>
      <c r="T40" s="104" t="s">
        <v>784</v>
      </c>
      <c r="U40" s="141"/>
      <c r="V40" s="142"/>
    </row>
    <row r="41" spans="1:22" ht="12.75" x14ac:dyDescent="0.2">
      <c r="A41" s="93">
        <v>35</v>
      </c>
      <c r="B41" s="145" t="s">
        <v>629</v>
      </c>
      <c r="C41" s="141" t="s">
        <v>770</v>
      </c>
      <c r="D41" s="142" t="s">
        <v>875</v>
      </c>
      <c r="E41" s="149" t="s">
        <v>628</v>
      </c>
      <c r="F41" s="542">
        <v>204637583</v>
      </c>
      <c r="G41" s="542">
        <v>0</v>
      </c>
      <c r="H41" s="542">
        <v>31922</v>
      </c>
      <c r="I41" s="542">
        <v>722649</v>
      </c>
      <c r="J41" s="542">
        <v>0</v>
      </c>
      <c r="K41" s="542">
        <v>722649</v>
      </c>
      <c r="L41" s="542">
        <v>0</v>
      </c>
      <c r="M41" s="542">
        <v>5331087</v>
      </c>
      <c r="N41" s="542">
        <v>258</v>
      </c>
      <c r="O41" s="542">
        <v>258</v>
      </c>
      <c r="P41" s="542">
        <v>0</v>
      </c>
      <c r="Q41" s="542">
        <v>198551667</v>
      </c>
      <c r="R41" s="102" t="s">
        <v>785</v>
      </c>
      <c r="S41" s="103" t="s">
        <v>770</v>
      </c>
      <c r="T41" s="104" t="s">
        <v>771</v>
      </c>
      <c r="U41" s="141"/>
      <c r="V41" s="142"/>
    </row>
    <row r="42" spans="1:22" ht="12.75" x14ac:dyDescent="0.2">
      <c r="A42" s="93">
        <v>36</v>
      </c>
      <c r="B42" s="145" t="s">
        <v>631</v>
      </c>
      <c r="C42" s="141" t="s">
        <v>866</v>
      </c>
      <c r="D42" s="142" t="s">
        <v>870</v>
      </c>
      <c r="E42" s="149" t="s">
        <v>630</v>
      </c>
      <c r="F42" s="542">
        <v>28189935</v>
      </c>
      <c r="G42" s="542">
        <v>0</v>
      </c>
      <c r="H42" s="542">
        <v>114090</v>
      </c>
      <c r="I42" s="542">
        <v>137480</v>
      </c>
      <c r="J42" s="542">
        <v>0</v>
      </c>
      <c r="K42" s="542">
        <v>137480</v>
      </c>
      <c r="L42" s="542">
        <v>0</v>
      </c>
      <c r="M42" s="542">
        <v>0</v>
      </c>
      <c r="N42" s="542">
        <v>93990</v>
      </c>
      <c r="O42" s="542">
        <v>93990</v>
      </c>
      <c r="P42" s="542">
        <v>0</v>
      </c>
      <c r="Q42" s="542">
        <v>27844375</v>
      </c>
      <c r="R42" s="102" t="s">
        <v>630</v>
      </c>
      <c r="S42" s="103" t="s">
        <v>782</v>
      </c>
      <c r="T42" s="104" t="s">
        <v>751</v>
      </c>
      <c r="U42" s="141"/>
      <c r="V42" s="142"/>
    </row>
    <row r="43" spans="1:22" ht="12.75" x14ac:dyDescent="0.2">
      <c r="A43" s="93">
        <v>37</v>
      </c>
      <c r="B43" s="145" t="s">
        <v>633</v>
      </c>
      <c r="C43" s="141" t="s">
        <v>871</v>
      </c>
      <c r="D43" s="142" t="s">
        <v>872</v>
      </c>
      <c r="E43" s="149" t="s">
        <v>632</v>
      </c>
      <c r="F43" s="542">
        <v>79089977</v>
      </c>
      <c r="G43" s="542">
        <v>0</v>
      </c>
      <c r="H43" s="542">
        <v>680498</v>
      </c>
      <c r="I43" s="542">
        <v>347201</v>
      </c>
      <c r="J43" s="542">
        <v>0</v>
      </c>
      <c r="K43" s="542">
        <v>347201</v>
      </c>
      <c r="L43" s="542">
        <v>0</v>
      </c>
      <c r="M43" s="542">
        <v>0</v>
      </c>
      <c r="N43" s="542">
        <v>0</v>
      </c>
      <c r="O43" s="542">
        <v>0</v>
      </c>
      <c r="P43" s="542">
        <v>0</v>
      </c>
      <c r="Q43" s="542">
        <v>78062278</v>
      </c>
      <c r="R43" s="102" t="s">
        <v>632</v>
      </c>
      <c r="S43" s="103" t="s">
        <v>762</v>
      </c>
      <c r="T43" s="103" t="s">
        <v>750</v>
      </c>
      <c r="U43" s="141"/>
      <c r="V43" s="142"/>
    </row>
    <row r="44" spans="1:22" ht="12.75" x14ac:dyDescent="0.2">
      <c r="A44" s="93">
        <v>38</v>
      </c>
      <c r="B44" s="145" t="s">
        <v>635</v>
      </c>
      <c r="C44" s="141" t="s">
        <v>866</v>
      </c>
      <c r="D44" s="142" t="s">
        <v>876</v>
      </c>
      <c r="E44" s="149" t="s">
        <v>634</v>
      </c>
      <c r="F44" s="542">
        <v>24829692</v>
      </c>
      <c r="G44" s="542">
        <v>0</v>
      </c>
      <c r="H44" s="542">
        <v>181257</v>
      </c>
      <c r="I44" s="542">
        <v>124226</v>
      </c>
      <c r="J44" s="542">
        <v>0</v>
      </c>
      <c r="K44" s="542">
        <v>124226</v>
      </c>
      <c r="L44" s="542">
        <v>0</v>
      </c>
      <c r="M44" s="542">
        <v>0</v>
      </c>
      <c r="N44" s="542">
        <v>0</v>
      </c>
      <c r="O44" s="542">
        <v>0</v>
      </c>
      <c r="P44" s="542">
        <v>0</v>
      </c>
      <c r="Q44" s="542">
        <v>24524209</v>
      </c>
      <c r="R44" s="102" t="s">
        <v>634</v>
      </c>
      <c r="S44" s="103" t="s">
        <v>786</v>
      </c>
      <c r="T44" s="104" t="s">
        <v>787</v>
      </c>
      <c r="U44" s="141"/>
      <c r="V44" s="142"/>
    </row>
    <row r="45" spans="1:22" ht="12.75" x14ac:dyDescent="0.2">
      <c r="A45" s="93">
        <v>39</v>
      </c>
      <c r="B45" s="145" t="s">
        <v>637</v>
      </c>
      <c r="C45" s="141" t="s">
        <v>866</v>
      </c>
      <c r="D45" s="142" t="s">
        <v>870</v>
      </c>
      <c r="E45" s="149" t="s">
        <v>636</v>
      </c>
      <c r="F45" s="542">
        <v>37803092</v>
      </c>
      <c r="G45" s="542">
        <v>528912</v>
      </c>
      <c r="H45" s="542">
        <v>0</v>
      </c>
      <c r="I45" s="542">
        <v>115645</v>
      </c>
      <c r="J45" s="542">
        <v>0</v>
      </c>
      <c r="K45" s="542">
        <v>115645</v>
      </c>
      <c r="L45" s="542">
        <v>0</v>
      </c>
      <c r="M45" s="542">
        <v>0</v>
      </c>
      <c r="N45" s="542">
        <v>0</v>
      </c>
      <c r="O45" s="542">
        <v>0</v>
      </c>
      <c r="P45" s="542">
        <v>0</v>
      </c>
      <c r="Q45" s="542">
        <v>38216359</v>
      </c>
      <c r="R45" s="102" t="s">
        <v>636</v>
      </c>
      <c r="S45" s="103" t="s">
        <v>788</v>
      </c>
      <c r="T45" s="104" t="s">
        <v>751</v>
      </c>
      <c r="U45" s="141"/>
      <c r="V45" s="142"/>
    </row>
    <row r="46" spans="1:22" ht="12.75" x14ac:dyDescent="0.2">
      <c r="A46" s="93">
        <v>40</v>
      </c>
      <c r="B46" s="145" t="s">
        <v>639</v>
      </c>
      <c r="C46" s="141" t="s">
        <v>866</v>
      </c>
      <c r="D46" s="142" t="s">
        <v>869</v>
      </c>
      <c r="E46" s="149" t="s">
        <v>638</v>
      </c>
      <c r="F46" s="542">
        <v>22939868</v>
      </c>
      <c r="G46" s="542">
        <v>0</v>
      </c>
      <c r="H46" s="542">
        <v>111662</v>
      </c>
      <c r="I46" s="542">
        <v>107581</v>
      </c>
      <c r="J46" s="542">
        <v>0</v>
      </c>
      <c r="K46" s="542">
        <v>107581</v>
      </c>
      <c r="L46" s="542">
        <v>0</v>
      </c>
      <c r="M46" s="542">
        <v>0</v>
      </c>
      <c r="N46" s="542">
        <v>0</v>
      </c>
      <c r="O46" s="542">
        <v>0</v>
      </c>
      <c r="P46" s="542">
        <v>0</v>
      </c>
      <c r="Q46" s="542">
        <v>22720625</v>
      </c>
      <c r="R46" s="102" t="s">
        <v>638</v>
      </c>
      <c r="S46" s="103" t="s">
        <v>755</v>
      </c>
      <c r="T46" s="104" t="s">
        <v>756</v>
      </c>
      <c r="U46" s="141"/>
      <c r="V46" s="142"/>
    </row>
    <row r="47" spans="1:22" ht="12.75" x14ac:dyDescent="0.2">
      <c r="A47" s="93">
        <v>41</v>
      </c>
      <c r="B47" s="145" t="s">
        <v>641</v>
      </c>
      <c r="C47" s="141" t="s">
        <v>866</v>
      </c>
      <c r="D47" s="142" t="s">
        <v>868</v>
      </c>
      <c r="E47" s="149" t="s">
        <v>640</v>
      </c>
      <c r="F47" s="542">
        <v>22522039</v>
      </c>
      <c r="G47" s="542">
        <v>0</v>
      </c>
      <c r="H47" s="542">
        <v>193357</v>
      </c>
      <c r="I47" s="542">
        <v>148397</v>
      </c>
      <c r="J47" s="542">
        <v>0</v>
      </c>
      <c r="K47" s="542">
        <v>148397</v>
      </c>
      <c r="L47" s="542">
        <v>0</v>
      </c>
      <c r="M47" s="542">
        <v>0</v>
      </c>
      <c r="N47" s="542">
        <v>134573</v>
      </c>
      <c r="O47" s="542">
        <v>134573</v>
      </c>
      <c r="P47" s="542">
        <v>0</v>
      </c>
      <c r="Q47" s="542">
        <v>22045712</v>
      </c>
      <c r="R47" s="102" t="s">
        <v>640</v>
      </c>
      <c r="S47" s="103" t="s">
        <v>789</v>
      </c>
      <c r="T47" s="104" t="s">
        <v>776</v>
      </c>
      <c r="U47" s="141"/>
      <c r="V47" s="142"/>
    </row>
    <row r="48" spans="1:22" ht="12.75" x14ac:dyDescent="0.2">
      <c r="A48" s="93">
        <v>42</v>
      </c>
      <c r="B48" s="145" t="s">
        <v>643</v>
      </c>
      <c r="C48" s="141" t="s">
        <v>873</v>
      </c>
      <c r="D48" s="142" t="s">
        <v>868</v>
      </c>
      <c r="E48" s="149" t="s">
        <v>642</v>
      </c>
      <c r="F48" s="542">
        <v>45090271</v>
      </c>
      <c r="G48" s="542">
        <v>283221</v>
      </c>
      <c r="H48" s="542">
        <v>0</v>
      </c>
      <c r="I48" s="542">
        <v>239233</v>
      </c>
      <c r="J48" s="542">
        <v>0</v>
      </c>
      <c r="K48" s="542">
        <v>239233</v>
      </c>
      <c r="L48" s="542">
        <v>0</v>
      </c>
      <c r="M48" s="542">
        <v>0</v>
      </c>
      <c r="N48" s="542">
        <v>0</v>
      </c>
      <c r="O48" s="542">
        <v>0</v>
      </c>
      <c r="P48" s="542">
        <v>0</v>
      </c>
      <c r="Q48" s="542">
        <v>45134259</v>
      </c>
      <c r="R48" s="102" t="s">
        <v>642</v>
      </c>
      <c r="S48" s="103" t="s">
        <v>763</v>
      </c>
      <c r="T48" s="104" t="s">
        <v>777</v>
      </c>
      <c r="U48" s="141"/>
      <c r="V48" s="142"/>
    </row>
    <row r="49" spans="1:22" ht="12.75" x14ac:dyDescent="0.2">
      <c r="A49" s="93">
        <v>43</v>
      </c>
      <c r="B49" s="145" t="s">
        <v>645</v>
      </c>
      <c r="C49" s="141" t="s">
        <v>873</v>
      </c>
      <c r="D49" s="142" t="s">
        <v>874</v>
      </c>
      <c r="E49" s="149" t="s">
        <v>644</v>
      </c>
      <c r="F49" s="542">
        <v>57609534</v>
      </c>
      <c r="G49" s="542">
        <v>0</v>
      </c>
      <c r="H49" s="542">
        <v>120132</v>
      </c>
      <c r="I49" s="542">
        <v>353872</v>
      </c>
      <c r="J49" s="542">
        <v>0</v>
      </c>
      <c r="K49" s="542">
        <v>353872</v>
      </c>
      <c r="L49" s="542">
        <v>0</v>
      </c>
      <c r="M49" s="542">
        <v>0</v>
      </c>
      <c r="N49" s="542">
        <v>0</v>
      </c>
      <c r="O49" s="542">
        <v>0</v>
      </c>
      <c r="P49" s="542">
        <v>0</v>
      </c>
      <c r="Q49" s="542">
        <v>57135530</v>
      </c>
      <c r="R49" s="102" t="s">
        <v>644</v>
      </c>
      <c r="S49" s="103" t="s">
        <v>763</v>
      </c>
      <c r="T49" s="104" t="s">
        <v>781</v>
      </c>
      <c r="U49" s="141"/>
      <c r="V49" s="142"/>
    </row>
    <row r="50" spans="1:22" ht="12.75" x14ac:dyDescent="0.2">
      <c r="A50" s="93">
        <v>44</v>
      </c>
      <c r="B50" s="145" t="s">
        <v>647</v>
      </c>
      <c r="C50" s="141" t="s">
        <v>866</v>
      </c>
      <c r="D50" s="142" t="s">
        <v>870</v>
      </c>
      <c r="E50" s="149" t="s">
        <v>646</v>
      </c>
      <c r="F50" s="542">
        <v>92299864</v>
      </c>
      <c r="G50" s="542">
        <v>0</v>
      </c>
      <c r="H50" s="542">
        <v>1074086</v>
      </c>
      <c r="I50" s="542">
        <v>228269</v>
      </c>
      <c r="J50" s="542">
        <v>0</v>
      </c>
      <c r="K50" s="542">
        <v>228269</v>
      </c>
      <c r="L50" s="542">
        <v>0</v>
      </c>
      <c r="M50" s="542">
        <v>0</v>
      </c>
      <c r="N50" s="542">
        <v>0</v>
      </c>
      <c r="O50" s="542">
        <v>0</v>
      </c>
      <c r="P50" s="542">
        <v>0</v>
      </c>
      <c r="Q50" s="542">
        <v>90997509</v>
      </c>
      <c r="R50" s="102" t="s">
        <v>646</v>
      </c>
      <c r="S50" s="103" t="s">
        <v>790</v>
      </c>
      <c r="T50" s="104" t="s">
        <v>791</v>
      </c>
      <c r="U50" s="141"/>
      <c r="V50" s="142"/>
    </row>
    <row r="51" spans="1:22" ht="12.75" x14ac:dyDescent="0.2">
      <c r="A51" s="93">
        <v>45</v>
      </c>
      <c r="B51" s="145" t="s">
        <v>649</v>
      </c>
      <c r="C51" s="141" t="s">
        <v>877</v>
      </c>
      <c r="D51" s="142" t="s">
        <v>872</v>
      </c>
      <c r="E51" s="149" t="s">
        <v>648</v>
      </c>
      <c r="F51" s="542">
        <v>445551755</v>
      </c>
      <c r="G51" s="542">
        <v>0</v>
      </c>
      <c r="H51" s="542">
        <v>7939172</v>
      </c>
      <c r="I51" s="542">
        <v>1190058</v>
      </c>
      <c r="J51" s="542">
        <v>0</v>
      </c>
      <c r="K51" s="542">
        <v>1190058</v>
      </c>
      <c r="L51" s="542">
        <v>0</v>
      </c>
      <c r="M51" s="542">
        <v>0</v>
      </c>
      <c r="N51" s="542">
        <v>0</v>
      </c>
      <c r="O51" s="542">
        <v>0</v>
      </c>
      <c r="P51" s="542">
        <v>0</v>
      </c>
      <c r="Q51" s="542">
        <v>436422525</v>
      </c>
      <c r="R51" s="102" t="s">
        <v>648</v>
      </c>
      <c r="S51" s="103" t="s">
        <v>762</v>
      </c>
      <c r="T51" s="103" t="s">
        <v>750</v>
      </c>
      <c r="U51" s="141"/>
      <c r="V51" s="142"/>
    </row>
    <row r="52" spans="1:22" ht="12.75" x14ac:dyDescent="0.2">
      <c r="A52" s="93">
        <v>46</v>
      </c>
      <c r="B52" s="145" t="s">
        <v>651</v>
      </c>
      <c r="C52" s="141" t="s">
        <v>866</v>
      </c>
      <c r="D52" s="142" t="s">
        <v>876</v>
      </c>
      <c r="E52" s="149" t="s">
        <v>650</v>
      </c>
      <c r="F52" s="542">
        <v>31477190</v>
      </c>
      <c r="G52" s="542">
        <v>224301</v>
      </c>
      <c r="H52" s="542">
        <v>0</v>
      </c>
      <c r="I52" s="542">
        <v>139484</v>
      </c>
      <c r="J52" s="542">
        <v>0</v>
      </c>
      <c r="K52" s="542">
        <v>139484</v>
      </c>
      <c r="L52" s="542">
        <v>0</v>
      </c>
      <c r="M52" s="542">
        <v>0</v>
      </c>
      <c r="N52" s="542">
        <v>0</v>
      </c>
      <c r="O52" s="542">
        <v>0</v>
      </c>
      <c r="P52" s="542">
        <v>0</v>
      </c>
      <c r="Q52" s="542">
        <v>31562007</v>
      </c>
      <c r="R52" s="102" t="s">
        <v>650</v>
      </c>
      <c r="S52" s="103" t="s">
        <v>792</v>
      </c>
      <c r="T52" s="104" t="s">
        <v>793</v>
      </c>
      <c r="U52" s="141"/>
      <c r="V52" s="142"/>
    </row>
    <row r="53" spans="1:22" ht="12.75" x14ac:dyDescent="0.2">
      <c r="A53" s="93">
        <v>47</v>
      </c>
      <c r="B53" s="145" t="s">
        <v>653</v>
      </c>
      <c r="C53" s="141" t="s">
        <v>866</v>
      </c>
      <c r="D53" s="142" t="s">
        <v>867</v>
      </c>
      <c r="E53" s="149" t="s">
        <v>652</v>
      </c>
      <c r="F53" s="542">
        <v>46496100</v>
      </c>
      <c r="G53" s="542">
        <v>0</v>
      </c>
      <c r="H53" s="542">
        <v>48342</v>
      </c>
      <c r="I53" s="542">
        <v>229868</v>
      </c>
      <c r="J53" s="542">
        <v>0</v>
      </c>
      <c r="K53" s="542">
        <v>229868</v>
      </c>
      <c r="L53" s="542">
        <v>0</v>
      </c>
      <c r="M53" s="542">
        <v>0</v>
      </c>
      <c r="N53" s="542">
        <v>0</v>
      </c>
      <c r="O53" s="542">
        <v>0</v>
      </c>
      <c r="P53" s="542">
        <v>0</v>
      </c>
      <c r="Q53" s="542">
        <v>46217890</v>
      </c>
      <c r="R53" s="102" t="s">
        <v>652</v>
      </c>
      <c r="S53" s="103" t="s">
        <v>757</v>
      </c>
      <c r="T53" s="104" t="s">
        <v>758</v>
      </c>
      <c r="U53" s="141"/>
      <c r="V53" s="142"/>
    </row>
    <row r="54" spans="1:22" ht="12.75" x14ac:dyDescent="0.2">
      <c r="A54" s="93">
        <v>48</v>
      </c>
      <c r="B54" s="145" t="s">
        <v>655</v>
      </c>
      <c r="C54" s="141" t="s">
        <v>866</v>
      </c>
      <c r="D54" s="142" t="s">
        <v>868</v>
      </c>
      <c r="E54" s="149" t="s">
        <v>654</v>
      </c>
      <c r="F54" s="542">
        <v>40795762</v>
      </c>
      <c r="G54" s="542">
        <v>0</v>
      </c>
      <c r="H54" s="542">
        <v>276144</v>
      </c>
      <c r="I54" s="542">
        <v>180284</v>
      </c>
      <c r="J54" s="542">
        <v>0</v>
      </c>
      <c r="K54" s="542">
        <v>180284</v>
      </c>
      <c r="L54" s="542">
        <v>0</v>
      </c>
      <c r="M54" s="542">
        <v>0</v>
      </c>
      <c r="N54" s="542">
        <v>16524</v>
      </c>
      <c r="O54" s="542">
        <v>16524</v>
      </c>
      <c r="P54" s="542">
        <v>0</v>
      </c>
      <c r="Q54" s="542">
        <v>40322810</v>
      </c>
      <c r="R54" s="102" t="s">
        <v>654</v>
      </c>
      <c r="S54" s="103" t="s">
        <v>752</v>
      </c>
      <c r="T54" s="104" t="s">
        <v>751</v>
      </c>
      <c r="U54" s="141"/>
      <c r="V54" s="142"/>
    </row>
    <row r="55" spans="1:22" ht="12.75" x14ac:dyDescent="0.2">
      <c r="A55" s="93">
        <v>49</v>
      </c>
      <c r="B55" s="145" t="s">
        <v>657</v>
      </c>
      <c r="C55" s="141" t="s">
        <v>866</v>
      </c>
      <c r="D55" s="142" t="s">
        <v>870</v>
      </c>
      <c r="E55" s="149" t="s">
        <v>656</v>
      </c>
      <c r="F55" s="542">
        <v>12762304</v>
      </c>
      <c r="G55" s="542">
        <v>101743</v>
      </c>
      <c r="H55" s="542">
        <v>0</v>
      </c>
      <c r="I55" s="542">
        <v>82932</v>
      </c>
      <c r="J55" s="542">
        <v>0</v>
      </c>
      <c r="K55" s="542">
        <v>82932</v>
      </c>
      <c r="L55" s="542">
        <v>0</v>
      </c>
      <c r="M55" s="542">
        <v>0</v>
      </c>
      <c r="N55" s="542">
        <v>0</v>
      </c>
      <c r="O55" s="542">
        <v>0</v>
      </c>
      <c r="P55" s="542">
        <v>0</v>
      </c>
      <c r="Q55" s="542">
        <v>12781115</v>
      </c>
      <c r="R55" s="102" t="s">
        <v>656</v>
      </c>
      <c r="S55" s="103" t="s">
        <v>765</v>
      </c>
      <c r="T55" s="104" t="s">
        <v>766</v>
      </c>
      <c r="U55" s="141"/>
      <c r="V55" s="142"/>
    </row>
    <row r="56" spans="1:22" ht="12.75" x14ac:dyDescent="0.2">
      <c r="A56" s="93">
        <v>50</v>
      </c>
      <c r="B56" s="145" t="s">
        <v>659</v>
      </c>
      <c r="C56" s="141" t="s">
        <v>770</v>
      </c>
      <c r="D56" s="142" t="s">
        <v>870</v>
      </c>
      <c r="E56" s="149" t="s">
        <v>658</v>
      </c>
      <c r="F56" s="542">
        <v>77370490</v>
      </c>
      <c r="G56" s="542">
        <v>0</v>
      </c>
      <c r="H56" s="542">
        <v>140494</v>
      </c>
      <c r="I56" s="542">
        <v>314370</v>
      </c>
      <c r="J56" s="542">
        <v>0</v>
      </c>
      <c r="K56" s="542">
        <v>314370</v>
      </c>
      <c r="L56" s="542">
        <v>0</v>
      </c>
      <c r="M56" s="542">
        <v>0</v>
      </c>
      <c r="N56" s="542">
        <v>348150</v>
      </c>
      <c r="O56" s="542">
        <v>348150</v>
      </c>
      <c r="P56" s="542">
        <v>0</v>
      </c>
      <c r="Q56" s="542">
        <v>76567476</v>
      </c>
      <c r="R56" s="103" t="s">
        <v>658</v>
      </c>
      <c r="S56" s="103" t="s">
        <v>770</v>
      </c>
      <c r="T56" s="104" t="s">
        <v>772</v>
      </c>
      <c r="U56" s="141"/>
      <c r="V56" s="142"/>
    </row>
    <row r="57" spans="1:22" ht="12.75" x14ac:dyDescent="0.2">
      <c r="A57" s="93">
        <v>51</v>
      </c>
      <c r="B57" s="145" t="s">
        <v>661</v>
      </c>
      <c r="C57" s="141" t="s">
        <v>866</v>
      </c>
      <c r="D57" s="142" t="s">
        <v>869</v>
      </c>
      <c r="E57" s="149" t="s">
        <v>660</v>
      </c>
      <c r="F57" s="542">
        <v>43546023</v>
      </c>
      <c r="G57" s="542">
        <v>0</v>
      </c>
      <c r="H57" s="542">
        <v>30755</v>
      </c>
      <c r="I57" s="542">
        <v>193882</v>
      </c>
      <c r="J57" s="542">
        <v>0</v>
      </c>
      <c r="K57" s="542">
        <v>193882</v>
      </c>
      <c r="L57" s="542">
        <v>0</v>
      </c>
      <c r="M57" s="542">
        <v>0</v>
      </c>
      <c r="N57" s="542">
        <v>150473</v>
      </c>
      <c r="O57" s="542">
        <v>150473</v>
      </c>
      <c r="P57" s="542">
        <v>0</v>
      </c>
      <c r="Q57" s="542">
        <v>43170913</v>
      </c>
      <c r="R57" s="102" t="s">
        <v>660</v>
      </c>
      <c r="S57" s="103" t="s">
        <v>774</v>
      </c>
      <c r="T57" s="104" t="s">
        <v>775</v>
      </c>
      <c r="U57" s="141"/>
      <c r="V57" s="142"/>
    </row>
    <row r="58" spans="1:22" ht="12.75" x14ac:dyDescent="0.2">
      <c r="A58" s="93">
        <v>52</v>
      </c>
      <c r="B58" s="145" t="s">
        <v>663</v>
      </c>
      <c r="C58" s="141" t="s">
        <v>866</v>
      </c>
      <c r="D58" s="142" t="s">
        <v>870</v>
      </c>
      <c r="E58" s="149" t="s">
        <v>662</v>
      </c>
      <c r="F58" s="542">
        <v>67478611</v>
      </c>
      <c r="G58" s="542">
        <v>0</v>
      </c>
      <c r="H58" s="542">
        <v>431420</v>
      </c>
      <c r="I58" s="542">
        <v>223812</v>
      </c>
      <c r="J58" s="542">
        <v>0</v>
      </c>
      <c r="K58" s="542">
        <v>223812</v>
      </c>
      <c r="L58" s="542">
        <v>0</v>
      </c>
      <c r="M58" s="542">
        <v>0</v>
      </c>
      <c r="N58" s="542">
        <v>0</v>
      </c>
      <c r="O58" s="542">
        <v>0</v>
      </c>
      <c r="P58" s="542">
        <v>0</v>
      </c>
      <c r="Q58" s="542">
        <v>66823379</v>
      </c>
      <c r="R58" s="102" t="s">
        <v>662</v>
      </c>
      <c r="S58" s="103" t="s">
        <v>765</v>
      </c>
      <c r="T58" s="104" t="s">
        <v>766</v>
      </c>
      <c r="U58" s="141"/>
      <c r="V58" s="142"/>
    </row>
    <row r="59" spans="1:22" ht="12.75" x14ac:dyDescent="0.2">
      <c r="A59" s="93">
        <v>53</v>
      </c>
      <c r="B59" s="145" t="s">
        <v>665</v>
      </c>
      <c r="C59" s="141" t="s">
        <v>866</v>
      </c>
      <c r="D59" s="142" t="s">
        <v>875</v>
      </c>
      <c r="E59" s="149" t="s">
        <v>664</v>
      </c>
      <c r="F59" s="542">
        <v>54537255</v>
      </c>
      <c r="G59" s="542">
        <v>0</v>
      </c>
      <c r="H59" s="542">
        <v>80710</v>
      </c>
      <c r="I59" s="542">
        <v>183923</v>
      </c>
      <c r="J59" s="542">
        <v>0</v>
      </c>
      <c r="K59" s="542">
        <v>183923</v>
      </c>
      <c r="L59" s="542">
        <v>0</v>
      </c>
      <c r="M59" s="542">
        <v>0</v>
      </c>
      <c r="N59" s="542">
        <v>0</v>
      </c>
      <c r="O59" s="542">
        <v>0</v>
      </c>
      <c r="P59" s="542">
        <v>0</v>
      </c>
      <c r="Q59" s="542">
        <v>54272622</v>
      </c>
      <c r="R59" s="102" t="s">
        <v>664</v>
      </c>
      <c r="S59" s="103" t="s">
        <v>794</v>
      </c>
      <c r="T59" s="104" t="s">
        <v>751</v>
      </c>
      <c r="U59" s="141"/>
      <c r="V59" s="142"/>
    </row>
    <row r="60" spans="1:22" ht="12.75" x14ac:dyDescent="0.2">
      <c r="A60" s="93">
        <v>54</v>
      </c>
      <c r="B60" s="145" t="s">
        <v>667</v>
      </c>
      <c r="C60" s="141" t="s">
        <v>866</v>
      </c>
      <c r="D60" s="142" t="s">
        <v>867</v>
      </c>
      <c r="E60" s="149" t="s">
        <v>666</v>
      </c>
      <c r="F60" s="542">
        <v>66993868</v>
      </c>
      <c r="G60" s="542">
        <v>0</v>
      </c>
      <c r="H60" s="542">
        <v>377236</v>
      </c>
      <c r="I60" s="542">
        <v>219880</v>
      </c>
      <c r="J60" s="542">
        <v>0</v>
      </c>
      <c r="K60" s="542">
        <v>219880</v>
      </c>
      <c r="L60" s="542">
        <v>0</v>
      </c>
      <c r="M60" s="542">
        <v>0</v>
      </c>
      <c r="N60" s="542">
        <v>178347</v>
      </c>
      <c r="O60" s="542">
        <v>70854</v>
      </c>
      <c r="P60" s="542">
        <v>107493</v>
      </c>
      <c r="Q60" s="542">
        <v>66218405</v>
      </c>
      <c r="R60" s="102" t="s">
        <v>666</v>
      </c>
      <c r="S60" s="103" t="s">
        <v>795</v>
      </c>
      <c r="T60" s="104" t="s">
        <v>751</v>
      </c>
      <c r="U60" s="141"/>
      <c r="V60" s="142"/>
    </row>
    <row r="61" spans="1:22" ht="12.75" x14ac:dyDescent="0.2">
      <c r="A61" s="93">
        <v>55</v>
      </c>
      <c r="B61" s="145" t="s">
        <v>669</v>
      </c>
      <c r="C61" s="141" t="s">
        <v>770</v>
      </c>
      <c r="D61" s="142" t="s">
        <v>868</v>
      </c>
      <c r="E61" s="149" t="s">
        <v>668</v>
      </c>
      <c r="F61" s="542">
        <v>130954632</v>
      </c>
      <c r="G61" s="542">
        <v>0</v>
      </c>
      <c r="H61" s="542">
        <v>600801</v>
      </c>
      <c r="I61" s="542">
        <v>560489</v>
      </c>
      <c r="J61" s="542">
        <v>0</v>
      </c>
      <c r="K61" s="542">
        <v>560489</v>
      </c>
      <c r="L61" s="542">
        <v>0</v>
      </c>
      <c r="M61" s="542">
        <v>0</v>
      </c>
      <c r="N61" s="542">
        <v>3137</v>
      </c>
      <c r="O61" s="542">
        <v>3137</v>
      </c>
      <c r="P61" s="542">
        <v>0</v>
      </c>
      <c r="Q61" s="542">
        <v>129790205</v>
      </c>
      <c r="R61" s="103" t="s">
        <v>668</v>
      </c>
      <c r="S61" s="103" t="s">
        <v>770</v>
      </c>
      <c r="T61" s="104" t="s">
        <v>796</v>
      </c>
      <c r="U61" s="141"/>
      <c r="V61" s="142"/>
    </row>
    <row r="62" spans="1:22" ht="12.75" x14ac:dyDescent="0.2">
      <c r="A62" s="93">
        <v>56</v>
      </c>
      <c r="B62" s="145" t="s">
        <v>671</v>
      </c>
      <c r="C62" s="141" t="s">
        <v>770</v>
      </c>
      <c r="D62" s="142" t="s">
        <v>868</v>
      </c>
      <c r="E62" s="149" t="s">
        <v>693</v>
      </c>
      <c r="F62" s="542">
        <v>158550044</v>
      </c>
      <c r="G62" s="542">
        <v>0</v>
      </c>
      <c r="H62" s="542">
        <v>2776302</v>
      </c>
      <c r="I62" s="542">
        <v>501621</v>
      </c>
      <c r="J62" s="542">
        <v>0</v>
      </c>
      <c r="K62" s="542">
        <v>501621</v>
      </c>
      <c r="L62" s="542">
        <v>0</v>
      </c>
      <c r="M62" s="542">
        <v>0</v>
      </c>
      <c r="N62" s="542">
        <v>0</v>
      </c>
      <c r="O62" s="542">
        <v>0</v>
      </c>
      <c r="P62" s="542">
        <v>0</v>
      </c>
      <c r="Q62" s="542">
        <v>155272121</v>
      </c>
      <c r="R62" s="103" t="s">
        <v>693</v>
      </c>
      <c r="S62" s="103" t="s">
        <v>770</v>
      </c>
      <c r="T62" s="104" t="s">
        <v>796</v>
      </c>
      <c r="U62" s="141"/>
      <c r="V62" s="142"/>
    </row>
    <row r="63" spans="1:22" ht="12.75" x14ac:dyDescent="0.2">
      <c r="A63" s="93">
        <v>57</v>
      </c>
      <c r="B63" s="145" t="s">
        <v>673</v>
      </c>
      <c r="C63" s="141" t="s">
        <v>866</v>
      </c>
      <c r="D63" s="142" t="s">
        <v>869</v>
      </c>
      <c r="E63" s="149" t="s">
        <v>672</v>
      </c>
      <c r="F63" s="542">
        <v>32293514</v>
      </c>
      <c r="G63" s="542">
        <v>207269</v>
      </c>
      <c r="H63" s="542">
        <v>0</v>
      </c>
      <c r="I63" s="542">
        <v>166169</v>
      </c>
      <c r="J63" s="542">
        <v>0</v>
      </c>
      <c r="K63" s="542">
        <v>166169</v>
      </c>
      <c r="L63" s="542">
        <v>0</v>
      </c>
      <c r="M63" s="542">
        <v>125218</v>
      </c>
      <c r="N63" s="542">
        <v>0</v>
      </c>
      <c r="O63" s="542">
        <v>0</v>
      </c>
      <c r="P63" s="542">
        <v>0</v>
      </c>
      <c r="Q63" s="542">
        <v>32209396</v>
      </c>
      <c r="R63" s="102" t="s">
        <v>672</v>
      </c>
      <c r="S63" s="103" t="s">
        <v>753</v>
      </c>
      <c r="T63" s="104" t="s">
        <v>754</v>
      </c>
      <c r="U63" s="141"/>
      <c r="V63" s="142"/>
    </row>
    <row r="64" spans="1:22" ht="12.75" x14ac:dyDescent="0.2">
      <c r="A64" s="93">
        <v>58</v>
      </c>
      <c r="B64" s="145" t="s">
        <v>675</v>
      </c>
      <c r="C64" s="141" t="s">
        <v>866</v>
      </c>
      <c r="D64" s="142" t="s">
        <v>867</v>
      </c>
      <c r="E64" s="149" t="s">
        <v>674</v>
      </c>
      <c r="F64" s="542">
        <v>41962760</v>
      </c>
      <c r="G64" s="542">
        <v>0</v>
      </c>
      <c r="H64" s="542">
        <v>121375</v>
      </c>
      <c r="I64" s="542">
        <v>195843</v>
      </c>
      <c r="J64" s="542">
        <v>0</v>
      </c>
      <c r="K64" s="542">
        <v>195843</v>
      </c>
      <c r="L64" s="542">
        <v>0</v>
      </c>
      <c r="M64" s="542">
        <v>0</v>
      </c>
      <c r="N64" s="542">
        <v>45165</v>
      </c>
      <c r="O64" s="542">
        <v>45165</v>
      </c>
      <c r="P64" s="542">
        <v>0</v>
      </c>
      <c r="Q64" s="542">
        <v>41600377</v>
      </c>
      <c r="R64" s="102" t="s">
        <v>674</v>
      </c>
      <c r="S64" s="103" t="s">
        <v>749</v>
      </c>
      <c r="T64" s="104" t="s">
        <v>751</v>
      </c>
      <c r="U64" s="141"/>
      <c r="V64" s="142"/>
    </row>
    <row r="65" spans="1:22" ht="12.75" x14ac:dyDescent="0.2">
      <c r="A65" s="93">
        <v>59</v>
      </c>
      <c r="B65" s="145" t="s">
        <v>677</v>
      </c>
      <c r="C65" s="141" t="s">
        <v>866</v>
      </c>
      <c r="D65" s="142" t="s">
        <v>867</v>
      </c>
      <c r="E65" s="149" t="s">
        <v>676</v>
      </c>
      <c r="F65" s="542">
        <v>19674369</v>
      </c>
      <c r="G65" s="542">
        <v>0</v>
      </c>
      <c r="H65" s="542">
        <v>12334</v>
      </c>
      <c r="I65" s="542">
        <v>116496</v>
      </c>
      <c r="J65" s="542">
        <v>0</v>
      </c>
      <c r="K65" s="542">
        <v>116496</v>
      </c>
      <c r="L65" s="542">
        <v>0</v>
      </c>
      <c r="M65" s="542">
        <v>0</v>
      </c>
      <c r="N65" s="542">
        <v>0</v>
      </c>
      <c r="O65" s="542">
        <v>0</v>
      </c>
      <c r="P65" s="542">
        <v>0</v>
      </c>
      <c r="Q65" s="542">
        <v>19545539</v>
      </c>
      <c r="R65" s="102" t="s">
        <v>676</v>
      </c>
      <c r="S65" s="103" t="s">
        <v>759</v>
      </c>
      <c r="T65" s="104" t="s">
        <v>760</v>
      </c>
      <c r="U65" s="141"/>
      <c r="V65" s="142"/>
    </row>
    <row r="66" spans="1:22" ht="12.75" x14ac:dyDescent="0.2">
      <c r="A66" s="93">
        <v>60</v>
      </c>
      <c r="B66" s="145" t="s">
        <v>679</v>
      </c>
      <c r="C66" s="141" t="s">
        <v>866</v>
      </c>
      <c r="D66" s="142" t="s">
        <v>868</v>
      </c>
      <c r="E66" s="149" t="s">
        <v>678</v>
      </c>
      <c r="F66" s="542">
        <v>27698940</v>
      </c>
      <c r="G66" s="542">
        <v>0</v>
      </c>
      <c r="H66" s="542">
        <v>75028</v>
      </c>
      <c r="I66" s="542">
        <v>132564</v>
      </c>
      <c r="J66" s="542">
        <v>0</v>
      </c>
      <c r="K66" s="542">
        <v>132564</v>
      </c>
      <c r="L66" s="542">
        <v>0</v>
      </c>
      <c r="M66" s="542">
        <v>0</v>
      </c>
      <c r="N66" s="542">
        <v>0</v>
      </c>
      <c r="O66" s="542">
        <v>0</v>
      </c>
      <c r="P66" s="542">
        <v>0</v>
      </c>
      <c r="Q66" s="542">
        <v>27491348</v>
      </c>
      <c r="R66" s="102" t="s">
        <v>678</v>
      </c>
      <c r="S66" s="103" t="s">
        <v>789</v>
      </c>
      <c r="T66" s="104" t="s">
        <v>776</v>
      </c>
      <c r="U66" s="141"/>
      <c r="V66" s="142"/>
    </row>
    <row r="67" spans="1:22" ht="12.75" x14ac:dyDescent="0.2">
      <c r="A67" s="93">
        <v>61</v>
      </c>
      <c r="B67" s="145" t="s">
        <v>681</v>
      </c>
      <c r="C67" s="141" t="s">
        <v>866</v>
      </c>
      <c r="D67" s="142" t="s">
        <v>875</v>
      </c>
      <c r="E67" s="149" t="s">
        <v>680</v>
      </c>
      <c r="F67" s="542">
        <v>18023082.5</v>
      </c>
      <c r="G67" s="542">
        <v>1123</v>
      </c>
      <c r="H67" s="542">
        <v>0</v>
      </c>
      <c r="I67" s="542">
        <v>75172</v>
      </c>
      <c r="J67" s="542">
        <v>0</v>
      </c>
      <c r="K67" s="542">
        <v>75172</v>
      </c>
      <c r="L67" s="542">
        <v>0</v>
      </c>
      <c r="M67" s="542">
        <v>0</v>
      </c>
      <c r="N67" s="542">
        <v>146460</v>
      </c>
      <c r="O67" s="542">
        <v>146460</v>
      </c>
      <c r="P67" s="542">
        <v>0</v>
      </c>
      <c r="Q67" s="542">
        <v>17802573.5</v>
      </c>
      <c r="R67" s="102" t="s">
        <v>680</v>
      </c>
      <c r="S67" s="103" t="s">
        <v>797</v>
      </c>
      <c r="T67" s="104" t="s">
        <v>779</v>
      </c>
      <c r="U67" s="141"/>
      <c r="V67" s="142"/>
    </row>
    <row r="68" spans="1:22" ht="12.75" x14ac:dyDescent="0.2">
      <c r="A68" s="93">
        <v>62</v>
      </c>
      <c r="B68" s="145" t="s">
        <v>0</v>
      </c>
      <c r="C68" s="141" t="s">
        <v>877</v>
      </c>
      <c r="D68" s="142" t="s">
        <v>872</v>
      </c>
      <c r="E68" s="149" t="s">
        <v>682</v>
      </c>
      <c r="F68" s="542">
        <v>773310387</v>
      </c>
      <c r="G68" s="542">
        <v>0</v>
      </c>
      <c r="H68" s="542">
        <v>1336705</v>
      </c>
      <c r="I68" s="542">
        <v>1680657</v>
      </c>
      <c r="J68" s="542">
        <v>0</v>
      </c>
      <c r="K68" s="542">
        <v>1680657</v>
      </c>
      <c r="L68" s="542">
        <v>10743000</v>
      </c>
      <c r="M68" s="542">
        <v>0</v>
      </c>
      <c r="N68" s="542">
        <v>0</v>
      </c>
      <c r="O68" s="542">
        <v>0</v>
      </c>
      <c r="P68" s="542">
        <v>0</v>
      </c>
      <c r="Q68" s="542">
        <v>759550025</v>
      </c>
      <c r="R68" s="102" t="s">
        <v>682</v>
      </c>
      <c r="S68" s="103" t="s">
        <v>798</v>
      </c>
      <c r="T68" s="103" t="s">
        <v>750</v>
      </c>
      <c r="U68" s="141"/>
      <c r="V68" s="142"/>
    </row>
    <row r="69" spans="1:22" ht="12.75" x14ac:dyDescent="0.2">
      <c r="A69" s="93">
        <v>63</v>
      </c>
      <c r="B69" s="145" t="s">
        <v>2</v>
      </c>
      <c r="C69" s="141" t="s">
        <v>866</v>
      </c>
      <c r="D69" s="142" t="s">
        <v>870</v>
      </c>
      <c r="E69" s="149" t="s">
        <v>1</v>
      </c>
      <c r="F69" s="542">
        <v>57065366</v>
      </c>
      <c r="G69" s="542">
        <v>0</v>
      </c>
      <c r="H69" s="542">
        <v>646271</v>
      </c>
      <c r="I69" s="542">
        <v>237985</v>
      </c>
      <c r="J69" s="542">
        <v>0</v>
      </c>
      <c r="K69" s="542">
        <v>237985</v>
      </c>
      <c r="L69" s="542">
        <v>0</v>
      </c>
      <c r="M69" s="542">
        <v>0</v>
      </c>
      <c r="N69" s="542">
        <v>0</v>
      </c>
      <c r="O69" s="542">
        <v>0</v>
      </c>
      <c r="P69" s="542">
        <v>0</v>
      </c>
      <c r="Q69" s="542">
        <v>56181110</v>
      </c>
      <c r="R69" s="102" t="s">
        <v>1</v>
      </c>
      <c r="S69" s="103" t="s">
        <v>765</v>
      </c>
      <c r="T69" s="104" t="s">
        <v>766</v>
      </c>
      <c r="U69" s="141"/>
      <c r="V69" s="142"/>
    </row>
    <row r="70" spans="1:22" ht="12.75" x14ac:dyDescent="0.2">
      <c r="A70" s="93">
        <v>64</v>
      </c>
      <c r="B70" s="145" t="s">
        <v>4</v>
      </c>
      <c r="C70" s="141" t="s">
        <v>866</v>
      </c>
      <c r="D70" s="142" t="s">
        <v>868</v>
      </c>
      <c r="E70" s="149" t="s">
        <v>3</v>
      </c>
      <c r="F70" s="542">
        <v>32163964</v>
      </c>
      <c r="G70" s="542">
        <v>0</v>
      </c>
      <c r="H70" s="542">
        <v>70390</v>
      </c>
      <c r="I70" s="542">
        <v>112133</v>
      </c>
      <c r="J70" s="542">
        <v>0</v>
      </c>
      <c r="K70" s="542">
        <v>112133</v>
      </c>
      <c r="L70" s="542">
        <v>0</v>
      </c>
      <c r="M70" s="542">
        <v>0</v>
      </c>
      <c r="N70" s="542">
        <v>12545</v>
      </c>
      <c r="O70" s="542">
        <v>12545</v>
      </c>
      <c r="P70" s="542">
        <v>0</v>
      </c>
      <c r="Q70" s="542">
        <v>31968896</v>
      </c>
      <c r="R70" s="102" t="s">
        <v>3</v>
      </c>
      <c r="S70" s="103" t="s">
        <v>752</v>
      </c>
      <c r="T70" s="104" t="s">
        <v>751</v>
      </c>
      <c r="U70" s="141"/>
      <c r="V70" s="142"/>
    </row>
    <row r="71" spans="1:22" ht="12.75" x14ac:dyDescent="0.2">
      <c r="A71" s="93">
        <v>65</v>
      </c>
      <c r="B71" s="145" t="s">
        <v>6</v>
      </c>
      <c r="C71" s="141" t="s">
        <v>866</v>
      </c>
      <c r="D71" s="142" t="s">
        <v>869</v>
      </c>
      <c r="E71" s="149" t="s">
        <v>5</v>
      </c>
      <c r="F71" s="542">
        <v>31943870</v>
      </c>
      <c r="G71" s="542">
        <v>249102</v>
      </c>
      <c r="H71" s="542">
        <v>0</v>
      </c>
      <c r="I71" s="542">
        <v>88685</v>
      </c>
      <c r="J71" s="542">
        <v>0</v>
      </c>
      <c r="K71" s="542">
        <v>88685</v>
      </c>
      <c r="L71" s="542">
        <v>0</v>
      </c>
      <c r="M71" s="542">
        <v>0</v>
      </c>
      <c r="N71" s="542">
        <v>0</v>
      </c>
      <c r="O71" s="542">
        <v>0</v>
      </c>
      <c r="P71" s="542">
        <v>0</v>
      </c>
      <c r="Q71" s="542">
        <v>32104287</v>
      </c>
      <c r="R71" s="102" t="s">
        <v>5</v>
      </c>
      <c r="S71" s="103" t="s">
        <v>799</v>
      </c>
      <c r="T71" s="104" t="s">
        <v>751</v>
      </c>
      <c r="U71" s="141"/>
      <c r="V71" s="142"/>
    </row>
    <row r="72" spans="1:22" ht="12.75" x14ac:dyDescent="0.2">
      <c r="A72" s="93">
        <v>66</v>
      </c>
      <c r="B72" s="145" t="s">
        <v>8</v>
      </c>
      <c r="C72" s="141" t="s">
        <v>770</v>
      </c>
      <c r="D72" s="142" t="s">
        <v>875</v>
      </c>
      <c r="E72" s="149" t="s">
        <v>7</v>
      </c>
      <c r="F72" s="542">
        <v>145084791</v>
      </c>
      <c r="G72" s="542">
        <v>0</v>
      </c>
      <c r="H72" s="542">
        <v>284203</v>
      </c>
      <c r="I72" s="542">
        <v>1110285</v>
      </c>
      <c r="J72" s="542">
        <v>0</v>
      </c>
      <c r="K72" s="542">
        <v>1110285</v>
      </c>
      <c r="L72" s="542">
        <v>0</v>
      </c>
      <c r="M72" s="542">
        <v>0</v>
      </c>
      <c r="N72" s="542">
        <v>519623</v>
      </c>
      <c r="O72" s="542">
        <v>519623</v>
      </c>
      <c r="P72" s="542">
        <v>0</v>
      </c>
      <c r="Q72" s="542">
        <v>143170680</v>
      </c>
      <c r="R72" s="103" t="s">
        <v>7</v>
      </c>
      <c r="S72" s="103" t="s">
        <v>770</v>
      </c>
      <c r="T72" s="104" t="s">
        <v>751</v>
      </c>
      <c r="U72" s="141"/>
      <c r="V72" s="142"/>
    </row>
    <row r="73" spans="1:22" ht="12.75" x14ac:dyDescent="0.2">
      <c r="A73" s="93">
        <v>67</v>
      </c>
      <c r="B73" s="145" t="s">
        <v>10</v>
      </c>
      <c r="C73" s="141" t="s">
        <v>866</v>
      </c>
      <c r="D73" s="142" t="s">
        <v>875</v>
      </c>
      <c r="E73" s="149" t="s">
        <v>9</v>
      </c>
      <c r="F73" s="542">
        <v>27594620</v>
      </c>
      <c r="G73" s="542">
        <v>50452</v>
      </c>
      <c r="H73" s="542">
        <v>0</v>
      </c>
      <c r="I73" s="542">
        <v>180018</v>
      </c>
      <c r="J73" s="542">
        <v>0</v>
      </c>
      <c r="K73" s="542">
        <v>180018</v>
      </c>
      <c r="L73" s="542">
        <v>0</v>
      </c>
      <c r="M73" s="542">
        <v>0</v>
      </c>
      <c r="N73" s="542">
        <v>67176</v>
      </c>
      <c r="O73" s="542">
        <v>67176</v>
      </c>
      <c r="P73" s="542">
        <v>0</v>
      </c>
      <c r="Q73" s="542">
        <v>27397878</v>
      </c>
      <c r="R73" s="102" t="s">
        <v>9</v>
      </c>
      <c r="S73" s="103" t="s">
        <v>794</v>
      </c>
      <c r="T73" s="104" t="s">
        <v>751</v>
      </c>
      <c r="U73" s="141"/>
      <c r="V73" s="142"/>
    </row>
    <row r="74" spans="1:22" ht="12.75" x14ac:dyDescent="0.2">
      <c r="A74" s="93">
        <v>68</v>
      </c>
      <c r="B74" s="145" t="s">
        <v>12</v>
      </c>
      <c r="C74" s="141" t="s">
        <v>873</v>
      </c>
      <c r="D74" s="142" t="s">
        <v>876</v>
      </c>
      <c r="E74" s="149" t="s">
        <v>11</v>
      </c>
      <c r="F74" s="542">
        <v>120622927</v>
      </c>
      <c r="G74" s="542">
        <v>0</v>
      </c>
      <c r="H74" s="542">
        <v>784015</v>
      </c>
      <c r="I74" s="542">
        <v>379506</v>
      </c>
      <c r="J74" s="542">
        <v>0</v>
      </c>
      <c r="K74" s="542">
        <v>379506</v>
      </c>
      <c r="L74" s="542">
        <v>0</v>
      </c>
      <c r="M74" s="542">
        <v>0</v>
      </c>
      <c r="N74" s="542">
        <v>0</v>
      </c>
      <c r="O74" s="542">
        <v>0</v>
      </c>
      <c r="P74" s="542">
        <v>0</v>
      </c>
      <c r="Q74" s="542">
        <v>119459406</v>
      </c>
      <c r="R74" s="102" t="s">
        <v>11</v>
      </c>
      <c r="S74" s="103" t="s">
        <v>763</v>
      </c>
      <c r="T74" s="104" t="s">
        <v>773</v>
      </c>
      <c r="U74" s="141"/>
      <c r="V74" s="142"/>
    </row>
    <row r="75" spans="1:22" ht="12.75" x14ac:dyDescent="0.2">
      <c r="A75" s="93">
        <v>69</v>
      </c>
      <c r="B75" s="145" t="s">
        <v>14</v>
      </c>
      <c r="C75" s="141" t="s">
        <v>866</v>
      </c>
      <c r="D75" s="142" t="s">
        <v>874</v>
      </c>
      <c r="E75" s="149" t="s">
        <v>13</v>
      </c>
      <c r="F75" s="542">
        <v>17503699</v>
      </c>
      <c r="G75" s="542">
        <v>0</v>
      </c>
      <c r="H75" s="542">
        <v>56757</v>
      </c>
      <c r="I75" s="542">
        <v>119174</v>
      </c>
      <c r="J75" s="542">
        <v>0</v>
      </c>
      <c r="K75" s="542">
        <v>119174</v>
      </c>
      <c r="L75" s="542">
        <v>0</v>
      </c>
      <c r="M75" s="542">
        <v>0</v>
      </c>
      <c r="N75" s="542">
        <v>0</v>
      </c>
      <c r="O75" s="542">
        <v>0</v>
      </c>
      <c r="P75" s="542">
        <v>0</v>
      </c>
      <c r="Q75" s="542">
        <v>17327768</v>
      </c>
      <c r="R75" s="102" t="s">
        <v>13</v>
      </c>
      <c r="S75" s="103" t="s">
        <v>800</v>
      </c>
      <c r="T75" s="104" t="s">
        <v>801</v>
      </c>
      <c r="U75" s="141"/>
      <c r="V75" s="142"/>
    </row>
    <row r="76" spans="1:22" ht="12.75" x14ac:dyDescent="0.2">
      <c r="A76" s="93">
        <v>70</v>
      </c>
      <c r="B76" s="145" t="s">
        <v>16</v>
      </c>
      <c r="C76" s="141" t="s">
        <v>866</v>
      </c>
      <c r="D76" s="142" t="s">
        <v>867</v>
      </c>
      <c r="E76" s="149" t="s">
        <v>15</v>
      </c>
      <c r="F76" s="542">
        <v>111976067</v>
      </c>
      <c r="G76" s="542">
        <v>0</v>
      </c>
      <c r="H76" s="542">
        <v>514696</v>
      </c>
      <c r="I76" s="542">
        <v>216300</v>
      </c>
      <c r="J76" s="542">
        <v>0</v>
      </c>
      <c r="K76" s="542">
        <v>216300</v>
      </c>
      <c r="L76" s="542">
        <v>0</v>
      </c>
      <c r="M76" s="542">
        <v>0</v>
      </c>
      <c r="N76" s="542">
        <v>0</v>
      </c>
      <c r="O76" s="542">
        <v>0</v>
      </c>
      <c r="P76" s="542">
        <v>0</v>
      </c>
      <c r="Q76" s="542">
        <v>111245071</v>
      </c>
      <c r="R76" s="102" t="s">
        <v>15</v>
      </c>
      <c r="S76" s="103" t="s">
        <v>749</v>
      </c>
      <c r="T76" s="104" t="s">
        <v>751</v>
      </c>
      <c r="U76" s="141"/>
      <c r="V76" s="142"/>
    </row>
    <row r="77" spans="1:22" ht="12.75" x14ac:dyDescent="0.2">
      <c r="A77" s="93">
        <v>71</v>
      </c>
      <c r="B77" s="145" t="s">
        <v>18</v>
      </c>
      <c r="C77" s="141" t="s">
        <v>871</v>
      </c>
      <c r="D77" s="142" t="s">
        <v>872</v>
      </c>
      <c r="E77" s="149" t="s">
        <v>17</v>
      </c>
      <c r="F77" s="542">
        <v>104882643</v>
      </c>
      <c r="G77" s="542">
        <v>1462854</v>
      </c>
      <c r="H77" s="542">
        <v>0</v>
      </c>
      <c r="I77" s="542">
        <v>437992</v>
      </c>
      <c r="J77" s="542">
        <v>0</v>
      </c>
      <c r="K77" s="542">
        <v>437992</v>
      </c>
      <c r="L77" s="542">
        <v>0</v>
      </c>
      <c r="M77" s="542">
        <v>0</v>
      </c>
      <c r="N77" s="542">
        <v>0</v>
      </c>
      <c r="O77" s="542">
        <v>0</v>
      </c>
      <c r="P77" s="542">
        <v>0</v>
      </c>
      <c r="Q77" s="542">
        <v>105907505</v>
      </c>
      <c r="R77" s="102" t="s">
        <v>17</v>
      </c>
      <c r="S77" s="103" t="s">
        <v>762</v>
      </c>
      <c r="T77" s="103" t="s">
        <v>750</v>
      </c>
      <c r="U77" s="141"/>
      <c r="V77" s="142"/>
    </row>
    <row r="78" spans="1:22" ht="12.75" x14ac:dyDescent="0.2">
      <c r="A78" s="93">
        <v>72</v>
      </c>
      <c r="B78" s="145" t="s">
        <v>20</v>
      </c>
      <c r="C78" s="141" t="s">
        <v>866</v>
      </c>
      <c r="D78" s="142" t="s">
        <v>870</v>
      </c>
      <c r="E78" s="149" t="s">
        <v>19</v>
      </c>
      <c r="F78" s="542">
        <v>55606168</v>
      </c>
      <c r="G78" s="542">
        <v>0</v>
      </c>
      <c r="H78" s="542">
        <v>1004385</v>
      </c>
      <c r="I78" s="542">
        <v>219911</v>
      </c>
      <c r="J78" s="542">
        <v>0</v>
      </c>
      <c r="K78" s="542">
        <v>219911</v>
      </c>
      <c r="L78" s="542">
        <v>0</v>
      </c>
      <c r="M78" s="542">
        <v>0</v>
      </c>
      <c r="N78" s="542">
        <v>0</v>
      </c>
      <c r="O78" s="542">
        <v>0</v>
      </c>
      <c r="P78" s="542">
        <v>0</v>
      </c>
      <c r="Q78" s="542">
        <v>54381872</v>
      </c>
      <c r="R78" s="102" t="s">
        <v>19</v>
      </c>
      <c r="S78" s="103" t="s">
        <v>788</v>
      </c>
      <c r="T78" s="104" t="s">
        <v>751</v>
      </c>
      <c r="U78" s="141"/>
      <c r="V78" s="142"/>
    </row>
    <row r="79" spans="1:22" ht="12.75" x14ac:dyDescent="0.2">
      <c r="A79" s="93">
        <v>73</v>
      </c>
      <c r="B79" s="145" t="s">
        <v>22</v>
      </c>
      <c r="C79" s="141" t="s">
        <v>770</v>
      </c>
      <c r="D79" s="142" t="s">
        <v>878</v>
      </c>
      <c r="E79" s="149" t="s">
        <v>694</v>
      </c>
      <c r="F79" s="542">
        <v>34498820</v>
      </c>
      <c r="G79" s="542">
        <v>0</v>
      </c>
      <c r="H79" s="542">
        <v>787719</v>
      </c>
      <c r="I79" s="542">
        <v>147527</v>
      </c>
      <c r="J79" s="542">
        <v>0</v>
      </c>
      <c r="K79" s="542">
        <v>147527</v>
      </c>
      <c r="L79" s="542">
        <v>0</v>
      </c>
      <c r="M79" s="542">
        <v>0</v>
      </c>
      <c r="N79" s="542">
        <v>0</v>
      </c>
      <c r="O79" s="542">
        <v>0</v>
      </c>
      <c r="P79" s="542">
        <v>0</v>
      </c>
      <c r="Q79" s="542">
        <v>33563574</v>
      </c>
      <c r="R79" s="102" t="s">
        <v>694</v>
      </c>
      <c r="S79" s="103" t="s">
        <v>770</v>
      </c>
      <c r="T79" s="104" t="s">
        <v>802</v>
      </c>
      <c r="U79" s="141"/>
      <c r="V79" s="142"/>
    </row>
    <row r="80" spans="1:22" ht="12.75" x14ac:dyDescent="0.2">
      <c r="A80" s="93">
        <v>74</v>
      </c>
      <c r="B80" s="145" t="s">
        <v>24</v>
      </c>
      <c r="C80" s="141" t="s">
        <v>866</v>
      </c>
      <c r="D80" s="142" t="s">
        <v>867</v>
      </c>
      <c r="E80" s="149" t="s">
        <v>23</v>
      </c>
      <c r="F80" s="542">
        <v>82545292</v>
      </c>
      <c r="G80" s="542">
        <v>0</v>
      </c>
      <c r="H80" s="542">
        <v>230224</v>
      </c>
      <c r="I80" s="542">
        <v>174373</v>
      </c>
      <c r="J80" s="542">
        <v>0</v>
      </c>
      <c r="K80" s="542">
        <v>174373</v>
      </c>
      <c r="L80" s="542">
        <v>0</v>
      </c>
      <c r="M80" s="542">
        <v>0</v>
      </c>
      <c r="N80" s="542">
        <v>0</v>
      </c>
      <c r="O80" s="542">
        <v>0</v>
      </c>
      <c r="P80" s="542">
        <v>0</v>
      </c>
      <c r="Q80" s="542">
        <v>82140695</v>
      </c>
      <c r="R80" s="102" t="s">
        <v>23</v>
      </c>
      <c r="S80" s="103" t="s">
        <v>757</v>
      </c>
      <c r="T80" s="104" t="s">
        <v>758</v>
      </c>
      <c r="U80" s="141"/>
      <c r="V80" s="142"/>
    </row>
    <row r="81" spans="1:22" ht="12.75" x14ac:dyDescent="0.2">
      <c r="A81" s="93">
        <v>75</v>
      </c>
      <c r="B81" s="145" t="s">
        <v>26</v>
      </c>
      <c r="C81" s="141" t="s">
        <v>866</v>
      </c>
      <c r="D81" s="142" t="s">
        <v>869</v>
      </c>
      <c r="E81" s="149" t="s">
        <v>25</v>
      </c>
      <c r="F81" s="542">
        <v>36083821</v>
      </c>
      <c r="G81" s="542">
        <v>0</v>
      </c>
      <c r="H81" s="542">
        <v>242976</v>
      </c>
      <c r="I81" s="542">
        <v>116893</v>
      </c>
      <c r="J81" s="542">
        <v>0</v>
      </c>
      <c r="K81" s="542">
        <v>116893</v>
      </c>
      <c r="L81" s="542">
        <v>0</v>
      </c>
      <c r="M81" s="542">
        <v>0</v>
      </c>
      <c r="N81" s="542">
        <v>197814</v>
      </c>
      <c r="O81" s="542">
        <v>197814</v>
      </c>
      <c r="P81" s="542">
        <v>0</v>
      </c>
      <c r="Q81" s="542">
        <v>35526138</v>
      </c>
      <c r="R81" s="102" t="s">
        <v>25</v>
      </c>
      <c r="S81" s="103" t="s">
        <v>799</v>
      </c>
      <c r="T81" s="104" t="s">
        <v>751</v>
      </c>
      <c r="U81" s="141"/>
      <c r="V81" s="142"/>
    </row>
    <row r="82" spans="1:22" ht="12.75" x14ac:dyDescent="0.2">
      <c r="A82" s="93">
        <v>76</v>
      </c>
      <c r="B82" s="145" t="s">
        <v>28</v>
      </c>
      <c r="C82" s="141" t="s">
        <v>770</v>
      </c>
      <c r="D82" s="142" t="s">
        <v>869</v>
      </c>
      <c r="E82" s="149" t="s">
        <v>695</v>
      </c>
      <c r="F82" s="542">
        <v>88367610</v>
      </c>
      <c r="G82" s="542">
        <v>0</v>
      </c>
      <c r="H82" s="542">
        <v>830284</v>
      </c>
      <c r="I82" s="542">
        <v>314441</v>
      </c>
      <c r="J82" s="542">
        <v>0</v>
      </c>
      <c r="K82" s="542">
        <v>314441</v>
      </c>
      <c r="L82" s="542">
        <v>0</v>
      </c>
      <c r="M82" s="542">
        <v>0</v>
      </c>
      <c r="N82" s="542">
        <v>708540</v>
      </c>
      <c r="O82" s="542">
        <v>708540</v>
      </c>
      <c r="P82" s="542">
        <v>0</v>
      </c>
      <c r="Q82" s="542">
        <v>86514345</v>
      </c>
      <c r="R82" s="105" t="s">
        <v>695</v>
      </c>
      <c r="S82" s="103" t="s">
        <v>770</v>
      </c>
      <c r="T82" s="104" t="s">
        <v>754</v>
      </c>
      <c r="U82" s="141"/>
      <c r="V82" s="142"/>
    </row>
    <row r="83" spans="1:22" ht="12.75" x14ac:dyDescent="0.2">
      <c r="A83" s="93">
        <v>77</v>
      </c>
      <c r="B83" s="145" t="s">
        <v>30</v>
      </c>
      <c r="C83" s="141" t="s">
        <v>866</v>
      </c>
      <c r="D83" s="142" t="s">
        <v>869</v>
      </c>
      <c r="E83" s="149" t="s">
        <v>29</v>
      </c>
      <c r="F83" s="542">
        <v>16951876</v>
      </c>
      <c r="G83" s="542">
        <v>2249</v>
      </c>
      <c r="H83" s="542">
        <v>0</v>
      </c>
      <c r="I83" s="542">
        <v>146520</v>
      </c>
      <c r="J83" s="542">
        <v>0</v>
      </c>
      <c r="K83" s="542">
        <v>146520</v>
      </c>
      <c r="L83" s="542">
        <v>0</v>
      </c>
      <c r="M83" s="542">
        <v>0</v>
      </c>
      <c r="N83" s="542">
        <v>61696</v>
      </c>
      <c r="O83" s="542">
        <v>61696</v>
      </c>
      <c r="P83" s="542">
        <v>0</v>
      </c>
      <c r="Q83" s="542">
        <v>16745909</v>
      </c>
      <c r="R83" s="102" t="s">
        <v>29</v>
      </c>
      <c r="S83" s="103" t="s">
        <v>753</v>
      </c>
      <c r="T83" s="104" t="s">
        <v>754</v>
      </c>
      <c r="U83" s="141"/>
      <c r="V83" s="142"/>
    </row>
    <row r="84" spans="1:22" ht="12.75" x14ac:dyDescent="0.2">
      <c r="A84" s="93">
        <v>78</v>
      </c>
      <c r="B84" s="145" t="s">
        <v>32</v>
      </c>
      <c r="C84" s="141" t="s">
        <v>873</v>
      </c>
      <c r="D84" s="142" t="s">
        <v>874</v>
      </c>
      <c r="E84" s="149" t="s">
        <v>31</v>
      </c>
      <c r="F84" s="542">
        <v>87711914</v>
      </c>
      <c r="G84" s="542">
        <v>0</v>
      </c>
      <c r="H84" s="542">
        <v>756997</v>
      </c>
      <c r="I84" s="542">
        <v>369928</v>
      </c>
      <c r="J84" s="542">
        <v>0</v>
      </c>
      <c r="K84" s="542">
        <v>369928</v>
      </c>
      <c r="L84" s="542">
        <v>0</v>
      </c>
      <c r="M84" s="542">
        <v>0</v>
      </c>
      <c r="N84" s="542">
        <v>141206</v>
      </c>
      <c r="O84" s="542">
        <v>141206</v>
      </c>
      <c r="P84" s="542">
        <v>0</v>
      </c>
      <c r="Q84" s="542">
        <v>86443783</v>
      </c>
      <c r="R84" s="102" t="s">
        <v>31</v>
      </c>
      <c r="S84" s="103" t="s">
        <v>763</v>
      </c>
      <c r="T84" s="104" t="s">
        <v>764</v>
      </c>
      <c r="U84" s="141"/>
      <c r="V84" s="142"/>
    </row>
    <row r="85" spans="1:22" ht="12.75" x14ac:dyDescent="0.2">
      <c r="A85" s="93">
        <v>79</v>
      </c>
      <c r="B85" s="145" t="s">
        <v>36</v>
      </c>
      <c r="C85" s="141" t="s">
        <v>866</v>
      </c>
      <c r="D85" s="142" t="s">
        <v>867</v>
      </c>
      <c r="E85" s="149" t="s">
        <v>35</v>
      </c>
      <c r="F85" s="542">
        <v>28334946</v>
      </c>
      <c r="G85" s="542">
        <v>62328</v>
      </c>
      <c r="H85" s="542">
        <v>0</v>
      </c>
      <c r="I85" s="542">
        <v>153665</v>
      </c>
      <c r="J85" s="542">
        <v>0</v>
      </c>
      <c r="K85" s="542">
        <v>153665</v>
      </c>
      <c r="L85" s="542">
        <v>0</v>
      </c>
      <c r="M85" s="542">
        <v>0</v>
      </c>
      <c r="N85" s="542">
        <v>0</v>
      </c>
      <c r="O85" s="542">
        <v>0</v>
      </c>
      <c r="P85" s="542">
        <v>0</v>
      </c>
      <c r="Q85" s="542">
        <v>28243609</v>
      </c>
      <c r="R85" s="102" t="s">
        <v>35</v>
      </c>
      <c r="S85" s="103" t="s">
        <v>757</v>
      </c>
      <c r="T85" s="104" t="s">
        <v>758</v>
      </c>
      <c r="U85" s="141"/>
      <c r="V85" s="142"/>
    </row>
    <row r="86" spans="1:22" ht="12.75" x14ac:dyDescent="0.2">
      <c r="A86" s="93">
        <v>80</v>
      </c>
      <c r="B86" s="145" t="s">
        <v>38</v>
      </c>
      <c r="C86" s="141" t="s">
        <v>873</v>
      </c>
      <c r="D86" s="142" t="s">
        <v>876</v>
      </c>
      <c r="E86" s="149" t="s">
        <v>37</v>
      </c>
      <c r="F86" s="542">
        <v>89444236</v>
      </c>
      <c r="G86" s="542">
        <v>0</v>
      </c>
      <c r="H86" s="542">
        <v>232147</v>
      </c>
      <c r="I86" s="542">
        <v>432845</v>
      </c>
      <c r="J86" s="542">
        <v>0</v>
      </c>
      <c r="K86" s="542">
        <v>432845</v>
      </c>
      <c r="L86" s="542">
        <v>0</v>
      </c>
      <c r="M86" s="542">
        <v>0</v>
      </c>
      <c r="N86" s="542">
        <v>0</v>
      </c>
      <c r="O86" s="542">
        <v>0</v>
      </c>
      <c r="P86" s="542">
        <v>0</v>
      </c>
      <c r="Q86" s="542">
        <v>88779244</v>
      </c>
      <c r="R86" s="102" t="s">
        <v>37</v>
      </c>
      <c r="S86" s="103" t="s">
        <v>763</v>
      </c>
      <c r="T86" s="104" t="s">
        <v>773</v>
      </c>
      <c r="U86" s="141"/>
      <c r="V86" s="142"/>
    </row>
    <row r="87" spans="1:22" ht="12.75" x14ac:dyDescent="0.2">
      <c r="A87" s="93">
        <v>81</v>
      </c>
      <c r="B87" s="145" t="s">
        <v>40</v>
      </c>
      <c r="C87" s="141" t="s">
        <v>770</v>
      </c>
      <c r="D87" s="142" t="s">
        <v>878</v>
      </c>
      <c r="E87" s="149" t="s">
        <v>39</v>
      </c>
      <c r="F87" s="542">
        <v>112209286</v>
      </c>
      <c r="G87" s="542">
        <v>63453</v>
      </c>
      <c r="H87" s="542">
        <v>0</v>
      </c>
      <c r="I87" s="542">
        <v>600349</v>
      </c>
      <c r="J87" s="542">
        <v>0</v>
      </c>
      <c r="K87" s="542">
        <v>600349</v>
      </c>
      <c r="L87" s="542">
        <v>0</v>
      </c>
      <c r="M87" s="542">
        <v>0</v>
      </c>
      <c r="N87" s="542">
        <v>11341</v>
      </c>
      <c r="O87" s="542">
        <v>11341</v>
      </c>
      <c r="P87" s="542">
        <v>0</v>
      </c>
      <c r="Q87" s="542">
        <v>111661049</v>
      </c>
      <c r="R87" s="105" t="s">
        <v>39</v>
      </c>
      <c r="S87" s="103" t="s">
        <v>770</v>
      </c>
      <c r="T87" s="104" t="s">
        <v>802</v>
      </c>
      <c r="U87" s="141"/>
      <c r="V87" s="142"/>
    </row>
    <row r="88" spans="1:22" ht="12.75" x14ac:dyDescent="0.2">
      <c r="A88" s="93">
        <v>82</v>
      </c>
      <c r="B88" s="145" t="s">
        <v>42</v>
      </c>
      <c r="C88" s="141" t="s">
        <v>871</v>
      </c>
      <c r="D88" s="142" t="s">
        <v>872</v>
      </c>
      <c r="E88" s="149" t="s">
        <v>41</v>
      </c>
      <c r="F88" s="542">
        <v>153109849</v>
      </c>
      <c r="G88" s="542">
        <v>0</v>
      </c>
      <c r="H88" s="542">
        <v>1028726</v>
      </c>
      <c r="I88" s="542">
        <v>494217</v>
      </c>
      <c r="J88" s="542">
        <v>0</v>
      </c>
      <c r="K88" s="542">
        <v>494217</v>
      </c>
      <c r="L88" s="542">
        <v>0</v>
      </c>
      <c r="M88" s="542">
        <v>0</v>
      </c>
      <c r="N88" s="542">
        <v>0</v>
      </c>
      <c r="O88" s="542">
        <v>0</v>
      </c>
      <c r="P88" s="542">
        <v>0</v>
      </c>
      <c r="Q88" s="542">
        <v>151586906</v>
      </c>
      <c r="R88" s="102" t="s">
        <v>41</v>
      </c>
      <c r="S88" s="103" t="s">
        <v>762</v>
      </c>
      <c r="T88" s="103" t="s">
        <v>750</v>
      </c>
      <c r="U88" s="141"/>
      <c r="V88" s="142"/>
    </row>
    <row r="89" spans="1:22" ht="12.75" x14ac:dyDescent="0.2">
      <c r="A89" s="93">
        <v>83</v>
      </c>
      <c r="B89" s="145" t="s">
        <v>44</v>
      </c>
      <c r="C89" s="141" t="s">
        <v>866</v>
      </c>
      <c r="D89" s="142" t="s">
        <v>870</v>
      </c>
      <c r="E89" s="149" t="s">
        <v>43</v>
      </c>
      <c r="F89" s="542">
        <v>18422628</v>
      </c>
      <c r="G89" s="542">
        <v>0</v>
      </c>
      <c r="H89" s="542">
        <v>4565</v>
      </c>
      <c r="I89" s="542">
        <v>91787</v>
      </c>
      <c r="J89" s="542">
        <v>0</v>
      </c>
      <c r="K89" s="542">
        <v>91787</v>
      </c>
      <c r="L89" s="542">
        <v>0</v>
      </c>
      <c r="M89" s="542">
        <v>0</v>
      </c>
      <c r="N89" s="542">
        <v>77408</v>
      </c>
      <c r="O89" s="542">
        <v>77408</v>
      </c>
      <c r="P89" s="542">
        <v>0</v>
      </c>
      <c r="Q89" s="542">
        <v>18248868</v>
      </c>
      <c r="R89" s="102" t="s">
        <v>43</v>
      </c>
      <c r="S89" s="103" t="s">
        <v>790</v>
      </c>
      <c r="T89" s="104" t="s">
        <v>791</v>
      </c>
      <c r="U89" s="141"/>
      <c r="V89" s="142"/>
    </row>
    <row r="90" spans="1:22" ht="12.75" x14ac:dyDescent="0.2">
      <c r="A90" s="93">
        <v>84</v>
      </c>
      <c r="B90" s="145" t="s">
        <v>46</v>
      </c>
      <c r="C90" s="141" t="s">
        <v>866</v>
      </c>
      <c r="D90" s="142" t="s">
        <v>875</v>
      </c>
      <c r="E90" s="149" t="s">
        <v>45</v>
      </c>
      <c r="F90" s="542">
        <v>29429723</v>
      </c>
      <c r="G90" s="542">
        <v>157337</v>
      </c>
      <c r="H90" s="542">
        <v>0</v>
      </c>
      <c r="I90" s="542">
        <v>227568</v>
      </c>
      <c r="J90" s="542">
        <v>0</v>
      </c>
      <c r="K90" s="542">
        <v>227568</v>
      </c>
      <c r="L90" s="542">
        <v>0</v>
      </c>
      <c r="M90" s="542">
        <v>0</v>
      </c>
      <c r="N90" s="542">
        <v>122152</v>
      </c>
      <c r="O90" s="542">
        <v>122152</v>
      </c>
      <c r="P90" s="542">
        <v>0</v>
      </c>
      <c r="Q90" s="542">
        <v>29237340</v>
      </c>
      <c r="R90" s="102" t="s">
        <v>45</v>
      </c>
      <c r="S90" s="103" t="s">
        <v>803</v>
      </c>
      <c r="T90" s="106" t="s">
        <v>804</v>
      </c>
      <c r="U90" s="141"/>
      <c r="V90" s="142"/>
    </row>
    <row r="91" spans="1:22" ht="12.75" x14ac:dyDescent="0.2">
      <c r="A91" s="93">
        <v>85</v>
      </c>
      <c r="B91" s="145" t="s">
        <v>48</v>
      </c>
      <c r="C91" s="141" t="s">
        <v>866</v>
      </c>
      <c r="D91" s="142" t="s">
        <v>875</v>
      </c>
      <c r="E91" s="149" t="s">
        <v>47</v>
      </c>
      <c r="F91" s="542">
        <v>21414723.600000001</v>
      </c>
      <c r="G91" s="542">
        <v>0</v>
      </c>
      <c r="H91" s="542">
        <v>32119</v>
      </c>
      <c r="I91" s="542">
        <v>109348</v>
      </c>
      <c r="J91" s="542">
        <v>0</v>
      </c>
      <c r="K91" s="542">
        <v>109348</v>
      </c>
      <c r="L91" s="542">
        <v>0</v>
      </c>
      <c r="M91" s="542">
        <v>0</v>
      </c>
      <c r="N91" s="542">
        <v>43601</v>
      </c>
      <c r="O91" s="542">
        <v>43601</v>
      </c>
      <c r="P91" s="542">
        <v>0</v>
      </c>
      <c r="Q91" s="542">
        <v>21229655.600000001</v>
      </c>
      <c r="R91" s="102" t="s">
        <v>47</v>
      </c>
      <c r="S91" s="103" t="s">
        <v>797</v>
      </c>
      <c r="T91" s="104" t="s">
        <v>779</v>
      </c>
      <c r="U91" s="141"/>
      <c r="V91" s="142"/>
    </row>
    <row r="92" spans="1:22" ht="12.75" x14ac:dyDescent="0.2">
      <c r="A92" s="93">
        <v>86</v>
      </c>
      <c r="B92" s="145" t="s">
        <v>50</v>
      </c>
      <c r="C92" s="141" t="s">
        <v>866</v>
      </c>
      <c r="D92" s="142" t="s">
        <v>867</v>
      </c>
      <c r="E92" s="149" t="s">
        <v>49</v>
      </c>
      <c r="F92" s="542">
        <v>29804422</v>
      </c>
      <c r="G92" s="542">
        <v>0</v>
      </c>
      <c r="H92" s="542">
        <v>168439</v>
      </c>
      <c r="I92" s="542">
        <v>151081</v>
      </c>
      <c r="J92" s="542">
        <v>0</v>
      </c>
      <c r="K92" s="542">
        <v>151081</v>
      </c>
      <c r="L92" s="542">
        <v>0</v>
      </c>
      <c r="M92" s="542">
        <v>0</v>
      </c>
      <c r="N92" s="542">
        <v>0</v>
      </c>
      <c r="O92" s="542">
        <v>0</v>
      </c>
      <c r="P92" s="542">
        <v>0</v>
      </c>
      <c r="Q92" s="542">
        <v>29484902</v>
      </c>
      <c r="R92" s="102" t="s">
        <v>49</v>
      </c>
      <c r="S92" s="103" t="s">
        <v>767</v>
      </c>
      <c r="T92" s="104" t="s">
        <v>768</v>
      </c>
      <c r="U92" s="141"/>
      <c r="V92" s="142"/>
    </row>
    <row r="93" spans="1:22" ht="12.75" x14ac:dyDescent="0.2">
      <c r="A93" s="93">
        <v>87</v>
      </c>
      <c r="B93" s="145" t="s">
        <v>52</v>
      </c>
      <c r="C93" s="141" t="s">
        <v>866</v>
      </c>
      <c r="D93" s="142" t="s">
        <v>870</v>
      </c>
      <c r="E93" s="149" t="s">
        <v>51</v>
      </c>
      <c r="F93" s="542">
        <v>39204395</v>
      </c>
      <c r="G93" s="542">
        <v>0</v>
      </c>
      <c r="H93" s="542">
        <v>382515</v>
      </c>
      <c r="I93" s="542">
        <v>197093</v>
      </c>
      <c r="J93" s="542">
        <v>0</v>
      </c>
      <c r="K93" s="542">
        <v>197093</v>
      </c>
      <c r="L93" s="542">
        <v>0</v>
      </c>
      <c r="M93" s="542">
        <v>0</v>
      </c>
      <c r="N93" s="542">
        <v>0</v>
      </c>
      <c r="O93" s="542">
        <v>0</v>
      </c>
      <c r="P93" s="542">
        <v>0</v>
      </c>
      <c r="Q93" s="542">
        <v>38624787</v>
      </c>
      <c r="R93" s="102" t="s">
        <v>51</v>
      </c>
      <c r="S93" s="103" t="s">
        <v>788</v>
      </c>
      <c r="T93" s="104" t="s">
        <v>751</v>
      </c>
      <c r="U93" s="141"/>
      <c r="V93" s="142"/>
    </row>
    <row r="94" spans="1:22" ht="12.75" x14ac:dyDescent="0.2">
      <c r="A94" s="93">
        <v>88</v>
      </c>
      <c r="B94" s="145" t="s">
        <v>54</v>
      </c>
      <c r="C94" s="141" t="s">
        <v>866</v>
      </c>
      <c r="D94" s="142" t="s">
        <v>869</v>
      </c>
      <c r="E94" s="149" t="s">
        <v>53</v>
      </c>
      <c r="F94" s="542">
        <v>31237966</v>
      </c>
      <c r="G94" s="542">
        <v>0</v>
      </c>
      <c r="H94" s="542">
        <v>18944</v>
      </c>
      <c r="I94" s="542">
        <v>269433</v>
      </c>
      <c r="J94" s="542">
        <v>0</v>
      </c>
      <c r="K94" s="542">
        <v>269433</v>
      </c>
      <c r="L94" s="542">
        <v>0</v>
      </c>
      <c r="M94" s="542">
        <v>0</v>
      </c>
      <c r="N94" s="542">
        <v>70647</v>
      </c>
      <c r="O94" s="542">
        <v>70647</v>
      </c>
      <c r="P94" s="542">
        <v>0</v>
      </c>
      <c r="Q94" s="542">
        <v>30878942</v>
      </c>
      <c r="R94" s="102" t="s">
        <v>53</v>
      </c>
      <c r="S94" s="103" t="s">
        <v>778</v>
      </c>
      <c r="T94" s="104" t="s">
        <v>751</v>
      </c>
      <c r="U94" s="141"/>
      <c r="V94" s="142"/>
    </row>
    <row r="95" spans="1:22" ht="12.75" x14ac:dyDescent="0.2">
      <c r="A95" s="93">
        <v>89</v>
      </c>
      <c r="B95" s="145" t="s">
        <v>56</v>
      </c>
      <c r="C95" s="141" t="s">
        <v>866</v>
      </c>
      <c r="D95" s="142" t="s">
        <v>869</v>
      </c>
      <c r="E95" s="149" t="s">
        <v>55</v>
      </c>
      <c r="F95" s="542">
        <v>20692938</v>
      </c>
      <c r="G95" s="542">
        <v>0</v>
      </c>
      <c r="H95" s="542">
        <v>234958</v>
      </c>
      <c r="I95" s="542">
        <v>99677</v>
      </c>
      <c r="J95" s="542">
        <v>0</v>
      </c>
      <c r="K95" s="542">
        <v>99677</v>
      </c>
      <c r="L95" s="542">
        <v>0</v>
      </c>
      <c r="M95" s="542">
        <v>0</v>
      </c>
      <c r="N95" s="542">
        <v>547385</v>
      </c>
      <c r="O95" s="542">
        <v>547385</v>
      </c>
      <c r="P95" s="542">
        <v>0</v>
      </c>
      <c r="Q95" s="542">
        <v>19810918</v>
      </c>
      <c r="R95" s="102" t="s">
        <v>55</v>
      </c>
      <c r="S95" s="103" t="s">
        <v>799</v>
      </c>
      <c r="T95" s="104" t="s">
        <v>751</v>
      </c>
      <c r="U95" s="141"/>
      <c r="V95" s="142"/>
    </row>
    <row r="96" spans="1:22" ht="12.75" x14ac:dyDescent="0.2">
      <c r="A96" s="93">
        <v>90</v>
      </c>
      <c r="B96" s="145" t="s">
        <v>58</v>
      </c>
      <c r="C96" s="141" t="s">
        <v>770</v>
      </c>
      <c r="D96" s="142" t="s">
        <v>874</v>
      </c>
      <c r="E96" s="149" t="s">
        <v>696</v>
      </c>
      <c r="F96" s="542">
        <v>97256309</v>
      </c>
      <c r="G96" s="542">
        <v>12482757</v>
      </c>
      <c r="H96" s="542">
        <v>0</v>
      </c>
      <c r="I96" s="542">
        <v>435614</v>
      </c>
      <c r="J96" s="542">
        <v>0</v>
      </c>
      <c r="K96" s="542">
        <v>435614</v>
      </c>
      <c r="L96" s="542">
        <v>0</v>
      </c>
      <c r="M96" s="542">
        <v>0</v>
      </c>
      <c r="N96" s="542">
        <v>1473938</v>
      </c>
      <c r="O96" s="542">
        <v>1473938</v>
      </c>
      <c r="P96" s="542">
        <v>0</v>
      </c>
      <c r="Q96" s="542">
        <v>107829514</v>
      </c>
      <c r="R96" s="102" t="s">
        <v>696</v>
      </c>
      <c r="S96" s="103" t="s">
        <v>770</v>
      </c>
      <c r="T96" s="104" t="s">
        <v>805</v>
      </c>
      <c r="U96" s="141"/>
      <c r="V96" s="142"/>
    </row>
    <row r="97" spans="1:22" ht="12.75" x14ac:dyDescent="0.2">
      <c r="A97" s="93">
        <v>91</v>
      </c>
      <c r="B97" s="145" t="s">
        <v>60</v>
      </c>
      <c r="C97" s="141" t="s">
        <v>866</v>
      </c>
      <c r="D97" s="142" t="s">
        <v>876</v>
      </c>
      <c r="E97" s="149" t="s">
        <v>59</v>
      </c>
      <c r="F97" s="542">
        <v>51958562</v>
      </c>
      <c r="G97" s="542">
        <v>0</v>
      </c>
      <c r="H97" s="542">
        <v>57205</v>
      </c>
      <c r="I97" s="542">
        <v>180196</v>
      </c>
      <c r="J97" s="542">
        <v>0</v>
      </c>
      <c r="K97" s="542">
        <v>180196</v>
      </c>
      <c r="L97" s="542">
        <v>0</v>
      </c>
      <c r="M97" s="542">
        <v>0</v>
      </c>
      <c r="N97" s="542">
        <v>0</v>
      </c>
      <c r="O97" s="542">
        <v>0</v>
      </c>
      <c r="P97" s="542">
        <v>0</v>
      </c>
      <c r="Q97" s="542">
        <v>51721161</v>
      </c>
      <c r="R97" s="102" t="s">
        <v>59</v>
      </c>
      <c r="S97" s="103" t="s">
        <v>792</v>
      </c>
      <c r="T97" s="104" t="s">
        <v>793</v>
      </c>
      <c r="U97" s="141"/>
      <c r="V97" s="142"/>
    </row>
    <row r="98" spans="1:22" ht="12.75" x14ac:dyDescent="0.2">
      <c r="A98" s="93">
        <v>92</v>
      </c>
      <c r="B98" s="145" t="s">
        <v>62</v>
      </c>
      <c r="C98" s="141" t="s">
        <v>866</v>
      </c>
      <c r="D98" s="142" t="s">
        <v>867</v>
      </c>
      <c r="E98" s="149" t="s">
        <v>61</v>
      </c>
      <c r="F98" s="542">
        <v>32907112</v>
      </c>
      <c r="G98" s="542">
        <v>0</v>
      </c>
      <c r="H98" s="542">
        <v>216058</v>
      </c>
      <c r="I98" s="542">
        <v>127045</v>
      </c>
      <c r="J98" s="542">
        <v>0</v>
      </c>
      <c r="K98" s="542">
        <v>127045</v>
      </c>
      <c r="L98" s="542">
        <v>0</v>
      </c>
      <c r="M98" s="542">
        <v>0</v>
      </c>
      <c r="N98" s="542">
        <v>0</v>
      </c>
      <c r="O98" s="542">
        <v>0</v>
      </c>
      <c r="P98" s="542">
        <v>0</v>
      </c>
      <c r="Q98" s="542">
        <v>32564009</v>
      </c>
      <c r="R98" s="102" t="s">
        <v>61</v>
      </c>
      <c r="S98" s="103" t="s">
        <v>806</v>
      </c>
      <c r="T98" s="104" t="s">
        <v>784</v>
      </c>
      <c r="U98" s="141"/>
      <c r="V98" s="142"/>
    </row>
    <row r="99" spans="1:22" ht="12.75" x14ac:dyDescent="0.2">
      <c r="A99" s="93">
        <v>93</v>
      </c>
      <c r="B99" s="145" t="s">
        <v>64</v>
      </c>
      <c r="C99" s="141" t="s">
        <v>866</v>
      </c>
      <c r="D99" s="142" t="s">
        <v>867</v>
      </c>
      <c r="E99" s="149" t="s">
        <v>63</v>
      </c>
      <c r="F99" s="542">
        <v>53773418</v>
      </c>
      <c r="G99" s="542">
        <v>0</v>
      </c>
      <c r="H99" s="542">
        <v>45861</v>
      </c>
      <c r="I99" s="542">
        <v>151459</v>
      </c>
      <c r="J99" s="542">
        <v>0</v>
      </c>
      <c r="K99" s="542">
        <v>151459</v>
      </c>
      <c r="L99" s="542">
        <v>0</v>
      </c>
      <c r="M99" s="542">
        <v>0</v>
      </c>
      <c r="N99" s="542">
        <v>0</v>
      </c>
      <c r="O99" s="542">
        <v>0</v>
      </c>
      <c r="P99" s="542">
        <v>0</v>
      </c>
      <c r="Q99" s="542">
        <v>53576098</v>
      </c>
      <c r="R99" s="102" t="s">
        <v>63</v>
      </c>
      <c r="S99" s="103" t="s">
        <v>767</v>
      </c>
      <c r="T99" s="104" t="s">
        <v>768</v>
      </c>
      <c r="U99" s="141"/>
      <c r="V99" s="142"/>
    </row>
    <row r="100" spans="1:22" ht="12.75" x14ac:dyDescent="0.2">
      <c r="A100" s="93">
        <v>94</v>
      </c>
      <c r="B100" s="145" t="s">
        <v>66</v>
      </c>
      <c r="C100" s="141" t="s">
        <v>866</v>
      </c>
      <c r="D100" s="142" t="s">
        <v>868</v>
      </c>
      <c r="E100" s="149" t="s">
        <v>65</v>
      </c>
      <c r="F100" s="542">
        <v>19953962</v>
      </c>
      <c r="G100" s="542">
        <v>35711</v>
      </c>
      <c r="H100" s="542">
        <v>0</v>
      </c>
      <c r="I100" s="542">
        <v>128447</v>
      </c>
      <c r="J100" s="542">
        <v>0</v>
      </c>
      <c r="K100" s="542">
        <v>128447</v>
      </c>
      <c r="L100" s="542">
        <v>0</v>
      </c>
      <c r="M100" s="542">
        <v>0</v>
      </c>
      <c r="N100" s="542">
        <v>0</v>
      </c>
      <c r="O100" s="542">
        <v>0</v>
      </c>
      <c r="P100" s="542">
        <v>0</v>
      </c>
      <c r="Q100" s="542">
        <v>19861226</v>
      </c>
      <c r="R100" s="102" t="s">
        <v>65</v>
      </c>
      <c r="S100" s="103" t="s">
        <v>752</v>
      </c>
      <c r="T100" s="104" t="s">
        <v>751</v>
      </c>
      <c r="U100" s="141"/>
      <c r="V100" s="142"/>
    </row>
    <row r="101" spans="1:22" ht="12.75" x14ac:dyDescent="0.2">
      <c r="A101" s="93">
        <v>95</v>
      </c>
      <c r="B101" s="145" t="s">
        <v>68</v>
      </c>
      <c r="C101" s="141" t="s">
        <v>866</v>
      </c>
      <c r="D101" s="142" t="s">
        <v>867</v>
      </c>
      <c r="E101" s="149" t="s">
        <v>67</v>
      </c>
      <c r="F101" s="542">
        <v>46799740</v>
      </c>
      <c r="G101" s="542">
        <v>0</v>
      </c>
      <c r="H101" s="542">
        <v>201343</v>
      </c>
      <c r="I101" s="542">
        <v>183832</v>
      </c>
      <c r="J101" s="542">
        <v>0</v>
      </c>
      <c r="K101" s="542">
        <v>183832</v>
      </c>
      <c r="L101" s="542">
        <v>0</v>
      </c>
      <c r="M101" s="542">
        <v>0</v>
      </c>
      <c r="N101" s="542">
        <v>0</v>
      </c>
      <c r="O101" s="542">
        <v>0</v>
      </c>
      <c r="P101" s="542">
        <v>0</v>
      </c>
      <c r="Q101" s="542">
        <v>46414565</v>
      </c>
      <c r="R101" s="102" t="s">
        <v>67</v>
      </c>
      <c r="S101" s="103" t="s">
        <v>807</v>
      </c>
      <c r="T101" s="104" t="s">
        <v>751</v>
      </c>
      <c r="U101" s="141"/>
      <c r="V101" s="142"/>
    </row>
    <row r="102" spans="1:22" ht="12.75" x14ac:dyDescent="0.2">
      <c r="A102" s="93">
        <v>96</v>
      </c>
      <c r="B102" s="145" t="s">
        <v>70</v>
      </c>
      <c r="C102" s="141" t="s">
        <v>871</v>
      </c>
      <c r="D102" s="142" t="s">
        <v>872</v>
      </c>
      <c r="E102" s="149" t="s">
        <v>69</v>
      </c>
      <c r="F102" s="542">
        <v>98897108</v>
      </c>
      <c r="G102" s="542">
        <v>0</v>
      </c>
      <c r="H102" s="542">
        <v>769726</v>
      </c>
      <c r="I102" s="542">
        <v>350845</v>
      </c>
      <c r="J102" s="542">
        <v>0</v>
      </c>
      <c r="K102" s="542">
        <v>350845</v>
      </c>
      <c r="L102" s="542">
        <v>0</v>
      </c>
      <c r="M102" s="542">
        <v>0</v>
      </c>
      <c r="N102" s="542">
        <v>0</v>
      </c>
      <c r="O102" s="542">
        <v>0</v>
      </c>
      <c r="P102" s="542">
        <v>0</v>
      </c>
      <c r="Q102" s="542">
        <v>97776537</v>
      </c>
      <c r="R102" s="102" t="s">
        <v>69</v>
      </c>
      <c r="S102" s="103" t="s">
        <v>762</v>
      </c>
      <c r="T102" s="103" t="s">
        <v>750</v>
      </c>
      <c r="U102" s="141"/>
      <c r="V102" s="142"/>
    </row>
    <row r="103" spans="1:22" ht="12.75" x14ac:dyDescent="0.2">
      <c r="A103" s="93">
        <v>97</v>
      </c>
      <c r="B103" s="145" t="s">
        <v>72</v>
      </c>
      <c r="C103" s="141" t="s">
        <v>866</v>
      </c>
      <c r="D103" s="142" t="s">
        <v>870</v>
      </c>
      <c r="E103" s="149" t="s">
        <v>71</v>
      </c>
      <c r="F103" s="542">
        <v>32573028</v>
      </c>
      <c r="G103" s="542">
        <v>0</v>
      </c>
      <c r="H103" s="542">
        <v>7789</v>
      </c>
      <c r="I103" s="542">
        <v>172663</v>
      </c>
      <c r="J103" s="542">
        <v>0</v>
      </c>
      <c r="K103" s="542">
        <v>172663</v>
      </c>
      <c r="L103" s="542">
        <v>0</v>
      </c>
      <c r="M103" s="542">
        <v>0</v>
      </c>
      <c r="N103" s="542">
        <v>0</v>
      </c>
      <c r="O103" s="542">
        <v>0</v>
      </c>
      <c r="P103" s="542">
        <v>0</v>
      </c>
      <c r="Q103" s="542">
        <v>32392576</v>
      </c>
      <c r="R103" s="102" t="s">
        <v>71</v>
      </c>
      <c r="S103" s="103" t="s">
        <v>765</v>
      </c>
      <c r="T103" s="104" t="s">
        <v>766</v>
      </c>
      <c r="U103" s="141"/>
      <c r="V103" s="142"/>
    </row>
    <row r="104" spans="1:22" ht="12.75" x14ac:dyDescent="0.2">
      <c r="A104" s="93">
        <v>98</v>
      </c>
      <c r="B104" s="145" t="s">
        <v>74</v>
      </c>
      <c r="C104" s="141" t="s">
        <v>866</v>
      </c>
      <c r="D104" s="142" t="s">
        <v>867</v>
      </c>
      <c r="E104" s="149" t="s">
        <v>880</v>
      </c>
      <c r="F104" s="542">
        <v>22845226</v>
      </c>
      <c r="G104" s="542">
        <v>0</v>
      </c>
      <c r="H104" s="542">
        <v>115744</v>
      </c>
      <c r="I104" s="542">
        <v>87279</v>
      </c>
      <c r="J104" s="542">
        <v>0</v>
      </c>
      <c r="K104" s="542">
        <v>87279</v>
      </c>
      <c r="L104" s="542">
        <v>0</v>
      </c>
      <c r="M104" s="542">
        <v>0</v>
      </c>
      <c r="N104" s="542">
        <v>0</v>
      </c>
      <c r="O104" s="542">
        <v>0</v>
      </c>
      <c r="P104" s="542">
        <v>0</v>
      </c>
      <c r="Q104" s="542">
        <v>22642203</v>
      </c>
      <c r="R104" s="102" t="s">
        <v>73</v>
      </c>
      <c r="S104" s="103" t="s">
        <v>807</v>
      </c>
      <c r="T104" s="104" t="s">
        <v>751</v>
      </c>
      <c r="U104" s="141"/>
      <c r="V104" s="142"/>
    </row>
    <row r="105" spans="1:22" ht="12.75" x14ac:dyDescent="0.2">
      <c r="A105" s="93">
        <v>99</v>
      </c>
      <c r="B105" s="145" t="s">
        <v>76</v>
      </c>
      <c r="C105" s="141" t="s">
        <v>866</v>
      </c>
      <c r="D105" s="142" t="s">
        <v>869</v>
      </c>
      <c r="E105" s="149" t="s">
        <v>75</v>
      </c>
      <c r="F105" s="542">
        <v>24015577</v>
      </c>
      <c r="G105" s="542">
        <v>0</v>
      </c>
      <c r="H105" s="542">
        <v>60220</v>
      </c>
      <c r="I105" s="542">
        <v>136145</v>
      </c>
      <c r="J105" s="542">
        <v>0</v>
      </c>
      <c r="K105" s="542">
        <v>136145</v>
      </c>
      <c r="L105" s="542">
        <v>0</v>
      </c>
      <c r="M105" s="542">
        <v>0</v>
      </c>
      <c r="N105" s="542">
        <v>0</v>
      </c>
      <c r="O105" s="542">
        <v>0</v>
      </c>
      <c r="P105" s="542">
        <v>0</v>
      </c>
      <c r="Q105" s="542">
        <v>23819212</v>
      </c>
      <c r="R105" s="102" t="s">
        <v>75</v>
      </c>
      <c r="S105" s="103" t="s">
        <v>753</v>
      </c>
      <c r="T105" s="104" t="s">
        <v>754</v>
      </c>
      <c r="U105" s="141"/>
      <c r="V105" s="142"/>
    </row>
    <row r="106" spans="1:22" ht="12.75" x14ac:dyDescent="0.2">
      <c r="A106" s="93">
        <v>100</v>
      </c>
      <c r="B106" s="145" t="s">
        <v>78</v>
      </c>
      <c r="C106" s="141" t="s">
        <v>866</v>
      </c>
      <c r="D106" s="142" t="s">
        <v>875</v>
      </c>
      <c r="E106" s="149" t="s">
        <v>77</v>
      </c>
      <c r="F106" s="542">
        <v>77583264</v>
      </c>
      <c r="G106" s="542">
        <v>0</v>
      </c>
      <c r="H106" s="542">
        <v>959956</v>
      </c>
      <c r="I106" s="542">
        <v>224010</v>
      </c>
      <c r="J106" s="542">
        <v>0</v>
      </c>
      <c r="K106" s="542">
        <v>224010</v>
      </c>
      <c r="L106" s="542">
        <v>0</v>
      </c>
      <c r="M106" s="542">
        <v>0</v>
      </c>
      <c r="N106" s="542">
        <v>0</v>
      </c>
      <c r="O106" s="542">
        <v>0</v>
      </c>
      <c r="P106" s="542">
        <v>0</v>
      </c>
      <c r="Q106" s="542">
        <v>76399298</v>
      </c>
      <c r="R106" s="102" t="s">
        <v>77</v>
      </c>
      <c r="S106" s="103" t="s">
        <v>803</v>
      </c>
      <c r="T106" s="104" t="s">
        <v>804</v>
      </c>
      <c r="U106" s="141"/>
      <c r="V106" s="142"/>
    </row>
    <row r="107" spans="1:22" ht="12.75" x14ac:dyDescent="0.2">
      <c r="A107" s="93">
        <v>101</v>
      </c>
      <c r="B107" s="145" t="s">
        <v>80</v>
      </c>
      <c r="C107" s="141" t="s">
        <v>866</v>
      </c>
      <c r="D107" s="142" t="s">
        <v>867</v>
      </c>
      <c r="E107" s="149" t="s">
        <v>79</v>
      </c>
      <c r="F107" s="542">
        <v>38283214</v>
      </c>
      <c r="G107" s="542">
        <v>0</v>
      </c>
      <c r="H107" s="542">
        <v>164540</v>
      </c>
      <c r="I107" s="542">
        <v>142074</v>
      </c>
      <c r="J107" s="542">
        <v>0</v>
      </c>
      <c r="K107" s="542">
        <v>142074</v>
      </c>
      <c r="L107" s="542">
        <v>0</v>
      </c>
      <c r="M107" s="542">
        <v>0</v>
      </c>
      <c r="N107" s="542">
        <v>79471</v>
      </c>
      <c r="O107" s="542">
        <v>79471</v>
      </c>
      <c r="P107" s="542">
        <v>0</v>
      </c>
      <c r="Q107" s="542">
        <v>37897129</v>
      </c>
      <c r="R107" s="102" t="s">
        <v>79</v>
      </c>
      <c r="S107" s="103" t="s">
        <v>767</v>
      </c>
      <c r="T107" s="104" t="s">
        <v>768</v>
      </c>
      <c r="U107" s="141"/>
      <c r="V107" s="142"/>
    </row>
    <row r="108" spans="1:22" ht="12.75" x14ac:dyDescent="0.2">
      <c r="A108" s="93">
        <v>102</v>
      </c>
      <c r="B108" s="145" t="s">
        <v>82</v>
      </c>
      <c r="C108" s="141" t="s">
        <v>866</v>
      </c>
      <c r="D108" s="142" t="s">
        <v>870</v>
      </c>
      <c r="E108" s="149" t="s">
        <v>81</v>
      </c>
      <c r="F108" s="542">
        <v>24330143</v>
      </c>
      <c r="G108" s="542">
        <v>0</v>
      </c>
      <c r="H108" s="542">
        <v>137914</v>
      </c>
      <c r="I108" s="542">
        <v>127291</v>
      </c>
      <c r="J108" s="542">
        <v>0</v>
      </c>
      <c r="K108" s="542">
        <v>127291</v>
      </c>
      <c r="L108" s="542">
        <v>0</v>
      </c>
      <c r="M108" s="542">
        <v>0</v>
      </c>
      <c r="N108" s="542">
        <v>0</v>
      </c>
      <c r="O108" s="542">
        <v>0</v>
      </c>
      <c r="P108" s="542">
        <v>0</v>
      </c>
      <c r="Q108" s="542">
        <v>24064938</v>
      </c>
      <c r="R108" s="102" t="s">
        <v>81</v>
      </c>
      <c r="S108" s="103" t="s">
        <v>790</v>
      </c>
      <c r="T108" s="104" t="s">
        <v>791</v>
      </c>
      <c r="U108" s="141"/>
      <c r="V108" s="142"/>
    </row>
    <row r="109" spans="1:22" ht="12.75" x14ac:dyDescent="0.2">
      <c r="A109" s="93">
        <v>103</v>
      </c>
      <c r="B109" s="145" t="s">
        <v>84</v>
      </c>
      <c r="C109" s="141" t="s">
        <v>866</v>
      </c>
      <c r="D109" s="142" t="s">
        <v>870</v>
      </c>
      <c r="E109" s="149" t="s">
        <v>83</v>
      </c>
      <c r="F109" s="542">
        <v>21826255</v>
      </c>
      <c r="G109" s="542">
        <v>0</v>
      </c>
      <c r="H109" s="542">
        <v>15115</v>
      </c>
      <c r="I109" s="542">
        <v>90011</v>
      </c>
      <c r="J109" s="542">
        <v>0</v>
      </c>
      <c r="K109" s="542">
        <v>90011</v>
      </c>
      <c r="L109" s="542">
        <v>0</v>
      </c>
      <c r="M109" s="542">
        <v>0</v>
      </c>
      <c r="N109" s="542">
        <v>55091</v>
      </c>
      <c r="O109" s="542">
        <v>55091</v>
      </c>
      <c r="P109" s="542">
        <v>0</v>
      </c>
      <c r="Q109" s="542">
        <v>21666038</v>
      </c>
      <c r="R109" s="102" t="s">
        <v>83</v>
      </c>
      <c r="S109" s="103" t="s">
        <v>761</v>
      </c>
      <c r="T109" s="104" t="s">
        <v>751</v>
      </c>
      <c r="U109" s="141"/>
      <c r="V109" s="142"/>
    </row>
    <row r="110" spans="1:22" ht="12.75" x14ac:dyDescent="0.2">
      <c r="A110" s="93">
        <v>104</v>
      </c>
      <c r="B110" s="145" t="s">
        <v>86</v>
      </c>
      <c r="C110" s="141" t="s">
        <v>866</v>
      </c>
      <c r="D110" s="142" t="s">
        <v>875</v>
      </c>
      <c r="E110" s="149" t="s">
        <v>85</v>
      </c>
      <c r="F110" s="542">
        <v>11698358</v>
      </c>
      <c r="G110" s="542">
        <v>79445</v>
      </c>
      <c r="H110" s="542">
        <v>0</v>
      </c>
      <c r="I110" s="542">
        <v>119688</v>
      </c>
      <c r="J110" s="542">
        <v>0</v>
      </c>
      <c r="K110" s="542">
        <v>119688</v>
      </c>
      <c r="L110" s="542">
        <v>0</v>
      </c>
      <c r="M110" s="542">
        <v>0</v>
      </c>
      <c r="N110" s="542">
        <v>13292</v>
      </c>
      <c r="O110" s="542">
        <v>13292</v>
      </c>
      <c r="P110" s="542">
        <v>0</v>
      </c>
      <c r="Q110" s="542">
        <v>11644823</v>
      </c>
      <c r="R110" s="102" t="s">
        <v>85</v>
      </c>
      <c r="S110" s="103" t="s">
        <v>794</v>
      </c>
      <c r="T110" s="104" t="s">
        <v>751</v>
      </c>
      <c r="U110" s="141"/>
      <c r="V110" s="142"/>
    </row>
    <row r="111" spans="1:22" ht="12.75" x14ac:dyDescent="0.2">
      <c r="A111" s="93">
        <v>105</v>
      </c>
      <c r="B111" s="145" t="s">
        <v>88</v>
      </c>
      <c r="C111" s="141" t="s">
        <v>866</v>
      </c>
      <c r="D111" s="142" t="s">
        <v>868</v>
      </c>
      <c r="E111" s="149" t="s">
        <v>87</v>
      </c>
      <c r="F111" s="542">
        <v>21898395</v>
      </c>
      <c r="G111" s="542">
        <v>60594</v>
      </c>
      <c r="H111" s="542">
        <v>0</v>
      </c>
      <c r="I111" s="542">
        <v>111357</v>
      </c>
      <c r="J111" s="542">
        <v>0</v>
      </c>
      <c r="K111" s="542">
        <v>111357</v>
      </c>
      <c r="L111" s="542">
        <v>0</v>
      </c>
      <c r="M111" s="542">
        <v>0</v>
      </c>
      <c r="N111" s="542">
        <v>0</v>
      </c>
      <c r="O111" s="542">
        <v>0</v>
      </c>
      <c r="P111" s="542">
        <v>0</v>
      </c>
      <c r="Q111" s="542">
        <v>21847632</v>
      </c>
      <c r="R111" s="102" t="s">
        <v>87</v>
      </c>
      <c r="S111" s="103" t="s">
        <v>789</v>
      </c>
      <c r="T111" s="104" t="s">
        <v>776</v>
      </c>
      <c r="U111" s="141"/>
      <c r="V111" s="142"/>
    </row>
    <row r="112" spans="1:22" ht="12.75" x14ac:dyDescent="0.2">
      <c r="A112" s="93">
        <v>106</v>
      </c>
      <c r="B112" s="145" t="s">
        <v>90</v>
      </c>
      <c r="C112" s="141" t="s">
        <v>873</v>
      </c>
      <c r="D112" s="142" t="s">
        <v>878</v>
      </c>
      <c r="E112" s="149" t="s">
        <v>89</v>
      </c>
      <c r="F112" s="542">
        <v>88888832</v>
      </c>
      <c r="G112" s="542">
        <v>0</v>
      </c>
      <c r="H112" s="542">
        <v>1335243</v>
      </c>
      <c r="I112" s="542">
        <v>293640</v>
      </c>
      <c r="J112" s="542">
        <v>0</v>
      </c>
      <c r="K112" s="542">
        <v>293640</v>
      </c>
      <c r="L112" s="542">
        <v>0</v>
      </c>
      <c r="M112" s="542">
        <v>253927</v>
      </c>
      <c r="N112" s="542">
        <v>0</v>
      </c>
      <c r="O112" s="542">
        <v>0</v>
      </c>
      <c r="P112" s="542">
        <v>0</v>
      </c>
      <c r="Q112" s="542">
        <v>87006022</v>
      </c>
      <c r="R112" s="102" t="s">
        <v>89</v>
      </c>
      <c r="S112" s="103" t="s">
        <v>763</v>
      </c>
      <c r="T112" s="104" t="s">
        <v>808</v>
      </c>
      <c r="U112" s="141"/>
      <c r="V112" s="142"/>
    </row>
    <row r="113" spans="1:22" ht="12.75" x14ac:dyDescent="0.2">
      <c r="A113" s="93">
        <v>107</v>
      </c>
      <c r="B113" s="145" t="s">
        <v>92</v>
      </c>
      <c r="C113" s="141" t="s">
        <v>866</v>
      </c>
      <c r="D113" s="142" t="s">
        <v>869</v>
      </c>
      <c r="E113" s="149" t="s">
        <v>91</v>
      </c>
      <c r="F113" s="542">
        <v>19550970</v>
      </c>
      <c r="G113" s="542">
        <v>0</v>
      </c>
      <c r="H113" s="542">
        <v>89358</v>
      </c>
      <c r="I113" s="542">
        <v>101805</v>
      </c>
      <c r="J113" s="542">
        <v>0</v>
      </c>
      <c r="K113" s="542">
        <v>101805</v>
      </c>
      <c r="L113" s="542">
        <v>0</v>
      </c>
      <c r="M113" s="542">
        <v>0</v>
      </c>
      <c r="N113" s="542">
        <v>0</v>
      </c>
      <c r="O113" s="542">
        <v>0</v>
      </c>
      <c r="P113" s="542">
        <v>0</v>
      </c>
      <c r="Q113" s="542">
        <v>19359807</v>
      </c>
      <c r="R113" s="102" t="s">
        <v>91</v>
      </c>
      <c r="S113" s="103" t="s">
        <v>755</v>
      </c>
      <c r="T113" s="104" t="s">
        <v>756</v>
      </c>
      <c r="U113" s="141"/>
      <c r="V113" s="142"/>
    </row>
    <row r="114" spans="1:22" ht="12.75" x14ac:dyDescent="0.2">
      <c r="A114" s="93">
        <v>108</v>
      </c>
      <c r="B114" s="145" t="s">
        <v>94</v>
      </c>
      <c r="C114" s="141" t="s">
        <v>866</v>
      </c>
      <c r="D114" s="142" t="s">
        <v>875</v>
      </c>
      <c r="E114" s="149" t="s">
        <v>93</v>
      </c>
      <c r="F114" s="542">
        <v>51315107</v>
      </c>
      <c r="G114" s="542">
        <v>0</v>
      </c>
      <c r="H114" s="542">
        <v>263949</v>
      </c>
      <c r="I114" s="542">
        <v>178775</v>
      </c>
      <c r="J114" s="542">
        <v>0</v>
      </c>
      <c r="K114" s="542">
        <v>178775</v>
      </c>
      <c r="L114" s="542">
        <v>0</v>
      </c>
      <c r="M114" s="542">
        <v>0</v>
      </c>
      <c r="N114" s="542">
        <v>0</v>
      </c>
      <c r="O114" s="542">
        <v>0</v>
      </c>
      <c r="P114" s="542">
        <v>0</v>
      </c>
      <c r="Q114" s="542">
        <v>50872383</v>
      </c>
      <c r="R114" s="102" t="s">
        <v>93</v>
      </c>
      <c r="S114" s="103" t="s">
        <v>794</v>
      </c>
      <c r="T114" s="104" t="s">
        <v>751</v>
      </c>
      <c r="U114" s="141"/>
      <c r="V114" s="142"/>
    </row>
    <row r="115" spans="1:22" ht="12.75" x14ac:dyDescent="0.2">
      <c r="A115" s="93">
        <v>109</v>
      </c>
      <c r="B115" s="145" t="s">
        <v>96</v>
      </c>
      <c r="C115" s="141" t="s">
        <v>866</v>
      </c>
      <c r="D115" s="142" t="s">
        <v>867</v>
      </c>
      <c r="E115" s="149" t="s">
        <v>95</v>
      </c>
      <c r="F115" s="542">
        <v>15482490</v>
      </c>
      <c r="G115" s="542">
        <v>0</v>
      </c>
      <c r="H115" s="542">
        <v>8293</v>
      </c>
      <c r="I115" s="542">
        <v>81548</v>
      </c>
      <c r="J115" s="542">
        <v>0</v>
      </c>
      <c r="K115" s="542">
        <v>81548</v>
      </c>
      <c r="L115" s="542">
        <v>0</v>
      </c>
      <c r="M115" s="542">
        <v>0</v>
      </c>
      <c r="N115" s="542">
        <v>0</v>
      </c>
      <c r="O115" s="542">
        <v>0</v>
      </c>
      <c r="P115" s="542">
        <v>0</v>
      </c>
      <c r="Q115" s="542">
        <v>15392649</v>
      </c>
      <c r="R115" s="102" t="s">
        <v>95</v>
      </c>
      <c r="S115" s="103" t="s">
        <v>767</v>
      </c>
      <c r="T115" s="104" t="s">
        <v>768</v>
      </c>
      <c r="U115" s="141"/>
      <c r="V115" s="142"/>
    </row>
    <row r="116" spans="1:22" ht="12.75" x14ac:dyDescent="0.2">
      <c r="A116" s="93">
        <v>110</v>
      </c>
      <c r="B116" s="145" t="s">
        <v>98</v>
      </c>
      <c r="C116" s="141" t="s">
        <v>866</v>
      </c>
      <c r="D116" s="142" t="s">
        <v>867</v>
      </c>
      <c r="E116" s="149" t="s">
        <v>97</v>
      </c>
      <c r="F116" s="542">
        <v>20389159</v>
      </c>
      <c r="G116" s="542">
        <v>0</v>
      </c>
      <c r="H116" s="542">
        <v>117208</v>
      </c>
      <c r="I116" s="542">
        <v>97673</v>
      </c>
      <c r="J116" s="542">
        <v>0</v>
      </c>
      <c r="K116" s="542">
        <v>97673</v>
      </c>
      <c r="L116" s="542">
        <v>0</v>
      </c>
      <c r="M116" s="542">
        <v>0</v>
      </c>
      <c r="N116" s="542">
        <v>0</v>
      </c>
      <c r="O116" s="542">
        <v>0</v>
      </c>
      <c r="P116" s="542">
        <v>0</v>
      </c>
      <c r="Q116" s="542">
        <v>20174278</v>
      </c>
      <c r="R116" s="102" t="s">
        <v>97</v>
      </c>
      <c r="S116" s="103" t="s">
        <v>757</v>
      </c>
      <c r="T116" s="104" t="s">
        <v>758</v>
      </c>
      <c r="U116" s="141"/>
      <c r="V116" s="142"/>
    </row>
    <row r="117" spans="1:22" ht="12.75" x14ac:dyDescent="0.2">
      <c r="A117" s="93">
        <v>111</v>
      </c>
      <c r="B117" s="145" t="s">
        <v>100</v>
      </c>
      <c r="C117" s="141" t="s">
        <v>866</v>
      </c>
      <c r="D117" s="142" t="s">
        <v>870</v>
      </c>
      <c r="E117" s="149" t="s">
        <v>99</v>
      </c>
      <c r="F117" s="542">
        <v>23592584</v>
      </c>
      <c r="G117" s="542">
        <v>2841609</v>
      </c>
      <c r="H117" s="542">
        <v>0</v>
      </c>
      <c r="I117" s="542">
        <v>185114</v>
      </c>
      <c r="J117" s="542">
        <v>0</v>
      </c>
      <c r="K117" s="542">
        <v>185114</v>
      </c>
      <c r="L117" s="542">
        <v>0</v>
      </c>
      <c r="M117" s="542">
        <v>0</v>
      </c>
      <c r="N117" s="542">
        <v>54707</v>
      </c>
      <c r="O117" s="542">
        <v>54707</v>
      </c>
      <c r="P117" s="542">
        <v>0</v>
      </c>
      <c r="Q117" s="542">
        <v>26194372</v>
      </c>
      <c r="R117" s="102" t="s">
        <v>99</v>
      </c>
      <c r="S117" s="103" t="s">
        <v>782</v>
      </c>
      <c r="T117" s="104" t="s">
        <v>751</v>
      </c>
      <c r="U117" s="141"/>
      <c r="V117" s="142"/>
    </row>
    <row r="118" spans="1:22" ht="12.75" x14ac:dyDescent="0.2">
      <c r="A118" s="93">
        <v>112</v>
      </c>
      <c r="B118" s="145" t="s">
        <v>102</v>
      </c>
      <c r="C118" s="141" t="s">
        <v>877</v>
      </c>
      <c r="D118" s="142" t="s">
        <v>872</v>
      </c>
      <c r="E118" s="149" t="s">
        <v>101</v>
      </c>
      <c r="F118" s="542">
        <v>67132332</v>
      </c>
      <c r="G118" s="542">
        <v>0</v>
      </c>
      <c r="H118" s="542">
        <v>49096</v>
      </c>
      <c r="I118" s="542">
        <v>279481</v>
      </c>
      <c r="J118" s="542">
        <v>0</v>
      </c>
      <c r="K118" s="542">
        <v>279481</v>
      </c>
      <c r="L118" s="542">
        <v>0</v>
      </c>
      <c r="M118" s="542">
        <v>0</v>
      </c>
      <c r="N118" s="542">
        <v>0</v>
      </c>
      <c r="O118" s="542">
        <v>0</v>
      </c>
      <c r="P118" s="542">
        <v>0</v>
      </c>
      <c r="Q118" s="542">
        <v>66803755</v>
      </c>
      <c r="R118" s="102" t="s">
        <v>101</v>
      </c>
      <c r="S118" s="103" t="s">
        <v>762</v>
      </c>
      <c r="T118" s="103" t="s">
        <v>750</v>
      </c>
      <c r="U118" s="141"/>
      <c r="V118" s="142"/>
    </row>
    <row r="119" spans="1:22" ht="12.75" x14ac:dyDescent="0.2">
      <c r="A119" s="93">
        <v>113</v>
      </c>
      <c r="B119" s="145" t="s">
        <v>104</v>
      </c>
      <c r="C119" s="141" t="s">
        <v>866</v>
      </c>
      <c r="D119" s="142" t="s">
        <v>867</v>
      </c>
      <c r="E119" s="149" t="s">
        <v>103</v>
      </c>
      <c r="F119" s="542">
        <v>75528770</v>
      </c>
      <c r="G119" s="542">
        <v>0</v>
      </c>
      <c r="H119" s="542">
        <v>636010</v>
      </c>
      <c r="I119" s="542">
        <v>238276</v>
      </c>
      <c r="J119" s="542">
        <v>0</v>
      </c>
      <c r="K119" s="542">
        <v>238276</v>
      </c>
      <c r="L119" s="542">
        <v>0</v>
      </c>
      <c r="M119" s="542">
        <v>0</v>
      </c>
      <c r="N119" s="542">
        <v>0</v>
      </c>
      <c r="O119" s="542">
        <v>0</v>
      </c>
      <c r="P119" s="542">
        <v>0</v>
      </c>
      <c r="Q119" s="542">
        <v>74654484</v>
      </c>
      <c r="R119" s="102" t="s">
        <v>103</v>
      </c>
      <c r="S119" s="103" t="s">
        <v>807</v>
      </c>
      <c r="T119" s="104" t="s">
        <v>751</v>
      </c>
      <c r="U119" s="141"/>
      <c r="V119" s="142"/>
    </row>
    <row r="120" spans="1:22" ht="12.75" x14ac:dyDescent="0.2">
      <c r="A120" s="93">
        <v>114</v>
      </c>
      <c r="B120" s="145" t="s">
        <v>106</v>
      </c>
      <c r="C120" s="141" t="s">
        <v>877</v>
      </c>
      <c r="D120" s="142" t="s">
        <v>872</v>
      </c>
      <c r="E120" s="149" t="s">
        <v>105</v>
      </c>
      <c r="F120" s="542">
        <v>83624632</v>
      </c>
      <c r="G120" s="542">
        <v>291578</v>
      </c>
      <c r="H120" s="542">
        <v>0</v>
      </c>
      <c r="I120" s="542">
        <v>508126</v>
      </c>
      <c r="J120" s="542">
        <v>0</v>
      </c>
      <c r="K120" s="542">
        <v>508126</v>
      </c>
      <c r="L120" s="542">
        <v>0</v>
      </c>
      <c r="M120" s="542">
        <v>0</v>
      </c>
      <c r="N120" s="542">
        <v>0</v>
      </c>
      <c r="O120" s="542">
        <v>0</v>
      </c>
      <c r="P120" s="542">
        <v>0</v>
      </c>
      <c r="Q120" s="542">
        <v>83408084</v>
      </c>
      <c r="R120" s="102" t="s">
        <v>105</v>
      </c>
      <c r="S120" s="103" t="s">
        <v>762</v>
      </c>
      <c r="T120" s="103" t="s">
        <v>750</v>
      </c>
      <c r="U120" s="141"/>
      <c r="V120" s="142"/>
    </row>
    <row r="121" spans="1:22" ht="12.75" x14ac:dyDescent="0.2">
      <c r="A121" s="93">
        <v>115</v>
      </c>
      <c r="B121" s="145" t="s">
        <v>108</v>
      </c>
      <c r="C121" s="141" t="s">
        <v>770</v>
      </c>
      <c r="D121" s="142" t="s">
        <v>868</v>
      </c>
      <c r="E121" s="149" t="s">
        <v>697</v>
      </c>
      <c r="F121" s="542">
        <v>46808918</v>
      </c>
      <c r="G121" s="542">
        <v>0</v>
      </c>
      <c r="H121" s="542">
        <v>305916</v>
      </c>
      <c r="I121" s="542">
        <v>167391</v>
      </c>
      <c r="J121" s="542">
        <v>0</v>
      </c>
      <c r="K121" s="542">
        <v>167391</v>
      </c>
      <c r="L121" s="542">
        <v>0</v>
      </c>
      <c r="M121" s="542">
        <v>0</v>
      </c>
      <c r="N121" s="542">
        <v>0</v>
      </c>
      <c r="O121" s="542">
        <v>0</v>
      </c>
      <c r="P121" s="542">
        <v>0</v>
      </c>
      <c r="Q121" s="542">
        <v>46335611</v>
      </c>
      <c r="R121" s="102" t="s">
        <v>697</v>
      </c>
      <c r="S121" s="103" t="s">
        <v>770</v>
      </c>
      <c r="T121" s="104" t="s">
        <v>796</v>
      </c>
      <c r="U121" s="141"/>
      <c r="V121" s="142"/>
    </row>
    <row r="122" spans="1:22" ht="12.75" x14ac:dyDescent="0.2">
      <c r="A122" s="93">
        <v>116</v>
      </c>
      <c r="B122" s="145" t="s">
        <v>110</v>
      </c>
      <c r="C122" s="141" t="s">
        <v>866</v>
      </c>
      <c r="D122" s="142" t="s">
        <v>874</v>
      </c>
      <c r="E122" s="149" t="s">
        <v>109</v>
      </c>
      <c r="F122" s="542">
        <v>25831975</v>
      </c>
      <c r="G122" s="542">
        <v>0</v>
      </c>
      <c r="H122" s="542">
        <v>48252</v>
      </c>
      <c r="I122" s="542">
        <v>154459</v>
      </c>
      <c r="J122" s="542">
        <v>0</v>
      </c>
      <c r="K122" s="542">
        <v>154459</v>
      </c>
      <c r="L122" s="542">
        <v>0</v>
      </c>
      <c r="M122" s="542">
        <v>0</v>
      </c>
      <c r="N122" s="542">
        <v>0</v>
      </c>
      <c r="O122" s="542">
        <v>0</v>
      </c>
      <c r="P122" s="542">
        <v>0</v>
      </c>
      <c r="Q122" s="542">
        <v>25629264</v>
      </c>
      <c r="R122" s="102" t="s">
        <v>109</v>
      </c>
      <c r="S122" s="103" t="s">
        <v>800</v>
      </c>
      <c r="T122" s="104" t="s">
        <v>801</v>
      </c>
      <c r="U122" s="141"/>
      <c r="V122" s="142"/>
    </row>
    <row r="123" spans="1:22" ht="12.75" x14ac:dyDescent="0.2">
      <c r="A123" s="93">
        <v>117</v>
      </c>
      <c r="B123" s="145" t="s">
        <v>112</v>
      </c>
      <c r="C123" s="141" t="s">
        <v>877</v>
      </c>
      <c r="D123" s="142" t="s">
        <v>872</v>
      </c>
      <c r="E123" s="149" t="s">
        <v>698</v>
      </c>
      <c r="F123" s="542">
        <v>174138717</v>
      </c>
      <c r="G123" s="542">
        <v>0</v>
      </c>
      <c r="H123" s="542">
        <v>1300939</v>
      </c>
      <c r="I123" s="542">
        <v>565150</v>
      </c>
      <c r="J123" s="542">
        <v>0</v>
      </c>
      <c r="K123" s="542">
        <v>565150</v>
      </c>
      <c r="L123" s="542">
        <v>0</v>
      </c>
      <c r="M123" s="542">
        <v>0</v>
      </c>
      <c r="N123" s="542">
        <v>0</v>
      </c>
      <c r="O123" s="542">
        <v>0</v>
      </c>
      <c r="P123" s="542">
        <v>0</v>
      </c>
      <c r="Q123" s="542">
        <v>172272628</v>
      </c>
      <c r="R123" s="102" t="s">
        <v>698</v>
      </c>
      <c r="S123" s="103" t="s">
        <v>762</v>
      </c>
      <c r="T123" s="103" t="s">
        <v>750</v>
      </c>
      <c r="U123" s="141"/>
      <c r="V123" s="142"/>
    </row>
    <row r="124" spans="1:22" ht="12.75" x14ac:dyDescent="0.2">
      <c r="A124" s="93">
        <v>118</v>
      </c>
      <c r="B124" s="145" t="s">
        <v>114</v>
      </c>
      <c r="C124" s="141" t="s">
        <v>866</v>
      </c>
      <c r="D124" s="142" t="s">
        <v>869</v>
      </c>
      <c r="E124" s="149" t="s">
        <v>113</v>
      </c>
      <c r="F124" s="542">
        <v>34736844</v>
      </c>
      <c r="G124" s="542">
        <v>0</v>
      </c>
      <c r="H124" s="542">
        <v>79734</v>
      </c>
      <c r="I124" s="542">
        <v>124037</v>
      </c>
      <c r="J124" s="542">
        <v>0</v>
      </c>
      <c r="K124" s="542">
        <v>124037</v>
      </c>
      <c r="L124" s="542">
        <v>0</v>
      </c>
      <c r="M124" s="542">
        <v>0</v>
      </c>
      <c r="N124" s="542">
        <v>0</v>
      </c>
      <c r="O124" s="542">
        <v>0</v>
      </c>
      <c r="P124" s="542">
        <v>0</v>
      </c>
      <c r="Q124" s="542">
        <v>34533073</v>
      </c>
      <c r="R124" s="102" t="s">
        <v>113</v>
      </c>
      <c r="S124" s="103" t="s">
        <v>774</v>
      </c>
      <c r="T124" s="104" t="s">
        <v>775</v>
      </c>
      <c r="U124" s="141"/>
      <c r="V124" s="142"/>
    </row>
    <row r="125" spans="1:22" ht="12.75" x14ac:dyDescent="0.2">
      <c r="A125" s="93">
        <v>119</v>
      </c>
      <c r="B125" s="145" t="s">
        <v>116</v>
      </c>
      <c r="C125" s="141" t="s">
        <v>871</v>
      </c>
      <c r="D125" s="142" t="s">
        <v>872</v>
      </c>
      <c r="E125" s="149" t="s">
        <v>115</v>
      </c>
      <c r="F125" s="542">
        <v>50102367</v>
      </c>
      <c r="G125" s="542">
        <v>0</v>
      </c>
      <c r="H125" s="542">
        <v>1486980</v>
      </c>
      <c r="I125" s="542">
        <v>309403</v>
      </c>
      <c r="J125" s="542">
        <v>0</v>
      </c>
      <c r="K125" s="542">
        <v>309403</v>
      </c>
      <c r="L125" s="542">
        <v>0</v>
      </c>
      <c r="M125" s="542">
        <v>0</v>
      </c>
      <c r="N125" s="542">
        <v>0</v>
      </c>
      <c r="O125" s="542">
        <v>0</v>
      </c>
      <c r="P125" s="542">
        <v>0</v>
      </c>
      <c r="Q125" s="542">
        <v>48305984</v>
      </c>
      <c r="R125" s="102" t="s">
        <v>115</v>
      </c>
      <c r="S125" s="103" t="s">
        <v>762</v>
      </c>
      <c r="T125" s="103" t="s">
        <v>750</v>
      </c>
      <c r="U125" s="141"/>
      <c r="V125" s="142"/>
    </row>
    <row r="126" spans="1:22" ht="12.75" x14ac:dyDescent="0.2">
      <c r="A126" s="93">
        <v>120</v>
      </c>
      <c r="B126" s="145" t="s">
        <v>118</v>
      </c>
      <c r="C126" s="141" t="s">
        <v>866</v>
      </c>
      <c r="D126" s="142" t="s">
        <v>870</v>
      </c>
      <c r="E126" s="149" t="s">
        <v>117</v>
      </c>
      <c r="F126" s="542">
        <v>42819059</v>
      </c>
      <c r="G126" s="542">
        <v>0</v>
      </c>
      <c r="H126" s="542">
        <v>331137</v>
      </c>
      <c r="I126" s="542">
        <v>123090</v>
      </c>
      <c r="J126" s="542">
        <v>0</v>
      </c>
      <c r="K126" s="542">
        <v>123090</v>
      </c>
      <c r="L126" s="542">
        <v>0</v>
      </c>
      <c r="M126" s="542">
        <v>0</v>
      </c>
      <c r="N126" s="542">
        <v>0</v>
      </c>
      <c r="O126" s="542">
        <v>0</v>
      </c>
      <c r="P126" s="542">
        <v>0</v>
      </c>
      <c r="Q126" s="542">
        <v>42364832</v>
      </c>
      <c r="R126" s="102" t="s">
        <v>117</v>
      </c>
      <c r="S126" s="103" t="s">
        <v>765</v>
      </c>
      <c r="T126" s="104" t="s">
        <v>766</v>
      </c>
      <c r="U126" s="141"/>
      <c r="V126" s="142"/>
    </row>
    <row r="127" spans="1:22" ht="12.75" x14ac:dyDescent="0.2">
      <c r="A127" s="93">
        <v>121</v>
      </c>
      <c r="B127" s="145" t="s">
        <v>120</v>
      </c>
      <c r="C127" s="141" t="s">
        <v>866</v>
      </c>
      <c r="D127" s="142" t="s">
        <v>874</v>
      </c>
      <c r="E127" s="149" t="s">
        <v>119</v>
      </c>
      <c r="F127" s="542">
        <v>60156563</v>
      </c>
      <c r="G127" s="542">
        <v>0</v>
      </c>
      <c r="H127" s="542">
        <v>163364</v>
      </c>
      <c r="I127" s="542">
        <v>285902</v>
      </c>
      <c r="J127" s="542">
        <v>0</v>
      </c>
      <c r="K127" s="542">
        <v>285902</v>
      </c>
      <c r="L127" s="542">
        <v>0</v>
      </c>
      <c r="M127" s="542">
        <v>0</v>
      </c>
      <c r="N127" s="542">
        <v>0</v>
      </c>
      <c r="O127" s="542">
        <v>0</v>
      </c>
      <c r="P127" s="542">
        <v>0</v>
      </c>
      <c r="Q127" s="542">
        <v>59707297</v>
      </c>
      <c r="R127" s="102" t="s">
        <v>119</v>
      </c>
      <c r="S127" s="103" t="s">
        <v>800</v>
      </c>
      <c r="T127" s="104" t="s">
        <v>801</v>
      </c>
      <c r="U127" s="141"/>
      <c r="V127" s="142"/>
    </row>
    <row r="128" spans="1:22" ht="12.75" x14ac:dyDescent="0.2">
      <c r="A128" s="93">
        <v>122</v>
      </c>
      <c r="B128" s="145" t="s">
        <v>122</v>
      </c>
      <c r="C128" s="141" t="s">
        <v>871</v>
      </c>
      <c r="D128" s="142" t="s">
        <v>872</v>
      </c>
      <c r="E128" s="149" t="s">
        <v>121</v>
      </c>
      <c r="F128" s="542">
        <v>45395303</v>
      </c>
      <c r="G128" s="542">
        <v>0</v>
      </c>
      <c r="H128" s="542">
        <v>291416</v>
      </c>
      <c r="I128" s="542">
        <v>257701</v>
      </c>
      <c r="J128" s="542">
        <v>0</v>
      </c>
      <c r="K128" s="542">
        <v>257701</v>
      </c>
      <c r="L128" s="542">
        <v>0</v>
      </c>
      <c r="M128" s="542">
        <v>0</v>
      </c>
      <c r="N128" s="542">
        <v>0</v>
      </c>
      <c r="O128" s="542">
        <v>0</v>
      </c>
      <c r="P128" s="542">
        <v>0</v>
      </c>
      <c r="Q128" s="542">
        <v>44846186</v>
      </c>
      <c r="R128" s="102" t="s">
        <v>121</v>
      </c>
      <c r="S128" s="103" t="s">
        <v>762</v>
      </c>
      <c r="T128" s="103" t="s">
        <v>750</v>
      </c>
      <c r="U128" s="141"/>
      <c r="V128" s="142"/>
    </row>
    <row r="129" spans="1:22" ht="12.75" x14ac:dyDescent="0.2">
      <c r="A129" s="93">
        <v>123</v>
      </c>
      <c r="B129" s="145" t="s">
        <v>124</v>
      </c>
      <c r="C129" s="141" t="s">
        <v>866</v>
      </c>
      <c r="D129" s="142" t="s">
        <v>867</v>
      </c>
      <c r="E129" s="149" t="s">
        <v>123</v>
      </c>
      <c r="F129" s="542">
        <v>28314416</v>
      </c>
      <c r="G129" s="542">
        <v>18790</v>
      </c>
      <c r="H129" s="542">
        <v>0</v>
      </c>
      <c r="I129" s="542">
        <v>99703</v>
      </c>
      <c r="J129" s="542">
        <v>0</v>
      </c>
      <c r="K129" s="542">
        <v>99703</v>
      </c>
      <c r="L129" s="542">
        <v>0</v>
      </c>
      <c r="M129" s="542">
        <v>0</v>
      </c>
      <c r="N129" s="542">
        <v>0</v>
      </c>
      <c r="O129" s="542">
        <v>0</v>
      </c>
      <c r="P129" s="542">
        <v>0</v>
      </c>
      <c r="Q129" s="542">
        <v>28233503</v>
      </c>
      <c r="R129" s="102" t="s">
        <v>123</v>
      </c>
      <c r="S129" s="103" t="s">
        <v>767</v>
      </c>
      <c r="T129" s="104" t="s">
        <v>768</v>
      </c>
      <c r="U129" s="141"/>
      <c r="V129" s="142"/>
    </row>
    <row r="130" spans="1:22" ht="12.75" x14ac:dyDescent="0.2">
      <c r="A130" s="93">
        <v>124</v>
      </c>
      <c r="B130" s="145" t="s">
        <v>126</v>
      </c>
      <c r="C130" s="141" t="s">
        <v>770</v>
      </c>
      <c r="D130" s="142" t="s">
        <v>878</v>
      </c>
      <c r="E130" s="149" t="s">
        <v>699</v>
      </c>
      <c r="F130" s="542">
        <v>35328812</v>
      </c>
      <c r="G130" s="542">
        <v>7997685</v>
      </c>
      <c r="H130" s="542">
        <v>0</v>
      </c>
      <c r="I130" s="542">
        <v>125321</v>
      </c>
      <c r="J130" s="542">
        <v>0</v>
      </c>
      <c r="K130" s="542">
        <v>125321</v>
      </c>
      <c r="L130" s="542">
        <v>0</v>
      </c>
      <c r="M130" s="542">
        <v>0</v>
      </c>
      <c r="N130" s="542">
        <v>0</v>
      </c>
      <c r="O130" s="542">
        <v>0</v>
      </c>
      <c r="P130" s="542">
        <v>0</v>
      </c>
      <c r="Q130" s="542">
        <v>43201176</v>
      </c>
      <c r="R130" s="102" t="s">
        <v>699</v>
      </c>
      <c r="S130" s="103" t="s">
        <v>770</v>
      </c>
      <c r="T130" s="104" t="s">
        <v>809</v>
      </c>
      <c r="U130" s="141"/>
      <c r="V130" s="142"/>
    </row>
    <row r="131" spans="1:22" ht="12.75" x14ac:dyDescent="0.2">
      <c r="A131" s="93">
        <v>125</v>
      </c>
      <c r="B131" s="145" t="s">
        <v>128</v>
      </c>
      <c r="C131" s="141" t="s">
        <v>866</v>
      </c>
      <c r="D131" s="142" t="s">
        <v>867</v>
      </c>
      <c r="E131" s="149" t="s">
        <v>127</v>
      </c>
      <c r="F131" s="542">
        <v>19735356</v>
      </c>
      <c r="G131" s="542">
        <v>0</v>
      </c>
      <c r="H131" s="542">
        <v>160531</v>
      </c>
      <c r="I131" s="542">
        <v>132805</v>
      </c>
      <c r="J131" s="542">
        <v>0</v>
      </c>
      <c r="K131" s="542">
        <v>132805</v>
      </c>
      <c r="L131" s="542">
        <v>0</v>
      </c>
      <c r="M131" s="542">
        <v>0</v>
      </c>
      <c r="N131" s="542">
        <v>0</v>
      </c>
      <c r="O131" s="542">
        <v>0</v>
      </c>
      <c r="P131" s="542">
        <v>0</v>
      </c>
      <c r="Q131" s="542">
        <v>19442020</v>
      </c>
      <c r="R131" s="102" t="s">
        <v>127</v>
      </c>
      <c r="S131" s="103" t="s">
        <v>806</v>
      </c>
      <c r="T131" s="104" t="s">
        <v>784</v>
      </c>
      <c r="U131" s="141"/>
      <c r="V131" s="142"/>
    </row>
    <row r="132" spans="1:22" ht="12.75" x14ac:dyDescent="0.2">
      <c r="A132" s="93">
        <v>126</v>
      </c>
      <c r="B132" s="145" t="s">
        <v>130</v>
      </c>
      <c r="C132" s="141" t="s">
        <v>866</v>
      </c>
      <c r="D132" s="142" t="s">
        <v>867</v>
      </c>
      <c r="E132" s="149" t="s">
        <v>129</v>
      </c>
      <c r="F132" s="542">
        <v>33540919</v>
      </c>
      <c r="G132" s="542">
        <v>0</v>
      </c>
      <c r="H132" s="542">
        <v>182417</v>
      </c>
      <c r="I132" s="542">
        <v>140067</v>
      </c>
      <c r="J132" s="542">
        <v>0</v>
      </c>
      <c r="K132" s="542">
        <v>140067</v>
      </c>
      <c r="L132" s="542">
        <v>0</v>
      </c>
      <c r="M132" s="542">
        <v>0</v>
      </c>
      <c r="N132" s="542">
        <v>0</v>
      </c>
      <c r="O132" s="542">
        <v>0</v>
      </c>
      <c r="P132" s="542">
        <v>0</v>
      </c>
      <c r="Q132" s="542">
        <v>33218435</v>
      </c>
      <c r="R132" s="102" t="s">
        <v>129</v>
      </c>
      <c r="S132" s="103" t="s">
        <v>767</v>
      </c>
      <c r="T132" s="104" t="s">
        <v>768</v>
      </c>
      <c r="U132" s="141"/>
      <c r="V132" s="142"/>
    </row>
    <row r="133" spans="1:22" ht="12.75" x14ac:dyDescent="0.2">
      <c r="A133" s="93">
        <v>127</v>
      </c>
      <c r="B133" s="145" t="s">
        <v>132</v>
      </c>
      <c r="C133" s="141" t="s">
        <v>871</v>
      </c>
      <c r="D133" s="142" t="s">
        <v>872</v>
      </c>
      <c r="E133" s="149" t="s">
        <v>131</v>
      </c>
      <c r="F133" s="542">
        <v>72824122</v>
      </c>
      <c r="G133" s="542">
        <v>400202</v>
      </c>
      <c r="H133" s="542">
        <v>0</v>
      </c>
      <c r="I133" s="542">
        <v>272168</v>
      </c>
      <c r="J133" s="542">
        <v>0</v>
      </c>
      <c r="K133" s="542">
        <v>272168</v>
      </c>
      <c r="L133" s="542">
        <v>0</v>
      </c>
      <c r="M133" s="542">
        <v>0</v>
      </c>
      <c r="N133" s="542">
        <v>0</v>
      </c>
      <c r="O133" s="542">
        <v>0</v>
      </c>
      <c r="P133" s="542">
        <v>0</v>
      </c>
      <c r="Q133" s="542">
        <v>72952156</v>
      </c>
      <c r="R133" s="102" t="s">
        <v>131</v>
      </c>
      <c r="S133" s="103" t="s">
        <v>762</v>
      </c>
      <c r="T133" s="103" t="s">
        <v>750</v>
      </c>
      <c r="U133" s="141"/>
      <c r="V133" s="142"/>
    </row>
    <row r="134" spans="1:22" ht="12.75" x14ac:dyDescent="0.2">
      <c r="A134" s="93">
        <v>128</v>
      </c>
      <c r="B134" s="145" t="s">
        <v>134</v>
      </c>
      <c r="C134" s="141" t="s">
        <v>770</v>
      </c>
      <c r="D134" s="142" t="s">
        <v>876</v>
      </c>
      <c r="E134" s="149" t="s">
        <v>700</v>
      </c>
      <c r="F134" s="542">
        <v>42378999</v>
      </c>
      <c r="G134" s="542">
        <v>0</v>
      </c>
      <c r="H134" s="542">
        <v>162647</v>
      </c>
      <c r="I134" s="542">
        <v>300804</v>
      </c>
      <c r="J134" s="542">
        <v>0</v>
      </c>
      <c r="K134" s="542">
        <v>300804</v>
      </c>
      <c r="L134" s="542">
        <v>0</v>
      </c>
      <c r="M134" s="542">
        <v>0</v>
      </c>
      <c r="N134" s="542">
        <v>42598</v>
      </c>
      <c r="O134" s="542">
        <v>42598</v>
      </c>
      <c r="P134" s="542">
        <v>0</v>
      </c>
      <c r="Q134" s="542">
        <v>41872950</v>
      </c>
      <c r="R134" s="102" t="s">
        <v>700</v>
      </c>
      <c r="S134" s="103" t="s">
        <v>770</v>
      </c>
      <c r="T134" s="104" t="s">
        <v>787</v>
      </c>
      <c r="U134" s="141"/>
      <c r="V134" s="142"/>
    </row>
    <row r="135" spans="1:22" ht="12.75" x14ac:dyDescent="0.2">
      <c r="A135" s="93">
        <v>129</v>
      </c>
      <c r="B135" s="145" t="s">
        <v>136</v>
      </c>
      <c r="C135" s="141" t="s">
        <v>866</v>
      </c>
      <c r="D135" s="142" t="s">
        <v>870</v>
      </c>
      <c r="E135" s="149" t="s">
        <v>135</v>
      </c>
      <c r="F135" s="542">
        <v>48156637.5</v>
      </c>
      <c r="G135" s="542">
        <v>0</v>
      </c>
      <c r="H135" s="542">
        <v>69557</v>
      </c>
      <c r="I135" s="542">
        <v>147906</v>
      </c>
      <c r="J135" s="542">
        <v>0</v>
      </c>
      <c r="K135" s="542">
        <v>147906</v>
      </c>
      <c r="L135" s="542">
        <v>0</v>
      </c>
      <c r="M135" s="542">
        <v>0</v>
      </c>
      <c r="N135" s="542">
        <v>0</v>
      </c>
      <c r="O135" s="542">
        <v>0</v>
      </c>
      <c r="P135" s="542">
        <v>0</v>
      </c>
      <c r="Q135" s="542">
        <v>47939174.5</v>
      </c>
      <c r="R135" s="102" t="s">
        <v>135</v>
      </c>
      <c r="S135" s="103" t="s">
        <v>788</v>
      </c>
      <c r="T135" s="104" t="s">
        <v>751</v>
      </c>
      <c r="U135" s="141"/>
      <c r="V135" s="142"/>
    </row>
    <row r="136" spans="1:22" ht="12.75" x14ac:dyDescent="0.2">
      <c r="A136" s="93">
        <v>130</v>
      </c>
      <c r="B136" s="145" t="s">
        <v>138</v>
      </c>
      <c r="C136" s="141" t="s">
        <v>866</v>
      </c>
      <c r="D136" s="142" t="s">
        <v>869</v>
      </c>
      <c r="E136" s="149" t="s">
        <v>137</v>
      </c>
      <c r="F136" s="542">
        <v>23462489</v>
      </c>
      <c r="G136" s="542">
        <v>86528</v>
      </c>
      <c r="H136" s="542">
        <v>0</v>
      </c>
      <c r="I136" s="542">
        <v>134980</v>
      </c>
      <c r="J136" s="542">
        <v>0</v>
      </c>
      <c r="K136" s="542">
        <v>134980</v>
      </c>
      <c r="L136" s="542">
        <v>0</v>
      </c>
      <c r="M136" s="542">
        <v>0</v>
      </c>
      <c r="N136" s="542">
        <v>0</v>
      </c>
      <c r="O136" s="542">
        <v>0</v>
      </c>
      <c r="P136" s="542">
        <v>0</v>
      </c>
      <c r="Q136" s="542">
        <v>23414037</v>
      </c>
      <c r="R136" s="102" t="s">
        <v>137</v>
      </c>
      <c r="S136" s="103" t="s">
        <v>753</v>
      </c>
      <c r="T136" s="104" t="s">
        <v>754</v>
      </c>
      <c r="U136" s="141"/>
      <c r="V136" s="142"/>
    </row>
    <row r="137" spans="1:22" ht="12.75" x14ac:dyDescent="0.2">
      <c r="A137" s="93">
        <v>131</v>
      </c>
      <c r="B137" s="145" t="s">
        <v>140</v>
      </c>
      <c r="C137" s="141" t="s">
        <v>871</v>
      </c>
      <c r="D137" s="142" t="s">
        <v>872</v>
      </c>
      <c r="E137" s="149" t="s">
        <v>139</v>
      </c>
      <c r="F137" s="542">
        <v>346856970</v>
      </c>
      <c r="G137" s="542">
        <v>0</v>
      </c>
      <c r="H137" s="542">
        <v>183407</v>
      </c>
      <c r="I137" s="542">
        <v>595739</v>
      </c>
      <c r="J137" s="542">
        <v>0</v>
      </c>
      <c r="K137" s="542">
        <v>595739</v>
      </c>
      <c r="L137" s="542">
        <v>0</v>
      </c>
      <c r="M137" s="542">
        <v>0</v>
      </c>
      <c r="N137" s="542">
        <v>0</v>
      </c>
      <c r="O137" s="542">
        <v>0</v>
      </c>
      <c r="P137" s="542">
        <v>0</v>
      </c>
      <c r="Q137" s="542">
        <v>346077824</v>
      </c>
      <c r="R137" s="102" t="s">
        <v>139</v>
      </c>
      <c r="S137" s="103" t="s">
        <v>762</v>
      </c>
      <c r="T137" s="103" t="s">
        <v>750</v>
      </c>
      <c r="U137" s="141"/>
      <c r="V137" s="142"/>
    </row>
    <row r="138" spans="1:22" ht="12.75" x14ac:dyDescent="0.2">
      <c r="A138" s="93">
        <v>132</v>
      </c>
      <c r="B138" s="145" t="s">
        <v>142</v>
      </c>
      <c r="C138" s="141" t="s">
        <v>866</v>
      </c>
      <c r="D138" s="142" t="s">
        <v>869</v>
      </c>
      <c r="E138" s="149" t="s">
        <v>701</v>
      </c>
      <c r="F138" s="542">
        <v>27022245</v>
      </c>
      <c r="G138" s="542">
        <v>0</v>
      </c>
      <c r="H138" s="542">
        <v>286448</v>
      </c>
      <c r="I138" s="542">
        <v>124663</v>
      </c>
      <c r="J138" s="542">
        <v>0</v>
      </c>
      <c r="K138" s="542">
        <v>124663</v>
      </c>
      <c r="L138" s="542">
        <v>0</v>
      </c>
      <c r="M138" s="542">
        <v>59808</v>
      </c>
      <c r="N138" s="542">
        <v>0</v>
      </c>
      <c r="O138" s="542">
        <v>0</v>
      </c>
      <c r="P138" s="542">
        <v>0</v>
      </c>
      <c r="Q138" s="542">
        <v>26551326</v>
      </c>
      <c r="R138" s="102" t="s">
        <v>701</v>
      </c>
      <c r="S138" s="103" t="s">
        <v>774</v>
      </c>
      <c r="T138" s="104" t="s">
        <v>775</v>
      </c>
      <c r="U138" s="141"/>
      <c r="V138" s="142"/>
    </row>
    <row r="139" spans="1:22" ht="12.75" x14ac:dyDescent="0.2">
      <c r="A139" s="93">
        <v>133</v>
      </c>
      <c r="B139" s="145" t="s">
        <v>144</v>
      </c>
      <c r="C139" s="141" t="s">
        <v>866</v>
      </c>
      <c r="D139" s="142" t="s">
        <v>867</v>
      </c>
      <c r="E139" s="149" t="s">
        <v>143</v>
      </c>
      <c r="F139" s="542">
        <v>37290586</v>
      </c>
      <c r="G139" s="542">
        <v>0</v>
      </c>
      <c r="H139" s="542">
        <v>138006</v>
      </c>
      <c r="I139" s="542">
        <v>178215</v>
      </c>
      <c r="J139" s="542">
        <v>0</v>
      </c>
      <c r="K139" s="542">
        <v>178215</v>
      </c>
      <c r="L139" s="542">
        <v>0</v>
      </c>
      <c r="M139" s="542">
        <v>0</v>
      </c>
      <c r="N139" s="542">
        <v>0</v>
      </c>
      <c r="O139" s="542">
        <v>0</v>
      </c>
      <c r="P139" s="542">
        <v>0</v>
      </c>
      <c r="Q139" s="542">
        <v>36974365</v>
      </c>
      <c r="R139" s="102" t="s">
        <v>143</v>
      </c>
      <c r="S139" s="103" t="s">
        <v>749</v>
      </c>
      <c r="T139" s="104" t="s">
        <v>751</v>
      </c>
      <c r="U139" s="141"/>
      <c r="V139" s="142"/>
    </row>
    <row r="140" spans="1:22" ht="12.75" x14ac:dyDescent="0.2">
      <c r="A140" s="93">
        <v>134</v>
      </c>
      <c r="B140" s="145" t="s">
        <v>146</v>
      </c>
      <c r="C140" s="141" t="s">
        <v>871</v>
      </c>
      <c r="D140" s="142" t="s">
        <v>872</v>
      </c>
      <c r="E140" s="149" t="s">
        <v>145</v>
      </c>
      <c r="F140" s="542">
        <v>143869674</v>
      </c>
      <c r="G140" s="542">
        <v>0</v>
      </c>
      <c r="H140" s="542">
        <v>1426916</v>
      </c>
      <c r="I140" s="542">
        <v>398763</v>
      </c>
      <c r="J140" s="542">
        <v>0</v>
      </c>
      <c r="K140" s="542">
        <v>398763</v>
      </c>
      <c r="L140" s="542">
        <v>0</v>
      </c>
      <c r="M140" s="542">
        <v>0</v>
      </c>
      <c r="N140" s="542">
        <v>0</v>
      </c>
      <c r="O140" s="542">
        <v>0</v>
      </c>
      <c r="P140" s="542">
        <v>0</v>
      </c>
      <c r="Q140" s="542">
        <v>142043995</v>
      </c>
      <c r="R140" s="102" t="s">
        <v>145</v>
      </c>
      <c r="S140" s="103" t="s">
        <v>762</v>
      </c>
      <c r="T140" s="103" t="s">
        <v>750</v>
      </c>
      <c r="U140" s="141"/>
      <c r="V140" s="142"/>
    </row>
    <row r="141" spans="1:22" ht="12.75" x14ac:dyDescent="0.2">
      <c r="A141" s="93">
        <v>135</v>
      </c>
      <c r="B141" s="145" t="s">
        <v>148</v>
      </c>
      <c r="C141" s="141" t="s">
        <v>866</v>
      </c>
      <c r="D141" s="142" t="s">
        <v>870</v>
      </c>
      <c r="E141" s="149" t="s">
        <v>881</v>
      </c>
      <c r="F141" s="542">
        <v>53606292</v>
      </c>
      <c r="G141" s="542">
        <v>0</v>
      </c>
      <c r="H141" s="542">
        <v>704341</v>
      </c>
      <c r="I141" s="542">
        <v>221615</v>
      </c>
      <c r="J141" s="542">
        <v>0</v>
      </c>
      <c r="K141" s="542">
        <v>221615</v>
      </c>
      <c r="L141" s="542">
        <v>0</v>
      </c>
      <c r="M141" s="542">
        <v>0</v>
      </c>
      <c r="N141" s="542">
        <v>223074</v>
      </c>
      <c r="O141" s="542">
        <v>223074</v>
      </c>
      <c r="P141" s="542">
        <v>0</v>
      </c>
      <c r="Q141" s="542">
        <v>52457262</v>
      </c>
      <c r="R141" s="102" t="s">
        <v>147</v>
      </c>
      <c r="S141" s="103" t="s">
        <v>790</v>
      </c>
      <c r="T141" s="104" t="s">
        <v>791</v>
      </c>
      <c r="U141" s="141"/>
      <c r="V141" s="142"/>
    </row>
    <row r="142" spans="1:22" ht="12.75" x14ac:dyDescent="0.2">
      <c r="A142" s="93">
        <v>136</v>
      </c>
      <c r="B142" s="145" t="s">
        <v>150</v>
      </c>
      <c r="C142" s="141" t="s">
        <v>866</v>
      </c>
      <c r="D142" s="142" t="s">
        <v>868</v>
      </c>
      <c r="E142" s="149" t="s">
        <v>149</v>
      </c>
      <c r="F142" s="542">
        <v>20681934</v>
      </c>
      <c r="G142" s="542">
        <v>100757</v>
      </c>
      <c r="H142" s="542">
        <v>0</v>
      </c>
      <c r="I142" s="542">
        <v>132514</v>
      </c>
      <c r="J142" s="542">
        <v>0</v>
      </c>
      <c r="K142" s="542">
        <v>132514</v>
      </c>
      <c r="L142" s="542">
        <v>0</v>
      </c>
      <c r="M142" s="542">
        <v>0</v>
      </c>
      <c r="N142" s="542">
        <v>0</v>
      </c>
      <c r="O142" s="542">
        <v>0</v>
      </c>
      <c r="P142" s="542">
        <v>0</v>
      </c>
      <c r="Q142" s="542">
        <v>20650177</v>
      </c>
      <c r="R142" s="102" t="s">
        <v>149</v>
      </c>
      <c r="S142" s="103" t="s">
        <v>789</v>
      </c>
      <c r="T142" s="104" t="s">
        <v>776</v>
      </c>
      <c r="U142" s="141"/>
      <c r="V142" s="142"/>
    </row>
    <row r="143" spans="1:22" ht="12.75" x14ac:dyDescent="0.2">
      <c r="A143" s="93">
        <v>137</v>
      </c>
      <c r="B143" s="145" t="s">
        <v>152</v>
      </c>
      <c r="C143" s="141" t="s">
        <v>866</v>
      </c>
      <c r="D143" s="142" t="s">
        <v>870</v>
      </c>
      <c r="E143" s="149" t="s">
        <v>151</v>
      </c>
      <c r="F143" s="542">
        <v>55484704</v>
      </c>
      <c r="G143" s="542">
        <v>0</v>
      </c>
      <c r="H143" s="542">
        <v>137003</v>
      </c>
      <c r="I143" s="542">
        <v>193509</v>
      </c>
      <c r="J143" s="542">
        <v>0</v>
      </c>
      <c r="K143" s="542">
        <v>193509</v>
      </c>
      <c r="L143" s="542">
        <v>0</v>
      </c>
      <c r="M143" s="542">
        <v>0</v>
      </c>
      <c r="N143" s="542">
        <v>0</v>
      </c>
      <c r="O143" s="542">
        <v>0</v>
      </c>
      <c r="P143" s="542">
        <v>0</v>
      </c>
      <c r="Q143" s="542">
        <v>55154192</v>
      </c>
      <c r="R143" s="102" t="s">
        <v>151</v>
      </c>
      <c r="S143" s="103" t="s">
        <v>761</v>
      </c>
      <c r="T143" s="104" t="s">
        <v>751</v>
      </c>
      <c r="U143" s="141"/>
      <c r="V143" s="142"/>
    </row>
    <row r="144" spans="1:22" ht="12.75" x14ac:dyDescent="0.2">
      <c r="A144" s="93">
        <v>138</v>
      </c>
      <c r="B144" s="145" t="s">
        <v>154</v>
      </c>
      <c r="C144" s="141" t="s">
        <v>770</v>
      </c>
      <c r="D144" s="142" t="s">
        <v>867</v>
      </c>
      <c r="E144" s="149" t="s">
        <v>882</v>
      </c>
      <c r="F144" s="542">
        <v>33218084</v>
      </c>
      <c r="G144" s="542">
        <v>0</v>
      </c>
      <c r="H144" s="542">
        <v>430526</v>
      </c>
      <c r="I144" s="542">
        <v>251556</v>
      </c>
      <c r="J144" s="542">
        <v>0</v>
      </c>
      <c r="K144" s="542">
        <v>251556</v>
      </c>
      <c r="L144" s="542">
        <v>0</v>
      </c>
      <c r="M144" s="542">
        <v>0</v>
      </c>
      <c r="N144" s="542">
        <v>140658</v>
      </c>
      <c r="O144" s="542">
        <v>140658</v>
      </c>
      <c r="P144" s="542">
        <v>0</v>
      </c>
      <c r="Q144" s="542">
        <v>32395344</v>
      </c>
      <c r="R144" s="105" t="s">
        <v>810</v>
      </c>
      <c r="S144" s="103" t="s">
        <v>770</v>
      </c>
      <c r="T144" s="104" t="s">
        <v>751</v>
      </c>
      <c r="U144" s="141"/>
      <c r="V144" s="142"/>
    </row>
    <row r="145" spans="1:22" ht="12.75" x14ac:dyDescent="0.2">
      <c r="A145" s="93">
        <v>139</v>
      </c>
      <c r="B145" s="145" t="s">
        <v>156</v>
      </c>
      <c r="C145" s="141" t="s">
        <v>770</v>
      </c>
      <c r="D145" s="142" t="s">
        <v>875</v>
      </c>
      <c r="E145" s="149" t="s">
        <v>155</v>
      </c>
      <c r="F145" s="542">
        <v>1563936</v>
      </c>
      <c r="G145" s="542">
        <v>11647</v>
      </c>
      <c r="H145" s="542">
        <v>0</v>
      </c>
      <c r="I145" s="542">
        <v>25335</v>
      </c>
      <c r="J145" s="542">
        <v>0</v>
      </c>
      <c r="K145" s="542">
        <v>25335</v>
      </c>
      <c r="L145" s="542">
        <v>0</v>
      </c>
      <c r="M145" s="542">
        <v>0</v>
      </c>
      <c r="N145" s="542">
        <v>0</v>
      </c>
      <c r="O145" s="542">
        <v>0</v>
      </c>
      <c r="P145" s="542">
        <v>0</v>
      </c>
      <c r="Q145" s="542">
        <v>1550248</v>
      </c>
      <c r="R145" s="102" t="s">
        <v>155</v>
      </c>
      <c r="S145" s="103" t="s">
        <v>770</v>
      </c>
      <c r="T145" s="104" t="s">
        <v>751</v>
      </c>
      <c r="U145" s="141"/>
      <c r="V145" s="142"/>
    </row>
    <row r="146" spans="1:22" ht="12.75" x14ac:dyDescent="0.2">
      <c r="A146" s="93">
        <v>140</v>
      </c>
      <c r="B146" s="145" t="s">
        <v>158</v>
      </c>
      <c r="C146" s="141" t="s">
        <v>877</v>
      </c>
      <c r="D146" s="142" t="s">
        <v>872</v>
      </c>
      <c r="E146" s="149" t="s">
        <v>157</v>
      </c>
      <c r="F146" s="542">
        <v>193348387</v>
      </c>
      <c r="G146" s="542">
        <v>0</v>
      </c>
      <c r="H146" s="542">
        <v>107397</v>
      </c>
      <c r="I146" s="542">
        <v>647463</v>
      </c>
      <c r="J146" s="542">
        <v>0</v>
      </c>
      <c r="K146" s="542">
        <v>647463</v>
      </c>
      <c r="L146" s="542">
        <v>0</v>
      </c>
      <c r="M146" s="542">
        <v>0</v>
      </c>
      <c r="N146" s="542">
        <v>60240</v>
      </c>
      <c r="O146" s="542">
        <v>60240</v>
      </c>
      <c r="P146" s="542">
        <v>0</v>
      </c>
      <c r="Q146" s="542">
        <v>192533287</v>
      </c>
      <c r="R146" s="102" t="s">
        <v>157</v>
      </c>
      <c r="S146" s="103" t="s">
        <v>762</v>
      </c>
      <c r="T146" s="103" t="s">
        <v>750</v>
      </c>
      <c r="U146" s="141"/>
      <c r="V146" s="142"/>
    </row>
    <row r="147" spans="1:22" ht="12.75" x14ac:dyDescent="0.2">
      <c r="A147" s="93">
        <v>141</v>
      </c>
      <c r="B147" s="145" t="s">
        <v>160</v>
      </c>
      <c r="C147" s="141" t="s">
        <v>877</v>
      </c>
      <c r="D147" s="142" t="s">
        <v>872</v>
      </c>
      <c r="E147" s="149" t="s">
        <v>702</v>
      </c>
      <c r="F147" s="542">
        <v>269460631</v>
      </c>
      <c r="G147" s="542">
        <v>0</v>
      </c>
      <c r="H147" s="542">
        <v>1051833</v>
      </c>
      <c r="I147" s="542">
        <v>616397</v>
      </c>
      <c r="J147" s="542">
        <v>0</v>
      </c>
      <c r="K147" s="542">
        <v>616397</v>
      </c>
      <c r="L147" s="542">
        <v>0</v>
      </c>
      <c r="M147" s="542">
        <v>0</v>
      </c>
      <c r="N147" s="542">
        <v>0</v>
      </c>
      <c r="O147" s="542">
        <v>0</v>
      </c>
      <c r="P147" s="542">
        <v>0</v>
      </c>
      <c r="Q147" s="542">
        <v>267792401</v>
      </c>
      <c r="R147" s="102" t="s">
        <v>702</v>
      </c>
      <c r="S147" s="103" t="s">
        <v>762</v>
      </c>
      <c r="T147" s="103" t="s">
        <v>750</v>
      </c>
      <c r="U147" s="141"/>
      <c r="V147" s="142"/>
    </row>
    <row r="148" spans="1:22" ht="12.75" x14ac:dyDescent="0.2">
      <c r="A148" s="93">
        <v>142</v>
      </c>
      <c r="B148" s="145" t="s">
        <v>162</v>
      </c>
      <c r="C148" s="141" t="s">
        <v>866</v>
      </c>
      <c r="D148" s="142" t="s">
        <v>869</v>
      </c>
      <c r="E148" s="149" t="s">
        <v>161</v>
      </c>
      <c r="F148" s="542">
        <v>30667769</v>
      </c>
      <c r="G148" s="542">
        <v>0</v>
      </c>
      <c r="H148" s="542">
        <v>138938</v>
      </c>
      <c r="I148" s="542">
        <v>110664</v>
      </c>
      <c r="J148" s="542">
        <v>0</v>
      </c>
      <c r="K148" s="542">
        <v>110664</v>
      </c>
      <c r="L148" s="542">
        <v>0</v>
      </c>
      <c r="M148" s="542">
        <v>0</v>
      </c>
      <c r="N148" s="542">
        <v>76638</v>
      </c>
      <c r="O148" s="542">
        <v>76638</v>
      </c>
      <c r="P148" s="542">
        <v>0</v>
      </c>
      <c r="Q148" s="542">
        <v>30341529</v>
      </c>
      <c r="R148" s="102" t="s">
        <v>161</v>
      </c>
      <c r="S148" s="103" t="s">
        <v>799</v>
      </c>
      <c r="T148" s="104" t="s">
        <v>751</v>
      </c>
      <c r="U148" s="141"/>
      <c r="V148" s="142"/>
    </row>
    <row r="149" spans="1:22" ht="12.75" x14ac:dyDescent="0.2">
      <c r="A149" s="93">
        <v>143</v>
      </c>
      <c r="B149" s="145" t="s">
        <v>164</v>
      </c>
      <c r="C149" s="141" t="s">
        <v>866</v>
      </c>
      <c r="D149" s="142" t="s">
        <v>870</v>
      </c>
      <c r="E149" s="149" t="s">
        <v>883</v>
      </c>
      <c r="F149" s="542">
        <v>41593090</v>
      </c>
      <c r="G149" s="542">
        <v>55524</v>
      </c>
      <c r="H149" s="542">
        <v>0</v>
      </c>
      <c r="I149" s="542">
        <v>217818</v>
      </c>
      <c r="J149" s="542">
        <v>0</v>
      </c>
      <c r="K149" s="542">
        <v>217818</v>
      </c>
      <c r="L149" s="542">
        <v>0</v>
      </c>
      <c r="M149" s="542">
        <v>0</v>
      </c>
      <c r="N149" s="542">
        <v>555504</v>
      </c>
      <c r="O149" s="542">
        <v>555504</v>
      </c>
      <c r="P149" s="542">
        <v>0</v>
      </c>
      <c r="Q149" s="542">
        <v>40875292</v>
      </c>
      <c r="R149" s="102" t="s">
        <v>811</v>
      </c>
      <c r="S149" s="103" t="s">
        <v>782</v>
      </c>
      <c r="T149" s="104" t="s">
        <v>751</v>
      </c>
      <c r="U149" s="141"/>
      <c r="V149" s="142"/>
    </row>
    <row r="150" spans="1:22" ht="12.75" x14ac:dyDescent="0.2">
      <c r="A150" s="93">
        <v>144</v>
      </c>
      <c r="B150" s="145" t="s">
        <v>166</v>
      </c>
      <c r="C150" s="141" t="s">
        <v>770</v>
      </c>
      <c r="D150" s="142" t="s">
        <v>874</v>
      </c>
      <c r="E150" s="149" t="s">
        <v>884</v>
      </c>
      <c r="F150" s="542">
        <v>84278379</v>
      </c>
      <c r="G150" s="542">
        <v>0</v>
      </c>
      <c r="H150" s="542">
        <v>817385</v>
      </c>
      <c r="I150" s="542">
        <v>372932</v>
      </c>
      <c r="J150" s="542">
        <v>0</v>
      </c>
      <c r="K150" s="542">
        <v>372932</v>
      </c>
      <c r="L150" s="542">
        <v>0</v>
      </c>
      <c r="M150" s="542">
        <v>18806</v>
      </c>
      <c r="N150" s="542">
        <v>0</v>
      </c>
      <c r="O150" s="542">
        <v>0</v>
      </c>
      <c r="P150" s="542">
        <v>0</v>
      </c>
      <c r="Q150" s="542">
        <v>83069256</v>
      </c>
      <c r="R150" s="105" t="s">
        <v>812</v>
      </c>
      <c r="S150" s="103" t="s">
        <v>770</v>
      </c>
      <c r="T150" s="104" t="s">
        <v>805</v>
      </c>
      <c r="U150" s="141"/>
      <c r="V150" s="142"/>
    </row>
    <row r="151" spans="1:22" ht="12.75" x14ac:dyDescent="0.2">
      <c r="A151" s="93">
        <v>145</v>
      </c>
      <c r="B151" s="145" t="s">
        <v>168</v>
      </c>
      <c r="C151" s="141" t="s">
        <v>871</v>
      </c>
      <c r="D151" s="142" t="s">
        <v>872</v>
      </c>
      <c r="E151" s="149" t="s">
        <v>167</v>
      </c>
      <c r="F151" s="542">
        <v>81116138</v>
      </c>
      <c r="G151" s="542">
        <v>0</v>
      </c>
      <c r="H151" s="542">
        <v>1062745</v>
      </c>
      <c r="I151" s="542">
        <v>257133</v>
      </c>
      <c r="J151" s="542">
        <v>0</v>
      </c>
      <c r="K151" s="542">
        <v>257133</v>
      </c>
      <c r="L151" s="542">
        <v>0</v>
      </c>
      <c r="M151" s="542">
        <v>0</v>
      </c>
      <c r="N151" s="542">
        <v>0</v>
      </c>
      <c r="O151" s="542">
        <v>0</v>
      </c>
      <c r="P151" s="542">
        <v>0</v>
      </c>
      <c r="Q151" s="542">
        <v>79796260</v>
      </c>
      <c r="R151" s="105" t="s">
        <v>813</v>
      </c>
      <c r="S151" s="103" t="s">
        <v>762</v>
      </c>
      <c r="T151" s="103" t="s">
        <v>750</v>
      </c>
      <c r="U151" s="141"/>
      <c r="V151" s="142"/>
    </row>
    <row r="152" spans="1:22" ht="12.75" x14ac:dyDescent="0.2">
      <c r="A152" s="93">
        <v>146</v>
      </c>
      <c r="B152" s="145" t="s">
        <v>170</v>
      </c>
      <c r="C152" s="141" t="s">
        <v>873</v>
      </c>
      <c r="D152" s="142" t="s">
        <v>874</v>
      </c>
      <c r="E152" s="149" t="s">
        <v>169</v>
      </c>
      <c r="F152" s="542">
        <v>101821337</v>
      </c>
      <c r="G152" s="542">
        <v>0</v>
      </c>
      <c r="H152" s="542">
        <v>1071598</v>
      </c>
      <c r="I152" s="542">
        <v>613307</v>
      </c>
      <c r="J152" s="542">
        <v>0</v>
      </c>
      <c r="K152" s="542">
        <v>613307</v>
      </c>
      <c r="L152" s="542">
        <v>0</v>
      </c>
      <c r="M152" s="542">
        <v>0</v>
      </c>
      <c r="N152" s="542">
        <v>0</v>
      </c>
      <c r="O152" s="542">
        <v>0</v>
      </c>
      <c r="P152" s="542">
        <v>0</v>
      </c>
      <c r="Q152" s="542">
        <v>100136432</v>
      </c>
      <c r="R152" s="102" t="s">
        <v>169</v>
      </c>
      <c r="S152" s="103" t="s">
        <v>763</v>
      </c>
      <c r="T152" s="104" t="s">
        <v>781</v>
      </c>
      <c r="U152" s="141"/>
      <c r="V152" s="142"/>
    </row>
    <row r="153" spans="1:22" ht="12.75" x14ac:dyDescent="0.2">
      <c r="A153" s="93">
        <v>147</v>
      </c>
      <c r="B153" s="145" t="s">
        <v>172</v>
      </c>
      <c r="C153" s="141" t="s">
        <v>873</v>
      </c>
      <c r="D153" s="142" t="s">
        <v>868</v>
      </c>
      <c r="E153" s="149" t="s">
        <v>171</v>
      </c>
      <c r="F153" s="542">
        <v>42329953</v>
      </c>
      <c r="G153" s="542">
        <v>0</v>
      </c>
      <c r="H153" s="542">
        <v>1329454</v>
      </c>
      <c r="I153" s="542">
        <v>139232</v>
      </c>
      <c r="J153" s="542">
        <v>0</v>
      </c>
      <c r="K153" s="542">
        <v>139232</v>
      </c>
      <c r="L153" s="542">
        <v>0</v>
      </c>
      <c r="M153" s="542">
        <v>0</v>
      </c>
      <c r="N153" s="542">
        <v>0</v>
      </c>
      <c r="O153" s="542">
        <v>0</v>
      </c>
      <c r="P153" s="542">
        <v>0</v>
      </c>
      <c r="Q153" s="542">
        <v>40861267</v>
      </c>
      <c r="R153" s="102" t="s">
        <v>171</v>
      </c>
      <c r="S153" s="103" t="s">
        <v>763</v>
      </c>
      <c r="T153" s="104" t="s">
        <v>814</v>
      </c>
      <c r="U153" s="141"/>
      <c r="V153" s="142"/>
    </row>
    <row r="154" spans="1:22" ht="12.75" x14ac:dyDescent="0.2">
      <c r="A154" s="93">
        <v>148</v>
      </c>
      <c r="B154" s="145" t="s">
        <v>174</v>
      </c>
      <c r="C154" s="141" t="s">
        <v>877</v>
      </c>
      <c r="D154" s="142" t="s">
        <v>872</v>
      </c>
      <c r="E154" s="149" t="s">
        <v>173</v>
      </c>
      <c r="F154" s="542">
        <v>112734108</v>
      </c>
      <c r="G154" s="542">
        <v>0</v>
      </c>
      <c r="H154" s="542">
        <v>639263</v>
      </c>
      <c r="I154" s="542">
        <v>481327</v>
      </c>
      <c r="J154" s="542">
        <v>0</v>
      </c>
      <c r="K154" s="542">
        <v>481327</v>
      </c>
      <c r="L154" s="542">
        <v>0</v>
      </c>
      <c r="M154" s="542">
        <v>0</v>
      </c>
      <c r="N154" s="542">
        <v>0</v>
      </c>
      <c r="O154" s="542">
        <v>0</v>
      </c>
      <c r="P154" s="542">
        <v>0</v>
      </c>
      <c r="Q154" s="542">
        <v>111613518</v>
      </c>
      <c r="R154" s="102" t="s">
        <v>173</v>
      </c>
      <c r="S154" s="103" t="s">
        <v>762</v>
      </c>
      <c r="T154" s="103" t="s">
        <v>750</v>
      </c>
      <c r="U154" s="141"/>
      <c r="V154" s="142"/>
    </row>
    <row r="155" spans="1:22" ht="12.75" x14ac:dyDescent="0.2">
      <c r="A155" s="93">
        <v>149</v>
      </c>
      <c r="B155" s="145" t="s">
        <v>176</v>
      </c>
      <c r="C155" s="141" t="s">
        <v>866</v>
      </c>
      <c r="D155" s="142" t="s">
        <v>868</v>
      </c>
      <c r="E155" s="149" t="s">
        <v>175</v>
      </c>
      <c r="F155" s="542">
        <v>33114712</v>
      </c>
      <c r="G155" s="542">
        <v>16782624</v>
      </c>
      <c r="H155" s="542">
        <v>0</v>
      </c>
      <c r="I155" s="542">
        <v>228713</v>
      </c>
      <c r="J155" s="542">
        <v>0</v>
      </c>
      <c r="K155" s="542">
        <v>228713</v>
      </c>
      <c r="L155" s="542">
        <v>0</v>
      </c>
      <c r="M155" s="542">
        <v>0</v>
      </c>
      <c r="N155" s="542">
        <v>661870</v>
      </c>
      <c r="O155" s="542">
        <v>661870</v>
      </c>
      <c r="P155" s="542">
        <v>0</v>
      </c>
      <c r="Q155" s="542">
        <v>49006753</v>
      </c>
      <c r="R155" s="102" t="s">
        <v>175</v>
      </c>
      <c r="S155" s="103" t="s">
        <v>789</v>
      </c>
      <c r="T155" s="104" t="s">
        <v>776</v>
      </c>
      <c r="U155" s="141"/>
      <c r="V155" s="142"/>
    </row>
    <row r="156" spans="1:22" ht="12.75" x14ac:dyDescent="0.2">
      <c r="A156" s="93">
        <v>150</v>
      </c>
      <c r="B156" s="145" t="s">
        <v>178</v>
      </c>
      <c r="C156" s="141" t="s">
        <v>873</v>
      </c>
      <c r="D156" s="142" t="s">
        <v>874</v>
      </c>
      <c r="E156" s="149" t="s">
        <v>177</v>
      </c>
      <c r="F156" s="542">
        <v>337111425</v>
      </c>
      <c r="G156" s="542">
        <v>0</v>
      </c>
      <c r="H156" s="542">
        <v>3919809</v>
      </c>
      <c r="I156" s="542">
        <v>1235172</v>
      </c>
      <c r="J156" s="542">
        <v>0</v>
      </c>
      <c r="K156" s="542">
        <v>1235172</v>
      </c>
      <c r="L156" s="542">
        <v>0</v>
      </c>
      <c r="M156" s="542">
        <v>0</v>
      </c>
      <c r="N156" s="542">
        <v>0</v>
      </c>
      <c r="O156" s="542">
        <v>0</v>
      </c>
      <c r="P156" s="542">
        <v>0</v>
      </c>
      <c r="Q156" s="542">
        <v>331956444</v>
      </c>
      <c r="R156" s="102" t="s">
        <v>177</v>
      </c>
      <c r="S156" s="103" t="s">
        <v>763</v>
      </c>
      <c r="T156" s="104" t="s">
        <v>781</v>
      </c>
      <c r="U156" s="141"/>
      <c r="V156" s="142"/>
    </row>
    <row r="157" spans="1:22" ht="12.75" x14ac:dyDescent="0.2">
      <c r="A157" s="93">
        <v>151</v>
      </c>
      <c r="B157" s="145" t="s">
        <v>180</v>
      </c>
      <c r="C157" s="141" t="s">
        <v>770</v>
      </c>
      <c r="D157" s="142" t="s">
        <v>869</v>
      </c>
      <c r="E157" s="149" t="s">
        <v>703</v>
      </c>
      <c r="F157" s="542">
        <v>97814187</v>
      </c>
      <c r="G157" s="542">
        <v>0</v>
      </c>
      <c r="H157" s="542">
        <v>2812775</v>
      </c>
      <c r="I157" s="542">
        <v>489707</v>
      </c>
      <c r="J157" s="542">
        <v>0</v>
      </c>
      <c r="K157" s="542">
        <v>489707</v>
      </c>
      <c r="L157" s="542">
        <v>0</v>
      </c>
      <c r="M157" s="542">
        <v>0</v>
      </c>
      <c r="N157" s="542">
        <v>0</v>
      </c>
      <c r="O157" s="542">
        <v>0</v>
      </c>
      <c r="P157" s="542">
        <v>0</v>
      </c>
      <c r="Q157" s="542">
        <v>94511705</v>
      </c>
      <c r="R157" s="105" t="s">
        <v>703</v>
      </c>
      <c r="S157" s="103" t="s">
        <v>770</v>
      </c>
      <c r="T157" s="104" t="s">
        <v>775</v>
      </c>
      <c r="U157" s="141"/>
      <c r="V157" s="142"/>
    </row>
    <row r="158" spans="1:22" ht="12.75" x14ac:dyDescent="0.2">
      <c r="A158" s="93">
        <v>152</v>
      </c>
      <c r="B158" s="145" t="s">
        <v>182</v>
      </c>
      <c r="C158" s="141" t="s">
        <v>866</v>
      </c>
      <c r="D158" s="142" t="s">
        <v>867</v>
      </c>
      <c r="E158" s="149" t="s">
        <v>181</v>
      </c>
      <c r="F158" s="542">
        <v>23621013</v>
      </c>
      <c r="G158" s="542">
        <v>22182</v>
      </c>
      <c r="H158" s="542">
        <v>0</v>
      </c>
      <c r="I158" s="542">
        <v>128644</v>
      </c>
      <c r="J158" s="542">
        <v>0</v>
      </c>
      <c r="K158" s="542">
        <v>128644</v>
      </c>
      <c r="L158" s="542">
        <v>0</v>
      </c>
      <c r="M158" s="542">
        <v>0</v>
      </c>
      <c r="N158" s="542">
        <v>0</v>
      </c>
      <c r="O158" s="542">
        <v>0</v>
      </c>
      <c r="P158" s="542">
        <v>0</v>
      </c>
      <c r="Q158" s="542">
        <v>23514551</v>
      </c>
      <c r="R158" s="102" t="s">
        <v>181</v>
      </c>
      <c r="S158" s="103" t="s">
        <v>806</v>
      </c>
      <c r="T158" s="104" t="s">
        <v>784</v>
      </c>
      <c r="U158" s="141"/>
      <c r="V158" s="142"/>
    </row>
    <row r="159" spans="1:22" ht="12.75" x14ac:dyDescent="0.2">
      <c r="A159" s="93">
        <v>153</v>
      </c>
      <c r="B159" s="145" t="s">
        <v>184</v>
      </c>
      <c r="C159" s="141" t="s">
        <v>877</v>
      </c>
      <c r="D159" s="142" t="s">
        <v>872</v>
      </c>
      <c r="E159" s="149" t="s">
        <v>183</v>
      </c>
      <c r="F159" s="542">
        <v>52332991</v>
      </c>
      <c r="G159" s="542">
        <v>0</v>
      </c>
      <c r="H159" s="542">
        <v>2883590</v>
      </c>
      <c r="I159" s="542">
        <v>306394</v>
      </c>
      <c r="J159" s="542">
        <v>0</v>
      </c>
      <c r="K159" s="542">
        <v>306394</v>
      </c>
      <c r="L159" s="542">
        <v>0</v>
      </c>
      <c r="M159" s="542">
        <v>0</v>
      </c>
      <c r="N159" s="542">
        <v>0</v>
      </c>
      <c r="O159" s="542">
        <v>0</v>
      </c>
      <c r="P159" s="542">
        <v>0</v>
      </c>
      <c r="Q159" s="542">
        <v>49143007</v>
      </c>
      <c r="R159" s="102" t="s">
        <v>183</v>
      </c>
      <c r="S159" s="103" t="s">
        <v>762</v>
      </c>
      <c r="T159" s="103" t="s">
        <v>750</v>
      </c>
      <c r="U159" s="141"/>
      <c r="V159" s="142"/>
    </row>
    <row r="160" spans="1:22" ht="12.75" x14ac:dyDescent="0.2">
      <c r="A160" s="93">
        <v>154</v>
      </c>
      <c r="B160" s="145" t="s">
        <v>186</v>
      </c>
      <c r="C160" s="141" t="s">
        <v>866</v>
      </c>
      <c r="D160" s="142" t="s">
        <v>876</v>
      </c>
      <c r="E160" s="149" t="s">
        <v>185</v>
      </c>
      <c r="F160" s="542">
        <v>30569944</v>
      </c>
      <c r="G160" s="542">
        <v>0</v>
      </c>
      <c r="H160" s="542">
        <v>225213</v>
      </c>
      <c r="I160" s="542">
        <v>124697</v>
      </c>
      <c r="J160" s="542">
        <v>0</v>
      </c>
      <c r="K160" s="542">
        <v>124697</v>
      </c>
      <c r="L160" s="542">
        <v>0</v>
      </c>
      <c r="M160" s="542">
        <v>0</v>
      </c>
      <c r="N160" s="542">
        <v>0</v>
      </c>
      <c r="O160" s="542">
        <v>0</v>
      </c>
      <c r="P160" s="542">
        <v>0</v>
      </c>
      <c r="Q160" s="542">
        <v>30220034</v>
      </c>
      <c r="R160" s="102" t="s">
        <v>185</v>
      </c>
      <c r="S160" s="103" t="s">
        <v>792</v>
      </c>
      <c r="T160" s="104" t="s">
        <v>793</v>
      </c>
      <c r="U160" s="141"/>
      <c r="V160" s="142"/>
    </row>
    <row r="161" spans="1:22" ht="12.75" x14ac:dyDescent="0.2">
      <c r="A161" s="93">
        <v>155</v>
      </c>
      <c r="B161" s="145" t="s">
        <v>188</v>
      </c>
      <c r="C161" s="141" t="s">
        <v>866</v>
      </c>
      <c r="D161" s="142" t="s">
        <v>869</v>
      </c>
      <c r="E161" s="149" t="s">
        <v>187</v>
      </c>
      <c r="F161" s="542">
        <v>39809811</v>
      </c>
      <c r="G161" s="542">
        <v>0</v>
      </c>
      <c r="H161" s="542">
        <v>174010</v>
      </c>
      <c r="I161" s="542">
        <v>150379</v>
      </c>
      <c r="J161" s="542">
        <v>0</v>
      </c>
      <c r="K161" s="542">
        <v>150379</v>
      </c>
      <c r="L161" s="542">
        <v>0</v>
      </c>
      <c r="M161" s="542">
        <v>0</v>
      </c>
      <c r="N161" s="542">
        <v>0</v>
      </c>
      <c r="O161" s="542">
        <v>0</v>
      </c>
      <c r="P161" s="542">
        <v>0</v>
      </c>
      <c r="Q161" s="542">
        <v>39485422</v>
      </c>
      <c r="R161" s="102" t="s">
        <v>187</v>
      </c>
      <c r="S161" s="103" t="s">
        <v>778</v>
      </c>
      <c r="T161" s="104" t="s">
        <v>751</v>
      </c>
      <c r="U161" s="141"/>
      <c r="V161" s="142"/>
    </row>
    <row r="162" spans="1:22" ht="12.75" x14ac:dyDescent="0.2">
      <c r="A162" s="93">
        <v>156</v>
      </c>
      <c r="B162" s="145" t="s">
        <v>190</v>
      </c>
      <c r="C162" s="141" t="s">
        <v>873</v>
      </c>
      <c r="D162" s="142" t="s">
        <v>868</v>
      </c>
      <c r="E162" s="149" t="s">
        <v>189</v>
      </c>
      <c r="F162" s="542">
        <v>182463653</v>
      </c>
      <c r="G162" s="542">
        <v>0</v>
      </c>
      <c r="H162" s="542">
        <v>2256605</v>
      </c>
      <c r="I162" s="542">
        <v>768610</v>
      </c>
      <c r="J162" s="542">
        <v>0</v>
      </c>
      <c r="K162" s="542">
        <v>768610</v>
      </c>
      <c r="L162" s="542">
        <v>0</v>
      </c>
      <c r="M162" s="542">
        <v>0</v>
      </c>
      <c r="N162" s="542">
        <v>0</v>
      </c>
      <c r="O162" s="542">
        <v>0</v>
      </c>
      <c r="P162" s="542">
        <v>0</v>
      </c>
      <c r="Q162" s="542">
        <v>179438438</v>
      </c>
      <c r="R162" s="102" t="s">
        <v>189</v>
      </c>
      <c r="S162" s="103" t="s">
        <v>763</v>
      </c>
      <c r="T162" s="104" t="s">
        <v>814</v>
      </c>
      <c r="U162" s="141"/>
      <c r="V162" s="142"/>
    </row>
    <row r="163" spans="1:22" ht="12.75" x14ac:dyDescent="0.2">
      <c r="A163" s="93">
        <v>157</v>
      </c>
      <c r="B163" s="145" t="s">
        <v>192</v>
      </c>
      <c r="C163" s="141" t="s">
        <v>770</v>
      </c>
      <c r="D163" s="142" t="s">
        <v>870</v>
      </c>
      <c r="E163" s="149" t="s">
        <v>704</v>
      </c>
      <c r="F163" s="542">
        <v>60418922</v>
      </c>
      <c r="G163" s="542">
        <v>0</v>
      </c>
      <c r="H163" s="542">
        <v>1385985</v>
      </c>
      <c r="I163" s="542">
        <v>259109</v>
      </c>
      <c r="J163" s="542">
        <v>0</v>
      </c>
      <c r="K163" s="542">
        <v>259109</v>
      </c>
      <c r="L163" s="542">
        <v>0</v>
      </c>
      <c r="M163" s="542">
        <v>0</v>
      </c>
      <c r="N163" s="542">
        <v>0</v>
      </c>
      <c r="O163" s="542">
        <v>0</v>
      </c>
      <c r="P163" s="542">
        <v>0</v>
      </c>
      <c r="Q163" s="542">
        <v>58773828</v>
      </c>
      <c r="R163" s="102" t="s">
        <v>704</v>
      </c>
      <c r="S163" s="103" t="s">
        <v>770</v>
      </c>
      <c r="T163" s="104" t="s">
        <v>772</v>
      </c>
      <c r="U163" s="141"/>
      <c r="V163" s="142"/>
    </row>
    <row r="164" spans="1:22" ht="12.75" x14ac:dyDescent="0.2">
      <c r="A164" s="93">
        <v>158</v>
      </c>
      <c r="B164" s="145" t="s">
        <v>194</v>
      </c>
      <c r="C164" s="141" t="s">
        <v>866</v>
      </c>
      <c r="D164" s="142" t="s">
        <v>867</v>
      </c>
      <c r="E164" s="149" t="s">
        <v>193</v>
      </c>
      <c r="F164" s="542">
        <v>56580968</v>
      </c>
      <c r="G164" s="542">
        <v>0</v>
      </c>
      <c r="H164" s="542">
        <v>304612</v>
      </c>
      <c r="I164" s="542">
        <v>208056</v>
      </c>
      <c r="J164" s="542">
        <v>0</v>
      </c>
      <c r="K164" s="542">
        <v>208056</v>
      </c>
      <c r="L164" s="542">
        <v>0</v>
      </c>
      <c r="M164" s="542">
        <v>0</v>
      </c>
      <c r="N164" s="542">
        <v>0</v>
      </c>
      <c r="O164" s="542">
        <v>0</v>
      </c>
      <c r="P164" s="542">
        <v>0</v>
      </c>
      <c r="Q164" s="542">
        <v>56068300</v>
      </c>
      <c r="R164" s="102" t="s">
        <v>193</v>
      </c>
      <c r="S164" s="103" t="s">
        <v>757</v>
      </c>
      <c r="T164" s="104" t="s">
        <v>758</v>
      </c>
      <c r="U164" s="141"/>
      <c r="V164" s="142"/>
    </row>
    <row r="165" spans="1:22" ht="12.75" x14ac:dyDescent="0.2">
      <c r="A165" s="93">
        <v>159</v>
      </c>
      <c r="B165" s="145" t="s">
        <v>196</v>
      </c>
      <c r="C165" s="141" t="s">
        <v>866</v>
      </c>
      <c r="D165" s="142" t="s">
        <v>870</v>
      </c>
      <c r="E165" s="149" t="s">
        <v>195</v>
      </c>
      <c r="F165" s="542">
        <v>13110355</v>
      </c>
      <c r="G165" s="542">
        <v>0</v>
      </c>
      <c r="H165" s="542">
        <v>25461</v>
      </c>
      <c r="I165" s="542">
        <v>92245</v>
      </c>
      <c r="J165" s="542">
        <v>0</v>
      </c>
      <c r="K165" s="542">
        <v>92245</v>
      </c>
      <c r="L165" s="542">
        <v>0</v>
      </c>
      <c r="M165" s="542">
        <v>0</v>
      </c>
      <c r="N165" s="542">
        <v>400899</v>
      </c>
      <c r="O165" s="542">
        <v>400899</v>
      </c>
      <c r="P165" s="542">
        <v>0</v>
      </c>
      <c r="Q165" s="542">
        <v>12591750</v>
      </c>
      <c r="R165" s="102" t="s">
        <v>195</v>
      </c>
      <c r="S165" s="103" t="s">
        <v>765</v>
      </c>
      <c r="T165" s="104" t="s">
        <v>766</v>
      </c>
      <c r="U165" s="141"/>
      <c r="V165" s="142"/>
    </row>
    <row r="166" spans="1:22" ht="12.75" x14ac:dyDescent="0.2">
      <c r="A166" s="93">
        <v>160</v>
      </c>
      <c r="B166" s="145" t="s">
        <v>198</v>
      </c>
      <c r="C166" s="141" t="s">
        <v>866</v>
      </c>
      <c r="D166" s="142" t="s">
        <v>876</v>
      </c>
      <c r="E166" s="149" t="s">
        <v>885</v>
      </c>
      <c r="F166" s="542">
        <v>11171223.5</v>
      </c>
      <c r="G166" s="542">
        <v>0</v>
      </c>
      <c r="H166" s="542">
        <v>97403</v>
      </c>
      <c r="I166" s="542">
        <v>107874</v>
      </c>
      <c r="J166" s="542">
        <v>0</v>
      </c>
      <c r="K166" s="542">
        <v>107874</v>
      </c>
      <c r="L166" s="542">
        <v>0</v>
      </c>
      <c r="M166" s="542">
        <v>0</v>
      </c>
      <c r="N166" s="542">
        <v>0</v>
      </c>
      <c r="O166" s="542">
        <v>0</v>
      </c>
      <c r="P166" s="542">
        <v>0</v>
      </c>
      <c r="Q166" s="542">
        <v>10965946.5</v>
      </c>
      <c r="R166" s="102" t="s">
        <v>197</v>
      </c>
      <c r="S166" s="103" t="s">
        <v>786</v>
      </c>
      <c r="T166" s="104" t="s">
        <v>787</v>
      </c>
      <c r="U166" s="141"/>
      <c r="V166" s="142"/>
    </row>
    <row r="167" spans="1:22" ht="12.75" x14ac:dyDescent="0.2">
      <c r="A167" s="93">
        <v>161</v>
      </c>
      <c r="B167" s="145" t="s">
        <v>200</v>
      </c>
      <c r="C167" s="141" t="s">
        <v>873</v>
      </c>
      <c r="D167" s="142" t="s">
        <v>868</v>
      </c>
      <c r="E167" s="149" t="s">
        <v>199</v>
      </c>
      <c r="F167" s="542">
        <v>294026674</v>
      </c>
      <c r="G167" s="542">
        <v>0</v>
      </c>
      <c r="H167" s="542">
        <v>1104896</v>
      </c>
      <c r="I167" s="542">
        <v>1109516</v>
      </c>
      <c r="J167" s="542">
        <v>0</v>
      </c>
      <c r="K167" s="542">
        <v>1109516</v>
      </c>
      <c r="L167" s="542">
        <v>0</v>
      </c>
      <c r="M167" s="542">
        <v>0</v>
      </c>
      <c r="N167" s="542">
        <v>0</v>
      </c>
      <c r="O167" s="542">
        <v>0</v>
      </c>
      <c r="P167" s="542">
        <v>0</v>
      </c>
      <c r="Q167" s="542">
        <v>291812262</v>
      </c>
      <c r="R167" s="102" t="s">
        <v>199</v>
      </c>
      <c r="S167" s="103" t="s">
        <v>763</v>
      </c>
      <c r="T167" s="104" t="s">
        <v>777</v>
      </c>
      <c r="U167" s="141"/>
      <c r="V167" s="142"/>
    </row>
    <row r="168" spans="1:22" ht="12.75" x14ac:dyDescent="0.2">
      <c r="A168" s="93">
        <v>162</v>
      </c>
      <c r="B168" s="145" t="s">
        <v>202</v>
      </c>
      <c r="C168" s="141" t="s">
        <v>866</v>
      </c>
      <c r="D168" s="142" t="s">
        <v>869</v>
      </c>
      <c r="E168" s="149" t="s">
        <v>201</v>
      </c>
      <c r="F168" s="542">
        <v>26541653</v>
      </c>
      <c r="G168" s="542">
        <v>0</v>
      </c>
      <c r="H168" s="542">
        <v>524593</v>
      </c>
      <c r="I168" s="542">
        <v>128485</v>
      </c>
      <c r="J168" s="542">
        <v>0</v>
      </c>
      <c r="K168" s="542">
        <v>128485</v>
      </c>
      <c r="L168" s="542">
        <v>0</v>
      </c>
      <c r="M168" s="542">
        <v>0</v>
      </c>
      <c r="N168" s="542">
        <v>0</v>
      </c>
      <c r="O168" s="542">
        <v>0</v>
      </c>
      <c r="P168" s="542">
        <v>0</v>
      </c>
      <c r="Q168" s="542">
        <v>25888575</v>
      </c>
      <c r="R168" s="102" t="s">
        <v>201</v>
      </c>
      <c r="S168" s="103" t="s">
        <v>755</v>
      </c>
      <c r="T168" s="104" t="s">
        <v>756</v>
      </c>
      <c r="U168" s="141"/>
      <c r="V168" s="142"/>
    </row>
    <row r="169" spans="1:22" ht="12.75" x14ac:dyDescent="0.2">
      <c r="A169" s="93">
        <v>163</v>
      </c>
      <c r="B169" s="145" t="s">
        <v>204</v>
      </c>
      <c r="C169" s="141" t="s">
        <v>770</v>
      </c>
      <c r="D169" s="142" t="s">
        <v>867</v>
      </c>
      <c r="E169" s="149" t="s">
        <v>705</v>
      </c>
      <c r="F169" s="542">
        <v>78966947</v>
      </c>
      <c r="G169" s="542">
        <v>0</v>
      </c>
      <c r="H169" s="542">
        <v>102992</v>
      </c>
      <c r="I169" s="542">
        <v>288985</v>
      </c>
      <c r="J169" s="542">
        <v>0</v>
      </c>
      <c r="K169" s="542">
        <v>288985</v>
      </c>
      <c r="L169" s="542">
        <v>0</v>
      </c>
      <c r="M169" s="542">
        <v>0</v>
      </c>
      <c r="N169" s="542">
        <v>0</v>
      </c>
      <c r="O169" s="542">
        <v>0</v>
      </c>
      <c r="P169" s="542">
        <v>0</v>
      </c>
      <c r="Q169" s="542">
        <v>78574970</v>
      </c>
      <c r="R169" s="102" t="s">
        <v>705</v>
      </c>
      <c r="S169" s="103" t="s">
        <v>770</v>
      </c>
      <c r="T169" s="104" t="s">
        <v>758</v>
      </c>
      <c r="U169" s="141"/>
      <c r="V169" s="142"/>
    </row>
    <row r="170" spans="1:22" ht="12.75" x14ac:dyDescent="0.2">
      <c r="A170" s="93">
        <v>164</v>
      </c>
      <c r="B170" s="145" t="s">
        <v>206</v>
      </c>
      <c r="C170" s="141" t="s">
        <v>866</v>
      </c>
      <c r="D170" s="142" t="s">
        <v>869</v>
      </c>
      <c r="E170" s="149" t="s">
        <v>205</v>
      </c>
      <c r="F170" s="542">
        <v>12867006.300000001</v>
      </c>
      <c r="G170" s="542">
        <v>0</v>
      </c>
      <c r="H170" s="542">
        <v>10510</v>
      </c>
      <c r="I170" s="542">
        <v>61448</v>
      </c>
      <c r="J170" s="542">
        <v>0</v>
      </c>
      <c r="K170" s="542">
        <v>61448</v>
      </c>
      <c r="L170" s="542">
        <v>0</v>
      </c>
      <c r="M170" s="542">
        <v>0</v>
      </c>
      <c r="N170" s="542">
        <v>0</v>
      </c>
      <c r="O170" s="542">
        <v>0</v>
      </c>
      <c r="P170" s="542">
        <v>0</v>
      </c>
      <c r="Q170" s="542">
        <v>12795048.300000001</v>
      </c>
      <c r="R170" s="102" t="s">
        <v>205</v>
      </c>
      <c r="S170" s="103" t="s">
        <v>774</v>
      </c>
      <c r="T170" s="104" t="s">
        <v>775</v>
      </c>
      <c r="U170" s="141"/>
      <c r="V170" s="142"/>
    </row>
    <row r="171" spans="1:22" ht="12.75" x14ac:dyDescent="0.2">
      <c r="A171" s="93">
        <v>165</v>
      </c>
      <c r="B171" s="145" t="s">
        <v>208</v>
      </c>
      <c r="C171" s="141" t="s">
        <v>866</v>
      </c>
      <c r="D171" s="142" t="s">
        <v>875</v>
      </c>
      <c r="E171" s="149" t="s">
        <v>207</v>
      </c>
      <c r="F171" s="542">
        <v>32151689</v>
      </c>
      <c r="G171" s="542">
        <v>0</v>
      </c>
      <c r="H171" s="542">
        <v>135762</v>
      </c>
      <c r="I171" s="542">
        <v>164793</v>
      </c>
      <c r="J171" s="542">
        <v>0</v>
      </c>
      <c r="K171" s="542">
        <v>164793</v>
      </c>
      <c r="L171" s="542">
        <v>0</v>
      </c>
      <c r="M171" s="542">
        <v>0</v>
      </c>
      <c r="N171" s="542">
        <v>0</v>
      </c>
      <c r="O171" s="542">
        <v>0</v>
      </c>
      <c r="P171" s="542">
        <v>0</v>
      </c>
      <c r="Q171" s="542">
        <v>31851134</v>
      </c>
      <c r="R171" s="102" t="s">
        <v>207</v>
      </c>
      <c r="S171" s="103" t="s">
        <v>815</v>
      </c>
      <c r="T171" s="104" t="s">
        <v>804</v>
      </c>
      <c r="U171" s="141"/>
      <c r="V171" s="142"/>
    </row>
    <row r="172" spans="1:22" ht="12.75" x14ac:dyDescent="0.2">
      <c r="A172" s="93">
        <v>166</v>
      </c>
      <c r="B172" s="145" t="s">
        <v>210</v>
      </c>
      <c r="C172" s="141" t="s">
        <v>871</v>
      </c>
      <c r="D172" s="142" t="s">
        <v>872</v>
      </c>
      <c r="E172" s="149" t="s">
        <v>209</v>
      </c>
      <c r="F172" s="542">
        <v>79859493</v>
      </c>
      <c r="G172" s="542">
        <v>0</v>
      </c>
      <c r="H172" s="542">
        <v>271108</v>
      </c>
      <c r="I172" s="542">
        <v>280951</v>
      </c>
      <c r="J172" s="542">
        <v>37904</v>
      </c>
      <c r="K172" s="542">
        <v>318855</v>
      </c>
      <c r="L172" s="542">
        <v>0</v>
      </c>
      <c r="M172" s="542">
        <v>0</v>
      </c>
      <c r="N172" s="542">
        <v>0</v>
      </c>
      <c r="O172" s="542">
        <v>0</v>
      </c>
      <c r="P172" s="542">
        <v>0</v>
      </c>
      <c r="Q172" s="542">
        <v>79269530</v>
      </c>
      <c r="R172" s="102" t="s">
        <v>209</v>
      </c>
      <c r="S172" s="103" t="s">
        <v>762</v>
      </c>
      <c r="T172" s="103" t="s">
        <v>750</v>
      </c>
      <c r="U172" s="141"/>
      <c r="V172" s="142"/>
    </row>
    <row r="173" spans="1:22" ht="12.75" x14ac:dyDescent="0.2">
      <c r="A173" s="93">
        <v>167</v>
      </c>
      <c r="B173" s="145" t="s">
        <v>212</v>
      </c>
      <c r="C173" s="141" t="s">
        <v>866</v>
      </c>
      <c r="D173" s="142" t="s">
        <v>875</v>
      </c>
      <c r="E173" s="149" t="s">
        <v>211</v>
      </c>
      <c r="F173" s="542">
        <v>14621902</v>
      </c>
      <c r="G173" s="542">
        <v>5773</v>
      </c>
      <c r="H173" s="542">
        <v>0</v>
      </c>
      <c r="I173" s="542">
        <v>106197</v>
      </c>
      <c r="J173" s="542">
        <v>0</v>
      </c>
      <c r="K173" s="542">
        <v>106197</v>
      </c>
      <c r="L173" s="542">
        <v>0</v>
      </c>
      <c r="M173" s="542">
        <v>0</v>
      </c>
      <c r="N173" s="542">
        <v>68497</v>
      </c>
      <c r="O173" s="542">
        <v>68497</v>
      </c>
      <c r="P173" s="542">
        <v>0</v>
      </c>
      <c r="Q173" s="542">
        <v>14452981</v>
      </c>
      <c r="R173" s="102" t="s">
        <v>211</v>
      </c>
      <c r="S173" s="103" t="s">
        <v>803</v>
      </c>
      <c r="T173" s="104" t="s">
        <v>804</v>
      </c>
      <c r="U173" s="141"/>
      <c r="V173" s="142"/>
    </row>
    <row r="174" spans="1:22" ht="12.75" x14ac:dyDescent="0.2">
      <c r="A174" s="93">
        <v>168</v>
      </c>
      <c r="B174" s="145" t="s">
        <v>214</v>
      </c>
      <c r="C174" s="141" t="s">
        <v>866</v>
      </c>
      <c r="D174" s="142" t="s">
        <v>870</v>
      </c>
      <c r="E174" s="149" t="s">
        <v>213</v>
      </c>
      <c r="F174" s="542">
        <v>20716067</v>
      </c>
      <c r="G174" s="542">
        <v>0</v>
      </c>
      <c r="H174" s="542">
        <v>29903</v>
      </c>
      <c r="I174" s="542">
        <v>128904</v>
      </c>
      <c r="J174" s="542">
        <v>0</v>
      </c>
      <c r="K174" s="542">
        <v>128904</v>
      </c>
      <c r="L174" s="542">
        <v>0</v>
      </c>
      <c r="M174" s="542">
        <v>0</v>
      </c>
      <c r="N174" s="542">
        <v>52775</v>
      </c>
      <c r="O174" s="542">
        <v>52775</v>
      </c>
      <c r="P174" s="542">
        <v>0</v>
      </c>
      <c r="Q174" s="542">
        <v>20504485</v>
      </c>
      <c r="R174" s="102" t="s">
        <v>213</v>
      </c>
      <c r="S174" s="103" t="s">
        <v>761</v>
      </c>
      <c r="T174" s="104" t="s">
        <v>751</v>
      </c>
      <c r="U174" s="141"/>
      <c r="V174" s="142"/>
    </row>
    <row r="175" spans="1:22" ht="12.75" x14ac:dyDescent="0.2">
      <c r="A175" s="93">
        <v>169</v>
      </c>
      <c r="B175" s="145" t="s">
        <v>216</v>
      </c>
      <c r="C175" s="141" t="s">
        <v>866</v>
      </c>
      <c r="D175" s="142" t="s">
        <v>867</v>
      </c>
      <c r="E175" s="149" t="s">
        <v>215</v>
      </c>
      <c r="F175" s="542">
        <v>41332603</v>
      </c>
      <c r="G175" s="542">
        <v>0</v>
      </c>
      <c r="H175" s="542">
        <v>44463</v>
      </c>
      <c r="I175" s="542">
        <v>171742</v>
      </c>
      <c r="J175" s="542">
        <v>0</v>
      </c>
      <c r="K175" s="542">
        <v>171742</v>
      </c>
      <c r="L175" s="542">
        <v>0</v>
      </c>
      <c r="M175" s="542">
        <v>0</v>
      </c>
      <c r="N175" s="542">
        <v>0</v>
      </c>
      <c r="O175" s="542">
        <v>0</v>
      </c>
      <c r="P175" s="542">
        <v>0</v>
      </c>
      <c r="Q175" s="542">
        <v>41116398</v>
      </c>
      <c r="R175" s="102" t="s">
        <v>215</v>
      </c>
      <c r="S175" s="103" t="s">
        <v>749</v>
      </c>
      <c r="T175" s="104" t="s">
        <v>751</v>
      </c>
      <c r="U175" s="141"/>
      <c r="V175" s="142"/>
    </row>
    <row r="176" spans="1:22" ht="12.75" x14ac:dyDescent="0.2">
      <c r="A176" s="93">
        <v>170</v>
      </c>
      <c r="B176" s="145" t="s">
        <v>218</v>
      </c>
      <c r="C176" s="141" t="s">
        <v>770</v>
      </c>
      <c r="D176" s="142" t="s">
        <v>878</v>
      </c>
      <c r="E176" s="149" t="s">
        <v>706</v>
      </c>
      <c r="F176" s="542">
        <v>39784473</v>
      </c>
      <c r="G176" s="542">
        <v>0</v>
      </c>
      <c r="H176" s="542">
        <v>386408</v>
      </c>
      <c r="I176" s="542">
        <v>177799</v>
      </c>
      <c r="J176" s="542">
        <v>0</v>
      </c>
      <c r="K176" s="542">
        <v>177799</v>
      </c>
      <c r="L176" s="542">
        <v>0</v>
      </c>
      <c r="M176" s="542">
        <v>0</v>
      </c>
      <c r="N176" s="542">
        <v>0</v>
      </c>
      <c r="O176" s="542">
        <v>0</v>
      </c>
      <c r="P176" s="542">
        <v>0</v>
      </c>
      <c r="Q176" s="542">
        <v>39220266</v>
      </c>
      <c r="R176" s="102" t="s">
        <v>706</v>
      </c>
      <c r="S176" s="103" t="s">
        <v>770</v>
      </c>
      <c r="T176" s="104" t="s">
        <v>809</v>
      </c>
      <c r="U176" s="141"/>
      <c r="V176" s="142"/>
    </row>
    <row r="177" spans="1:22" ht="12.75" x14ac:dyDescent="0.2">
      <c r="A177" s="93">
        <v>171</v>
      </c>
      <c r="B177" s="145" t="s">
        <v>220</v>
      </c>
      <c r="C177" s="141" t="s">
        <v>770</v>
      </c>
      <c r="D177" s="142" t="s">
        <v>867</v>
      </c>
      <c r="E177" s="149" t="s">
        <v>707</v>
      </c>
      <c r="F177" s="542">
        <v>145775373</v>
      </c>
      <c r="G177" s="542">
        <v>0</v>
      </c>
      <c r="H177" s="542">
        <v>1922297</v>
      </c>
      <c r="I177" s="542">
        <v>374347</v>
      </c>
      <c r="J177" s="542">
        <v>0</v>
      </c>
      <c r="K177" s="542">
        <v>374347</v>
      </c>
      <c r="L177" s="542">
        <v>0</v>
      </c>
      <c r="M177" s="542">
        <v>0</v>
      </c>
      <c r="N177" s="542">
        <v>0</v>
      </c>
      <c r="O177" s="542">
        <v>0</v>
      </c>
      <c r="P177" s="542">
        <v>0</v>
      </c>
      <c r="Q177" s="542">
        <v>143478729</v>
      </c>
      <c r="R177" s="102" t="s">
        <v>707</v>
      </c>
      <c r="S177" s="103" t="s">
        <v>770</v>
      </c>
      <c r="T177" s="104" t="s">
        <v>760</v>
      </c>
      <c r="U177" s="141"/>
      <c r="V177" s="142"/>
    </row>
    <row r="178" spans="1:22" ht="12.75" x14ac:dyDescent="0.2">
      <c r="A178" s="93">
        <v>172</v>
      </c>
      <c r="B178" s="145" t="s">
        <v>222</v>
      </c>
      <c r="C178" s="141" t="s">
        <v>866</v>
      </c>
      <c r="D178" s="142" t="s">
        <v>867</v>
      </c>
      <c r="E178" s="149" t="s">
        <v>221</v>
      </c>
      <c r="F178" s="542">
        <v>34328028</v>
      </c>
      <c r="G178" s="542">
        <v>0</v>
      </c>
      <c r="H178" s="542">
        <v>60807</v>
      </c>
      <c r="I178" s="542">
        <v>151470</v>
      </c>
      <c r="J178" s="542">
        <v>0</v>
      </c>
      <c r="K178" s="542">
        <v>151470</v>
      </c>
      <c r="L178" s="542">
        <v>0</v>
      </c>
      <c r="M178" s="542">
        <v>0</v>
      </c>
      <c r="N178" s="542">
        <v>0</v>
      </c>
      <c r="O178" s="542">
        <v>0</v>
      </c>
      <c r="P178" s="542">
        <v>0</v>
      </c>
      <c r="Q178" s="542">
        <v>34115751</v>
      </c>
      <c r="R178" s="102" t="s">
        <v>221</v>
      </c>
      <c r="S178" s="103" t="s">
        <v>807</v>
      </c>
      <c r="T178" s="104" t="s">
        <v>751</v>
      </c>
      <c r="U178" s="141"/>
      <c r="V178" s="142"/>
    </row>
    <row r="179" spans="1:22" ht="12.75" x14ac:dyDescent="0.2">
      <c r="A179" s="93">
        <v>173</v>
      </c>
      <c r="B179" s="145" t="s">
        <v>224</v>
      </c>
      <c r="C179" s="141" t="s">
        <v>866</v>
      </c>
      <c r="D179" s="142" t="s">
        <v>867</v>
      </c>
      <c r="E179" s="149" t="s">
        <v>223</v>
      </c>
      <c r="F179" s="542">
        <v>61692476</v>
      </c>
      <c r="G179" s="542">
        <v>305819</v>
      </c>
      <c r="H179" s="542">
        <v>0</v>
      </c>
      <c r="I179" s="542">
        <v>285799</v>
      </c>
      <c r="J179" s="542">
        <v>0</v>
      </c>
      <c r="K179" s="542">
        <v>285799</v>
      </c>
      <c r="L179" s="542">
        <v>0</v>
      </c>
      <c r="M179" s="542">
        <v>0</v>
      </c>
      <c r="N179" s="542">
        <v>19336</v>
      </c>
      <c r="O179" s="542">
        <v>19336</v>
      </c>
      <c r="P179" s="542">
        <v>0</v>
      </c>
      <c r="Q179" s="542">
        <v>61693160</v>
      </c>
      <c r="R179" s="102" t="s">
        <v>223</v>
      </c>
      <c r="S179" s="103" t="s">
        <v>767</v>
      </c>
      <c r="T179" s="104" t="s">
        <v>768</v>
      </c>
      <c r="U179" s="141"/>
      <c r="V179" s="142"/>
    </row>
    <row r="180" spans="1:22" ht="12.75" x14ac:dyDescent="0.2">
      <c r="A180" s="93">
        <v>174</v>
      </c>
      <c r="B180" s="145" t="s">
        <v>226</v>
      </c>
      <c r="C180" s="141" t="s">
        <v>866</v>
      </c>
      <c r="D180" s="142" t="s">
        <v>869</v>
      </c>
      <c r="E180" s="149" t="s">
        <v>708</v>
      </c>
      <c r="F180" s="542">
        <v>37599369</v>
      </c>
      <c r="G180" s="542">
        <v>0</v>
      </c>
      <c r="H180" s="542">
        <v>385665</v>
      </c>
      <c r="I180" s="542">
        <v>164612</v>
      </c>
      <c r="J180" s="542">
        <v>0</v>
      </c>
      <c r="K180" s="542">
        <v>164612</v>
      </c>
      <c r="L180" s="542">
        <v>0</v>
      </c>
      <c r="M180" s="542">
        <v>0</v>
      </c>
      <c r="N180" s="542">
        <v>0</v>
      </c>
      <c r="O180" s="542">
        <v>0</v>
      </c>
      <c r="P180" s="542">
        <v>0</v>
      </c>
      <c r="Q180" s="542">
        <v>37049092</v>
      </c>
      <c r="R180" s="102" t="s">
        <v>708</v>
      </c>
      <c r="S180" s="103" t="s">
        <v>755</v>
      </c>
      <c r="T180" s="104" t="s">
        <v>756</v>
      </c>
      <c r="U180" s="141"/>
      <c r="V180" s="142"/>
    </row>
    <row r="181" spans="1:22" ht="12.75" x14ac:dyDescent="0.2">
      <c r="A181" s="93">
        <v>175</v>
      </c>
      <c r="B181" s="145" t="s">
        <v>228</v>
      </c>
      <c r="C181" s="141" t="s">
        <v>873</v>
      </c>
      <c r="D181" s="142" t="s">
        <v>878</v>
      </c>
      <c r="E181" s="149" t="s">
        <v>886</v>
      </c>
      <c r="F181" s="542">
        <v>145212614</v>
      </c>
      <c r="G181" s="542">
        <v>0</v>
      </c>
      <c r="H181" s="542">
        <v>906640</v>
      </c>
      <c r="I181" s="542">
        <v>464180</v>
      </c>
      <c r="J181" s="542">
        <v>0</v>
      </c>
      <c r="K181" s="542">
        <v>464180</v>
      </c>
      <c r="L181" s="542">
        <v>0</v>
      </c>
      <c r="M181" s="542">
        <v>650878</v>
      </c>
      <c r="N181" s="542">
        <v>0</v>
      </c>
      <c r="O181" s="542">
        <v>0</v>
      </c>
      <c r="P181" s="542">
        <v>0</v>
      </c>
      <c r="Q181" s="542">
        <v>143190916</v>
      </c>
      <c r="R181" s="105" t="s">
        <v>227</v>
      </c>
      <c r="S181" s="103" t="s">
        <v>763</v>
      </c>
      <c r="T181" s="104" t="s">
        <v>808</v>
      </c>
      <c r="U181" s="141"/>
      <c r="V181" s="142"/>
    </row>
    <row r="182" spans="1:22" ht="12.75" x14ac:dyDescent="0.2">
      <c r="A182" s="93">
        <v>176</v>
      </c>
      <c r="B182" s="145" t="s">
        <v>230</v>
      </c>
      <c r="C182" s="141" t="s">
        <v>866</v>
      </c>
      <c r="D182" s="142" t="s">
        <v>876</v>
      </c>
      <c r="E182" s="149" t="s">
        <v>229</v>
      </c>
      <c r="F182" s="542">
        <v>31988245</v>
      </c>
      <c r="G182" s="542">
        <v>0</v>
      </c>
      <c r="H182" s="542">
        <v>131247</v>
      </c>
      <c r="I182" s="542">
        <v>141625</v>
      </c>
      <c r="J182" s="542">
        <v>0</v>
      </c>
      <c r="K182" s="542">
        <v>141625</v>
      </c>
      <c r="L182" s="542">
        <v>0</v>
      </c>
      <c r="M182" s="542">
        <v>0</v>
      </c>
      <c r="N182" s="542">
        <v>0</v>
      </c>
      <c r="O182" s="542">
        <v>0</v>
      </c>
      <c r="P182" s="542">
        <v>0</v>
      </c>
      <c r="Q182" s="542">
        <v>31715373</v>
      </c>
      <c r="R182" s="102" t="s">
        <v>229</v>
      </c>
      <c r="S182" s="103" t="s">
        <v>792</v>
      </c>
      <c r="T182" s="104" t="s">
        <v>793</v>
      </c>
      <c r="U182" s="141"/>
      <c r="V182" s="142"/>
    </row>
    <row r="183" spans="1:22" ht="12.75" x14ac:dyDescent="0.2">
      <c r="A183" s="93">
        <v>177</v>
      </c>
      <c r="B183" s="145" t="s">
        <v>232</v>
      </c>
      <c r="C183" s="141" t="s">
        <v>871</v>
      </c>
      <c r="D183" s="142" t="s">
        <v>872</v>
      </c>
      <c r="E183" s="149" t="s">
        <v>231</v>
      </c>
      <c r="F183" s="542">
        <v>116343387</v>
      </c>
      <c r="G183" s="542">
        <v>233165</v>
      </c>
      <c r="H183" s="542">
        <v>0</v>
      </c>
      <c r="I183" s="542">
        <v>376969</v>
      </c>
      <c r="J183" s="542">
        <v>0</v>
      </c>
      <c r="K183" s="542">
        <v>376969</v>
      </c>
      <c r="L183" s="542">
        <v>0</v>
      </c>
      <c r="M183" s="542">
        <v>0</v>
      </c>
      <c r="N183" s="542">
        <v>0</v>
      </c>
      <c r="O183" s="542">
        <v>0</v>
      </c>
      <c r="P183" s="542">
        <v>0</v>
      </c>
      <c r="Q183" s="542">
        <v>116199583</v>
      </c>
      <c r="R183" s="102" t="s">
        <v>231</v>
      </c>
      <c r="S183" s="103" t="s">
        <v>762</v>
      </c>
      <c r="T183" s="103" t="s">
        <v>750</v>
      </c>
      <c r="U183" s="141"/>
      <c r="V183" s="142"/>
    </row>
    <row r="184" spans="1:22" ht="12.75" x14ac:dyDescent="0.2">
      <c r="A184" s="93">
        <v>178</v>
      </c>
      <c r="B184" s="145" t="s">
        <v>234</v>
      </c>
      <c r="C184" s="141" t="s">
        <v>866</v>
      </c>
      <c r="D184" s="142" t="s">
        <v>875</v>
      </c>
      <c r="E184" s="149" t="s">
        <v>233</v>
      </c>
      <c r="F184" s="542">
        <v>31484611</v>
      </c>
      <c r="G184" s="542">
        <v>115768</v>
      </c>
      <c r="H184" s="542">
        <v>0</v>
      </c>
      <c r="I184" s="542">
        <v>201488</v>
      </c>
      <c r="J184" s="542">
        <v>0</v>
      </c>
      <c r="K184" s="542">
        <v>201488</v>
      </c>
      <c r="L184" s="542">
        <v>0</v>
      </c>
      <c r="M184" s="542">
        <v>0</v>
      </c>
      <c r="N184" s="542">
        <v>22088</v>
      </c>
      <c r="O184" s="542">
        <v>22088</v>
      </c>
      <c r="P184" s="542">
        <v>0</v>
      </c>
      <c r="Q184" s="542">
        <v>31376803</v>
      </c>
      <c r="R184" s="102" t="s">
        <v>233</v>
      </c>
      <c r="S184" s="103" t="s">
        <v>803</v>
      </c>
      <c r="T184" s="104" t="s">
        <v>804</v>
      </c>
      <c r="U184" s="141"/>
      <c r="V184" s="142"/>
    </row>
    <row r="185" spans="1:22" ht="12.75" x14ac:dyDescent="0.2">
      <c r="A185" s="93">
        <v>179</v>
      </c>
      <c r="B185" s="145" t="s">
        <v>236</v>
      </c>
      <c r="C185" s="141" t="s">
        <v>866</v>
      </c>
      <c r="D185" s="142" t="s">
        <v>875</v>
      </c>
      <c r="E185" s="149" t="s">
        <v>235</v>
      </c>
      <c r="F185" s="542">
        <v>12803860</v>
      </c>
      <c r="G185" s="542">
        <v>101291</v>
      </c>
      <c r="H185" s="542">
        <v>0</v>
      </c>
      <c r="I185" s="542">
        <v>92308</v>
      </c>
      <c r="J185" s="542">
        <v>0</v>
      </c>
      <c r="K185" s="542">
        <v>92308</v>
      </c>
      <c r="L185" s="542">
        <v>0</v>
      </c>
      <c r="M185" s="542">
        <v>0</v>
      </c>
      <c r="N185" s="542">
        <v>25348</v>
      </c>
      <c r="O185" s="542">
        <v>25348</v>
      </c>
      <c r="P185" s="542">
        <v>0</v>
      </c>
      <c r="Q185" s="542">
        <v>12787495</v>
      </c>
      <c r="R185" s="102" t="s">
        <v>235</v>
      </c>
      <c r="S185" s="103" t="s">
        <v>797</v>
      </c>
      <c r="T185" s="104" t="s">
        <v>779</v>
      </c>
      <c r="U185" s="141"/>
      <c r="V185" s="142"/>
    </row>
    <row r="186" spans="1:22" ht="12.75" x14ac:dyDescent="0.2">
      <c r="A186" s="93">
        <v>180</v>
      </c>
      <c r="B186" s="145" t="s">
        <v>238</v>
      </c>
      <c r="C186" s="141" t="s">
        <v>866</v>
      </c>
      <c r="D186" s="142" t="s">
        <v>869</v>
      </c>
      <c r="E186" s="149" t="s">
        <v>237</v>
      </c>
      <c r="F186" s="542">
        <v>15475102</v>
      </c>
      <c r="G186" s="542">
        <v>41949</v>
      </c>
      <c r="H186" s="542">
        <v>0</v>
      </c>
      <c r="I186" s="542">
        <v>97897</v>
      </c>
      <c r="J186" s="542">
        <v>0</v>
      </c>
      <c r="K186" s="542">
        <v>97897</v>
      </c>
      <c r="L186" s="542">
        <v>0</v>
      </c>
      <c r="M186" s="542">
        <v>0</v>
      </c>
      <c r="N186" s="542">
        <v>0</v>
      </c>
      <c r="O186" s="542">
        <v>0</v>
      </c>
      <c r="P186" s="542">
        <v>0</v>
      </c>
      <c r="Q186" s="542">
        <v>15419154</v>
      </c>
      <c r="R186" s="102" t="s">
        <v>237</v>
      </c>
      <c r="S186" s="103" t="s">
        <v>753</v>
      </c>
      <c r="T186" s="104" t="s">
        <v>754</v>
      </c>
      <c r="U186" s="141"/>
      <c r="V186" s="142"/>
    </row>
    <row r="187" spans="1:22" ht="12.75" x14ac:dyDescent="0.2">
      <c r="A187" s="93">
        <v>181</v>
      </c>
      <c r="B187" s="145" t="s">
        <v>240</v>
      </c>
      <c r="C187" s="141" t="s">
        <v>770</v>
      </c>
      <c r="D187" s="142" t="s">
        <v>874</v>
      </c>
      <c r="E187" s="149" t="s">
        <v>709</v>
      </c>
      <c r="F187" s="542">
        <v>52277085</v>
      </c>
      <c r="G187" s="542">
        <v>0</v>
      </c>
      <c r="H187" s="542">
        <v>931969</v>
      </c>
      <c r="I187" s="542">
        <v>239474</v>
      </c>
      <c r="J187" s="542">
        <v>0</v>
      </c>
      <c r="K187" s="542">
        <v>239474</v>
      </c>
      <c r="L187" s="542">
        <v>0</v>
      </c>
      <c r="M187" s="542">
        <v>0</v>
      </c>
      <c r="N187" s="542">
        <v>0</v>
      </c>
      <c r="O187" s="542">
        <v>0</v>
      </c>
      <c r="P187" s="542">
        <v>0</v>
      </c>
      <c r="Q187" s="542">
        <v>51105642</v>
      </c>
      <c r="R187" s="102" t="s">
        <v>709</v>
      </c>
      <c r="S187" s="103" t="s">
        <v>770</v>
      </c>
      <c r="T187" s="104" t="s">
        <v>805</v>
      </c>
      <c r="U187" s="141"/>
      <c r="V187" s="142"/>
    </row>
    <row r="188" spans="1:22" ht="12.75" x14ac:dyDescent="0.2">
      <c r="A188" s="93">
        <v>182</v>
      </c>
      <c r="B188" s="145" t="s">
        <v>242</v>
      </c>
      <c r="C188" s="141" t="s">
        <v>866</v>
      </c>
      <c r="D188" s="142" t="s">
        <v>870</v>
      </c>
      <c r="E188" s="149" t="s">
        <v>241</v>
      </c>
      <c r="F188" s="542">
        <v>36656966</v>
      </c>
      <c r="G188" s="542">
        <v>0</v>
      </c>
      <c r="H188" s="542">
        <v>70503</v>
      </c>
      <c r="I188" s="542">
        <v>180795</v>
      </c>
      <c r="J188" s="542">
        <v>0</v>
      </c>
      <c r="K188" s="542">
        <v>180795</v>
      </c>
      <c r="L188" s="542">
        <v>0</v>
      </c>
      <c r="M188" s="542">
        <v>0</v>
      </c>
      <c r="N188" s="542">
        <v>0</v>
      </c>
      <c r="O188" s="542">
        <v>0</v>
      </c>
      <c r="P188" s="542">
        <v>0</v>
      </c>
      <c r="Q188" s="542">
        <v>36405668</v>
      </c>
      <c r="R188" s="102" t="s">
        <v>241</v>
      </c>
      <c r="S188" s="103" t="s">
        <v>788</v>
      </c>
      <c r="T188" s="104" t="s">
        <v>751</v>
      </c>
      <c r="U188" s="141"/>
      <c r="V188" s="142"/>
    </row>
    <row r="189" spans="1:22" ht="12.75" x14ac:dyDescent="0.2">
      <c r="A189" s="93">
        <v>183</v>
      </c>
      <c r="B189" s="145" t="s">
        <v>244</v>
      </c>
      <c r="C189" s="141" t="s">
        <v>866</v>
      </c>
      <c r="D189" s="142" t="s">
        <v>869</v>
      </c>
      <c r="E189" s="149" t="s">
        <v>243</v>
      </c>
      <c r="F189" s="542">
        <v>21959537</v>
      </c>
      <c r="G189" s="542">
        <v>0</v>
      </c>
      <c r="H189" s="542">
        <v>247364</v>
      </c>
      <c r="I189" s="542">
        <v>122926</v>
      </c>
      <c r="J189" s="542">
        <v>0</v>
      </c>
      <c r="K189" s="542">
        <v>122926</v>
      </c>
      <c r="L189" s="542">
        <v>0</v>
      </c>
      <c r="M189" s="542">
        <v>0</v>
      </c>
      <c r="N189" s="542">
        <v>935833</v>
      </c>
      <c r="O189" s="542">
        <v>796908</v>
      </c>
      <c r="P189" s="542">
        <v>138925</v>
      </c>
      <c r="Q189" s="542">
        <v>20653414</v>
      </c>
      <c r="R189" s="102" t="s">
        <v>243</v>
      </c>
      <c r="S189" s="103" t="s">
        <v>778</v>
      </c>
      <c r="T189" s="104" t="s">
        <v>751</v>
      </c>
      <c r="U189" s="141"/>
      <c r="V189" s="142"/>
    </row>
    <row r="190" spans="1:22" ht="12.75" x14ac:dyDescent="0.2">
      <c r="A190" s="93">
        <v>184</v>
      </c>
      <c r="B190" s="145" t="s">
        <v>246</v>
      </c>
      <c r="C190" s="141" t="s">
        <v>770</v>
      </c>
      <c r="D190" s="142" t="s">
        <v>874</v>
      </c>
      <c r="E190" s="149" t="s">
        <v>710</v>
      </c>
      <c r="F190" s="542">
        <v>86202404</v>
      </c>
      <c r="G190" s="542">
        <v>0</v>
      </c>
      <c r="H190" s="542">
        <v>264648</v>
      </c>
      <c r="I190" s="542">
        <v>252128</v>
      </c>
      <c r="J190" s="542">
        <v>0</v>
      </c>
      <c r="K190" s="542">
        <v>252128</v>
      </c>
      <c r="L190" s="542">
        <v>0</v>
      </c>
      <c r="M190" s="542">
        <v>18287</v>
      </c>
      <c r="N190" s="542">
        <v>747176</v>
      </c>
      <c r="O190" s="542">
        <v>747176</v>
      </c>
      <c r="P190" s="542">
        <v>0</v>
      </c>
      <c r="Q190" s="542">
        <v>84920165</v>
      </c>
      <c r="R190" s="102" t="s">
        <v>710</v>
      </c>
      <c r="S190" s="103" t="s">
        <v>770</v>
      </c>
      <c r="T190" s="104" t="s">
        <v>805</v>
      </c>
      <c r="U190" s="141"/>
      <c r="V190" s="142"/>
    </row>
    <row r="191" spans="1:22" ht="12.75" x14ac:dyDescent="0.2">
      <c r="A191" s="93">
        <v>185</v>
      </c>
      <c r="B191" s="145" t="s">
        <v>248</v>
      </c>
      <c r="C191" s="141" t="s">
        <v>866</v>
      </c>
      <c r="D191" s="142" t="s">
        <v>870</v>
      </c>
      <c r="E191" s="149" t="s">
        <v>247</v>
      </c>
      <c r="F191" s="542">
        <v>22797981</v>
      </c>
      <c r="G191" s="542">
        <v>54202</v>
      </c>
      <c r="H191" s="542">
        <v>0</v>
      </c>
      <c r="I191" s="542">
        <v>233476</v>
      </c>
      <c r="J191" s="542">
        <v>0</v>
      </c>
      <c r="K191" s="542">
        <v>233476</v>
      </c>
      <c r="L191" s="542">
        <v>0</v>
      </c>
      <c r="M191" s="542">
        <v>0</v>
      </c>
      <c r="N191" s="542">
        <v>203715</v>
      </c>
      <c r="O191" s="542">
        <v>203715</v>
      </c>
      <c r="P191" s="542">
        <v>0</v>
      </c>
      <c r="Q191" s="542">
        <v>22414992</v>
      </c>
      <c r="R191" s="102" t="s">
        <v>247</v>
      </c>
      <c r="S191" s="103" t="s">
        <v>782</v>
      </c>
      <c r="T191" s="104" t="s">
        <v>751</v>
      </c>
      <c r="U191" s="141"/>
      <c r="V191" s="142"/>
    </row>
    <row r="192" spans="1:22" ht="12.75" x14ac:dyDescent="0.2">
      <c r="A192" s="93">
        <v>186</v>
      </c>
      <c r="B192" s="145" t="s">
        <v>250</v>
      </c>
      <c r="C192" s="141" t="s">
        <v>770</v>
      </c>
      <c r="D192" s="142" t="s">
        <v>875</v>
      </c>
      <c r="E192" s="149" t="s">
        <v>711</v>
      </c>
      <c r="F192" s="542">
        <v>56886522.799999997</v>
      </c>
      <c r="G192" s="542">
        <v>40793</v>
      </c>
      <c r="H192" s="542">
        <v>0</v>
      </c>
      <c r="I192" s="542">
        <v>258158</v>
      </c>
      <c r="J192" s="542">
        <v>0</v>
      </c>
      <c r="K192" s="542">
        <v>258158</v>
      </c>
      <c r="L192" s="542">
        <v>0</v>
      </c>
      <c r="M192" s="542">
        <v>67276</v>
      </c>
      <c r="N192" s="542">
        <v>12713</v>
      </c>
      <c r="O192" s="542">
        <v>12713</v>
      </c>
      <c r="P192" s="542">
        <v>0</v>
      </c>
      <c r="Q192" s="542">
        <v>56589168.799999997</v>
      </c>
      <c r="R192" s="102" t="s">
        <v>711</v>
      </c>
      <c r="S192" s="103" t="s">
        <v>770</v>
      </c>
      <c r="T192" s="104" t="s">
        <v>771</v>
      </c>
      <c r="U192" s="141"/>
      <c r="V192" s="142"/>
    </row>
    <row r="193" spans="1:22" ht="12.75" x14ac:dyDescent="0.2">
      <c r="A193" s="93">
        <v>187</v>
      </c>
      <c r="B193" s="145" t="s">
        <v>252</v>
      </c>
      <c r="C193" s="141" t="s">
        <v>873</v>
      </c>
      <c r="D193" s="142" t="s">
        <v>878</v>
      </c>
      <c r="E193" s="149" t="s">
        <v>251</v>
      </c>
      <c r="F193" s="542">
        <v>56079216</v>
      </c>
      <c r="G193" s="542">
        <v>0</v>
      </c>
      <c r="H193" s="542">
        <v>3321290</v>
      </c>
      <c r="I193" s="542">
        <v>229556</v>
      </c>
      <c r="J193" s="542">
        <v>0</v>
      </c>
      <c r="K193" s="542">
        <v>229556</v>
      </c>
      <c r="L193" s="542">
        <v>0</v>
      </c>
      <c r="M193" s="542">
        <v>54942</v>
      </c>
      <c r="N193" s="542">
        <v>0</v>
      </c>
      <c r="O193" s="542">
        <v>0</v>
      </c>
      <c r="P193" s="542">
        <v>0</v>
      </c>
      <c r="Q193" s="542">
        <v>52473428</v>
      </c>
      <c r="R193" s="102" t="s">
        <v>251</v>
      </c>
      <c r="S193" s="103" t="s">
        <v>763</v>
      </c>
      <c r="T193" s="104" t="s">
        <v>808</v>
      </c>
      <c r="U193" s="141"/>
      <c r="V193" s="142"/>
    </row>
    <row r="194" spans="1:22" ht="12.75" x14ac:dyDescent="0.2">
      <c r="A194" s="93">
        <v>188</v>
      </c>
      <c r="B194" s="145" t="s">
        <v>254</v>
      </c>
      <c r="C194" s="141" t="s">
        <v>866</v>
      </c>
      <c r="D194" s="142" t="s">
        <v>876</v>
      </c>
      <c r="E194" s="149" t="s">
        <v>253</v>
      </c>
      <c r="F194" s="542">
        <v>39784479</v>
      </c>
      <c r="G194" s="542">
        <v>0</v>
      </c>
      <c r="H194" s="542">
        <v>332732</v>
      </c>
      <c r="I194" s="542">
        <v>109009</v>
      </c>
      <c r="J194" s="542">
        <v>0</v>
      </c>
      <c r="K194" s="542">
        <v>109009</v>
      </c>
      <c r="L194" s="542">
        <v>0</v>
      </c>
      <c r="M194" s="542">
        <v>0</v>
      </c>
      <c r="N194" s="542">
        <v>0</v>
      </c>
      <c r="O194" s="542">
        <v>0</v>
      </c>
      <c r="P194" s="542">
        <v>0</v>
      </c>
      <c r="Q194" s="542">
        <v>39342738</v>
      </c>
      <c r="R194" s="102" t="s">
        <v>253</v>
      </c>
      <c r="S194" s="103" t="s">
        <v>816</v>
      </c>
      <c r="T194" s="104" t="s">
        <v>751</v>
      </c>
      <c r="U194" s="141"/>
      <c r="V194" s="142"/>
    </row>
    <row r="195" spans="1:22" ht="12.75" x14ac:dyDescent="0.2">
      <c r="A195" s="93">
        <v>189</v>
      </c>
      <c r="B195" s="145" t="s">
        <v>256</v>
      </c>
      <c r="C195" s="141" t="s">
        <v>866</v>
      </c>
      <c r="D195" s="142" t="s">
        <v>869</v>
      </c>
      <c r="E195" s="149" t="s">
        <v>255</v>
      </c>
      <c r="F195" s="542">
        <v>46760203.799999997</v>
      </c>
      <c r="G195" s="542">
        <v>0</v>
      </c>
      <c r="H195" s="542">
        <v>208372</v>
      </c>
      <c r="I195" s="542">
        <v>145240</v>
      </c>
      <c r="J195" s="542">
        <v>0</v>
      </c>
      <c r="K195" s="542">
        <v>145240</v>
      </c>
      <c r="L195" s="542">
        <v>0</v>
      </c>
      <c r="M195" s="542">
        <v>0</v>
      </c>
      <c r="N195" s="542">
        <v>0</v>
      </c>
      <c r="O195" s="542">
        <v>0</v>
      </c>
      <c r="P195" s="542">
        <v>0</v>
      </c>
      <c r="Q195" s="542">
        <v>46406591.799999997</v>
      </c>
      <c r="R195" s="102" t="s">
        <v>255</v>
      </c>
      <c r="S195" s="103" t="s">
        <v>774</v>
      </c>
      <c r="T195" s="104" t="s">
        <v>775</v>
      </c>
      <c r="U195" s="141"/>
      <c r="V195" s="142"/>
    </row>
    <row r="196" spans="1:22" ht="12.75" x14ac:dyDescent="0.2">
      <c r="A196" s="93">
        <v>190</v>
      </c>
      <c r="B196" s="145" t="s">
        <v>258</v>
      </c>
      <c r="C196" s="141" t="s">
        <v>866</v>
      </c>
      <c r="D196" s="142" t="s">
        <v>869</v>
      </c>
      <c r="E196" s="149" t="s">
        <v>257</v>
      </c>
      <c r="F196" s="542">
        <v>97699898</v>
      </c>
      <c r="G196" s="542">
        <v>0</v>
      </c>
      <c r="H196" s="542">
        <v>885216</v>
      </c>
      <c r="I196" s="542">
        <v>299138</v>
      </c>
      <c r="J196" s="542">
        <v>0</v>
      </c>
      <c r="K196" s="542">
        <v>299138</v>
      </c>
      <c r="L196" s="542">
        <v>0</v>
      </c>
      <c r="M196" s="542">
        <v>519041</v>
      </c>
      <c r="N196" s="542">
        <v>0</v>
      </c>
      <c r="O196" s="542">
        <v>0</v>
      </c>
      <c r="P196" s="542">
        <v>0</v>
      </c>
      <c r="Q196" s="542">
        <v>95996503</v>
      </c>
      <c r="R196" s="102" t="s">
        <v>257</v>
      </c>
      <c r="S196" s="103" t="s">
        <v>799</v>
      </c>
      <c r="T196" s="104" t="s">
        <v>751</v>
      </c>
      <c r="U196" s="141"/>
      <c r="V196" s="142"/>
    </row>
    <row r="197" spans="1:22" ht="12.75" x14ac:dyDescent="0.2">
      <c r="A197" s="93">
        <v>191</v>
      </c>
      <c r="B197" s="145" t="s">
        <v>260</v>
      </c>
      <c r="C197" s="141" t="s">
        <v>770</v>
      </c>
      <c r="D197" s="142" t="s">
        <v>878</v>
      </c>
      <c r="E197" s="149" t="s">
        <v>259</v>
      </c>
      <c r="F197" s="542">
        <v>74372184</v>
      </c>
      <c r="G197" s="542">
        <v>0</v>
      </c>
      <c r="H197" s="542">
        <v>297341</v>
      </c>
      <c r="I197" s="542">
        <v>471093</v>
      </c>
      <c r="J197" s="542">
        <v>0</v>
      </c>
      <c r="K197" s="542">
        <v>471093</v>
      </c>
      <c r="L197" s="542">
        <v>0</v>
      </c>
      <c r="M197" s="542">
        <v>1003</v>
      </c>
      <c r="N197" s="542">
        <v>1083699</v>
      </c>
      <c r="O197" s="542">
        <v>1083699</v>
      </c>
      <c r="P197" s="542">
        <v>0</v>
      </c>
      <c r="Q197" s="542">
        <v>72519048</v>
      </c>
      <c r="R197" s="102" t="s">
        <v>259</v>
      </c>
      <c r="S197" s="103" t="s">
        <v>770</v>
      </c>
      <c r="T197" s="104" t="s">
        <v>751</v>
      </c>
      <c r="U197" s="141"/>
      <c r="V197" s="142"/>
    </row>
    <row r="198" spans="1:22" ht="12.75" x14ac:dyDescent="0.2">
      <c r="A198" s="93">
        <v>192</v>
      </c>
      <c r="B198" s="145" t="s">
        <v>262</v>
      </c>
      <c r="C198" s="141" t="s">
        <v>866</v>
      </c>
      <c r="D198" s="142" t="s">
        <v>870</v>
      </c>
      <c r="E198" s="149" t="s">
        <v>261</v>
      </c>
      <c r="F198" s="542">
        <v>75376395</v>
      </c>
      <c r="G198" s="542">
        <v>0</v>
      </c>
      <c r="H198" s="542">
        <v>818422</v>
      </c>
      <c r="I198" s="542">
        <v>270914</v>
      </c>
      <c r="J198" s="542">
        <v>0</v>
      </c>
      <c r="K198" s="542">
        <v>270914</v>
      </c>
      <c r="L198" s="542">
        <v>0</v>
      </c>
      <c r="M198" s="542">
        <v>0</v>
      </c>
      <c r="N198" s="542">
        <v>0</v>
      </c>
      <c r="O198" s="542">
        <v>0</v>
      </c>
      <c r="P198" s="542">
        <v>0</v>
      </c>
      <c r="Q198" s="542">
        <v>74287059</v>
      </c>
      <c r="R198" s="102" t="s">
        <v>261</v>
      </c>
      <c r="S198" s="103" t="s">
        <v>782</v>
      </c>
      <c r="T198" s="104" t="s">
        <v>751</v>
      </c>
      <c r="U198" s="141"/>
      <c r="V198" s="142"/>
    </row>
    <row r="199" spans="1:22" ht="12.75" x14ac:dyDescent="0.2">
      <c r="A199" s="93">
        <v>193</v>
      </c>
      <c r="B199" s="145" t="s">
        <v>264</v>
      </c>
      <c r="C199" s="141" t="s">
        <v>770</v>
      </c>
      <c r="D199" s="142" t="s">
        <v>869</v>
      </c>
      <c r="E199" s="149" t="s">
        <v>712</v>
      </c>
      <c r="F199" s="542">
        <v>122178852</v>
      </c>
      <c r="G199" s="542">
        <v>0</v>
      </c>
      <c r="H199" s="542">
        <v>2123908</v>
      </c>
      <c r="I199" s="542">
        <v>495745</v>
      </c>
      <c r="J199" s="542">
        <v>2000</v>
      </c>
      <c r="K199" s="542">
        <v>497745</v>
      </c>
      <c r="L199" s="542">
        <v>0</v>
      </c>
      <c r="M199" s="542">
        <v>59222</v>
      </c>
      <c r="N199" s="542">
        <v>0</v>
      </c>
      <c r="O199" s="542">
        <v>0</v>
      </c>
      <c r="P199" s="542">
        <v>0</v>
      </c>
      <c r="Q199" s="542">
        <v>119497977</v>
      </c>
      <c r="R199" s="102" t="s">
        <v>712</v>
      </c>
      <c r="S199" s="103" t="s">
        <v>770</v>
      </c>
      <c r="T199" s="104" t="s">
        <v>756</v>
      </c>
      <c r="U199" s="141"/>
      <c r="V199" s="142"/>
    </row>
    <row r="200" spans="1:22" ht="12.75" x14ac:dyDescent="0.2">
      <c r="A200" s="93">
        <v>194</v>
      </c>
      <c r="B200" s="145" t="s">
        <v>266</v>
      </c>
      <c r="C200" s="141" t="s">
        <v>866</v>
      </c>
      <c r="D200" s="142" t="s">
        <v>876</v>
      </c>
      <c r="E200" s="149" t="s">
        <v>713</v>
      </c>
      <c r="F200" s="542">
        <v>32306183</v>
      </c>
      <c r="G200" s="542">
        <v>0</v>
      </c>
      <c r="H200" s="542">
        <v>107970</v>
      </c>
      <c r="I200" s="542">
        <v>134756</v>
      </c>
      <c r="J200" s="542">
        <v>0</v>
      </c>
      <c r="K200" s="542">
        <v>134756</v>
      </c>
      <c r="L200" s="542">
        <v>0</v>
      </c>
      <c r="M200" s="542">
        <v>0</v>
      </c>
      <c r="N200" s="542">
        <v>0</v>
      </c>
      <c r="O200" s="542">
        <v>0</v>
      </c>
      <c r="P200" s="542">
        <v>0</v>
      </c>
      <c r="Q200" s="542">
        <v>32063457</v>
      </c>
      <c r="R200" s="102" t="s">
        <v>713</v>
      </c>
      <c r="S200" s="103" t="s">
        <v>816</v>
      </c>
      <c r="T200" s="104" t="s">
        <v>751</v>
      </c>
      <c r="U200" s="141"/>
      <c r="V200" s="142"/>
    </row>
    <row r="201" spans="1:22" ht="12.75" x14ac:dyDescent="0.2">
      <c r="A201" s="93">
        <v>195</v>
      </c>
      <c r="B201" s="145" t="s">
        <v>268</v>
      </c>
      <c r="C201" s="141" t="s">
        <v>866</v>
      </c>
      <c r="D201" s="142" t="s">
        <v>869</v>
      </c>
      <c r="E201" s="149" t="s">
        <v>714</v>
      </c>
      <c r="F201" s="542">
        <v>11052661</v>
      </c>
      <c r="G201" s="542">
        <v>0</v>
      </c>
      <c r="H201" s="542">
        <v>58300</v>
      </c>
      <c r="I201" s="542">
        <v>56076</v>
      </c>
      <c r="J201" s="542">
        <v>0</v>
      </c>
      <c r="K201" s="542">
        <v>56076</v>
      </c>
      <c r="L201" s="542">
        <v>0</v>
      </c>
      <c r="M201" s="542">
        <v>0</v>
      </c>
      <c r="N201" s="542">
        <v>0</v>
      </c>
      <c r="O201" s="542">
        <v>0</v>
      </c>
      <c r="P201" s="542">
        <v>0</v>
      </c>
      <c r="Q201" s="542">
        <v>10938285</v>
      </c>
      <c r="R201" s="102" t="s">
        <v>714</v>
      </c>
      <c r="S201" s="103" t="s">
        <v>774</v>
      </c>
      <c r="T201" s="104" t="s">
        <v>775</v>
      </c>
      <c r="U201" s="141"/>
      <c r="V201" s="142"/>
    </row>
    <row r="202" spans="1:22" ht="12.75" x14ac:dyDescent="0.2">
      <c r="A202" s="93">
        <v>196</v>
      </c>
      <c r="B202" s="145" t="s">
        <v>270</v>
      </c>
      <c r="C202" s="141" t="s">
        <v>873</v>
      </c>
      <c r="D202" s="142" t="s">
        <v>868</v>
      </c>
      <c r="E202" s="149" t="s">
        <v>269</v>
      </c>
      <c r="F202" s="542">
        <v>55703026</v>
      </c>
      <c r="G202" s="542">
        <v>0</v>
      </c>
      <c r="H202" s="542">
        <v>638579</v>
      </c>
      <c r="I202" s="542">
        <v>310627</v>
      </c>
      <c r="J202" s="542">
        <v>0</v>
      </c>
      <c r="K202" s="542">
        <v>310627</v>
      </c>
      <c r="L202" s="542">
        <v>0</v>
      </c>
      <c r="M202" s="542">
        <v>0</v>
      </c>
      <c r="N202" s="542">
        <v>1402</v>
      </c>
      <c r="O202" s="542">
        <v>1402</v>
      </c>
      <c r="P202" s="542">
        <v>0</v>
      </c>
      <c r="Q202" s="542">
        <v>54752418</v>
      </c>
      <c r="R202" s="102" t="s">
        <v>269</v>
      </c>
      <c r="S202" s="103" t="s">
        <v>763</v>
      </c>
      <c r="T202" s="104" t="s">
        <v>777</v>
      </c>
      <c r="U202" s="141"/>
      <c r="V202" s="142"/>
    </row>
    <row r="203" spans="1:22" ht="12.75" x14ac:dyDescent="0.2">
      <c r="A203" s="93">
        <v>197</v>
      </c>
      <c r="B203" s="145" t="s">
        <v>272</v>
      </c>
      <c r="C203" s="141" t="s">
        <v>866</v>
      </c>
      <c r="D203" s="142" t="s">
        <v>867</v>
      </c>
      <c r="E203" s="149" t="s">
        <v>271</v>
      </c>
      <c r="F203" s="542">
        <v>75115851</v>
      </c>
      <c r="G203" s="542">
        <v>0</v>
      </c>
      <c r="H203" s="542">
        <v>1273444</v>
      </c>
      <c r="I203" s="542">
        <v>217390</v>
      </c>
      <c r="J203" s="542">
        <v>0</v>
      </c>
      <c r="K203" s="542">
        <v>217390</v>
      </c>
      <c r="L203" s="542">
        <v>0</v>
      </c>
      <c r="M203" s="542">
        <v>0</v>
      </c>
      <c r="N203" s="542">
        <v>0</v>
      </c>
      <c r="O203" s="542">
        <v>0</v>
      </c>
      <c r="P203" s="542">
        <v>0</v>
      </c>
      <c r="Q203" s="542">
        <v>73625017</v>
      </c>
      <c r="R203" s="102" t="s">
        <v>271</v>
      </c>
      <c r="S203" s="103" t="s">
        <v>795</v>
      </c>
      <c r="T203" s="104" t="s">
        <v>751</v>
      </c>
      <c r="U203" s="141"/>
      <c r="V203" s="142"/>
    </row>
    <row r="204" spans="1:22" ht="12.75" x14ac:dyDescent="0.2">
      <c r="A204" s="93">
        <v>198</v>
      </c>
      <c r="B204" s="145" t="s">
        <v>274</v>
      </c>
      <c r="C204" s="141" t="s">
        <v>866</v>
      </c>
      <c r="D204" s="142" t="s">
        <v>868</v>
      </c>
      <c r="E204" s="149" t="s">
        <v>273</v>
      </c>
      <c r="F204" s="542">
        <v>18274579</v>
      </c>
      <c r="G204" s="542">
        <v>126747</v>
      </c>
      <c r="H204" s="542">
        <v>0</v>
      </c>
      <c r="I204" s="542">
        <v>136568</v>
      </c>
      <c r="J204" s="542">
        <v>0</v>
      </c>
      <c r="K204" s="542">
        <v>136568</v>
      </c>
      <c r="L204" s="542">
        <v>0</v>
      </c>
      <c r="M204" s="542">
        <v>0</v>
      </c>
      <c r="N204" s="542">
        <v>0</v>
      </c>
      <c r="O204" s="542">
        <v>0</v>
      </c>
      <c r="P204" s="542">
        <v>0</v>
      </c>
      <c r="Q204" s="542">
        <v>18264758</v>
      </c>
      <c r="R204" s="102" t="s">
        <v>273</v>
      </c>
      <c r="S204" s="103" t="s">
        <v>789</v>
      </c>
      <c r="T204" s="104" t="s">
        <v>776</v>
      </c>
      <c r="U204" s="141"/>
      <c r="V204" s="142"/>
    </row>
    <row r="205" spans="1:22" ht="12.75" x14ac:dyDescent="0.2">
      <c r="A205" s="93">
        <v>199</v>
      </c>
      <c r="B205" s="145" t="s">
        <v>276</v>
      </c>
      <c r="C205" s="141" t="s">
        <v>770</v>
      </c>
      <c r="D205" s="142" t="s">
        <v>870</v>
      </c>
      <c r="E205" s="149" t="s">
        <v>715</v>
      </c>
      <c r="F205" s="542">
        <v>92035262</v>
      </c>
      <c r="G205" s="542">
        <v>277243</v>
      </c>
      <c r="H205" s="542">
        <v>0</v>
      </c>
      <c r="I205" s="542">
        <v>276677</v>
      </c>
      <c r="J205" s="542">
        <v>0</v>
      </c>
      <c r="K205" s="542">
        <v>276677</v>
      </c>
      <c r="L205" s="542">
        <v>0</v>
      </c>
      <c r="M205" s="542">
        <v>0</v>
      </c>
      <c r="N205" s="542">
        <v>0</v>
      </c>
      <c r="O205" s="542">
        <v>0</v>
      </c>
      <c r="P205" s="542">
        <v>0</v>
      </c>
      <c r="Q205" s="542">
        <v>92035828</v>
      </c>
      <c r="R205" s="102" t="s">
        <v>715</v>
      </c>
      <c r="S205" s="103" t="s">
        <v>770</v>
      </c>
      <c r="T205" s="104" t="s">
        <v>791</v>
      </c>
      <c r="U205" s="141"/>
      <c r="V205" s="142"/>
    </row>
    <row r="206" spans="1:22" ht="12.75" x14ac:dyDescent="0.2">
      <c r="A206" s="93">
        <v>200</v>
      </c>
      <c r="B206" s="145" t="s">
        <v>278</v>
      </c>
      <c r="C206" s="141" t="s">
        <v>770</v>
      </c>
      <c r="D206" s="142" t="s">
        <v>875</v>
      </c>
      <c r="E206" s="149" t="s">
        <v>716</v>
      </c>
      <c r="F206" s="542">
        <v>90529347</v>
      </c>
      <c r="G206" s="542">
        <v>0</v>
      </c>
      <c r="H206" s="542">
        <v>567702</v>
      </c>
      <c r="I206" s="542">
        <v>308695</v>
      </c>
      <c r="J206" s="542">
        <v>0</v>
      </c>
      <c r="K206" s="542">
        <v>308695</v>
      </c>
      <c r="L206" s="542">
        <v>0</v>
      </c>
      <c r="M206" s="542">
        <v>0</v>
      </c>
      <c r="N206" s="542">
        <v>0</v>
      </c>
      <c r="O206" s="542">
        <v>0</v>
      </c>
      <c r="P206" s="542">
        <v>0</v>
      </c>
      <c r="Q206" s="542">
        <v>89652950</v>
      </c>
      <c r="R206" s="102" t="s">
        <v>716</v>
      </c>
      <c r="S206" s="103" t="s">
        <v>770</v>
      </c>
      <c r="T206" s="104" t="s">
        <v>804</v>
      </c>
      <c r="U206" s="141"/>
      <c r="V206" s="142"/>
    </row>
    <row r="207" spans="1:22" ht="12.75" x14ac:dyDescent="0.2">
      <c r="A207" s="93">
        <v>201</v>
      </c>
      <c r="B207" s="145" t="s">
        <v>280</v>
      </c>
      <c r="C207" s="141" t="s">
        <v>770</v>
      </c>
      <c r="D207" s="142" t="s">
        <v>875</v>
      </c>
      <c r="E207" s="149" t="s">
        <v>717</v>
      </c>
      <c r="F207" s="542">
        <v>60631077</v>
      </c>
      <c r="G207" s="542">
        <v>0</v>
      </c>
      <c r="H207" s="542">
        <v>635339</v>
      </c>
      <c r="I207" s="542">
        <v>239436</v>
      </c>
      <c r="J207" s="542">
        <v>0</v>
      </c>
      <c r="K207" s="542">
        <v>239436</v>
      </c>
      <c r="L207" s="542">
        <v>0</v>
      </c>
      <c r="M207" s="542">
        <v>0</v>
      </c>
      <c r="N207" s="542">
        <v>0</v>
      </c>
      <c r="O207" s="542">
        <v>0</v>
      </c>
      <c r="P207" s="542">
        <v>0</v>
      </c>
      <c r="Q207" s="542">
        <v>59756302</v>
      </c>
      <c r="R207" s="102" t="s">
        <v>717</v>
      </c>
      <c r="S207" s="103" t="s">
        <v>770</v>
      </c>
      <c r="T207" s="104" t="s">
        <v>779</v>
      </c>
      <c r="U207" s="141"/>
      <c r="V207" s="142"/>
    </row>
    <row r="208" spans="1:22" ht="12.75" x14ac:dyDescent="0.2">
      <c r="A208" s="93">
        <v>202</v>
      </c>
      <c r="B208" s="145" t="s">
        <v>282</v>
      </c>
      <c r="C208" s="141" t="s">
        <v>770</v>
      </c>
      <c r="D208" s="142" t="s">
        <v>867</v>
      </c>
      <c r="E208" s="149" t="s">
        <v>718</v>
      </c>
      <c r="F208" s="542">
        <v>78712658</v>
      </c>
      <c r="G208" s="542">
        <v>0</v>
      </c>
      <c r="H208" s="542">
        <v>1791361</v>
      </c>
      <c r="I208" s="542">
        <v>281877</v>
      </c>
      <c r="J208" s="542">
        <v>0</v>
      </c>
      <c r="K208" s="542">
        <v>281877</v>
      </c>
      <c r="L208" s="542">
        <v>0</v>
      </c>
      <c r="M208" s="542">
        <v>0</v>
      </c>
      <c r="N208" s="542">
        <v>0</v>
      </c>
      <c r="O208" s="542">
        <v>0</v>
      </c>
      <c r="P208" s="542">
        <v>0</v>
      </c>
      <c r="Q208" s="542">
        <v>76639420</v>
      </c>
      <c r="R208" s="102" t="s">
        <v>718</v>
      </c>
      <c r="S208" s="103" t="s">
        <v>770</v>
      </c>
      <c r="T208" s="104" t="s">
        <v>768</v>
      </c>
      <c r="U208" s="141"/>
      <c r="V208" s="142"/>
    </row>
    <row r="209" spans="1:22" ht="12.75" x14ac:dyDescent="0.2">
      <c r="A209" s="93">
        <v>203</v>
      </c>
      <c r="B209" s="145" t="s">
        <v>284</v>
      </c>
      <c r="C209" s="141" t="s">
        <v>866</v>
      </c>
      <c r="D209" s="142" t="s">
        <v>868</v>
      </c>
      <c r="E209" s="149" t="s">
        <v>283</v>
      </c>
      <c r="F209" s="542">
        <v>63025178</v>
      </c>
      <c r="G209" s="542">
        <v>0</v>
      </c>
      <c r="H209" s="542">
        <v>660609</v>
      </c>
      <c r="I209" s="542">
        <v>239602</v>
      </c>
      <c r="J209" s="542">
        <v>0</v>
      </c>
      <c r="K209" s="542">
        <v>239602</v>
      </c>
      <c r="L209" s="542">
        <v>0</v>
      </c>
      <c r="M209" s="542">
        <v>0</v>
      </c>
      <c r="N209" s="542">
        <v>3842</v>
      </c>
      <c r="O209" s="542">
        <v>3842</v>
      </c>
      <c r="P209" s="542">
        <v>0</v>
      </c>
      <c r="Q209" s="542">
        <v>62121125</v>
      </c>
      <c r="R209" s="102" t="s">
        <v>283</v>
      </c>
      <c r="S209" s="103" t="s">
        <v>789</v>
      </c>
      <c r="T209" s="104" t="s">
        <v>776</v>
      </c>
      <c r="U209" s="141"/>
      <c r="V209" s="142"/>
    </row>
    <row r="210" spans="1:22" ht="12.75" x14ac:dyDescent="0.2">
      <c r="A210" s="93">
        <v>204</v>
      </c>
      <c r="B210" s="145" t="s">
        <v>286</v>
      </c>
      <c r="C210" s="141" t="s">
        <v>866</v>
      </c>
      <c r="D210" s="142" t="s">
        <v>875</v>
      </c>
      <c r="E210" s="149" t="s">
        <v>285</v>
      </c>
      <c r="F210" s="542">
        <v>12679644</v>
      </c>
      <c r="G210" s="542">
        <v>16938</v>
      </c>
      <c r="H210" s="542">
        <v>0</v>
      </c>
      <c r="I210" s="542">
        <v>94366</v>
      </c>
      <c r="J210" s="542">
        <v>0</v>
      </c>
      <c r="K210" s="542">
        <v>94366</v>
      </c>
      <c r="L210" s="542">
        <v>0</v>
      </c>
      <c r="M210" s="542">
        <v>0</v>
      </c>
      <c r="N210" s="542">
        <v>131565</v>
      </c>
      <c r="O210" s="542">
        <v>131565</v>
      </c>
      <c r="P210" s="542">
        <v>0</v>
      </c>
      <c r="Q210" s="542">
        <v>12470651</v>
      </c>
      <c r="R210" s="102" t="s">
        <v>285</v>
      </c>
      <c r="S210" s="103" t="s">
        <v>797</v>
      </c>
      <c r="T210" s="104" t="s">
        <v>779</v>
      </c>
      <c r="U210" s="141"/>
      <c r="V210" s="142"/>
    </row>
    <row r="211" spans="1:22" ht="12.75" x14ac:dyDescent="0.2">
      <c r="A211" s="93">
        <v>205</v>
      </c>
      <c r="B211" s="145" t="s">
        <v>288</v>
      </c>
      <c r="C211" s="141" t="s">
        <v>770</v>
      </c>
      <c r="D211" s="142" t="s">
        <v>867</v>
      </c>
      <c r="E211" s="149" t="s">
        <v>719</v>
      </c>
      <c r="F211" s="542">
        <v>106217198</v>
      </c>
      <c r="G211" s="542">
        <v>0</v>
      </c>
      <c r="H211" s="542">
        <v>1029769</v>
      </c>
      <c r="I211" s="542">
        <v>271390</v>
      </c>
      <c r="J211" s="542">
        <v>0</v>
      </c>
      <c r="K211" s="542">
        <v>271390</v>
      </c>
      <c r="L211" s="542">
        <v>0</v>
      </c>
      <c r="M211" s="542">
        <v>0</v>
      </c>
      <c r="N211" s="542">
        <v>0</v>
      </c>
      <c r="O211" s="542">
        <v>0</v>
      </c>
      <c r="P211" s="542">
        <v>0</v>
      </c>
      <c r="Q211" s="542">
        <v>104916039</v>
      </c>
      <c r="R211" s="102" t="s">
        <v>719</v>
      </c>
      <c r="S211" s="103" t="s">
        <v>770</v>
      </c>
      <c r="T211" s="104" t="s">
        <v>780</v>
      </c>
      <c r="U211" s="141"/>
      <c r="V211" s="142"/>
    </row>
    <row r="212" spans="1:22" ht="12.75" x14ac:dyDescent="0.2">
      <c r="A212" s="93">
        <v>206</v>
      </c>
      <c r="B212" s="145" t="s">
        <v>290</v>
      </c>
      <c r="C212" s="141" t="s">
        <v>871</v>
      </c>
      <c r="D212" s="142" t="s">
        <v>872</v>
      </c>
      <c r="E212" s="149" t="s">
        <v>289</v>
      </c>
      <c r="F212" s="542">
        <v>50934873</v>
      </c>
      <c r="G212" s="542">
        <v>0</v>
      </c>
      <c r="H212" s="542">
        <v>269802</v>
      </c>
      <c r="I212" s="542">
        <v>279552</v>
      </c>
      <c r="J212" s="542">
        <v>0</v>
      </c>
      <c r="K212" s="542">
        <v>279552</v>
      </c>
      <c r="L212" s="542">
        <v>0</v>
      </c>
      <c r="M212" s="542">
        <v>0</v>
      </c>
      <c r="N212" s="542">
        <v>0</v>
      </c>
      <c r="O212" s="542">
        <v>0</v>
      </c>
      <c r="P212" s="542">
        <v>0</v>
      </c>
      <c r="Q212" s="542">
        <v>50385519</v>
      </c>
      <c r="R212" s="102" t="s">
        <v>289</v>
      </c>
      <c r="S212" s="103" t="s">
        <v>762</v>
      </c>
      <c r="T212" s="103" t="s">
        <v>750</v>
      </c>
      <c r="U212" s="141"/>
      <c r="V212" s="142"/>
    </row>
    <row r="213" spans="1:22" ht="12.75" x14ac:dyDescent="0.2">
      <c r="A213" s="93">
        <v>207</v>
      </c>
      <c r="B213" s="145" t="s">
        <v>292</v>
      </c>
      <c r="C213" s="141" t="s">
        <v>770</v>
      </c>
      <c r="D213" s="142" t="s">
        <v>878</v>
      </c>
      <c r="E213" s="149" t="s">
        <v>720</v>
      </c>
      <c r="F213" s="542">
        <v>39907295.600000001</v>
      </c>
      <c r="G213" s="542">
        <v>1007824</v>
      </c>
      <c r="H213" s="542">
        <v>0</v>
      </c>
      <c r="I213" s="542">
        <v>173562</v>
      </c>
      <c r="J213" s="542">
        <v>0</v>
      </c>
      <c r="K213" s="542">
        <v>173562</v>
      </c>
      <c r="L213" s="542">
        <v>0</v>
      </c>
      <c r="M213" s="542">
        <v>0</v>
      </c>
      <c r="N213" s="542">
        <v>0</v>
      </c>
      <c r="O213" s="542">
        <v>0</v>
      </c>
      <c r="P213" s="542">
        <v>0</v>
      </c>
      <c r="Q213" s="542">
        <v>40741557.600000001</v>
      </c>
      <c r="R213" s="102" t="s">
        <v>720</v>
      </c>
      <c r="S213" s="103" t="s">
        <v>770</v>
      </c>
      <c r="T213" s="104" t="s">
        <v>809</v>
      </c>
      <c r="U213" s="141"/>
      <c r="V213" s="142"/>
    </row>
    <row r="214" spans="1:22" ht="12.75" x14ac:dyDescent="0.2">
      <c r="A214" s="93">
        <v>208</v>
      </c>
      <c r="B214" s="145" t="s">
        <v>294</v>
      </c>
      <c r="C214" s="141" t="s">
        <v>866</v>
      </c>
      <c r="D214" s="142" t="s">
        <v>876</v>
      </c>
      <c r="E214" s="149" t="s">
        <v>293</v>
      </c>
      <c r="F214" s="542">
        <v>33452375</v>
      </c>
      <c r="G214" s="542">
        <v>0</v>
      </c>
      <c r="H214" s="542">
        <v>72649</v>
      </c>
      <c r="I214" s="542">
        <v>110669</v>
      </c>
      <c r="J214" s="542">
        <v>0</v>
      </c>
      <c r="K214" s="542">
        <v>110669</v>
      </c>
      <c r="L214" s="542">
        <v>0</v>
      </c>
      <c r="M214" s="542">
        <v>0</v>
      </c>
      <c r="N214" s="542">
        <v>0</v>
      </c>
      <c r="O214" s="542">
        <v>0</v>
      </c>
      <c r="P214" s="542">
        <v>0</v>
      </c>
      <c r="Q214" s="542">
        <v>33269057</v>
      </c>
      <c r="R214" s="102" t="s">
        <v>293</v>
      </c>
      <c r="S214" s="103" t="s">
        <v>786</v>
      </c>
      <c r="T214" s="104" t="s">
        <v>787</v>
      </c>
      <c r="U214" s="141"/>
      <c r="V214" s="142"/>
    </row>
    <row r="215" spans="1:22" ht="12.75" x14ac:dyDescent="0.2">
      <c r="A215" s="93">
        <v>209</v>
      </c>
      <c r="B215" s="145" t="s">
        <v>296</v>
      </c>
      <c r="C215" s="141" t="s">
        <v>866</v>
      </c>
      <c r="D215" s="142" t="s">
        <v>867</v>
      </c>
      <c r="E215" s="149" t="s">
        <v>721</v>
      </c>
      <c r="F215" s="542">
        <v>47516607</v>
      </c>
      <c r="G215" s="542">
        <v>0</v>
      </c>
      <c r="H215" s="542">
        <v>53719</v>
      </c>
      <c r="I215" s="542">
        <v>177048</v>
      </c>
      <c r="J215" s="542">
        <v>0</v>
      </c>
      <c r="K215" s="542">
        <v>177048</v>
      </c>
      <c r="L215" s="542">
        <v>0</v>
      </c>
      <c r="M215" s="542">
        <v>0</v>
      </c>
      <c r="N215" s="542">
        <v>0</v>
      </c>
      <c r="O215" s="542">
        <v>0</v>
      </c>
      <c r="P215" s="542">
        <v>0</v>
      </c>
      <c r="Q215" s="542">
        <v>47285840</v>
      </c>
      <c r="R215" s="102" t="s">
        <v>721</v>
      </c>
      <c r="S215" s="103" t="s">
        <v>807</v>
      </c>
      <c r="T215" s="104" t="s">
        <v>751</v>
      </c>
      <c r="U215" s="141"/>
      <c r="V215" s="142"/>
    </row>
    <row r="216" spans="1:22" ht="12.75" x14ac:dyDescent="0.2">
      <c r="A216" s="93">
        <v>210</v>
      </c>
      <c r="B216" s="145" t="s">
        <v>298</v>
      </c>
      <c r="C216" s="141" t="s">
        <v>866</v>
      </c>
      <c r="D216" s="142" t="s">
        <v>868</v>
      </c>
      <c r="E216" s="149" t="s">
        <v>297</v>
      </c>
      <c r="F216" s="542">
        <v>14079964</v>
      </c>
      <c r="G216" s="542">
        <v>36964</v>
      </c>
      <c r="H216" s="542">
        <v>0</v>
      </c>
      <c r="I216" s="542">
        <v>87901</v>
      </c>
      <c r="J216" s="542">
        <v>0</v>
      </c>
      <c r="K216" s="542">
        <v>87901</v>
      </c>
      <c r="L216" s="542">
        <v>0</v>
      </c>
      <c r="M216" s="542">
        <v>10008</v>
      </c>
      <c r="N216" s="542">
        <v>129</v>
      </c>
      <c r="O216" s="542">
        <v>129</v>
      </c>
      <c r="P216" s="542">
        <v>0</v>
      </c>
      <c r="Q216" s="542">
        <v>14018890</v>
      </c>
      <c r="R216" s="102" t="s">
        <v>297</v>
      </c>
      <c r="S216" s="103" t="s">
        <v>789</v>
      </c>
      <c r="T216" s="104" t="s">
        <v>776</v>
      </c>
      <c r="U216" s="141"/>
      <c r="V216" s="142"/>
    </row>
    <row r="217" spans="1:22" ht="12.75" x14ac:dyDescent="0.2">
      <c r="A217" s="93">
        <v>211</v>
      </c>
      <c r="B217" s="145" t="s">
        <v>300</v>
      </c>
      <c r="C217" s="141" t="s">
        <v>871</v>
      </c>
      <c r="D217" s="142" t="s">
        <v>872</v>
      </c>
      <c r="E217" s="149" t="s">
        <v>299</v>
      </c>
      <c r="F217" s="542">
        <v>78471972</v>
      </c>
      <c r="G217" s="542">
        <v>0</v>
      </c>
      <c r="H217" s="542">
        <v>644667</v>
      </c>
      <c r="I217" s="542">
        <v>303621</v>
      </c>
      <c r="J217" s="542">
        <v>0</v>
      </c>
      <c r="K217" s="542">
        <v>303621</v>
      </c>
      <c r="L217" s="542">
        <v>0</v>
      </c>
      <c r="M217" s="542">
        <v>0</v>
      </c>
      <c r="N217" s="542">
        <v>0</v>
      </c>
      <c r="O217" s="542">
        <v>0</v>
      </c>
      <c r="P217" s="542">
        <v>0</v>
      </c>
      <c r="Q217" s="542">
        <v>77523684</v>
      </c>
      <c r="R217" s="105" t="s">
        <v>817</v>
      </c>
      <c r="S217" s="103" t="s">
        <v>762</v>
      </c>
      <c r="T217" s="103" t="s">
        <v>750</v>
      </c>
      <c r="U217" s="141"/>
      <c r="V217" s="142"/>
    </row>
    <row r="218" spans="1:22" ht="12.75" x14ac:dyDescent="0.2">
      <c r="A218" s="93">
        <v>212</v>
      </c>
      <c r="B218" s="145" t="s">
        <v>302</v>
      </c>
      <c r="C218" s="141" t="s">
        <v>866</v>
      </c>
      <c r="D218" s="142" t="s">
        <v>874</v>
      </c>
      <c r="E218" s="149" t="s">
        <v>301</v>
      </c>
      <c r="F218" s="542">
        <v>9247340</v>
      </c>
      <c r="G218" s="542">
        <v>0</v>
      </c>
      <c r="H218" s="542">
        <v>108730</v>
      </c>
      <c r="I218" s="542">
        <v>96960</v>
      </c>
      <c r="J218" s="542">
        <v>0</v>
      </c>
      <c r="K218" s="542">
        <v>96960</v>
      </c>
      <c r="L218" s="542">
        <v>0</v>
      </c>
      <c r="M218" s="542">
        <v>0</v>
      </c>
      <c r="N218" s="542">
        <v>0</v>
      </c>
      <c r="O218" s="542">
        <v>0</v>
      </c>
      <c r="P218" s="542">
        <v>0</v>
      </c>
      <c r="Q218" s="542">
        <v>9041650</v>
      </c>
      <c r="R218" s="102" t="s">
        <v>301</v>
      </c>
      <c r="S218" s="103" t="s">
        <v>800</v>
      </c>
      <c r="T218" s="104" t="s">
        <v>801</v>
      </c>
      <c r="U218" s="141"/>
      <c r="V218" s="142"/>
    </row>
    <row r="219" spans="1:22" ht="12.75" x14ac:dyDescent="0.2">
      <c r="A219" s="93">
        <v>213</v>
      </c>
      <c r="B219" s="145" t="s">
        <v>304</v>
      </c>
      <c r="C219" s="141" t="s">
        <v>873</v>
      </c>
      <c r="D219" s="142" t="s">
        <v>868</v>
      </c>
      <c r="E219" s="149" t="s">
        <v>303</v>
      </c>
      <c r="F219" s="542">
        <v>56848645</v>
      </c>
      <c r="G219" s="542">
        <v>0</v>
      </c>
      <c r="H219" s="542">
        <v>688902</v>
      </c>
      <c r="I219" s="542">
        <v>287498</v>
      </c>
      <c r="J219" s="542">
        <v>0</v>
      </c>
      <c r="K219" s="542">
        <v>287498</v>
      </c>
      <c r="L219" s="542">
        <v>0</v>
      </c>
      <c r="M219" s="542">
        <v>0</v>
      </c>
      <c r="N219" s="542">
        <v>0</v>
      </c>
      <c r="O219" s="542">
        <v>0</v>
      </c>
      <c r="P219" s="542">
        <v>0</v>
      </c>
      <c r="Q219" s="542">
        <v>55872245</v>
      </c>
      <c r="R219" s="102" t="s">
        <v>303</v>
      </c>
      <c r="S219" s="103" t="s">
        <v>763</v>
      </c>
      <c r="T219" s="104" t="s">
        <v>777</v>
      </c>
      <c r="U219" s="141"/>
      <c r="V219" s="142"/>
    </row>
    <row r="220" spans="1:22" ht="12.75" x14ac:dyDescent="0.2">
      <c r="A220" s="93">
        <v>214</v>
      </c>
      <c r="B220" s="145" t="s">
        <v>306</v>
      </c>
      <c r="C220" s="141" t="s">
        <v>866</v>
      </c>
      <c r="D220" s="142" t="s">
        <v>870</v>
      </c>
      <c r="E220" s="149" t="s">
        <v>305</v>
      </c>
      <c r="F220" s="542">
        <v>15447850</v>
      </c>
      <c r="G220" s="542">
        <v>65816</v>
      </c>
      <c r="H220" s="542">
        <v>0</v>
      </c>
      <c r="I220" s="542">
        <v>85477</v>
      </c>
      <c r="J220" s="542">
        <v>0</v>
      </c>
      <c r="K220" s="542">
        <v>85477</v>
      </c>
      <c r="L220" s="542">
        <v>0</v>
      </c>
      <c r="M220" s="542">
        <v>0</v>
      </c>
      <c r="N220" s="542">
        <v>0</v>
      </c>
      <c r="O220" s="542">
        <v>0</v>
      </c>
      <c r="P220" s="542">
        <v>0</v>
      </c>
      <c r="Q220" s="542">
        <v>15428189</v>
      </c>
      <c r="R220" s="102" t="s">
        <v>305</v>
      </c>
      <c r="S220" s="103" t="s">
        <v>765</v>
      </c>
      <c r="T220" s="104" t="s">
        <v>766</v>
      </c>
      <c r="U220" s="141"/>
      <c r="V220" s="142"/>
    </row>
    <row r="221" spans="1:22" ht="12.75" x14ac:dyDescent="0.2">
      <c r="A221" s="93">
        <v>215</v>
      </c>
      <c r="B221" s="145" t="s">
        <v>308</v>
      </c>
      <c r="C221" s="141" t="s">
        <v>866</v>
      </c>
      <c r="D221" s="142" t="s">
        <v>868</v>
      </c>
      <c r="E221" s="149" t="s">
        <v>307</v>
      </c>
      <c r="F221" s="542">
        <v>13040154</v>
      </c>
      <c r="G221" s="542">
        <v>50279</v>
      </c>
      <c r="H221" s="542">
        <v>0</v>
      </c>
      <c r="I221" s="542">
        <v>100612</v>
      </c>
      <c r="J221" s="542">
        <v>0</v>
      </c>
      <c r="K221" s="542">
        <v>100612</v>
      </c>
      <c r="L221" s="542">
        <v>0</v>
      </c>
      <c r="M221" s="542">
        <v>0</v>
      </c>
      <c r="N221" s="542">
        <v>0</v>
      </c>
      <c r="O221" s="542">
        <v>0</v>
      </c>
      <c r="P221" s="542">
        <v>0</v>
      </c>
      <c r="Q221" s="542">
        <v>12989821</v>
      </c>
      <c r="R221" s="102" t="s">
        <v>307</v>
      </c>
      <c r="S221" s="103" t="s">
        <v>789</v>
      </c>
      <c r="T221" s="104" t="s">
        <v>776</v>
      </c>
      <c r="U221" s="141"/>
      <c r="V221" s="142"/>
    </row>
    <row r="222" spans="1:22" ht="12.75" x14ac:dyDescent="0.2">
      <c r="A222" s="93">
        <v>216</v>
      </c>
      <c r="B222" s="145" t="s">
        <v>310</v>
      </c>
      <c r="C222" s="141" t="s">
        <v>866</v>
      </c>
      <c r="D222" s="142" t="s">
        <v>867</v>
      </c>
      <c r="E222" s="149" t="s">
        <v>309</v>
      </c>
      <c r="F222" s="542">
        <v>16412990</v>
      </c>
      <c r="G222" s="542">
        <v>0</v>
      </c>
      <c r="H222" s="542">
        <v>183151</v>
      </c>
      <c r="I222" s="542">
        <v>146250</v>
      </c>
      <c r="J222" s="542">
        <v>0</v>
      </c>
      <c r="K222" s="542">
        <v>146250</v>
      </c>
      <c r="L222" s="542">
        <v>0</v>
      </c>
      <c r="M222" s="542">
        <v>0</v>
      </c>
      <c r="N222" s="542">
        <v>0</v>
      </c>
      <c r="O222" s="542">
        <v>0</v>
      </c>
      <c r="P222" s="542">
        <v>0</v>
      </c>
      <c r="Q222" s="542">
        <v>16083589</v>
      </c>
      <c r="R222" s="102" t="s">
        <v>309</v>
      </c>
      <c r="S222" s="103" t="s">
        <v>806</v>
      </c>
      <c r="T222" s="104" t="s">
        <v>784</v>
      </c>
      <c r="U222" s="141"/>
      <c r="V222" s="142"/>
    </row>
    <row r="223" spans="1:22" ht="12.75" x14ac:dyDescent="0.2">
      <c r="A223" s="93">
        <v>217</v>
      </c>
      <c r="B223" s="145" t="s">
        <v>312</v>
      </c>
      <c r="C223" s="141" t="s">
        <v>873</v>
      </c>
      <c r="D223" s="142" t="s">
        <v>874</v>
      </c>
      <c r="E223" s="149" t="s">
        <v>311</v>
      </c>
      <c r="F223" s="542">
        <v>72830658</v>
      </c>
      <c r="G223" s="542">
        <v>0</v>
      </c>
      <c r="H223" s="542">
        <v>667829</v>
      </c>
      <c r="I223" s="542">
        <v>307775</v>
      </c>
      <c r="J223" s="542">
        <v>0</v>
      </c>
      <c r="K223" s="542">
        <v>307775</v>
      </c>
      <c r="L223" s="542">
        <v>0</v>
      </c>
      <c r="M223" s="542">
        <v>0</v>
      </c>
      <c r="N223" s="542">
        <v>151830</v>
      </c>
      <c r="O223" s="542">
        <v>151830</v>
      </c>
      <c r="P223" s="542">
        <v>0</v>
      </c>
      <c r="Q223" s="542">
        <v>71703224</v>
      </c>
      <c r="R223" s="102" t="s">
        <v>311</v>
      </c>
      <c r="S223" s="103" t="s">
        <v>763</v>
      </c>
      <c r="T223" s="104" t="s">
        <v>764</v>
      </c>
      <c r="U223" s="141"/>
      <c r="V223" s="142"/>
    </row>
    <row r="224" spans="1:22" ht="12.75" x14ac:dyDescent="0.2">
      <c r="A224" s="93">
        <v>218</v>
      </c>
      <c r="B224" s="145" t="s">
        <v>314</v>
      </c>
      <c r="C224" s="141" t="s">
        <v>866</v>
      </c>
      <c r="D224" s="142" t="s">
        <v>876</v>
      </c>
      <c r="E224" s="149" t="s">
        <v>313</v>
      </c>
      <c r="F224" s="542">
        <v>41930423</v>
      </c>
      <c r="G224" s="542">
        <v>0</v>
      </c>
      <c r="H224" s="542">
        <v>152862</v>
      </c>
      <c r="I224" s="542">
        <v>135186</v>
      </c>
      <c r="J224" s="542">
        <v>0</v>
      </c>
      <c r="K224" s="542">
        <v>135186</v>
      </c>
      <c r="L224" s="542">
        <v>0</v>
      </c>
      <c r="M224" s="542">
        <v>0</v>
      </c>
      <c r="N224" s="542">
        <v>0</v>
      </c>
      <c r="O224" s="542">
        <v>0</v>
      </c>
      <c r="P224" s="542">
        <v>0</v>
      </c>
      <c r="Q224" s="542">
        <v>41642375</v>
      </c>
      <c r="R224" s="102" t="s">
        <v>313</v>
      </c>
      <c r="S224" s="103" t="s">
        <v>816</v>
      </c>
      <c r="T224" s="104" t="s">
        <v>751</v>
      </c>
      <c r="U224" s="141"/>
      <c r="V224" s="142"/>
    </row>
    <row r="225" spans="1:22" ht="12.75" x14ac:dyDescent="0.2">
      <c r="A225" s="93">
        <v>219</v>
      </c>
      <c r="B225" s="145" t="s">
        <v>316</v>
      </c>
      <c r="C225" s="141" t="s">
        <v>866</v>
      </c>
      <c r="D225" s="142" t="s">
        <v>867</v>
      </c>
      <c r="E225" s="149" t="s">
        <v>315</v>
      </c>
      <c r="F225" s="542">
        <v>40715972</v>
      </c>
      <c r="G225" s="542">
        <v>0</v>
      </c>
      <c r="H225" s="542">
        <v>78900</v>
      </c>
      <c r="I225" s="542">
        <v>127393</v>
      </c>
      <c r="J225" s="542">
        <v>0</v>
      </c>
      <c r="K225" s="542">
        <v>127393</v>
      </c>
      <c r="L225" s="542">
        <v>0</v>
      </c>
      <c r="M225" s="542">
        <v>0</v>
      </c>
      <c r="N225" s="542">
        <v>0</v>
      </c>
      <c r="O225" s="542">
        <v>0</v>
      </c>
      <c r="P225" s="542">
        <v>0</v>
      </c>
      <c r="Q225" s="542">
        <v>40509679</v>
      </c>
      <c r="R225" s="102" t="s">
        <v>315</v>
      </c>
      <c r="S225" s="103" t="s">
        <v>807</v>
      </c>
      <c r="T225" s="104" t="s">
        <v>751</v>
      </c>
      <c r="U225" s="141"/>
      <c r="V225" s="142"/>
    </row>
    <row r="226" spans="1:22" ht="12.75" x14ac:dyDescent="0.2">
      <c r="A226" s="93">
        <v>220</v>
      </c>
      <c r="B226" s="145" t="s">
        <v>318</v>
      </c>
      <c r="C226" s="141" t="s">
        <v>866</v>
      </c>
      <c r="D226" s="142" t="s">
        <v>869</v>
      </c>
      <c r="E226" s="149" t="s">
        <v>317</v>
      </c>
      <c r="F226" s="542">
        <v>24560880</v>
      </c>
      <c r="G226" s="542">
        <v>321964</v>
      </c>
      <c r="H226" s="542">
        <v>0</v>
      </c>
      <c r="I226" s="542">
        <v>109949</v>
      </c>
      <c r="J226" s="542">
        <v>0</v>
      </c>
      <c r="K226" s="542">
        <v>109949</v>
      </c>
      <c r="L226" s="542">
        <v>0</v>
      </c>
      <c r="M226" s="542">
        <v>0</v>
      </c>
      <c r="N226" s="542">
        <v>46524</v>
      </c>
      <c r="O226" s="542">
        <v>46524</v>
      </c>
      <c r="P226" s="542">
        <v>0</v>
      </c>
      <c r="Q226" s="542">
        <v>24726371</v>
      </c>
      <c r="R226" s="102" t="s">
        <v>317</v>
      </c>
      <c r="S226" s="103" t="s">
        <v>755</v>
      </c>
      <c r="T226" s="104" t="s">
        <v>756</v>
      </c>
      <c r="U226" s="141"/>
      <c r="V226" s="142"/>
    </row>
    <row r="227" spans="1:22" ht="12.75" x14ac:dyDescent="0.2">
      <c r="A227" s="93">
        <v>221</v>
      </c>
      <c r="B227" s="145" t="s">
        <v>320</v>
      </c>
      <c r="C227" s="141" t="s">
        <v>866</v>
      </c>
      <c r="D227" s="142" t="s">
        <v>867</v>
      </c>
      <c r="E227" s="149" t="s">
        <v>319</v>
      </c>
      <c r="F227" s="542">
        <v>50368204</v>
      </c>
      <c r="G227" s="542">
        <v>0</v>
      </c>
      <c r="H227" s="542">
        <v>324211</v>
      </c>
      <c r="I227" s="542">
        <v>124863</v>
      </c>
      <c r="J227" s="542">
        <v>3360</v>
      </c>
      <c r="K227" s="542">
        <v>128223</v>
      </c>
      <c r="L227" s="542">
        <v>0</v>
      </c>
      <c r="M227" s="542">
        <v>0</v>
      </c>
      <c r="N227" s="542">
        <v>0</v>
      </c>
      <c r="O227" s="542">
        <v>0</v>
      </c>
      <c r="P227" s="542">
        <v>0</v>
      </c>
      <c r="Q227" s="542">
        <v>49915770</v>
      </c>
      <c r="R227" s="102" t="s">
        <v>319</v>
      </c>
      <c r="S227" s="103" t="s">
        <v>767</v>
      </c>
      <c r="T227" s="104" t="s">
        <v>768</v>
      </c>
      <c r="U227" s="141"/>
      <c r="V227" s="142"/>
    </row>
    <row r="228" spans="1:22" ht="12.75" x14ac:dyDescent="0.2">
      <c r="A228" s="93">
        <v>222</v>
      </c>
      <c r="B228" s="145" t="s">
        <v>322</v>
      </c>
      <c r="C228" s="141" t="s">
        <v>770</v>
      </c>
      <c r="D228" s="142" t="s">
        <v>869</v>
      </c>
      <c r="E228" s="149" t="s">
        <v>722</v>
      </c>
      <c r="F228" s="542">
        <v>9987814</v>
      </c>
      <c r="G228" s="542">
        <v>15205</v>
      </c>
      <c r="H228" s="542">
        <v>0</v>
      </c>
      <c r="I228" s="542">
        <v>53083</v>
      </c>
      <c r="J228" s="542">
        <v>0</v>
      </c>
      <c r="K228" s="542">
        <v>53083</v>
      </c>
      <c r="L228" s="542">
        <v>0</v>
      </c>
      <c r="M228" s="542">
        <v>0</v>
      </c>
      <c r="N228" s="542">
        <v>0</v>
      </c>
      <c r="O228" s="542">
        <v>0</v>
      </c>
      <c r="P228" s="542">
        <v>0</v>
      </c>
      <c r="Q228" s="542">
        <v>9949936</v>
      </c>
      <c r="R228" s="102" t="s">
        <v>722</v>
      </c>
      <c r="S228" s="103" t="s">
        <v>770</v>
      </c>
      <c r="T228" s="104" t="s">
        <v>775</v>
      </c>
      <c r="U228" s="141"/>
      <c r="V228" s="142"/>
    </row>
    <row r="229" spans="1:22" ht="12.75" x14ac:dyDescent="0.2">
      <c r="A229" s="93">
        <v>223</v>
      </c>
      <c r="B229" s="145" t="s">
        <v>324</v>
      </c>
      <c r="C229" s="141" t="s">
        <v>866</v>
      </c>
      <c r="D229" s="142" t="s">
        <v>874</v>
      </c>
      <c r="E229" s="149" t="s">
        <v>323</v>
      </c>
      <c r="F229" s="542">
        <v>16181706</v>
      </c>
      <c r="G229" s="542">
        <v>17426</v>
      </c>
      <c r="H229" s="542">
        <v>0</v>
      </c>
      <c r="I229" s="542">
        <v>111446</v>
      </c>
      <c r="J229" s="542">
        <v>0</v>
      </c>
      <c r="K229" s="542">
        <v>111446</v>
      </c>
      <c r="L229" s="542">
        <v>0</v>
      </c>
      <c r="M229" s="542">
        <v>0</v>
      </c>
      <c r="N229" s="542">
        <v>0</v>
      </c>
      <c r="O229" s="542">
        <v>0</v>
      </c>
      <c r="P229" s="542">
        <v>0</v>
      </c>
      <c r="Q229" s="542">
        <v>16087686</v>
      </c>
      <c r="R229" s="102" t="s">
        <v>323</v>
      </c>
      <c r="S229" s="103" t="s">
        <v>800</v>
      </c>
      <c r="T229" s="104" t="s">
        <v>801</v>
      </c>
      <c r="U229" s="141"/>
      <c r="V229" s="142"/>
    </row>
    <row r="230" spans="1:22" ht="12.75" x14ac:dyDescent="0.2">
      <c r="A230" s="93">
        <v>224</v>
      </c>
      <c r="B230" s="145" t="s">
        <v>326</v>
      </c>
      <c r="C230" s="141" t="s">
        <v>873</v>
      </c>
      <c r="D230" s="142" t="s">
        <v>868</v>
      </c>
      <c r="E230" s="149" t="s">
        <v>325</v>
      </c>
      <c r="F230" s="542">
        <v>87618723</v>
      </c>
      <c r="G230" s="542">
        <v>0</v>
      </c>
      <c r="H230" s="542">
        <v>516939</v>
      </c>
      <c r="I230" s="542">
        <v>445614</v>
      </c>
      <c r="J230" s="542">
        <v>0</v>
      </c>
      <c r="K230" s="542">
        <v>445614</v>
      </c>
      <c r="L230" s="542">
        <v>0</v>
      </c>
      <c r="M230" s="542">
        <v>0</v>
      </c>
      <c r="N230" s="542">
        <v>0</v>
      </c>
      <c r="O230" s="542">
        <v>0</v>
      </c>
      <c r="P230" s="542">
        <v>0</v>
      </c>
      <c r="Q230" s="542">
        <v>86656170</v>
      </c>
      <c r="R230" s="102" t="s">
        <v>325</v>
      </c>
      <c r="S230" s="103" t="s">
        <v>763</v>
      </c>
      <c r="T230" s="104" t="s">
        <v>777</v>
      </c>
      <c r="U230" s="141"/>
      <c r="V230" s="142"/>
    </row>
    <row r="231" spans="1:22" ht="12.75" x14ac:dyDescent="0.2">
      <c r="A231" s="93">
        <v>225</v>
      </c>
      <c r="B231" s="145" t="s">
        <v>328</v>
      </c>
      <c r="C231" s="141" t="s">
        <v>873</v>
      </c>
      <c r="D231" s="142" t="s">
        <v>876</v>
      </c>
      <c r="E231" s="149" t="s">
        <v>327</v>
      </c>
      <c r="F231" s="542">
        <v>97939707</v>
      </c>
      <c r="G231" s="542">
        <v>0</v>
      </c>
      <c r="H231" s="542">
        <v>122503</v>
      </c>
      <c r="I231" s="542">
        <v>444854</v>
      </c>
      <c r="J231" s="542">
        <v>0</v>
      </c>
      <c r="K231" s="542">
        <v>444854</v>
      </c>
      <c r="L231" s="542">
        <v>0</v>
      </c>
      <c r="M231" s="542">
        <v>0</v>
      </c>
      <c r="N231" s="542">
        <v>0</v>
      </c>
      <c r="O231" s="542">
        <v>0</v>
      </c>
      <c r="P231" s="542">
        <v>0</v>
      </c>
      <c r="Q231" s="542">
        <v>97372350</v>
      </c>
      <c r="R231" s="102" t="s">
        <v>327</v>
      </c>
      <c r="S231" s="103" t="s">
        <v>763</v>
      </c>
      <c r="T231" s="104" t="s">
        <v>773</v>
      </c>
      <c r="U231" s="141"/>
      <c r="V231" s="142"/>
    </row>
    <row r="232" spans="1:22" ht="12.75" x14ac:dyDescent="0.2">
      <c r="A232" s="93">
        <v>226</v>
      </c>
      <c r="B232" s="145" t="s">
        <v>330</v>
      </c>
      <c r="C232" s="141" t="s">
        <v>866</v>
      </c>
      <c r="D232" s="142" t="s">
        <v>874</v>
      </c>
      <c r="E232" s="149" t="s">
        <v>329</v>
      </c>
      <c r="F232" s="542">
        <v>32763488</v>
      </c>
      <c r="G232" s="542">
        <v>0</v>
      </c>
      <c r="H232" s="542">
        <v>16435</v>
      </c>
      <c r="I232" s="542">
        <v>250789</v>
      </c>
      <c r="J232" s="542">
        <v>0</v>
      </c>
      <c r="K232" s="542">
        <v>250789</v>
      </c>
      <c r="L232" s="542">
        <v>0</v>
      </c>
      <c r="M232" s="542">
        <v>0</v>
      </c>
      <c r="N232" s="542">
        <v>0</v>
      </c>
      <c r="O232" s="542">
        <v>0</v>
      </c>
      <c r="P232" s="542">
        <v>0</v>
      </c>
      <c r="Q232" s="542">
        <v>32496264</v>
      </c>
      <c r="R232" s="102" t="s">
        <v>329</v>
      </c>
      <c r="S232" s="103" t="s">
        <v>800</v>
      </c>
      <c r="T232" s="104" t="s">
        <v>801</v>
      </c>
      <c r="U232" s="141"/>
      <c r="V232" s="142"/>
    </row>
    <row r="233" spans="1:22" ht="12.75" x14ac:dyDescent="0.2">
      <c r="A233" s="93">
        <v>227</v>
      </c>
      <c r="B233" s="145" t="s">
        <v>332</v>
      </c>
      <c r="C233" s="141" t="s">
        <v>866</v>
      </c>
      <c r="D233" s="142" t="s">
        <v>875</v>
      </c>
      <c r="E233" s="149" t="s">
        <v>331</v>
      </c>
      <c r="F233" s="542">
        <v>35858727</v>
      </c>
      <c r="G233" s="542">
        <v>0</v>
      </c>
      <c r="H233" s="542">
        <v>33142</v>
      </c>
      <c r="I233" s="542">
        <v>162192</v>
      </c>
      <c r="J233" s="542">
        <v>0</v>
      </c>
      <c r="K233" s="542">
        <v>162192</v>
      </c>
      <c r="L233" s="542">
        <v>0</v>
      </c>
      <c r="M233" s="542">
        <v>0</v>
      </c>
      <c r="N233" s="542">
        <v>52993</v>
      </c>
      <c r="O233" s="542">
        <v>52993</v>
      </c>
      <c r="P233" s="542">
        <v>0</v>
      </c>
      <c r="Q233" s="542">
        <v>35610400</v>
      </c>
      <c r="R233" s="102" t="s">
        <v>331</v>
      </c>
      <c r="S233" s="103" t="s">
        <v>815</v>
      </c>
      <c r="T233" s="104" t="s">
        <v>804</v>
      </c>
      <c r="U233" s="141"/>
      <c r="V233" s="142"/>
    </row>
    <row r="234" spans="1:22" ht="12.75" x14ac:dyDescent="0.2">
      <c r="A234" s="93">
        <v>228</v>
      </c>
      <c r="B234" s="145" t="s">
        <v>334</v>
      </c>
      <c r="C234" s="141" t="s">
        <v>873</v>
      </c>
      <c r="D234" s="142" t="s">
        <v>868</v>
      </c>
      <c r="E234" s="149" t="s">
        <v>333</v>
      </c>
      <c r="F234" s="542">
        <v>69301718</v>
      </c>
      <c r="G234" s="542">
        <v>0</v>
      </c>
      <c r="H234" s="542">
        <v>857155</v>
      </c>
      <c r="I234" s="542">
        <v>322496</v>
      </c>
      <c r="J234" s="542">
        <v>0</v>
      </c>
      <c r="K234" s="542">
        <v>322496</v>
      </c>
      <c r="L234" s="542">
        <v>0</v>
      </c>
      <c r="M234" s="542">
        <v>0</v>
      </c>
      <c r="N234" s="542">
        <v>0</v>
      </c>
      <c r="O234" s="542">
        <v>0</v>
      </c>
      <c r="P234" s="542">
        <v>0</v>
      </c>
      <c r="Q234" s="542">
        <v>68122067</v>
      </c>
      <c r="R234" s="102" t="s">
        <v>333</v>
      </c>
      <c r="S234" s="103" t="s">
        <v>763</v>
      </c>
      <c r="T234" s="104" t="s">
        <v>814</v>
      </c>
      <c r="U234" s="141"/>
      <c r="V234" s="142"/>
    </row>
    <row r="235" spans="1:22" ht="12.75" x14ac:dyDescent="0.2">
      <c r="A235" s="93">
        <v>229</v>
      </c>
      <c r="B235" s="145" t="s">
        <v>336</v>
      </c>
      <c r="C235" s="141" t="s">
        <v>866</v>
      </c>
      <c r="D235" s="142" t="s">
        <v>874</v>
      </c>
      <c r="E235" s="149" t="s">
        <v>335</v>
      </c>
      <c r="F235" s="542">
        <v>44020225</v>
      </c>
      <c r="G235" s="542">
        <v>13336</v>
      </c>
      <c r="H235" s="542">
        <v>0</v>
      </c>
      <c r="I235" s="542">
        <v>117702</v>
      </c>
      <c r="J235" s="542">
        <v>0</v>
      </c>
      <c r="K235" s="542">
        <v>117702</v>
      </c>
      <c r="L235" s="542">
        <v>0</v>
      </c>
      <c r="M235" s="542">
        <v>0</v>
      </c>
      <c r="N235" s="542">
        <v>5206551</v>
      </c>
      <c r="O235" s="542">
        <v>5206551</v>
      </c>
      <c r="P235" s="542">
        <v>0</v>
      </c>
      <c r="Q235" s="542">
        <v>38709308</v>
      </c>
      <c r="R235" s="102" t="s">
        <v>335</v>
      </c>
      <c r="S235" s="103" t="s">
        <v>800</v>
      </c>
      <c r="T235" s="104" t="s">
        <v>801</v>
      </c>
      <c r="U235" s="141"/>
      <c r="V235" s="142"/>
    </row>
    <row r="236" spans="1:22" ht="12.75" x14ac:dyDescent="0.2">
      <c r="A236" s="93">
        <v>230</v>
      </c>
      <c r="B236" s="145" t="s">
        <v>338</v>
      </c>
      <c r="C236" s="141" t="s">
        <v>866</v>
      </c>
      <c r="D236" s="142" t="s">
        <v>867</v>
      </c>
      <c r="E236" s="149" t="s">
        <v>337</v>
      </c>
      <c r="F236" s="542">
        <v>32874850</v>
      </c>
      <c r="G236" s="542">
        <v>0</v>
      </c>
      <c r="H236" s="542">
        <v>20613</v>
      </c>
      <c r="I236" s="542">
        <v>169927</v>
      </c>
      <c r="J236" s="542">
        <v>0</v>
      </c>
      <c r="K236" s="542">
        <v>169927</v>
      </c>
      <c r="L236" s="542">
        <v>0</v>
      </c>
      <c r="M236" s="542">
        <v>0</v>
      </c>
      <c r="N236" s="542">
        <v>0</v>
      </c>
      <c r="O236" s="542">
        <v>0</v>
      </c>
      <c r="P236" s="542">
        <v>0</v>
      </c>
      <c r="Q236" s="542">
        <v>32684310</v>
      </c>
      <c r="R236" s="102" t="s">
        <v>337</v>
      </c>
      <c r="S236" s="103" t="s">
        <v>757</v>
      </c>
      <c r="T236" s="104" t="s">
        <v>758</v>
      </c>
      <c r="U236" s="141"/>
      <c r="V236" s="142"/>
    </row>
    <row r="237" spans="1:22" ht="12.75" x14ac:dyDescent="0.2">
      <c r="A237" s="93">
        <v>231</v>
      </c>
      <c r="B237" s="145" t="s">
        <v>340</v>
      </c>
      <c r="C237" s="141" t="s">
        <v>873</v>
      </c>
      <c r="D237" s="142" t="s">
        <v>874</v>
      </c>
      <c r="E237" s="149" t="s">
        <v>339</v>
      </c>
      <c r="F237" s="542">
        <v>206244992</v>
      </c>
      <c r="G237" s="542">
        <v>0</v>
      </c>
      <c r="H237" s="542">
        <v>1660007</v>
      </c>
      <c r="I237" s="542">
        <v>777513</v>
      </c>
      <c r="J237" s="542">
        <v>0</v>
      </c>
      <c r="K237" s="542">
        <v>777513</v>
      </c>
      <c r="L237" s="542">
        <v>0</v>
      </c>
      <c r="M237" s="542">
        <v>367820</v>
      </c>
      <c r="N237" s="542">
        <v>0</v>
      </c>
      <c r="O237" s="542">
        <v>0</v>
      </c>
      <c r="P237" s="542">
        <v>0</v>
      </c>
      <c r="Q237" s="542">
        <v>203439652</v>
      </c>
      <c r="R237" s="102" t="s">
        <v>339</v>
      </c>
      <c r="S237" s="103" t="s">
        <v>763</v>
      </c>
      <c r="T237" s="104" t="s">
        <v>764</v>
      </c>
      <c r="U237" s="141"/>
      <c r="V237" s="142"/>
    </row>
    <row r="238" spans="1:22" ht="12.75" x14ac:dyDescent="0.2">
      <c r="A238" s="93">
        <v>232</v>
      </c>
      <c r="B238" s="145" t="s">
        <v>342</v>
      </c>
      <c r="C238" s="141" t="s">
        <v>866</v>
      </c>
      <c r="D238" s="142" t="s">
        <v>867</v>
      </c>
      <c r="E238" s="149" t="s">
        <v>341</v>
      </c>
      <c r="F238" s="542">
        <v>27005537</v>
      </c>
      <c r="G238" s="542">
        <v>0</v>
      </c>
      <c r="H238" s="542">
        <v>85030</v>
      </c>
      <c r="I238" s="542">
        <v>151655</v>
      </c>
      <c r="J238" s="542">
        <v>0</v>
      </c>
      <c r="K238" s="542">
        <v>151655</v>
      </c>
      <c r="L238" s="542">
        <v>0</v>
      </c>
      <c r="M238" s="542">
        <v>0</v>
      </c>
      <c r="N238" s="542">
        <v>0</v>
      </c>
      <c r="O238" s="542">
        <v>0</v>
      </c>
      <c r="P238" s="542">
        <v>0</v>
      </c>
      <c r="Q238" s="542">
        <v>26768852</v>
      </c>
      <c r="R238" s="102" t="s">
        <v>341</v>
      </c>
      <c r="S238" s="103" t="s">
        <v>757</v>
      </c>
      <c r="T238" s="104" t="s">
        <v>758</v>
      </c>
      <c r="U238" s="141"/>
      <c r="V238" s="142"/>
    </row>
    <row r="239" spans="1:22" ht="12.75" x14ac:dyDescent="0.2">
      <c r="A239" s="93">
        <v>233</v>
      </c>
      <c r="B239" s="145" t="s">
        <v>344</v>
      </c>
      <c r="C239" s="141" t="s">
        <v>770</v>
      </c>
      <c r="D239" s="142" t="s">
        <v>876</v>
      </c>
      <c r="E239" s="149" t="s">
        <v>343</v>
      </c>
      <c r="F239" s="542">
        <v>70245673</v>
      </c>
      <c r="G239" s="542">
        <v>0</v>
      </c>
      <c r="H239" s="542">
        <v>256692</v>
      </c>
      <c r="I239" s="542">
        <v>464476</v>
      </c>
      <c r="J239" s="542">
        <v>0</v>
      </c>
      <c r="K239" s="542">
        <v>464476</v>
      </c>
      <c r="L239" s="542">
        <v>0</v>
      </c>
      <c r="M239" s="542">
        <v>0</v>
      </c>
      <c r="N239" s="542">
        <v>2184357</v>
      </c>
      <c r="O239" s="542">
        <v>2184357</v>
      </c>
      <c r="P239" s="542">
        <v>0</v>
      </c>
      <c r="Q239" s="542">
        <v>67340148</v>
      </c>
      <c r="R239" s="102" t="s">
        <v>343</v>
      </c>
      <c r="S239" s="103" t="s">
        <v>770</v>
      </c>
      <c r="T239" s="104" t="s">
        <v>818</v>
      </c>
      <c r="U239" s="141"/>
      <c r="V239" s="142"/>
    </row>
    <row r="240" spans="1:22" ht="12.75" x14ac:dyDescent="0.2">
      <c r="A240" s="93">
        <v>234</v>
      </c>
      <c r="B240" s="145" t="s">
        <v>346</v>
      </c>
      <c r="C240" s="141" t="s">
        <v>770</v>
      </c>
      <c r="D240" s="142" t="s">
        <v>867</v>
      </c>
      <c r="E240" s="149" t="s">
        <v>723</v>
      </c>
      <c r="F240" s="542">
        <v>93772966</v>
      </c>
      <c r="G240" s="542">
        <v>0</v>
      </c>
      <c r="H240" s="542">
        <v>1519221</v>
      </c>
      <c r="I240" s="542">
        <v>207441</v>
      </c>
      <c r="J240" s="542">
        <v>0</v>
      </c>
      <c r="K240" s="542">
        <v>207441</v>
      </c>
      <c r="L240" s="542">
        <v>0</v>
      </c>
      <c r="M240" s="542">
        <v>0</v>
      </c>
      <c r="N240" s="542">
        <v>0</v>
      </c>
      <c r="O240" s="542">
        <v>0</v>
      </c>
      <c r="P240" s="542">
        <v>0</v>
      </c>
      <c r="Q240" s="542">
        <v>92046304</v>
      </c>
      <c r="R240" s="102" t="s">
        <v>723</v>
      </c>
      <c r="S240" s="103" t="s">
        <v>770</v>
      </c>
      <c r="T240" s="104" t="s">
        <v>780</v>
      </c>
      <c r="U240" s="141"/>
      <c r="V240" s="142"/>
    </row>
    <row r="241" spans="1:22" ht="12.75" x14ac:dyDescent="0.2">
      <c r="A241" s="93">
        <v>235</v>
      </c>
      <c r="B241" s="145" t="s">
        <v>348</v>
      </c>
      <c r="C241" s="141" t="s">
        <v>873</v>
      </c>
      <c r="D241" s="142" t="s">
        <v>876</v>
      </c>
      <c r="E241" s="149" t="s">
        <v>347</v>
      </c>
      <c r="F241" s="542">
        <v>106650401</v>
      </c>
      <c r="G241" s="542">
        <v>0</v>
      </c>
      <c r="H241" s="542">
        <v>674865</v>
      </c>
      <c r="I241" s="542">
        <v>242823</v>
      </c>
      <c r="J241" s="542">
        <v>0</v>
      </c>
      <c r="K241" s="542">
        <v>242823</v>
      </c>
      <c r="L241" s="542">
        <v>0</v>
      </c>
      <c r="M241" s="542">
        <v>0</v>
      </c>
      <c r="N241" s="542">
        <v>0</v>
      </c>
      <c r="O241" s="542">
        <v>0</v>
      </c>
      <c r="P241" s="542">
        <v>0</v>
      </c>
      <c r="Q241" s="542">
        <v>105732713</v>
      </c>
      <c r="R241" s="102" t="s">
        <v>347</v>
      </c>
      <c r="S241" s="103" t="s">
        <v>763</v>
      </c>
      <c r="T241" s="104" t="s">
        <v>773</v>
      </c>
      <c r="U241" s="141"/>
      <c r="V241" s="142"/>
    </row>
    <row r="242" spans="1:22" ht="12.75" x14ac:dyDescent="0.2">
      <c r="A242" s="93">
        <v>236</v>
      </c>
      <c r="B242" s="145" t="s">
        <v>350</v>
      </c>
      <c r="C242" s="141" t="s">
        <v>866</v>
      </c>
      <c r="D242" s="142" t="s">
        <v>867</v>
      </c>
      <c r="E242" s="149" t="s">
        <v>349</v>
      </c>
      <c r="F242" s="542">
        <v>27085566</v>
      </c>
      <c r="G242" s="542">
        <v>0</v>
      </c>
      <c r="H242" s="542">
        <v>322502</v>
      </c>
      <c r="I242" s="542">
        <v>97601</v>
      </c>
      <c r="J242" s="542">
        <v>0</v>
      </c>
      <c r="K242" s="542">
        <v>97601</v>
      </c>
      <c r="L242" s="542">
        <v>0</v>
      </c>
      <c r="M242" s="542">
        <v>0</v>
      </c>
      <c r="N242" s="542">
        <v>0</v>
      </c>
      <c r="O242" s="542">
        <v>0</v>
      </c>
      <c r="P242" s="542">
        <v>0</v>
      </c>
      <c r="Q242" s="542">
        <v>26665463</v>
      </c>
      <c r="R242" s="102" t="s">
        <v>349</v>
      </c>
      <c r="S242" s="103" t="s">
        <v>759</v>
      </c>
      <c r="T242" s="104" t="s">
        <v>760</v>
      </c>
      <c r="U242" s="141"/>
      <c r="V242" s="142"/>
    </row>
    <row r="243" spans="1:22" ht="12.75" x14ac:dyDescent="0.2">
      <c r="A243" s="93">
        <v>237</v>
      </c>
      <c r="B243" s="145" t="s">
        <v>352</v>
      </c>
      <c r="C243" s="141" t="s">
        <v>866</v>
      </c>
      <c r="D243" s="142" t="s">
        <v>870</v>
      </c>
      <c r="E243" s="149" t="s">
        <v>351</v>
      </c>
      <c r="F243" s="542">
        <v>67658044</v>
      </c>
      <c r="G243" s="542">
        <v>0</v>
      </c>
      <c r="H243" s="542">
        <v>96651</v>
      </c>
      <c r="I243" s="542">
        <v>219672</v>
      </c>
      <c r="J243" s="542">
        <v>0</v>
      </c>
      <c r="K243" s="542">
        <v>219672</v>
      </c>
      <c r="L243" s="542">
        <v>0</v>
      </c>
      <c r="M243" s="542">
        <v>0</v>
      </c>
      <c r="N243" s="542">
        <v>0</v>
      </c>
      <c r="O243" s="542">
        <v>0</v>
      </c>
      <c r="P243" s="542">
        <v>0</v>
      </c>
      <c r="Q243" s="542">
        <v>67341721</v>
      </c>
      <c r="R243" s="102" t="s">
        <v>351</v>
      </c>
      <c r="S243" s="103" t="s">
        <v>790</v>
      </c>
      <c r="T243" s="104" t="s">
        <v>791</v>
      </c>
      <c r="U243" s="141"/>
      <c r="V243" s="142"/>
    </row>
    <row r="244" spans="1:22" ht="12.75" x14ac:dyDescent="0.2">
      <c r="A244" s="93">
        <v>238</v>
      </c>
      <c r="B244" s="145" t="s">
        <v>354</v>
      </c>
      <c r="C244" s="141" t="s">
        <v>866</v>
      </c>
      <c r="D244" s="142" t="s">
        <v>869</v>
      </c>
      <c r="E244" s="149" t="s">
        <v>353</v>
      </c>
      <c r="F244" s="542">
        <v>22663837</v>
      </c>
      <c r="G244" s="542">
        <v>40713</v>
      </c>
      <c r="H244" s="542">
        <v>0</v>
      </c>
      <c r="I244" s="542">
        <v>90918</v>
      </c>
      <c r="J244" s="542">
        <v>0</v>
      </c>
      <c r="K244" s="542">
        <v>90918</v>
      </c>
      <c r="L244" s="542">
        <v>0</v>
      </c>
      <c r="M244" s="542">
        <v>0</v>
      </c>
      <c r="N244" s="542">
        <v>0</v>
      </c>
      <c r="O244" s="542">
        <v>0</v>
      </c>
      <c r="P244" s="542">
        <v>0</v>
      </c>
      <c r="Q244" s="542">
        <v>22613632</v>
      </c>
      <c r="R244" s="102" t="s">
        <v>353</v>
      </c>
      <c r="S244" s="103" t="s">
        <v>753</v>
      </c>
      <c r="T244" s="104" t="s">
        <v>754</v>
      </c>
      <c r="U244" s="141"/>
      <c r="V244" s="142"/>
    </row>
    <row r="245" spans="1:22" ht="12.75" x14ac:dyDescent="0.2">
      <c r="A245" s="93">
        <v>239</v>
      </c>
      <c r="B245" s="145" t="s">
        <v>356</v>
      </c>
      <c r="C245" s="141" t="s">
        <v>770</v>
      </c>
      <c r="D245" s="142" t="s">
        <v>875</v>
      </c>
      <c r="E245" s="149" t="s">
        <v>724</v>
      </c>
      <c r="F245" s="542">
        <v>125372596</v>
      </c>
      <c r="G245" s="542">
        <v>97020</v>
      </c>
      <c r="H245" s="542">
        <v>0</v>
      </c>
      <c r="I245" s="542">
        <v>332372</v>
      </c>
      <c r="J245" s="542">
        <v>0</v>
      </c>
      <c r="K245" s="542">
        <v>332372</v>
      </c>
      <c r="L245" s="542">
        <v>0</v>
      </c>
      <c r="M245" s="542">
        <v>3031485</v>
      </c>
      <c r="N245" s="542">
        <v>72977</v>
      </c>
      <c r="O245" s="542">
        <v>72977</v>
      </c>
      <c r="P245" s="542">
        <v>0</v>
      </c>
      <c r="Q245" s="542">
        <v>122032782</v>
      </c>
      <c r="R245" s="102" t="s">
        <v>724</v>
      </c>
      <c r="S245" s="103" t="s">
        <v>770</v>
      </c>
      <c r="T245" s="104" t="s">
        <v>771</v>
      </c>
      <c r="U245" s="141"/>
      <c r="V245" s="142"/>
    </row>
    <row r="246" spans="1:22" ht="12.75" x14ac:dyDescent="0.2">
      <c r="A246" s="93">
        <v>240</v>
      </c>
      <c r="B246" s="145" t="s">
        <v>358</v>
      </c>
      <c r="C246" s="141" t="s">
        <v>866</v>
      </c>
      <c r="D246" s="142" t="s">
        <v>875</v>
      </c>
      <c r="E246" s="149" t="s">
        <v>357</v>
      </c>
      <c r="F246" s="542">
        <v>28102081</v>
      </c>
      <c r="G246" s="542">
        <v>1623526</v>
      </c>
      <c r="H246" s="542">
        <v>0</v>
      </c>
      <c r="I246" s="542">
        <v>206162</v>
      </c>
      <c r="J246" s="542">
        <v>0</v>
      </c>
      <c r="K246" s="542">
        <v>206162</v>
      </c>
      <c r="L246" s="542">
        <v>0</v>
      </c>
      <c r="M246" s="542">
        <v>0</v>
      </c>
      <c r="N246" s="542">
        <v>0</v>
      </c>
      <c r="O246" s="542">
        <v>0</v>
      </c>
      <c r="P246" s="542">
        <v>0</v>
      </c>
      <c r="Q246" s="542">
        <v>29519445</v>
      </c>
      <c r="R246" s="102" t="s">
        <v>357</v>
      </c>
      <c r="S246" s="103" t="s">
        <v>803</v>
      </c>
      <c r="T246" s="104" t="s">
        <v>804</v>
      </c>
      <c r="U246" s="141"/>
      <c r="V246" s="142"/>
    </row>
    <row r="247" spans="1:22" ht="12.75" x14ac:dyDescent="0.2">
      <c r="A247" s="93">
        <v>241</v>
      </c>
      <c r="B247" s="145" t="s">
        <v>360</v>
      </c>
      <c r="C247" s="141" t="s">
        <v>866</v>
      </c>
      <c r="D247" s="142" t="s">
        <v>869</v>
      </c>
      <c r="E247" s="149" t="s">
        <v>359</v>
      </c>
      <c r="F247" s="542">
        <v>24409597</v>
      </c>
      <c r="G247" s="542">
        <v>242699</v>
      </c>
      <c r="H247" s="542">
        <v>0</v>
      </c>
      <c r="I247" s="542">
        <v>113332</v>
      </c>
      <c r="J247" s="542">
        <v>0</v>
      </c>
      <c r="K247" s="542">
        <v>113332</v>
      </c>
      <c r="L247" s="542">
        <v>0</v>
      </c>
      <c r="M247" s="542">
        <v>0</v>
      </c>
      <c r="N247" s="542">
        <v>207260</v>
      </c>
      <c r="O247" s="542">
        <v>207260</v>
      </c>
      <c r="P247" s="542">
        <v>0</v>
      </c>
      <c r="Q247" s="542">
        <v>24331704</v>
      </c>
      <c r="R247" s="102" t="s">
        <v>359</v>
      </c>
      <c r="S247" s="103" t="s">
        <v>778</v>
      </c>
      <c r="T247" s="104" t="s">
        <v>751</v>
      </c>
      <c r="U247" s="141"/>
      <c r="V247" s="142"/>
    </row>
    <row r="248" spans="1:22" ht="12.75" x14ac:dyDescent="0.2">
      <c r="A248" s="93">
        <v>242</v>
      </c>
      <c r="B248" s="145" t="s">
        <v>362</v>
      </c>
      <c r="C248" s="141" t="s">
        <v>866</v>
      </c>
      <c r="D248" s="142" t="s">
        <v>869</v>
      </c>
      <c r="E248" s="149" t="s">
        <v>361</v>
      </c>
      <c r="F248" s="542">
        <v>37811598</v>
      </c>
      <c r="G248" s="542">
        <v>0</v>
      </c>
      <c r="H248" s="542">
        <v>166565</v>
      </c>
      <c r="I248" s="542">
        <v>179909</v>
      </c>
      <c r="J248" s="542">
        <v>0</v>
      </c>
      <c r="K248" s="542">
        <v>179909</v>
      </c>
      <c r="L248" s="542">
        <v>0</v>
      </c>
      <c r="M248" s="542">
        <v>0</v>
      </c>
      <c r="N248" s="542">
        <v>0</v>
      </c>
      <c r="O248" s="542">
        <v>0</v>
      </c>
      <c r="P248" s="542">
        <v>0</v>
      </c>
      <c r="Q248" s="542">
        <v>37465124</v>
      </c>
      <c r="R248" s="102" t="s">
        <v>361</v>
      </c>
      <c r="S248" s="103" t="s">
        <v>778</v>
      </c>
      <c r="T248" s="104" t="s">
        <v>751</v>
      </c>
      <c r="U248" s="141"/>
      <c r="V248" s="142"/>
    </row>
    <row r="249" spans="1:22" ht="12.75" x14ac:dyDescent="0.2">
      <c r="A249" s="93">
        <v>243</v>
      </c>
      <c r="B249" s="145" t="s">
        <v>364</v>
      </c>
      <c r="C249" s="141" t="s">
        <v>866</v>
      </c>
      <c r="D249" s="142" t="s">
        <v>868</v>
      </c>
      <c r="E249" s="149" t="s">
        <v>363</v>
      </c>
      <c r="F249" s="542">
        <v>39690195</v>
      </c>
      <c r="G249" s="542">
        <v>0</v>
      </c>
      <c r="H249" s="542">
        <v>64830</v>
      </c>
      <c r="I249" s="542">
        <v>297725</v>
      </c>
      <c r="J249" s="542">
        <v>0</v>
      </c>
      <c r="K249" s="542">
        <v>297725</v>
      </c>
      <c r="L249" s="542">
        <v>0</v>
      </c>
      <c r="M249" s="542">
        <v>0</v>
      </c>
      <c r="N249" s="542">
        <v>0</v>
      </c>
      <c r="O249" s="542">
        <v>0</v>
      </c>
      <c r="P249" s="542">
        <v>0</v>
      </c>
      <c r="Q249" s="542">
        <v>39327640</v>
      </c>
      <c r="R249" s="102" t="s">
        <v>363</v>
      </c>
      <c r="S249" s="103" t="s">
        <v>752</v>
      </c>
      <c r="T249" s="104" t="s">
        <v>751</v>
      </c>
      <c r="U249" s="141"/>
      <c r="V249" s="142"/>
    </row>
    <row r="250" spans="1:22" ht="12.75" x14ac:dyDescent="0.2">
      <c r="A250" s="93">
        <v>244</v>
      </c>
      <c r="B250" s="145" t="s">
        <v>366</v>
      </c>
      <c r="C250" s="141" t="s">
        <v>866</v>
      </c>
      <c r="D250" s="142" t="s">
        <v>870</v>
      </c>
      <c r="E250" s="149" t="s">
        <v>365</v>
      </c>
      <c r="F250" s="542">
        <v>28329580</v>
      </c>
      <c r="G250" s="542">
        <v>0</v>
      </c>
      <c r="H250" s="542">
        <v>99135</v>
      </c>
      <c r="I250" s="542">
        <v>152442</v>
      </c>
      <c r="J250" s="542">
        <v>0</v>
      </c>
      <c r="K250" s="542">
        <v>152442</v>
      </c>
      <c r="L250" s="542">
        <v>0</v>
      </c>
      <c r="M250" s="542">
        <v>0</v>
      </c>
      <c r="N250" s="542">
        <v>0</v>
      </c>
      <c r="O250" s="542">
        <v>0</v>
      </c>
      <c r="P250" s="542">
        <v>0</v>
      </c>
      <c r="Q250" s="542">
        <v>28078003</v>
      </c>
      <c r="R250" s="102" t="s">
        <v>365</v>
      </c>
      <c r="S250" s="103" t="s">
        <v>782</v>
      </c>
      <c r="T250" s="104" t="s">
        <v>751</v>
      </c>
      <c r="U250" s="141"/>
      <c r="V250" s="142"/>
    </row>
    <row r="251" spans="1:22" ht="12.75" x14ac:dyDescent="0.2">
      <c r="A251" s="93">
        <v>245</v>
      </c>
      <c r="B251" s="145" t="s">
        <v>368</v>
      </c>
      <c r="C251" s="141" t="s">
        <v>866</v>
      </c>
      <c r="D251" s="142" t="s">
        <v>869</v>
      </c>
      <c r="E251" s="149" t="s">
        <v>367</v>
      </c>
      <c r="F251" s="542">
        <v>18546044</v>
      </c>
      <c r="G251" s="542">
        <v>0</v>
      </c>
      <c r="H251" s="542">
        <v>339402</v>
      </c>
      <c r="I251" s="542">
        <v>107204</v>
      </c>
      <c r="J251" s="542">
        <v>0</v>
      </c>
      <c r="K251" s="542">
        <v>107204</v>
      </c>
      <c r="L251" s="542">
        <v>0</v>
      </c>
      <c r="M251" s="542">
        <v>0</v>
      </c>
      <c r="N251" s="542">
        <v>78282</v>
      </c>
      <c r="O251" s="542">
        <v>78282</v>
      </c>
      <c r="P251" s="542">
        <v>0</v>
      </c>
      <c r="Q251" s="542">
        <v>18021156</v>
      </c>
      <c r="R251" s="102" t="s">
        <v>367</v>
      </c>
      <c r="S251" s="103" t="s">
        <v>799</v>
      </c>
      <c r="T251" s="104" t="s">
        <v>751</v>
      </c>
      <c r="U251" s="141"/>
      <c r="V251" s="142"/>
    </row>
    <row r="252" spans="1:22" ht="12.75" x14ac:dyDescent="0.2">
      <c r="A252" s="93">
        <v>246</v>
      </c>
      <c r="B252" s="145" t="s">
        <v>370</v>
      </c>
      <c r="C252" s="141" t="s">
        <v>866</v>
      </c>
      <c r="D252" s="142" t="s">
        <v>867</v>
      </c>
      <c r="E252" s="149" t="s">
        <v>369</v>
      </c>
      <c r="F252" s="542">
        <v>41262420</v>
      </c>
      <c r="G252" s="542">
        <v>0</v>
      </c>
      <c r="H252" s="542">
        <v>83210</v>
      </c>
      <c r="I252" s="542">
        <v>187208</v>
      </c>
      <c r="J252" s="542">
        <v>2500</v>
      </c>
      <c r="K252" s="542">
        <v>189708</v>
      </c>
      <c r="L252" s="542">
        <v>0</v>
      </c>
      <c r="M252" s="542">
        <v>0</v>
      </c>
      <c r="N252" s="542">
        <v>0</v>
      </c>
      <c r="O252" s="542">
        <v>0</v>
      </c>
      <c r="P252" s="542">
        <v>0</v>
      </c>
      <c r="Q252" s="542">
        <v>40989502</v>
      </c>
      <c r="R252" s="102" t="s">
        <v>369</v>
      </c>
      <c r="S252" s="103" t="s">
        <v>795</v>
      </c>
      <c r="T252" s="104" t="s">
        <v>751</v>
      </c>
      <c r="U252" s="141"/>
      <c r="V252" s="142"/>
    </row>
    <row r="253" spans="1:22" ht="12.75" x14ac:dyDescent="0.2">
      <c r="A253" s="93">
        <v>247</v>
      </c>
      <c r="B253" s="145" t="s">
        <v>372</v>
      </c>
      <c r="C253" s="141" t="s">
        <v>866</v>
      </c>
      <c r="D253" s="142" t="s">
        <v>868</v>
      </c>
      <c r="E253" s="149" t="s">
        <v>371</v>
      </c>
      <c r="F253" s="542">
        <v>38284672</v>
      </c>
      <c r="G253" s="542">
        <v>0</v>
      </c>
      <c r="H253" s="542">
        <v>182747</v>
      </c>
      <c r="I253" s="542">
        <v>124547</v>
      </c>
      <c r="J253" s="542">
        <v>0</v>
      </c>
      <c r="K253" s="542">
        <v>124547</v>
      </c>
      <c r="L253" s="542">
        <v>0</v>
      </c>
      <c r="M253" s="542">
        <v>0</v>
      </c>
      <c r="N253" s="542">
        <v>0</v>
      </c>
      <c r="O253" s="542">
        <v>0</v>
      </c>
      <c r="P253" s="542">
        <v>0</v>
      </c>
      <c r="Q253" s="542">
        <v>37977378</v>
      </c>
      <c r="R253" s="102" t="s">
        <v>371</v>
      </c>
      <c r="S253" s="103" t="s">
        <v>789</v>
      </c>
      <c r="T253" s="104" t="s">
        <v>776</v>
      </c>
      <c r="U253" s="141"/>
      <c r="V253" s="142"/>
    </row>
    <row r="254" spans="1:22" ht="12.75" x14ac:dyDescent="0.2">
      <c r="A254" s="93">
        <v>248</v>
      </c>
      <c r="B254" s="145" t="s">
        <v>374</v>
      </c>
      <c r="C254" s="141" t="s">
        <v>866</v>
      </c>
      <c r="D254" s="142" t="s">
        <v>875</v>
      </c>
      <c r="E254" s="149" t="s">
        <v>373</v>
      </c>
      <c r="F254" s="542">
        <v>41455842.299999997</v>
      </c>
      <c r="G254" s="542">
        <v>0</v>
      </c>
      <c r="H254" s="542">
        <v>4857</v>
      </c>
      <c r="I254" s="542">
        <v>224259</v>
      </c>
      <c r="J254" s="542">
        <v>0</v>
      </c>
      <c r="K254" s="542">
        <v>224259</v>
      </c>
      <c r="L254" s="542">
        <v>0</v>
      </c>
      <c r="M254" s="542">
        <v>0</v>
      </c>
      <c r="N254" s="542">
        <v>142864</v>
      </c>
      <c r="O254" s="542">
        <v>142864</v>
      </c>
      <c r="P254" s="542">
        <v>0</v>
      </c>
      <c r="Q254" s="542">
        <v>41083862.299999997</v>
      </c>
      <c r="R254" s="102" t="s">
        <v>373</v>
      </c>
      <c r="S254" s="103" t="s">
        <v>815</v>
      </c>
      <c r="T254" s="104" t="s">
        <v>804</v>
      </c>
      <c r="U254" s="141"/>
      <c r="V254" s="142"/>
    </row>
    <row r="255" spans="1:22" ht="12.75" x14ac:dyDescent="0.2">
      <c r="A255" s="93">
        <v>249</v>
      </c>
      <c r="B255" s="145" t="s">
        <v>376</v>
      </c>
      <c r="C255" s="141" t="s">
        <v>866</v>
      </c>
      <c r="D255" s="142" t="s">
        <v>876</v>
      </c>
      <c r="E255" s="149" t="s">
        <v>375</v>
      </c>
      <c r="F255" s="542">
        <v>19147638</v>
      </c>
      <c r="G255" s="542">
        <v>0</v>
      </c>
      <c r="H255" s="542">
        <v>302646</v>
      </c>
      <c r="I255" s="542">
        <v>103969</v>
      </c>
      <c r="J255" s="542">
        <v>0</v>
      </c>
      <c r="K255" s="542">
        <v>103969</v>
      </c>
      <c r="L255" s="542">
        <v>0</v>
      </c>
      <c r="M255" s="542">
        <v>1653887</v>
      </c>
      <c r="N255" s="542">
        <v>215668</v>
      </c>
      <c r="O255" s="542">
        <v>0</v>
      </c>
      <c r="P255" s="542">
        <v>215668</v>
      </c>
      <c r="Q255" s="542">
        <v>16871468</v>
      </c>
      <c r="R255" s="102" t="s">
        <v>375</v>
      </c>
      <c r="S255" s="103" t="s">
        <v>792</v>
      </c>
      <c r="T255" s="104" t="s">
        <v>793</v>
      </c>
      <c r="U255" s="141"/>
      <c r="V255" s="142"/>
    </row>
    <row r="256" spans="1:22" ht="12.75" x14ac:dyDescent="0.2">
      <c r="A256" s="93">
        <v>250</v>
      </c>
      <c r="B256" s="145" t="s">
        <v>378</v>
      </c>
      <c r="C256" s="141" t="s">
        <v>873</v>
      </c>
      <c r="D256" s="142" t="s">
        <v>878</v>
      </c>
      <c r="E256" s="149" t="s">
        <v>377</v>
      </c>
      <c r="F256" s="542">
        <v>30416153</v>
      </c>
      <c r="G256" s="542">
        <v>0</v>
      </c>
      <c r="H256" s="542">
        <v>49960</v>
      </c>
      <c r="I256" s="542">
        <v>150815</v>
      </c>
      <c r="J256" s="542">
        <v>0</v>
      </c>
      <c r="K256" s="542">
        <v>150815</v>
      </c>
      <c r="L256" s="542">
        <v>0</v>
      </c>
      <c r="M256" s="542">
        <v>0</v>
      </c>
      <c r="N256" s="542">
        <v>0</v>
      </c>
      <c r="O256" s="542">
        <v>0</v>
      </c>
      <c r="P256" s="542">
        <v>0</v>
      </c>
      <c r="Q256" s="542">
        <v>30215378</v>
      </c>
      <c r="R256" s="102" t="s">
        <v>377</v>
      </c>
      <c r="S256" s="103" t="s">
        <v>763</v>
      </c>
      <c r="T256" s="104" t="s">
        <v>808</v>
      </c>
      <c r="U256" s="141"/>
      <c r="V256" s="142"/>
    </row>
    <row r="257" spans="1:22" ht="12.75" x14ac:dyDescent="0.2">
      <c r="A257" s="93">
        <v>251</v>
      </c>
      <c r="B257" s="145" t="s">
        <v>380</v>
      </c>
      <c r="C257" s="141" t="s">
        <v>770</v>
      </c>
      <c r="D257" s="142" t="s">
        <v>867</v>
      </c>
      <c r="E257" s="149" t="s">
        <v>725</v>
      </c>
      <c r="F257" s="542">
        <v>100733781</v>
      </c>
      <c r="G257" s="542">
        <v>0</v>
      </c>
      <c r="H257" s="542">
        <v>1493198</v>
      </c>
      <c r="I257" s="542">
        <v>317986</v>
      </c>
      <c r="J257" s="542">
        <v>0</v>
      </c>
      <c r="K257" s="542">
        <v>317986</v>
      </c>
      <c r="L257" s="542">
        <v>0</v>
      </c>
      <c r="M257" s="542">
        <v>0</v>
      </c>
      <c r="N257" s="542">
        <v>0</v>
      </c>
      <c r="O257" s="542">
        <v>0</v>
      </c>
      <c r="P257" s="542">
        <v>0</v>
      </c>
      <c r="Q257" s="542">
        <v>98922597</v>
      </c>
      <c r="R257" s="102" t="s">
        <v>725</v>
      </c>
      <c r="S257" s="103" t="s">
        <v>770</v>
      </c>
      <c r="T257" s="104" t="s">
        <v>768</v>
      </c>
      <c r="U257" s="141"/>
      <c r="V257" s="142"/>
    </row>
    <row r="258" spans="1:22" ht="12.75" x14ac:dyDescent="0.2">
      <c r="A258" s="93">
        <v>252</v>
      </c>
      <c r="B258" s="145" t="s">
        <v>382</v>
      </c>
      <c r="C258" s="141" t="s">
        <v>770</v>
      </c>
      <c r="D258" s="142" t="s">
        <v>870</v>
      </c>
      <c r="E258" s="149" t="s">
        <v>726</v>
      </c>
      <c r="F258" s="542">
        <v>44212891</v>
      </c>
      <c r="G258" s="542">
        <v>211095</v>
      </c>
      <c r="H258" s="542">
        <v>0</v>
      </c>
      <c r="I258" s="542">
        <v>239791</v>
      </c>
      <c r="J258" s="542">
        <v>0</v>
      </c>
      <c r="K258" s="542">
        <v>239791</v>
      </c>
      <c r="L258" s="542">
        <v>0</v>
      </c>
      <c r="M258" s="542">
        <v>0</v>
      </c>
      <c r="N258" s="542">
        <v>0</v>
      </c>
      <c r="O258" s="542">
        <v>0</v>
      </c>
      <c r="P258" s="542">
        <v>0</v>
      </c>
      <c r="Q258" s="542">
        <v>44184195</v>
      </c>
      <c r="R258" s="102" t="s">
        <v>726</v>
      </c>
      <c r="S258" s="103" t="s">
        <v>770</v>
      </c>
      <c r="T258" s="104" t="s">
        <v>766</v>
      </c>
      <c r="U258" s="141"/>
      <c r="V258" s="142"/>
    </row>
    <row r="259" spans="1:22" ht="12.75" x14ac:dyDescent="0.2">
      <c r="A259" s="93">
        <v>253</v>
      </c>
      <c r="B259" s="145" t="s">
        <v>384</v>
      </c>
      <c r="C259" s="141" t="s">
        <v>877</v>
      </c>
      <c r="D259" s="142" t="s">
        <v>872</v>
      </c>
      <c r="E259" s="149" t="s">
        <v>383</v>
      </c>
      <c r="F259" s="542">
        <v>210037924</v>
      </c>
      <c r="G259" s="542">
        <v>0</v>
      </c>
      <c r="H259" s="542">
        <v>535794</v>
      </c>
      <c r="I259" s="542">
        <v>654521</v>
      </c>
      <c r="J259" s="542">
        <v>0</v>
      </c>
      <c r="K259" s="542">
        <v>654521</v>
      </c>
      <c r="L259" s="542">
        <v>0</v>
      </c>
      <c r="M259" s="542">
        <v>0</v>
      </c>
      <c r="N259" s="542">
        <v>0</v>
      </c>
      <c r="O259" s="542">
        <v>0</v>
      </c>
      <c r="P259" s="542">
        <v>0</v>
      </c>
      <c r="Q259" s="542">
        <v>208847609</v>
      </c>
      <c r="R259" s="102" t="s">
        <v>383</v>
      </c>
      <c r="S259" s="103" t="s">
        <v>762</v>
      </c>
      <c r="T259" s="103" t="s">
        <v>750</v>
      </c>
      <c r="U259" s="141"/>
      <c r="V259" s="142"/>
    </row>
    <row r="260" spans="1:22" ht="12.75" x14ac:dyDescent="0.2">
      <c r="A260" s="93">
        <v>254</v>
      </c>
      <c r="B260" s="145" t="s">
        <v>386</v>
      </c>
      <c r="C260" s="141" t="s">
        <v>866</v>
      </c>
      <c r="D260" s="142" t="s">
        <v>867</v>
      </c>
      <c r="E260" s="149" t="s">
        <v>385</v>
      </c>
      <c r="F260" s="542">
        <v>39729074</v>
      </c>
      <c r="G260" s="542">
        <v>50771</v>
      </c>
      <c r="H260" s="542">
        <v>0</v>
      </c>
      <c r="I260" s="542">
        <v>130309</v>
      </c>
      <c r="J260" s="542">
        <v>0</v>
      </c>
      <c r="K260" s="542">
        <v>130309</v>
      </c>
      <c r="L260" s="542">
        <v>0</v>
      </c>
      <c r="M260" s="542">
        <v>0</v>
      </c>
      <c r="N260" s="542">
        <v>0</v>
      </c>
      <c r="O260" s="542">
        <v>0</v>
      </c>
      <c r="P260" s="542">
        <v>0</v>
      </c>
      <c r="Q260" s="542">
        <v>39649536</v>
      </c>
      <c r="R260" s="102" t="s">
        <v>385</v>
      </c>
      <c r="S260" s="103" t="s">
        <v>807</v>
      </c>
      <c r="T260" s="104" t="s">
        <v>751</v>
      </c>
      <c r="U260" s="141"/>
      <c r="V260" s="142"/>
    </row>
    <row r="261" spans="1:22" ht="12.75" x14ac:dyDescent="0.2">
      <c r="A261" s="93">
        <v>255</v>
      </c>
      <c r="B261" s="145" t="s">
        <v>388</v>
      </c>
      <c r="C261" s="141" t="s">
        <v>866</v>
      </c>
      <c r="D261" s="142" t="s">
        <v>870</v>
      </c>
      <c r="E261" s="149" t="s">
        <v>387</v>
      </c>
      <c r="F261" s="542">
        <v>57411913</v>
      </c>
      <c r="G261" s="542">
        <v>0</v>
      </c>
      <c r="H261" s="542">
        <v>301478</v>
      </c>
      <c r="I261" s="542">
        <v>197300</v>
      </c>
      <c r="J261" s="542">
        <v>0</v>
      </c>
      <c r="K261" s="542">
        <v>197300</v>
      </c>
      <c r="L261" s="542">
        <v>0</v>
      </c>
      <c r="M261" s="542">
        <v>0</v>
      </c>
      <c r="N261" s="542">
        <v>0</v>
      </c>
      <c r="O261" s="542">
        <v>0</v>
      </c>
      <c r="P261" s="542">
        <v>0</v>
      </c>
      <c r="Q261" s="542">
        <v>56913135</v>
      </c>
      <c r="R261" s="102" t="s">
        <v>387</v>
      </c>
      <c r="S261" s="103" t="s">
        <v>788</v>
      </c>
      <c r="T261" s="104" t="s">
        <v>751</v>
      </c>
      <c r="U261" s="141"/>
      <c r="V261" s="142"/>
    </row>
    <row r="262" spans="1:22" ht="12.75" x14ac:dyDescent="0.2">
      <c r="A262" s="93">
        <v>256</v>
      </c>
      <c r="B262" s="145" t="s">
        <v>390</v>
      </c>
      <c r="C262" s="141" t="s">
        <v>866</v>
      </c>
      <c r="D262" s="142" t="s">
        <v>870</v>
      </c>
      <c r="E262" s="149" t="s">
        <v>389</v>
      </c>
      <c r="F262" s="542">
        <v>46031294</v>
      </c>
      <c r="G262" s="542">
        <v>0</v>
      </c>
      <c r="H262" s="542">
        <v>30459</v>
      </c>
      <c r="I262" s="542">
        <v>162652</v>
      </c>
      <c r="J262" s="542">
        <v>0</v>
      </c>
      <c r="K262" s="542">
        <v>162652</v>
      </c>
      <c r="L262" s="542">
        <v>0</v>
      </c>
      <c r="M262" s="542">
        <v>0</v>
      </c>
      <c r="N262" s="542">
        <v>254610</v>
      </c>
      <c r="O262" s="542">
        <v>254610</v>
      </c>
      <c r="P262" s="542">
        <v>0</v>
      </c>
      <c r="Q262" s="542">
        <v>45583573</v>
      </c>
      <c r="R262" s="102" t="s">
        <v>389</v>
      </c>
      <c r="S262" s="103" t="s">
        <v>761</v>
      </c>
      <c r="T262" s="104" t="s">
        <v>751</v>
      </c>
      <c r="U262" s="141"/>
      <c r="V262" s="142"/>
    </row>
    <row r="263" spans="1:22" ht="12.75" x14ac:dyDescent="0.2">
      <c r="A263" s="93">
        <v>257</v>
      </c>
      <c r="B263" s="145" t="s">
        <v>392</v>
      </c>
      <c r="C263" s="141" t="s">
        <v>873</v>
      </c>
      <c r="D263" s="142" t="s">
        <v>868</v>
      </c>
      <c r="E263" s="149" t="s">
        <v>391</v>
      </c>
      <c r="F263" s="542">
        <v>48038541</v>
      </c>
      <c r="G263" s="542">
        <v>0</v>
      </c>
      <c r="H263" s="542">
        <v>122309</v>
      </c>
      <c r="I263" s="542">
        <v>198553</v>
      </c>
      <c r="J263" s="542">
        <v>0</v>
      </c>
      <c r="K263" s="542">
        <v>198553</v>
      </c>
      <c r="L263" s="542">
        <v>0</v>
      </c>
      <c r="M263" s="542">
        <v>0</v>
      </c>
      <c r="N263" s="542">
        <v>0</v>
      </c>
      <c r="O263" s="542">
        <v>0</v>
      </c>
      <c r="P263" s="542">
        <v>0</v>
      </c>
      <c r="Q263" s="542">
        <v>47717679</v>
      </c>
      <c r="R263" s="102" t="s">
        <v>391</v>
      </c>
      <c r="S263" s="103" t="s">
        <v>763</v>
      </c>
      <c r="T263" s="104" t="s">
        <v>814</v>
      </c>
      <c r="U263" s="141"/>
      <c r="V263" s="142"/>
    </row>
    <row r="264" spans="1:22" ht="12.75" x14ac:dyDescent="0.2">
      <c r="A264" s="93">
        <v>258</v>
      </c>
      <c r="B264" s="145" t="s">
        <v>394</v>
      </c>
      <c r="C264" s="141" t="s">
        <v>866</v>
      </c>
      <c r="D264" s="142" t="s">
        <v>876</v>
      </c>
      <c r="E264" s="149" t="s">
        <v>393</v>
      </c>
      <c r="F264" s="542">
        <v>40834304</v>
      </c>
      <c r="G264" s="542">
        <v>0</v>
      </c>
      <c r="H264" s="542">
        <v>3421</v>
      </c>
      <c r="I264" s="542">
        <v>171533</v>
      </c>
      <c r="J264" s="542">
        <v>0</v>
      </c>
      <c r="K264" s="542">
        <v>171533</v>
      </c>
      <c r="L264" s="542">
        <v>0</v>
      </c>
      <c r="M264" s="542">
        <v>0</v>
      </c>
      <c r="N264" s="542">
        <v>0</v>
      </c>
      <c r="O264" s="542">
        <v>0</v>
      </c>
      <c r="P264" s="542">
        <v>0</v>
      </c>
      <c r="Q264" s="542">
        <v>40659350</v>
      </c>
      <c r="R264" s="102" t="s">
        <v>393</v>
      </c>
      <c r="S264" s="103" t="s">
        <v>792</v>
      </c>
      <c r="T264" s="104" t="s">
        <v>793</v>
      </c>
      <c r="U264" s="141"/>
      <c r="V264" s="142"/>
    </row>
    <row r="265" spans="1:22" ht="12.75" x14ac:dyDescent="0.2">
      <c r="A265" s="93">
        <v>259</v>
      </c>
      <c r="B265" s="145" t="s">
        <v>396</v>
      </c>
      <c r="C265" s="141" t="s">
        <v>866</v>
      </c>
      <c r="D265" s="142" t="s">
        <v>876</v>
      </c>
      <c r="E265" s="149" t="s">
        <v>395</v>
      </c>
      <c r="F265" s="542">
        <v>17188787.399999999</v>
      </c>
      <c r="G265" s="542">
        <v>66102</v>
      </c>
      <c r="H265" s="542">
        <v>0</v>
      </c>
      <c r="I265" s="542">
        <v>116661</v>
      </c>
      <c r="J265" s="542">
        <v>0</v>
      </c>
      <c r="K265" s="542">
        <v>116661</v>
      </c>
      <c r="L265" s="542">
        <v>0</v>
      </c>
      <c r="M265" s="542">
        <v>0</v>
      </c>
      <c r="N265" s="542">
        <v>0</v>
      </c>
      <c r="O265" s="542">
        <v>0</v>
      </c>
      <c r="P265" s="542">
        <v>0</v>
      </c>
      <c r="Q265" s="542">
        <v>17138228.399999999</v>
      </c>
      <c r="R265" s="102" t="s">
        <v>395</v>
      </c>
      <c r="S265" s="103" t="s">
        <v>792</v>
      </c>
      <c r="T265" s="104" t="s">
        <v>793</v>
      </c>
      <c r="U265" s="141"/>
      <c r="V265" s="142"/>
    </row>
    <row r="266" spans="1:22" ht="12.75" x14ac:dyDescent="0.2">
      <c r="A266" s="93">
        <v>260</v>
      </c>
      <c r="B266" s="145" t="s">
        <v>398</v>
      </c>
      <c r="C266" s="141" t="s">
        <v>866</v>
      </c>
      <c r="D266" s="142" t="s">
        <v>870</v>
      </c>
      <c r="E266" s="149" t="s">
        <v>397</v>
      </c>
      <c r="F266" s="542">
        <v>44842502</v>
      </c>
      <c r="G266" s="542">
        <v>0</v>
      </c>
      <c r="H266" s="542">
        <v>246853</v>
      </c>
      <c r="I266" s="542">
        <v>112556</v>
      </c>
      <c r="J266" s="542">
        <v>0</v>
      </c>
      <c r="K266" s="542">
        <v>112556</v>
      </c>
      <c r="L266" s="542">
        <v>0</v>
      </c>
      <c r="M266" s="542">
        <v>0</v>
      </c>
      <c r="N266" s="542">
        <v>0</v>
      </c>
      <c r="O266" s="542">
        <v>0</v>
      </c>
      <c r="P266" s="542">
        <v>0</v>
      </c>
      <c r="Q266" s="542">
        <v>44483093</v>
      </c>
      <c r="R266" s="102" t="s">
        <v>397</v>
      </c>
      <c r="S266" s="103" t="s">
        <v>788</v>
      </c>
      <c r="T266" s="104" t="s">
        <v>751</v>
      </c>
      <c r="U266" s="141"/>
      <c r="V266" s="142"/>
    </row>
    <row r="267" spans="1:22" ht="12.75" x14ac:dyDescent="0.2">
      <c r="A267" s="93">
        <v>261</v>
      </c>
      <c r="B267" s="145" t="s">
        <v>400</v>
      </c>
      <c r="C267" s="141" t="s">
        <v>873</v>
      </c>
      <c r="D267" s="142" t="s">
        <v>868</v>
      </c>
      <c r="E267" s="149" t="s">
        <v>399</v>
      </c>
      <c r="F267" s="542">
        <v>91300599</v>
      </c>
      <c r="G267" s="542">
        <v>0</v>
      </c>
      <c r="H267" s="542">
        <v>577796</v>
      </c>
      <c r="I267" s="542">
        <v>429803</v>
      </c>
      <c r="J267" s="542">
        <v>0</v>
      </c>
      <c r="K267" s="542">
        <v>429803</v>
      </c>
      <c r="L267" s="542">
        <v>0</v>
      </c>
      <c r="M267" s="542">
        <v>0</v>
      </c>
      <c r="N267" s="542">
        <v>0</v>
      </c>
      <c r="O267" s="542">
        <v>0</v>
      </c>
      <c r="P267" s="542">
        <v>0</v>
      </c>
      <c r="Q267" s="542">
        <v>90293000</v>
      </c>
      <c r="R267" s="102" t="s">
        <v>399</v>
      </c>
      <c r="S267" s="103" t="s">
        <v>763</v>
      </c>
      <c r="T267" s="104" t="s">
        <v>777</v>
      </c>
      <c r="U267" s="141"/>
      <c r="V267" s="142"/>
    </row>
    <row r="268" spans="1:22" ht="12.75" x14ac:dyDescent="0.2">
      <c r="A268" s="93">
        <v>262</v>
      </c>
      <c r="B268" s="145" t="s">
        <v>402</v>
      </c>
      <c r="C268" s="141" t="s">
        <v>770</v>
      </c>
      <c r="D268" s="142" t="s">
        <v>878</v>
      </c>
      <c r="E268" s="149" t="s">
        <v>727</v>
      </c>
      <c r="F268" s="542">
        <v>76870794</v>
      </c>
      <c r="G268" s="542">
        <v>0</v>
      </c>
      <c r="H268" s="542">
        <v>907638</v>
      </c>
      <c r="I268" s="542">
        <v>238978</v>
      </c>
      <c r="J268" s="542">
        <v>0</v>
      </c>
      <c r="K268" s="542">
        <v>238978</v>
      </c>
      <c r="L268" s="542">
        <v>0</v>
      </c>
      <c r="M268" s="542">
        <v>112030</v>
      </c>
      <c r="N268" s="542">
        <v>0</v>
      </c>
      <c r="O268" s="542">
        <v>0</v>
      </c>
      <c r="P268" s="542">
        <v>0</v>
      </c>
      <c r="Q268" s="542">
        <v>75612148</v>
      </c>
      <c r="R268" s="102" t="s">
        <v>727</v>
      </c>
      <c r="S268" s="103" t="s">
        <v>770</v>
      </c>
      <c r="T268" s="104" t="s">
        <v>809</v>
      </c>
      <c r="U268" s="141"/>
      <c r="V268" s="142"/>
    </row>
    <row r="269" spans="1:22" ht="12.75" x14ac:dyDescent="0.2">
      <c r="A269" s="93">
        <v>263</v>
      </c>
      <c r="B269" s="145" t="s">
        <v>404</v>
      </c>
      <c r="C269" s="141" t="s">
        <v>770</v>
      </c>
      <c r="D269" s="142" t="s">
        <v>876</v>
      </c>
      <c r="E269" s="149" t="s">
        <v>728</v>
      </c>
      <c r="F269" s="542">
        <v>78316628</v>
      </c>
      <c r="G269" s="542">
        <v>0</v>
      </c>
      <c r="H269" s="542">
        <v>1873944</v>
      </c>
      <c r="I269" s="542">
        <v>365172</v>
      </c>
      <c r="J269" s="542">
        <v>0</v>
      </c>
      <c r="K269" s="542">
        <v>365172</v>
      </c>
      <c r="L269" s="542">
        <v>0</v>
      </c>
      <c r="M269" s="542">
        <v>0</v>
      </c>
      <c r="N269" s="542">
        <v>0</v>
      </c>
      <c r="O269" s="542">
        <v>0</v>
      </c>
      <c r="P269" s="542">
        <v>0</v>
      </c>
      <c r="Q269" s="542">
        <v>76077512</v>
      </c>
      <c r="R269" s="102" t="s">
        <v>728</v>
      </c>
      <c r="S269" s="103" t="s">
        <v>770</v>
      </c>
      <c r="T269" s="104" t="s">
        <v>793</v>
      </c>
      <c r="U269" s="141"/>
      <c r="V269" s="142"/>
    </row>
    <row r="270" spans="1:22" ht="12.75" x14ac:dyDescent="0.2">
      <c r="A270" s="93">
        <v>264</v>
      </c>
      <c r="B270" s="145" t="s">
        <v>406</v>
      </c>
      <c r="C270" s="141" t="s">
        <v>866</v>
      </c>
      <c r="D270" s="142" t="s">
        <v>876</v>
      </c>
      <c r="E270" s="149" t="s">
        <v>405</v>
      </c>
      <c r="F270" s="542">
        <v>52042742</v>
      </c>
      <c r="G270" s="542">
        <v>0</v>
      </c>
      <c r="H270" s="542">
        <v>208321</v>
      </c>
      <c r="I270" s="542">
        <v>218813</v>
      </c>
      <c r="J270" s="542">
        <v>0</v>
      </c>
      <c r="K270" s="542">
        <v>218813</v>
      </c>
      <c r="L270" s="542">
        <v>0</v>
      </c>
      <c r="M270" s="542">
        <v>0</v>
      </c>
      <c r="N270" s="542">
        <v>0</v>
      </c>
      <c r="O270" s="542">
        <v>0</v>
      </c>
      <c r="P270" s="542">
        <v>0</v>
      </c>
      <c r="Q270" s="542">
        <v>51615608</v>
      </c>
      <c r="R270" s="102" t="s">
        <v>405</v>
      </c>
      <c r="S270" s="103" t="s">
        <v>816</v>
      </c>
      <c r="T270" s="104" t="s">
        <v>751</v>
      </c>
      <c r="U270" s="141"/>
      <c r="V270" s="142"/>
    </row>
    <row r="271" spans="1:22" ht="12.75" x14ac:dyDescent="0.2">
      <c r="A271" s="93">
        <v>265</v>
      </c>
      <c r="B271" s="145" t="s">
        <v>408</v>
      </c>
      <c r="C271" s="141" t="s">
        <v>866</v>
      </c>
      <c r="D271" s="142" t="s">
        <v>875</v>
      </c>
      <c r="E271" s="149" t="s">
        <v>407</v>
      </c>
      <c r="F271" s="542">
        <v>23450696</v>
      </c>
      <c r="G271" s="542">
        <v>0</v>
      </c>
      <c r="H271" s="542">
        <v>137656</v>
      </c>
      <c r="I271" s="542">
        <v>156641</v>
      </c>
      <c r="J271" s="542">
        <v>0</v>
      </c>
      <c r="K271" s="542">
        <v>156641</v>
      </c>
      <c r="L271" s="542">
        <v>0</v>
      </c>
      <c r="M271" s="542">
        <v>0</v>
      </c>
      <c r="N271" s="542">
        <v>699</v>
      </c>
      <c r="O271" s="542">
        <v>699</v>
      </c>
      <c r="P271" s="542">
        <v>0</v>
      </c>
      <c r="Q271" s="542">
        <v>23155700</v>
      </c>
      <c r="R271" s="102" t="s">
        <v>407</v>
      </c>
      <c r="S271" s="103" t="s">
        <v>794</v>
      </c>
      <c r="T271" s="104" t="s">
        <v>751</v>
      </c>
      <c r="U271" s="141"/>
      <c r="V271" s="142"/>
    </row>
    <row r="272" spans="1:22" ht="12.75" x14ac:dyDescent="0.2">
      <c r="A272" s="93">
        <v>266</v>
      </c>
      <c r="B272" s="145" t="s">
        <v>410</v>
      </c>
      <c r="C272" s="141" t="s">
        <v>866</v>
      </c>
      <c r="D272" s="142" t="s">
        <v>870</v>
      </c>
      <c r="E272" s="149" t="s">
        <v>409</v>
      </c>
      <c r="F272" s="542">
        <v>66838912</v>
      </c>
      <c r="G272" s="542">
        <v>4125702</v>
      </c>
      <c r="H272" s="542">
        <v>0</v>
      </c>
      <c r="I272" s="542">
        <v>278728</v>
      </c>
      <c r="J272" s="542">
        <v>0</v>
      </c>
      <c r="K272" s="542">
        <v>278728</v>
      </c>
      <c r="L272" s="542">
        <v>0</v>
      </c>
      <c r="M272" s="542">
        <v>0</v>
      </c>
      <c r="N272" s="542">
        <v>48462</v>
      </c>
      <c r="O272" s="542">
        <v>48462</v>
      </c>
      <c r="P272" s="542">
        <v>0</v>
      </c>
      <c r="Q272" s="542">
        <v>70637424</v>
      </c>
      <c r="R272" s="102" t="s">
        <v>409</v>
      </c>
      <c r="S272" s="103" t="s">
        <v>761</v>
      </c>
      <c r="T272" s="104" t="s">
        <v>751</v>
      </c>
      <c r="U272" s="141"/>
      <c r="V272" s="142"/>
    </row>
    <row r="273" spans="1:22" ht="12.75" x14ac:dyDescent="0.2">
      <c r="A273" s="93">
        <v>267</v>
      </c>
      <c r="B273" s="145" t="s">
        <v>412</v>
      </c>
      <c r="C273" s="141" t="s">
        <v>873</v>
      </c>
      <c r="D273" s="142" t="s">
        <v>878</v>
      </c>
      <c r="E273" s="149" t="s">
        <v>411</v>
      </c>
      <c r="F273" s="542">
        <v>85376841</v>
      </c>
      <c r="G273" s="542">
        <v>0</v>
      </c>
      <c r="H273" s="542">
        <v>1075916</v>
      </c>
      <c r="I273" s="542">
        <v>333613</v>
      </c>
      <c r="J273" s="542">
        <v>0</v>
      </c>
      <c r="K273" s="542">
        <v>333613</v>
      </c>
      <c r="L273" s="542">
        <v>0</v>
      </c>
      <c r="M273" s="542">
        <v>652913</v>
      </c>
      <c r="N273" s="542">
        <v>0</v>
      </c>
      <c r="O273" s="542">
        <v>0</v>
      </c>
      <c r="P273" s="542">
        <v>0</v>
      </c>
      <c r="Q273" s="542">
        <v>83314399</v>
      </c>
      <c r="R273" s="102" t="s">
        <v>411</v>
      </c>
      <c r="S273" s="103" t="s">
        <v>763</v>
      </c>
      <c r="T273" s="104" t="s">
        <v>808</v>
      </c>
      <c r="U273" s="141"/>
      <c r="V273" s="142"/>
    </row>
    <row r="274" spans="1:22" ht="12.75" x14ac:dyDescent="0.2">
      <c r="A274" s="93">
        <v>268</v>
      </c>
      <c r="B274" s="145" t="s">
        <v>414</v>
      </c>
      <c r="C274" s="141" t="s">
        <v>866</v>
      </c>
      <c r="D274" s="142" t="s">
        <v>867</v>
      </c>
      <c r="E274" s="149" t="s">
        <v>413</v>
      </c>
      <c r="F274" s="542">
        <v>32792982</v>
      </c>
      <c r="G274" s="542">
        <v>0</v>
      </c>
      <c r="H274" s="542">
        <v>389</v>
      </c>
      <c r="I274" s="542">
        <v>121859</v>
      </c>
      <c r="J274" s="542">
        <v>0</v>
      </c>
      <c r="K274" s="542">
        <v>121859</v>
      </c>
      <c r="L274" s="542">
        <v>0</v>
      </c>
      <c r="M274" s="542">
        <v>0</v>
      </c>
      <c r="N274" s="542">
        <v>0</v>
      </c>
      <c r="O274" s="542">
        <v>0</v>
      </c>
      <c r="P274" s="542">
        <v>0</v>
      </c>
      <c r="Q274" s="542">
        <v>32670734</v>
      </c>
      <c r="R274" s="102" t="s">
        <v>413</v>
      </c>
      <c r="S274" s="103" t="s">
        <v>807</v>
      </c>
      <c r="T274" s="104" t="s">
        <v>751</v>
      </c>
      <c r="U274" s="141"/>
      <c r="V274" s="142"/>
    </row>
    <row r="275" spans="1:22" ht="12.75" x14ac:dyDescent="0.2">
      <c r="A275" s="93">
        <v>269</v>
      </c>
      <c r="B275" s="145" t="s">
        <v>416</v>
      </c>
      <c r="C275" s="141" t="s">
        <v>871</v>
      </c>
      <c r="D275" s="142" t="s">
        <v>872</v>
      </c>
      <c r="E275" s="149" t="s">
        <v>415</v>
      </c>
      <c r="F275" s="542">
        <v>46574274</v>
      </c>
      <c r="G275" s="542">
        <v>0</v>
      </c>
      <c r="H275" s="542">
        <v>266883</v>
      </c>
      <c r="I275" s="542">
        <v>207257</v>
      </c>
      <c r="J275" s="542">
        <v>0</v>
      </c>
      <c r="K275" s="542">
        <v>207257</v>
      </c>
      <c r="L275" s="542">
        <v>0</v>
      </c>
      <c r="M275" s="542">
        <v>0</v>
      </c>
      <c r="N275" s="542">
        <v>0</v>
      </c>
      <c r="O275" s="542">
        <v>0</v>
      </c>
      <c r="P275" s="542">
        <v>0</v>
      </c>
      <c r="Q275" s="542">
        <v>46100134</v>
      </c>
      <c r="R275" s="102" t="s">
        <v>415</v>
      </c>
      <c r="S275" s="103" t="s">
        <v>762</v>
      </c>
      <c r="T275" s="103" t="s">
        <v>750</v>
      </c>
      <c r="U275" s="141"/>
      <c r="V275" s="142"/>
    </row>
    <row r="276" spans="1:22" ht="12.75" x14ac:dyDescent="0.2">
      <c r="A276" s="93">
        <v>270</v>
      </c>
      <c r="B276" s="145" t="s">
        <v>418</v>
      </c>
      <c r="C276" s="141" t="s">
        <v>866</v>
      </c>
      <c r="D276" s="142" t="s">
        <v>867</v>
      </c>
      <c r="E276" s="149" t="s">
        <v>417</v>
      </c>
      <c r="F276" s="542">
        <v>41195027.600000001</v>
      </c>
      <c r="G276" s="542">
        <v>5745</v>
      </c>
      <c r="H276" s="542">
        <v>0</v>
      </c>
      <c r="I276" s="542">
        <v>180544</v>
      </c>
      <c r="J276" s="542">
        <v>0</v>
      </c>
      <c r="K276" s="542">
        <v>180544</v>
      </c>
      <c r="L276" s="542">
        <v>0</v>
      </c>
      <c r="M276" s="542">
        <v>0</v>
      </c>
      <c r="N276" s="542">
        <v>69964</v>
      </c>
      <c r="O276" s="542">
        <v>69964</v>
      </c>
      <c r="P276" s="542">
        <v>0</v>
      </c>
      <c r="Q276" s="542">
        <v>40950264.600000001</v>
      </c>
      <c r="R276" s="102" t="s">
        <v>417</v>
      </c>
      <c r="S276" s="103" t="s">
        <v>757</v>
      </c>
      <c r="T276" s="104" t="s">
        <v>758</v>
      </c>
      <c r="U276" s="141"/>
      <c r="V276" s="142"/>
    </row>
    <row r="277" spans="1:22" ht="12.75" x14ac:dyDescent="0.2">
      <c r="A277" s="93">
        <v>271</v>
      </c>
      <c r="B277" s="145" t="s">
        <v>420</v>
      </c>
      <c r="C277" s="141" t="s">
        <v>770</v>
      </c>
      <c r="D277" s="142" t="s">
        <v>875</v>
      </c>
      <c r="E277" s="149" t="s">
        <v>729</v>
      </c>
      <c r="F277" s="542">
        <v>104582295</v>
      </c>
      <c r="G277" s="542">
        <v>0</v>
      </c>
      <c r="H277" s="542">
        <v>1004218</v>
      </c>
      <c r="I277" s="542">
        <v>270650</v>
      </c>
      <c r="J277" s="542">
        <v>0</v>
      </c>
      <c r="K277" s="542">
        <v>270650</v>
      </c>
      <c r="L277" s="542">
        <v>0</v>
      </c>
      <c r="M277" s="542">
        <v>0</v>
      </c>
      <c r="N277" s="542">
        <v>183308</v>
      </c>
      <c r="O277" s="542">
        <v>183308</v>
      </c>
      <c r="P277" s="542">
        <v>0</v>
      </c>
      <c r="Q277" s="542">
        <v>103124119</v>
      </c>
      <c r="R277" s="102" t="s">
        <v>729</v>
      </c>
      <c r="S277" s="103" t="s">
        <v>770</v>
      </c>
      <c r="T277" s="104" t="s">
        <v>819</v>
      </c>
      <c r="U277" s="141"/>
      <c r="V277" s="142"/>
    </row>
    <row r="278" spans="1:22" ht="12.75" x14ac:dyDescent="0.2">
      <c r="A278" s="93">
        <v>272</v>
      </c>
      <c r="B278" s="145" t="s">
        <v>422</v>
      </c>
      <c r="C278" s="141" t="s">
        <v>873</v>
      </c>
      <c r="D278" s="142" t="s">
        <v>868</v>
      </c>
      <c r="E278" s="149" t="s">
        <v>421</v>
      </c>
      <c r="F278" s="542">
        <v>55162734</v>
      </c>
      <c r="G278" s="542">
        <v>66487</v>
      </c>
      <c r="H278" s="542">
        <v>0</v>
      </c>
      <c r="I278" s="542">
        <v>300650</v>
      </c>
      <c r="J278" s="542">
        <v>0</v>
      </c>
      <c r="K278" s="542">
        <v>300650</v>
      </c>
      <c r="L278" s="542">
        <v>0</v>
      </c>
      <c r="M278" s="542">
        <v>0</v>
      </c>
      <c r="N278" s="542">
        <v>0</v>
      </c>
      <c r="O278" s="542">
        <v>0</v>
      </c>
      <c r="P278" s="542">
        <v>0</v>
      </c>
      <c r="Q278" s="542">
        <v>54928571</v>
      </c>
      <c r="R278" s="102" t="s">
        <v>421</v>
      </c>
      <c r="S278" s="103" t="s">
        <v>763</v>
      </c>
      <c r="T278" s="104" t="s">
        <v>777</v>
      </c>
      <c r="U278" s="141"/>
      <c r="V278" s="142"/>
    </row>
    <row r="279" spans="1:22" ht="12.75" x14ac:dyDescent="0.2">
      <c r="A279" s="93">
        <v>273</v>
      </c>
      <c r="B279" s="145" t="s">
        <v>424</v>
      </c>
      <c r="C279" s="141" t="s">
        <v>866</v>
      </c>
      <c r="D279" s="142" t="s">
        <v>876</v>
      </c>
      <c r="E279" s="149" t="s">
        <v>423</v>
      </c>
      <c r="F279" s="542">
        <v>30547737</v>
      </c>
      <c r="G279" s="542">
        <v>0</v>
      </c>
      <c r="H279" s="542">
        <v>240418</v>
      </c>
      <c r="I279" s="542">
        <v>92162</v>
      </c>
      <c r="J279" s="542">
        <v>0</v>
      </c>
      <c r="K279" s="542">
        <v>92162</v>
      </c>
      <c r="L279" s="542">
        <v>0</v>
      </c>
      <c r="M279" s="542">
        <v>0</v>
      </c>
      <c r="N279" s="542">
        <v>0</v>
      </c>
      <c r="O279" s="542">
        <v>0</v>
      </c>
      <c r="P279" s="542">
        <v>0</v>
      </c>
      <c r="Q279" s="542">
        <v>30215157</v>
      </c>
      <c r="R279" s="102" t="s">
        <v>423</v>
      </c>
      <c r="S279" s="103" t="s">
        <v>792</v>
      </c>
      <c r="T279" s="104" t="s">
        <v>793</v>
      </c>
      <c r="U279" s="141"/>
      <c r="V279" s="142"/>
    </row>
    <row r="280" spans="1:22" ht="12.75" x14ac:dyDescent="0.2">
      <c r="A280" s="93">
        <v>274</v>
      </c>
      <c r="B280" s="145" t="s">
        <v>426</v>
      </c>
      <c r="C280" s="141" t="s">
        <v>866</v>
      </c>
      <c r="D280" s="142" t="s">
        <v>867</v>
      </c>
      <c r="E280" s="149" t="s">
        <v>425</v>
      </c>
      <c r="F280" s="542">
        <v>19559581</v>
      </c>
      <c r="G280" s="542">
        <v>6304</v>
      </c>
      <c r="H280" s="542">
        <v>0</v>
      </c>
      <c r="I280" s="542">
        <v>128179</v>
      </c>
      <c r="J280" s="542">
        <v>0</v>
      </c>
      <c r="K280" s="542">
        <v>128179</v>
      </c>
      <c r="L280" s="542">
        <v>0</v>
      </c>
      <c r="M280" s="542">
        <v>0</v>
      </c>
      <c r="N280" s="542">
        <v>0</v>
      </c>
      <c r="O280" s="542">
        <v>0</v>
      </c>
      <c r="P280" s="542">
        <v>0</v>
      </c>
      <c r="Q280" s="542">
        <v>19437706</v>
      </c>
      <c r="R280" s="102" t="s">
        <v>425</v>
      </c>
      <c r="S280" s="103" t="s">
        <v>807</v>
      </c>
      <c r="T280" s="104" t="s">
        <v>751</v>
      </c>
      <c r="U280" s="141"/>
      <c r="V280" s="142"/>
    </row>
    <row r="281" spans="1:22" ht="12.75" x14ac:dyDescent="0.2">
      <c r="A281" s="93">
        <v>275</v>
      </c>
      <c r="B281" s="145" t="s">
        <v>428</v>
      </c>
      <c r="C281" s="141" t="s">
        <v>866</v>
      </c>
      <c r="D281" s="142" t="s">
        <v>875</v>
      </c>
      <c r="E281" s="149" t="s">
        <v>427</v>
      </c>
      <c r="F281" s="542">
        <v>36139408</v>
      </c>
      <c r="G281" s="542">
        <v>140449</v>
      </c>
      <c r="H281" s="542">
        <v>0</v>
      </c>
      <c r="I281" s="542">
        <v>163775</v>
      </c>
      <c r="J281" s="542">
        <v>0</v>
      </c>
      <c r="K281" s="542">
        <v>163775</v>
      </c>
      <c r="L281" s="542">
        <v>0</v>
      </c>
      <c r="M281" s="542">
        <v>0</v>
      </c>
      <c r="N281" s="542">
        <v>98448</v>
      </c>
      <c r="O281" s="542">
        <v>98448</v>
      </c>
      <c r="P281" s="542">
        <v>0</v>
      </c>
      <c r="Q281" s="542">
        <v>36017634</v>
      </c>
      <c r="R281" s="102" t="s">
        <v>427</v>
      </c>
      <c r="S281" s="103" t="s">
        <v>815</v>
      </c>
      <c r="T281" s="104" t="s">
        <v>804</v>
      </c>
      <c r="U281" s="141"/>
      <c r="V281" s="142"/>
    </row>
    <row r="282" spans="1:22" ht="12.75" x14ac:dyDescent="0.2">
      <c r="A282" s="93">
        <v>276</v>
      </c>
      <c r="B282" s="145" t="s">
        <v>430</v>
      </c>
      <c r="C282" s="141" t="s">
        <v>866</v>
      </c>
      <c r="D282" s="142" t="s">
        <v>875</v>
      </c>
      <c r="E282" s="149" t="s">
        <v>429</v>
      </c>
      <c r="F282" s="542">
        <v>31341849</v>
      </c>
      <c r="G282" s="542">
        <v>141086</v>
      </c>
      <c r="H282" s="542">
        <v>0</v>
      </c>
      <c r="I282" s="542">
        <v>192475</v>
      </c>
      <c r="J282" s="542">
        <v>0</v>
      </c>
      <c r="K282" s="542">
        <v>192475</v>
      </c>
      <c r="L282" s="542">
        <v>0</v>
      </c>
      <c r="M282" s="542">
        <v>0</v>
      </c>
      <c r="N282" s="542">
        <v>2920</v>
      </c>
      <c r="O282" s="542">
        <v>2920</v>
      </c>
      <c r="P282" s="542">
        <v>0</v>
      </c>
      <c r="Q282" s="542">
        <v>31287540</v>
      </c>
      <c r="R282" s="102" t="s">
        <v>429</v>
      </c>
      <c r="S282" s="103" t="s">
        <v>803</v>
      </c>
      <c r="T282" s="104" t="s">
        <v>804</v>
      </c>
      <c r="U282" s="141"/>
      <c r="V282" s="142"/>
    </row>
    <row r="283" spans="1:22" ht="12.75" x14ac:dyDescent="0.2">
      <c r="A283" s="93">
        <v>277</v>
      </c>
      <c r="B283" s="145" t="s">
        <v>432</v>
      </c>
      <c r="C283" s="141" t="s">
        <v>770</v>
      </c>
      <c r="D283" s="142" t="s">
        <v>876</v>
      </c>
      <c r="E283" s="149" t="s">
        <v>730</v>
      </c>
      <c r="F283" s="542">
        <v>69142404</v>
      </c>
      <c r="G283" s="542">
        <v>0</v>
      </c>
      <c r="H283" s="542">
        <v>333149</v>
      </c>
      <c r="I283" s="542">
        <v>210461</v>
      </c>
      <c r="J283" s="542">
        <v>0</v>
      </c>
      <c r="K283" s="542">
        <v>210461</v>
      </c>
      <c r="L283" s="542">
        <v>0</v>
      </c>
      <c r="M283" s="542">
        <v>0</v>
      </c>
      <c r="N283" s="542">
        <v>4654</v>
      </c>
      <c r="O283" s="542">
        <v>4654</v>
      </c>
      <c r="P283" s="542">
        <v>0</v>
      </c>
      <c r="Q283" s="542">
        <v>68594140</v>
      </c>
      <c r="R283" s="105" t="s">
        <v>730</v>
      </c>
      <c r="S283" s="103" t="s">
        <v>770</v>
      </c>
      <c r="T283" s="104" t="s">
        <v>818</v>
      </c>
      <c r="U283" s="141"/>
      <c r="V283" s="142"/>
    </row>
    <row r="284" spans="1:22" ht="12.75" x14ac:dyDescent="0.2">
      <c r="A284" s="93">
        <v>278</v>
      </c>
      <c r="B284" s="145" t="s">
        <v>434</v>
      </c>
      <c r="C284" s="141" t="s">
        <v>866</v>
      </c>
      <c r="D284" s="142" t="s">
        <v>870</v>
      </c>
      <c r="E284" s="149" t="s">
        <v>433</v>
      </c>
      <c r="F284" s="542">
        <v>24447044</v>
      </c>
      <c r="G284" s="542">
        <v>0</v>
      </c>
      <c r="H284" s="542">
        <v>191130</v>
      </c>
      <c r="I284" s="542">
        <v>293126</v>
      </c>
      <c r="J284" s="542">
        <v>0</v>
      </c>
      <c r="K284" s="542">
        <v>293126</v>
      </c>
      <c r="L284" s="542">
        <v>0</v>
      </c>
      <c r="M284" s="542">
        <v>0</v>
      </c>
      <c r="N284" s="542">
        <v>115505</v>
      </c>
      <c r="O284" s="542">
        <v>115505</v>
      </c>
      <c r="P284" s="542">
        <v>0</v>
      </c>
      <c r="Q284" s="542">
        <v>23847283</v>
      </c>
      <c r="R284" s="102" t="s">
        <v>433</v>
      </c>
      <c r="S284" s="103" t="s">
        <v>765</v>
      </c>
      <c r="T284" s="104" t="s">
        <v>766</v>
      </c>
      <c r="U284" s="141"/>
      <c r="V284" s="142"/>
    </row>
    <row r="285" spans="1:22" ht="12.75" x14ac:dyDescent="0.2">
      <c r="A285" s="93">
        <v>279</v>
      </c>
      <c r="B285" s="145" t="s">
        <v>436</v>
      </c>
      <c r="C285" s="141" t="s">
        <v>866</v>
      </c>
      <c r="D285" s="142" t="s">
        <v>867</v>
      </c>
      <c r="E285" s="149" t="s">
        <v>435</v>
      </c>
      <c r="F285" s="542">
        <v>43826478</v>
      </c>
      <c r="G285" s="542">
        <v>0</v>
      </c>
      <c r="H285" s="542">
        <v>176646</v>
      </c>
      <c r="I285" s="542">
        <v>187158</v>
      </c>
      <c r="J285" s="542">
        <v>0</v>
      </c>
      <c r="K285" s="542">
        <v>187158</v>
      </c>
      <c r="L285" s="542">
        <v>0</v>
      </c>
      <c r="M285" s="542">
        <v>0</v>
      </c>
      <c r="N285" s="542">
        <v>22654</v>
      </c>
      <c r="O285" s="542">
        <v>22654</v>
      </c>
      <c r="P285" s="542">
        <v>0</v>
      </c>
      <c r="Q285" s="542">
        <v>43440020</v>
      </c>
      <c r="R285" s="102" t="s">
        <v>435</v>
      </c>
      <c r="S285" s="103" t="s">
        <v>767</v>
      </c>
      <c r="T285" s="104" t="s">
        <v>768</v>
      </c>
      <c r="U285" s="141"/>
      <c r="V285" s="142"/>
    </row>
    <row r="286" spans="1:22" ht="12.75" x14ac:dyDescent="0.2">
      <c r="A286" s="93">
        <v>280</v>
      </c>
      <c r="B286" s="145" t="s">
        <v>438</v>
      </c>
      <c r="C286" s="141" t="s">
        <v>866</v>
      </c>
      <c r="D286" s="142" t="s">
        <v>875</v>
      </c>
      <c r="E286" s="149" t="s">
        <v>437</v>
      </c>
      <c r="F286" s="542">
        <v>24344861</v>
      </c>
      <c r="G286" s="542">
        <v>0</v>
      </c>
      <c r="H286" s="542">
        <v>1141420</v>
      </c>
      <c r="I286" s="542">
        <v>124101</v>
      </c>
      <c r="J286" s="542">
        <v>0</v>
      </c>
      <c r="K286" s="542">
        <v>124101</v>
      </c>
      <c r="L286" s="542">
        <v>0</v>
      </c>
      <c r="M286" s="542">
        <v>0</v>
      </c>
      <c r="N286" s="542">
        <v>0</v>
      </c>
      <c r="O286" s="542">
        <v>0</v>
      </c>
      <c r="P286" s="542">
        <v>0</v>
      </c>
      <c r="Q286" s="542">
        <v>23079340</v>
      </c>
      <c r="R286" s="102" t="s">
        <v>437</v>
      </c>
      <c r="S286" s="103" t="s">
        <v>794</v>
      </c>
      <c r="T286" s="104" t="s">
        <v>751</v>
      </c>
      <c r="U286" s="141"/>
      <c r="V286" s="142"/>
    </row>
    <row r="287" spans="1:22" ht="12.75" x14ac:dyDescent="0.2">
      <c r="A287" s="93">
        <v>281</v>
      </c>
      <c r="B287" s="145" t="s">
        <v>440</v>
      </c>
      <c r="C287" s="141" t="s">
        <v>866</v>
      </c>
      <c r="D287" s="142" t="s">
        <v>867</v>
      </c>
      <c r="E287" s="149" t="s">
        <v>439</v>
      </c>
      <c r="F287" s="542">
        <v>26124739</v>
      </c>
      <c r="G287" s="542">
        <v>0</v>
      </c>
      <c r="H287" s="542">
        <v>2420</v>
      </c>
      <c r="I287" s="542">
        <v>192561</v>
      </c>
      <c r="J287" s="542">
        <v>0</v>
      </c>
      <c r="K287" s="542">
        <v>192561</v>
      </c>
      <c r="L287" s="542">
        <v>0</v>
      </c>
      <c r="M287" s="542">
        <v>0</v>
      </c>
      <c r="N287" s="542">
        <v>0</v>
      </c>
      <c r="O287" s="542">
        <v>0</v>
      </c>
      <c r="P287" s="542">
        <v>0</v>
      </c>
      <c r="Q287" s="542">
        <v>25929758</v>
      </c>
      <c r="R287" s="102" t="s">
        <v>439</v>
      </c>
      <c r="S287" s="103" t="s">
        <v>757</v>
      </c>
      <c r="T287" s="104" t="s">
        <v>758</v>
      </c>
      <c r="U287" s="141"/>
      <c r="V287" s="142"/>
    </row>
    <row r="288" spans="1:22" ht="12.75" x14ac:dyDescent="0.2">
      <c r="A288" s="93">
        <v>282</v>
      </c>
      <c r="B288" s="145" t="s">
        <v>442</v>
      </c>
      <c r="C288" s="141" t="s">
        <v>866</v>
      </c>
      <c r="D288" s="142" t="s">
        <v>870</v>
      </c>
      <c r="E288" s="149" t="s">
        <v>441</v>
      </c>
      <c r="F288" s="542">
        <v>22050287</v>
      </c>
      <c r="G288" s="542">
        <v>0</v>
      </c>
      <c r="H288" s="542">
        <v>418212</v>
      </c>
      <c r="I288" s="542">
        <v>95561</v>
      </c>
      <c r="J288" s="542">
        <v>0</v>
      </c>
      <c r="K288" s="542">
        <v>95561</v>
      </c>
      <c r="L288" s="542">
        <v>0</v>
      </c>
      <c r="M288" s="542">
        <v>0</v>
      </c>
      <c r="N288" s="542">
        <v>0</v>
      </c>
      <c r="O288" s="542">
        <v>0</v>
      </c>
      <c r="P288" s="542">
        <v>0</v>
      </c>
      <c r="Q288" s="542">
        <v>21536514</v>
      </c>
      <c r="R288" s="102" t="s">
        <v>441</v>
      </c>
      <c r="S288" s="103" t="s">
        <v>788</v>
      </c>
      <c r="T288" s="104" t="s">
        <v>751</v>
      </c>
      <c r="U288" s="141"/>
      <c r="V288" s="142"/>
    </row>
    <row r="289" spans="1:22" ht="12.75" x14ac:dyDescent="0.2">
      <c r="A289" s="93">
        <v>283</v>
      </c>
      <c r="B289" s="145" t="s">
        <v>444</v>
      </c>
      <c r="C289" s="141" t="s">
        <v>770</v>
      </c>
      <c r="D289" s="142" t="s">
        <v>870</v>
      </c>
      <c r="E289" s="149" t="s">
        <v>731</v>
      </c>
      <c r="F289" s="542">
        <v>101836320</v>
      </c>
      <c r="G289" s="542">
        <v>589129</v>
      </c>
      <c r="H289" s="542">
        <v>0</v>
      </c>
      <c r="I289" s="542">
        <v>224944</v>
      </c>
      <c r="J289" s="542">
        <v>0</v>
      </c>
      <c r="K289" s="542">
        <v>224944</v>
      </c>
      <c r="L289" s="542">
        <v>0</v>
      </c>
      <c r="M289" s="542">
        <v>0</v>
      </c>
      <c r="N289" s="542">
        <v>0</v>
      </c>
      <c r="O289" s="542">
        <v>0</v>
      </c>
      <c r="P289" s="542">
        <v>0</v>
      </c>
      <c r="Q289" s="542">
        <v>102200505</v>
      </c>
      <c r="R289" s="102" t="s">
        <v>731</v>
      </c>
      <c r="S289" s="103" t="s">
        <v>770</v>
      </c>
      <c r="T289" s="104" t="s">
        <v>766</v>
      </c>
      <c r="U289" s="141"/>
      <c r="V289" s="142"/>
    </row>
    <row r="290" spans="1:22" ht="12.75" x14ac:dyDescent="0.2">
      <c r="A290" s="93">
        <v>284</v>
      </c>
      <c r="B290" s="145" t="s">
        <v>446</v>
      </c>
      <c r="C290" s="141" t="s">
        <v>866</v>
      </c>
      <c r="D290" s="142" t="s">
        <v>867</v>
      </c>
      <c r="E290" s="149" t="s">
        <v>732</v>
      </c>
      <c r="F290" s="542">
        <v>49693951</v>
      </c>
      <c r="G290" s="542">
        <v>0</v>
      </c>
      <c r="H290" s="542">
        <v>12601</v>
      </c>
      <c r="I290" s="542">
        <v>167622</v>
      </c>
      <c r="J290" s="542">
        <v>0</v>
      </c>
      <c r="K290" s="542">
        <v>167622</v>
      </c>
      <c r="L290" s="542">
        <v>0</v>
      </c>
      <c r="M290" s="542">
        <v>0</v>
      </c>
      <c r="N290" s="542">
        <v>0</v>
      </c>
      <c r="O290" s="542">
        <v>0</v>
      </c>
      <c r="P290" s="542">
        <v>0</v>
      </c>
      <c r="Q290" s="542">
        <v>49513728</v>
      </c>
      <c r="R290" s="102" t="s">
        <v>732</v>
      </c>
      <c r="S290" s="103" t="s">
        <v>757</v>
      </c>
      <c r="T290" s="104" t="s">
        <v>758</v>
      </c>
      <c r="U290" s="141"/>
      <c r="V290" s="142"/>
    </row>
    <row r="291" spans="1:22" ht="12.75" x14ac:dyDescent="0.2">
      <c r="A291" s="93">
        <v>285</v>
      </c>
      <c r="B291" s="145" t="s">
        <v>448</v>
      </c>
      <c r="C291" s="141" t="s">
        <v>770</v>
      </c>
      <c r="D291" s="142" t="s">
        <v>875</v>
      </c>
      <c r="E291" s="149" t="s">
        <v>733</v>
      </c>
      <c r="F291" s="542">
        <v>35565552</v>
      </c>
      <c r="G291" s="542">
        <v>0</v>
      </c>
      <c r="H291" s="542">
        <v>171800</v>
      </c>
      <c r="I291" s="542">
        <v>205044</v>
      </c>
      <c r="J291" s="542">
        <v>0</v>
      </c>
      <c r="K291" s="542">
        <v>205044</v>
      </c>
      <c r="L291" s="542">
        <v>0</v>
      </c>
      <c r="M291" s="542">
        <v>0</v>
      </c>
      <c r="N291" s="542">
        <v>0</v>
      </c>
      <c r="O291" s="542">
        <v>0</v>
      </c>
      <c r="P291" s="542">
        <v>0</v>
      </c>
      <c r="Q291" s="542">
        <v>35188708</v>
      </c>
      <c r="R291" s="102" t="s">
        <v>733</v>
      </c>
      <c r="S291" s="103" t="s">
        <v>770</v>
      </c>
      <c r="T291" s="104" t="s">
        <v>804</v>
      </c>
      <c r="U291" s="141"/>
      <c r="V291" s="142"/>
    </row>
    <row r="292" spans="1:22" ht="12.75" x14ac:dyDescent="0.2">
      <c r="A292" s="93">
        <v>286</v>
      </c>
      <c r="B292" s="145" t="s">
        <v>450</v>
      </c>
      <c r="C292" s="141" t="s">
        <v>866</v>
      </c>
      <c r="D292" s="142" t="s">
        <v>875</v>
      </c>
      <c r="E292" s="149" t="s">
        <v>449</v>
      </c>
      <c r="F292" s="542">
        <v>10545260</v>
      </c>
      <c r="G292" s="542">
        <v>88715</v>
      </c>
      <c r="H292" s="542">
        <v>0</v>
      </c>
      <c r="I292" s="542">
        <v>124189</v>
      </c>
      <c r="J292" s="542">
        <v>0</v>
      </c>
      <c r="K292" s="542">
        <v>124189</v>
      </c>
      <c r="L292" s="542">
        <v>0</v>
      </c>
      <c r="M292" s="542">
        <v>0</v>
      </c>
      <c r="N292" s="542">
        <v>268488</v>
      </c>
      <c r="O292" s="542">
        <v>268488</v>
      </c>
      <c r="P292" s="542">
        <v>0</v>
      </c>
      <c r="Q292" s="542">
        <v>10241298</v>
      </c>
      <c r="R292" s="102" t="s">
        <v>449</v>
      </c>
      <c r="S292" s="103" t="s">
        <v>803</v>
      </c>
      <c r="T292" s="104" t="s">
        <v>804</v>
      </c>
      <c r="U292" s="141"/>
      <c r="V292" s="142"/>
    </row>
    <row r="293" spans="1:22" ht="12.75" x14ac:dyDescent="0.2">
      <c r="A293" s="93">
        <v>287</v>
      </c>
      <c r="B293" s="145" t="s">
        <v>452</v>
      </c>
      <c r="C293" s="141" t="s">
        <v>877</v>
      </c>
      <c r="D293" s="142" t="s">
        <v>872</v>
      </c>
      <c r="E293" s="149" t="s">
        <v>451</v>
      </c>
      <c r="F293" s="542">
        <v>361341276</v>
      </c>
      <c r="G293" s="542">
        <v>1363857</v>
      </c>
      <c r="H293" s="542">
        <v>0</v>
      </c>
      <c r="I293" s="542">
        <v>946111</v>
      </c>
      <c r="J293" s="542">
        <v>0</v>
      </c>
      <c r="K293" s="542">
        <v>946111</v>
      </c>
      <c r="L293" s="542">
        <v>0</v>
      </c>
      <c r="M293" s="542">
        <v>0</v>
      </c>
      <c r="N293" s="542">
        <v>0</v>
      </c>
      <c r="O293" s="542">
        <v>0</v>
      </c>
      <c r="P293" s="542">
        <v>0</v>
      </c>
      <c r="Q293" s="542">
        <v>361759022</v>
      </c>
      <c r="R293" s="102" t="s">
        <v>451</v>
      </c>
      <c r="S293" s="103" t="s">
        <v>762</v>
      </c>
      <c r="T293" s="103" t="s">
        <v>750</v>
      </c>
      <c r="U293" s="141"/>
      <c r="V293" s="142"/>
    </row>
    <row r="294" spans="1:22" ht="12.75" x14ac:dyDescent="0.2">
      <c r="A294" s="93">
        <v>288</v>
      </c>
      <c r="B294" s="145" t="s">
        <v>454</v>
      </c>
      <c r="C294" s="141" t="s">
        <v>873</v>
      </c>
      <c r="D294" s="142" t="s">
        <v>868</v>
      </c>
      <c r="E294" s="149" t="s">
        <v>453</v>
      </c>
      <c r="F294" s="542">
        <v>161969639</v>
      </c>
      <c r="G294" s="542">
        <v>0</v>
      </c>
      <c r="H294" s="542">
        <v>3326061</v>
      </c>
      <c r="I294" s="542">
        <v>457357</v>
      </c>
      <c r="J294" s="542">
        <v>0</v>
      </c>
      <c r="K294" s="542">
        <v>457357</v>
      </c>
      <c r="L294" s="542">
        <v>0</v>
      </c>
      <c r="M294" s="542">
        <v>0</v>
      </c>
      <c r="N294" s="542">
        <v>75192</v>
      </c>
      <c r="O294" s="542">
        <v>75192</v>
      </c>
      <c r="P294" s="542">
        <v>0</v>
      </c>
      <c r="Q294" s="542">
        <v>158111029</v>
      </c>
      <c r="R294" s="102" t="s">
        <v>453</v>
      </c>
      <c r="S294" s="103" t="s">
        <v>763</v>
      </c>
      <c r="T294" s="104" t="s">
        <v>777</v>
      </c>
      <c r="U294" s="141"/>
      <c r="V294" s="142"/>
    </row>
    <row r="295" spans="1:22" ht="12.75" x14ac:dyDescent="0.2">
      <c r="A295" s="93">
        <v>289</v>
      </c>
      <c r="B295" s="145" t="s">
        <v>456</v>
      </c>
      <c r="C295" s="141" t="s">
        <v>866</v>
      </c>
      <c r="D295" s="142" t="s">
        <v>867</v>
      </c>
      <c r="E295" s="149" t="s">
        <v>455</v>
      </c>
      <c r="F295" s="542">
        <v>50853114</v>
      </c>
      <c r="G295" s="542">
        <v>0</v>
      </c>
      <c r="H295" s="542">
        <v>150843</v>
      </c>
      <c r="I295" s="542">
        <v>178970</v>
      </c>
      <c r="J295" s="542">
        <v>0</v>
      </c>
      <c r="K295" s="542">
        <v>178970</v>
      </c>
      <c r="L295" s="542">
        <v>0</v>
      </c>
      <c r="M295" s="542">
        <v>0</v>
      </c>
      <c r="N295" s="542">
        <v>0</v>
      </c>
      <c r="O295" s="542">
        <v>0</v>
      </c>
      <c r="P295" s="542">
        <v>0</v>
      </c>
      <c r="Q295" s="542">
        <v>50523301</v>
      </c>
      <c r="R295" s="102" t="s">
        <v>455</v>
      </c>
      <c r="S295" s="103" t="s">
        <v>757</v>
      </c>
      <c r="T295" s="104" t="s">
        <v>758</v>
      </c>
      <c r="U295" s="141"/>
      <c r="V295" s="142"/>
    </row>
    <row r="296" spans="1:22" ht="12.75" x14ac:dyDescent="0.2">
      <c r="A296" s="93">
        <v>290</v>
      </c>
      <c r="B296" s="145" t="s">
        <v>458</v>
      </c>
      <c r="C296" s="141" t="s">
        <v>866</v>
      </c>
      <c r="D296" s="142" t="s">
        <v>870</v>
      </c>
      <c r="E296" s="149" t="s">
        <v>457</v>
      </c>
      <c r="F296" s="542">
        <v>43933743</v>
      </c>
      <c r="G296" s="542">
        <v>0</v>
      </c>
      <c r="H296" s="542">
        <v>86805</v>
      </c>
      <c r="I296" s="542">
        <v>139025</v>
      </c>
      <c r="J296" s="542">
        <v>0</v>
      </c>
      <c r="K296" s="542">
        <v>139025</v>
      </c>
      <c r="L296" s="542">
        <v>0</v>
      </c>
      <c r="M296" s="542">
        <v>0</v>
      </c>
      <c r="N296" s="542">
        <v>0</v>
      </c>
      <c r="O296" s="542">
        <v>0</v>
      </c>
      <c r="P296" s="542">
        <v>0</v>
      </c>
      <c r="Q296" s="542">
        <v>43707913</v>
      </c>
      <c r="R296" s="102" t="s">
        <v>457</v>
      </c>
      <c r="S296" s="103" t="s">
        <v>765</v>
      </c>
      <c r="T296" s="104" t="s">
        <v>766</v>
      </c>
      <c r="U296" s="141"/>
      <c r="V296" s="142"/>
    </row>
    <row r="297" spans="1:22" ht="12.75" x14ac:dyDescent="0.2">
      <c r="A297" s="93">
        <v>291</v>
      </c>
      <c r="B297" s="145" t="s">
        <v>460</v>
      </c>
      <c r="C297" s="141" t="s">
        <v>866</v>
      </c>
      <c r="D297" s="142" t="s">
        <v>867</v>
      </c>
      <c r="E297" s="149" t="s">
        <v>459</v>
      </c>
      <c r="F297" s="542">
        <v>52648876</v>
      </c>
      <c r="G297" s="542">
        <v>899647</v>
      </c>
      <c r="H297" s="542">
        <v>0</v>
      </c>
      <c r="I297" s="542">
        <v>187524</v>
      </c>
      <c r="J297" s="542">
        <v>0</v>
      </c>
      <c r="K297" s="542">
        <v>187524</v>
      </c>
      <c r="L297" s="542">
        <v>0</v>
      </c>
      <c r="M297" s="542">
        <v>0</v>
      </c>
      <c r="N297" s="542">
        <v>118572</v>
      </c>
      <c r="O297" s="542">
        <v>118572</v>
      </c>
      <c r="P297" s="542">
        <v>0</v>
      </c>
      <c r="Q297" s="542">
        <v>53242427</v>
      </c>
      <c r="R297" s="102" t="s">
        <v>459</v>
      </c>
      <c r="S297" s="103" t="s">
        <v>795</v>
      </c>
      <c r="T297" s="104" t="s">
        <v>751</v>
      </c>
      <c r="U297" s="141"/>
      <c r="V297" s="142"/>
    </row>
    <row r="298" spans="1:22" ht="12.75" x14ac:dyDescent="0.2">
      <c r="A298" s="93">
        <v>292</v>
      </c>
      <c r="B298" s="145" t="s">
        <v>462</v>
      </c>
      <c r="C298" s="141" t="s">
        <v>873</v>
      </c>
      <c r="D298" s="142" t="s">
        <v>874</v>
      </c>
      <c r="E298" s="149" t="s">
        <v>461</v>
      </c>
      <c r="F298" s="542">
        <v>118738062</v>
      </c>
      <c r="G298" s="542">
        <v>2131</v>
      </c>
      <c r="H298" s="542">
        <v>0</v>
      </c>
      <c r="I298" s="542">
        <v>458655</v>
      </c>
      <c r="J298" s="542">
        <v>0</v>
      </c>
      <c r="K298" s="542">
        <v>458655</v>
      </c>
      <c r="L298" s="542">
        <v>0</v>
      </c>
      <c r="M298" s="542">
        <v>0</v>
      </c>
      <c r="N298" s="542">
        <v>0</v>
      </c>
      <c r="O298" s="542">
        <v>0</v>
      </c>
      <c r="P298" s="542">
        <v>0</v>
      </c>
      <c r="Q298" s="542">
        <v>118281538</v>
      </c>
      <c r="R298" s="102" t="s">
        <v>461</v>
      </c>
      <c r="S298" s="103" t="s">
        <v>763</v>
      </c>
      <c r="T298" s="104" t="s">
        <v>781</v>
      </c>
      <c r="U298" s="141"/>
      <c r="V298" s="142"/>
    </row>
    <row r="299" spans="1:22" ht="12.75" x14ac:dyDescent="0.2">
      <c r="A299" s="93">
        <v>293</v>
      </c>
      <c r="B299" s="145" t="s">
        <v>464</v>
      </c>
      <c r="C299" s="141" t="s">
        <v>873</v>
      </c>
      <c r="D299" s="142" t="s">
        <v>876</v>
      </c>
      <c r="E299" s="149" t="s">
        <v>463</v>
      </c>
      <c r="F299" s="542">
        <v>63811763</v>
      </c>
      <c r="G299" s="542">
        <v>0</v>
      </c>
      <c r="H299" s="542">
        <v>1782824</v>
      </c>
      <c r="I299" s="542">
        <v>343486</v>
      </c>
      <c r="J299" s="542">
        <v>0</v>
      </c>
      <c r="K299" s="542">
        <v>343486</v>
      </c>
      <c r="L299" s="542">
        <v>0</v>
      </c>
      <c r="M299" s="542">
        <v>8564</v>
      </c>
      <c r="N299" s="542">
        <v>0</v>
      </c>
      <c r="O299" s="542">
        <v>0</v>
      </c>
      <c r="P299" s="542">
        <v>0</v>
      </c>
      <c r="Q299" s="542">
        <v>61676889</v>
      </c>
      <c r="R299" s="102" t="s">
        <v>463</v>
      </c>
      <c r="S299" s="103" t="s">
        <v>763</v>
      </c>
      <c r="T299" s="104" t="s">
        <v>773</v>
      </c>
      <c r="U299" s="141"/>
      <c r="V299" s="142"/>
    </row>
    <row r="300" spans="1:22" ht="12.75" x14ac:dyDescent="0.2">
      <c r="A300" s="93">
        <v>294</v>
      </c>
      <c r="B300" s="145" t="s">
        <v>466</v>
      </c>
      <c r="C300" s="141" t="s">
        <v>871</v>
      </c>
      <c r="D300" s="142" t="s">
        <v>872</v>
      </c>
      <c r="E300" s="149" t="s">
        <v>465</v>
      </c>
      <c r="F300" s="542">
        <v>53070485</v>
      </c>
      <c r="G300" s="542">
        <v>0</v>
      </c>
      <c r="H300" s="542">
        <v>1621630</v>
      </c>
      <c r="I300" s="542">
        <v>291662</v>
      </c>
      <c r="J300" s="542">
        <v>0</v>
      </c>
      <c r="K300" s="542">
        <v>291662</v>
      </c>
      <c r="L300" s="542">
        <v>0</v>
      </c>
      <c r="M300" s="542">
        <v>0</v>
      </c>
      <c r="N300" s="542">
        <v>0</v>
      </c>
      <c r="O300" s="542">
        <v>0</v>
      </c>
      <c r="P300" s="542">
        <v>0</v>
      </c>
      <c r="Q300" s="542">
        <v>51157193</v>
      </c>
      <c r="R300" s="102" t="s">
        <v>465</v>
      </c>
      <c r="S300" s="103" t="s">
        <v>762</v>
      </c>
      <c r="T300" s="103" t="s">
        <v>750</v>
      </c>
      <c r="U300" s="141"/>
      <c r="V300" s="142"/>
    </row>
    <row r="301" spans="1:22" ht="12.75" x14ac:dyDescent="0.2">
      <c r="A301" s="93">
        <v>295</v>
      </c>
      <c r="B301" s="145" t="s">
        <v>468</v>
      </c>
      <c r="C301" s="141" t="s">
        <v>877</v>
      </c>
      <c r="D301" s="142" t="s">
        <v>872</v>
      </c>
      <c r="E301" s="149" t="s">
        <v>467</v>
      </c>
      <c r="F301" s="542">
        <v>101525241</v>
      </c>
      <c r="G301" s="542">
        <v>0</v>
      </c>
      <c r="H301" s="542">
        <v>114212</v>
      </c>
      <c r="I301" s="542">
        <v>477094</v>
      </c>
      <c r="J301" s="542">
        <v>0</v>
      </c>
      <c r="K301" s="542">
        <v>477094</v>
      </c>
      <c r="L301" s="542">
        <v>0</v>
      </c>
      <c r="M301" s="542">
        <v>0</v>
      </c>
      <c r="N301" s="542">
        <v>0</v>
      </c>
      <c r="O301" s="542">
        <v>0</v>
      </c>
      <c r="P301" s="542">
        <v>0</v>
      </c>
      <c r="Q301" s="542">
        <v>100933935</v>
      </c>
      <c r="R301" s="102" t="s">
        <v>467</v>
      </c>
      <c r="S301" s="103" t="s">
        <v>762</v>
      </c>
      <c r="T301" s="103" t="s">
        <v>750</v>
      </c>
      <c r="U301" s="141"/>
      <c r="V301" s="142"/>
    </row>
    <row r="302" spans="1:22" ht="12.75" x14ac:dyDescent="0.2">
      <c r="A302" s="93">
        <v>296</v>
      </c>
      <c r="B302" s="145" t="s">
        <v>470</v>
      </c>
      <c r="C302" s="141" t="s">
        <v>770</v>
      </c>
      <c r="D302" s="142" t="s">
        <v>868</v>
      </c>
      <c r="E302" s="149" t="s">
        <v>734</v>
      </c>
      <c r="F302" s="542">
        <v>102761762</v>
      </c>
      <c r="G302" s="542">
        <v>0</v>
      </c>
      <c r="H302" s="542">
        <v>1208133</v>
      </c>
      <c r="I302" s="542">
        <v>306743</v>
      </c>
      <c r="J302" s="542">
        <v>0</v>
      </c>
      <c r="K302" s="542">
        <v>306743</v>
      </c>
      <c r="L302" s="542">
        <v>0</v>
      </c>
      <c r="M302" s="542">
        <v>0</v>
      </c>
      <c r="N302" s="542">
        <v>0</v>
      </c>
      <c r="O302" s="542">
        <v>0</v>
      </c>
      <c r="P302" s="542">
        <v>0</v>
      </c>
      <c r="Q302" s="542">
        <v>101246886</v>
      </c>
      <c r="R302" s="102" t="s">
        <v>734</v>
      </c>
      <c r="S302" s="103" t="s">
        <v>770</v>
      </c>
      <c r="T302" s="104" t="s">
        <v>796</v>
      </c>
      <c r="U302" s="141"/>
      <c r="V302" s="142"/>
    </row>
    <row r="303" spans="1:22" ht="12.75" x14ac:dyDescent="0.2">
      <c r="A303" s="93">
        <v>297</v>
      </c>
      <c r="B303" s="145" t="s">
        <v>472</v>
      </c>
      <c r="C303" s="141" t="s">
        <v>866</v>
      </c>
      <c r="D303" s="142" t="s">
        <v>876</v>
      </c>
      <c r="E303" s="149" t="s">
        <v>471</v>
      </c>
      <c r="F303" s="542">
        <v>64315919</v>
      </c>
      <c r="G303" s="542">
        <v>0</v>
      </c>
      <c r="H303" s="542">
        <v>795515</v>
      </c>
      <c r="I303" s="542">
        <v>213591</v>
      </c>
      <c r="J303" s="542">
        <v>0</v>
      </c>
      <c r="K303" s="542">
        <v>213591</v>
      </c>
      <c r="L303" s="542">
        <v>0</v>
      </c>
      <c r="M303" s="542">
        <v>0</v>
      </c>
      <c r="N303" s="542">
        <v>0</v>
      </c>
      <c r="O303" s="542">
        <v>0</v>
      </c>
      <c r="P303" s="542">
        <v>0</v>
      </c>
      <c r="Q303" s="542">
        <v>63306813</v>
      </c>
      <c r="R303" s="102" t="s">
        <v>471</v>
      </c>
      <c r="S303" s="103" t="s">
        <v>816</v>
      </c>
      <c r="T303" s="104" t="s">
        <v>751</v>
      </c>
      <c r="U303" s="141"/>
      <c r="V303" s="142"/>
    </row>
    <row r="304" spans="1:22" ht="12.75" x14ac:dyDescent="0.2">
      <c r="A304" s="93">
        <v>298</v>
      </c>
      <c r="B304" s="145" t="s">
        <v>474</v>
      </c>
      <c r="C304" s="141" t="s">
        <v>866</v>
      </c>
      <c r="D304" s="142" t="s">
        <v>870</v>
      </c>
      <c r="E304" s="149" t="s">
        <v>473</v>
      </c>
      <c r="F304" s="542">
        <v>55987632</v>
      </c>
      <c r="G304" s="542">
        <v>0</v>
      </c>
      <c r="H304" s="542">
        <v>1130871</v>
      </c>
      <c r="I304" s="542">
        <v>174144</v>
      </c>
      <c r="J304" s="542">
        <v>0</v>
      </c>
      <c r="K304" s="542">
        <v>174144</v>
      </c>
      <c r="L304" s="542">
        <v>0</v>
      </c>
      <c r="M304" s="542">
        <v>0</v>
      </c>
      <c r="N304" s="542">
        <v>0</v>
      </c>
      <c r="O304" s="542">
        <v>0</v>
      </c>
      <c r="P304" s="542">
        <v>0</v>
      </c>
      <c r="Q304" s="542">
        <v>54682617</v>
      </c>
      <c r="R304" s="102" t="s">
        <v>473</v>
      </c>
      <c r="S304" s="103" t="s">
        <v>788</v>
      </c>
      <c r="T304" s="104" t="s">
        <v>751</v>
      </c>
      <c r="U304" s="141"/>
      <c r="V304" s="142"/>
    </row>
    <row r="305" spans="1:22" ht="12.75" x14ac:dyDescent="0.2">
      <c r="A305" s="93">
        <v>299</v>
      </c>
      <c r="B305" s="145" t="s">
        <v>476</v>
      </c>
      <c r="C305" s="141" t="s">
        <v>866</v>
      </c>
      <c r="D305" s="142" t="s">
        <v>870</v>
      </c>
      <c r="E305" s="149" t="s">
        <v>475</v>
      </c>
      <c r="F305" s="542">
        <v>25971990</v>
      </c>
      <c r="G305" s="542">
        <v>0</v>
      </c>
      <c r="H305" s="542">
        <v>36283</v>
      </c>
      <c r="I305" s="542">
        <v>205447</v>
      </c>
      <c r="J305" s="542">
        <v>0</v>
      </c>
      <c r="K305" s="542">
        <v>205447</v>
      </c>
      <c r="L305" s="542">
        <v>0</v>
      </c>
      <c r="M305" s="542">
        <v>19487</v>
      </c>
      <c r="N305" s="542">
        <v>109423</v>
      </c>
      <c r="O305" s="542">
        <v>109423</v>
      </c>
      <c r="P305" s="542">
        <v>0</v>
      </c>
      <c r="Q305" s="542">
        <v>25601350</v>
      </c>
      <c r="R305" s="102" t="s">
        <v>475</v>
      </c>
      <c r="S305" s="103" t="s">
        <v>761</v>
      </c>
      <c r="T305" s="104" t="s">
        <v>751</v>
      </c>
      <c r="U305" s="141"/>
      <c r="V305" s="142"/>
    </row>
    <row r="306" spans="1:22" ht="12.75" x14ac:dyDescent="0.2">
      <c r="A306" s="93">
        <v>300</v>
      </c>
      <c r="B306" s="145" t="s">
        <v>478</v>
      </c>
      <c r="C306" s="141" t="s">
        <v>866</v>
      </c>
      <c r="D306" s="142" t="s">
        <v>867</v>
      </c>
      <c r="E306" s="149" t="s">
        <v>477</v>
      </c>
      <c r="F306" s="542">
        <v>35570778</v>
      </c>
      <c r="G306" s="542">
        <v>0</v>
      </c>
      <c r="H306" s="542">
        <v>35798</v>
      </c>
      <c r="I306" s="542">
        <v>180822</v>
      </c>
      <c r="J306" s="542">
        <v>0</v>
      </c>
      <c r="K306" s="542">
        <v>180822</v>
      </c>
      <c r="L306" s="542">
        <v>0</v>
      </c>
      <c r="M306" s="542">
        <v>0</v>
      </c>
      <c r="N306" s="542">
        <v>0</v>
      </c>
      <c r="O306" s="542">
        <v>0</v>
      </c>
      <c r="P306" s="542">
        <v>0</v>
      </c>
      <c r="Q306" s="542">
        <v>35354158</v>
      </c>
      <c r="R306" s="102" t="s">
        <v>477</v>
      </c>
      <c r="S306" s="103" t="s">
        <v>807</v>
      </c>
      <c r="T306" s="104" t="s">
        <v>751</v>
      </c>
      <c r="U306" s="141"/>
      <c r="V306" s="142"/>
    </row>
    <row r="307" spans="1:22" ht="12.75" x14ac:dyDescent="0.2">
      <c r="A307" s="93">
        <v>301</v>
      </c>
      <c r="B307" s="145" t="s">
        <v>480</v>
      </c>
      <c r="C307" s="141" t="s">
        <v>866</v>
      </c>
      <c r="D307" s="142" t="s">
        <v>867</v>
      </c>
      <c r="E307" s="149" t="s">
        <v>479</v>
      </c>
      <c r="F307" s="542">
        <v>29084435</v>
      </c>
      <c r="G307" s="542">
        <v>0</v>
      </c>
      <c r="H307" s="542">
        <v>163891</v>
      </c>
      <c r="I307" s="542">
        <v>209532</v>
      </c>
      <c r="J307" s="542">
        <v>0</v>
      </c>
      <c r="K307" s="542">
        <v>209532</v>
      </c>
      <c r="L307" s="542">
        <v>0</v>
      </c>
      <c r="M307" s="542">
        <v>0</v>
      </c>
      <c r="N307" s="542">
        <v>0</v>
      </c>
      <c r="O307" s="542">
        <v>0</v>
      </c>
      <c r="P307" s="542">
        <v>0</v>
      </c>
      <c r="Q307" s="542">
        <v>28711012</v>
      </c>
      <c r="R307" s="102" t="s">
        <v>479</v>
      </c>
      <c r="S307" s="103" t="s">
        <v>806</v>
      </c>
      <c r="T307" s="104" t="s">
        <v>784</v>
      </c>
      <c r="U307" s="141"/>
      <c r="V307" s="142"/>
    </row>
    <row r="308" spans="1:22" ht="12.75" x14ac:dyDescent="0.2">
      <c r="A308" s="93">
        <v>302</v>
      </c>
      <c r="B308" s="145" t="s">
        <v>482</v>
      </c>
      <c r="C308" s="141" t="s">
        <v>866</v>
      </c>
      <c r="D308" s="142" t="s">
        <v>869</v>
      </c>
      <c r="E308" s="149" t="s">
        <v>481</v>
      </c>
      <c r="F308" s="542">
        <v>27591619</v>
      </c>
      <c r="G308" s="542">
        <v>0</v>
      </c>
      <c r="H308" s="542">
        <v>63004</v>
      </c>
      <c r="I308" s="542">
        <v>112434</v>
      </c>
      <c r="J308" s="542">
        <v>0</v>
      </c>
      <c r="K308" s="542">
        <v>112434</v>
      </c>
      <c r="L308" s="542">
        <v>0</v>
      </c>
      <c r="M308" s="542">
        <v>0</v>
      </c>
      <c r="N308" s="542">
        <v>32952</v>
      </c>
      <c r="O308" s="542">
        <v>32952</v>
      </c>
      <c r="P308" s="542">
        <v>0</v>
      </c>
      <c r="Q308" s="542">
        <v>27383229</v>
      </c>
      <c r="R308" s="102" t="s">
        <v>481</v>
      </c>
      <c r="S308" s="103" t="s">
        <v>799</v>
      </c>
      <c r="T308" s="104" t="s">
        <v>751</v>
      </c>
      <c r="U308" s="141"/>
      <c r="V308" s="142"/>
    </row>
    <row r="309" spans="1:22" ht="12.75" x14ac:dyDescent="0.2">
      <c r="A309" s="93">
        <v>303</v>
      </c>
      <c r="B309" s="145" t="s">
        <v>484</v>
      </c>
      <c r="C309" s="141" t="s">
        <v>866</v>
      </c>
      <c r="D309" s="142" t="s">
        <v>870</v>
      </c>
      <c r="E309" s="149" t="s">
        <v>483</v>
      </c>
      <c r="F309" s="542">
        <v>57935933</v>
      </c>
      <c r="G309" s="542">
        <v>0</v>
      </c>
      <c r="H309" s="542">
        <v>220821</v>
      </c>
      <c r="I309" s="542">
        <v>152796</v>
      </c>
      <c r="J309" s="542">
        <v>0</v>
      </c>
      <c r="K309" s="542">
        <v>152796</v>
      </c>
      <c r="L309" s="542">
        <v>0</v>
      </c>
      <c r="M309" s="542">
        <v>0</v>
      </c>
      <c r="N309" s="542">
        <v>0</v>
      </c>
      <c r="O309" s="542">
        <v>0</v>
      </c>
      <c r="P309" s="542">
        <v>0</v>
      </c>
      <c r="Q309" s="542">
        <v>57562316</v>
      </c>
      <c r="R309" s="102" t="s">
        <v>483</v>
      </c>
      <c r="S309" s="103" t="s">
        <v>788</v>
      </c>
      <c r="T309" s="104" t="s">
        <v>751</v>
      </c>
      <c r="U309" s="141"/>
      <c r="V309" s="142"/>
    </row>
    <row r="310" spans="1:22" ht="12.75" x14ac:dyDescent="0.2">
      <c r="A310" s="93">
        <v>304</v>
      </c>
      <c r="B310" s="145" t="s">
        <v>486</v>
      </c>
      <c r="C310" s="141" t="s">
        <v>770</v>
      </c>
      <c r="D310" s="142" t="s">
        <v>867</v>
      </c>
      <c r="E310" s="149" t="s">
        <v>735</v>
      </c>
      <c r="F310" s="542">
        <v>75447719</v>
      </c>
      <c r="G310" s="542">
        <v>0</v>
      </c>
      <c r="H310" s="542">
        <v>1678</v>
      </c>
      <c r="I310" s="542">
        <v>259810</v>
      </c>
      <c r="J310" s="542">
        <v>0</v>
      </c>
      <c r="K310" s="542">
        <v>259810</v>
      </c>
      <c r="L310" s="542">
        <v>0</v>
      </c>
      <c r="M310" s="542">
        <v>0</v>
      </c>
      <c r="N310" s="542">
        <v>0</v>
      </c>
      <c r="O310" s="542">
        <v>0</v>
      </c>
      <c r="P310" s="542">
        <v>0</v>
      </c>
      <c r="Q310" s="542">
        <v>75186231</v>
      </c>
      <c r="R310" s="102" t="s">
        <v>735</v>
      </c>
      <c r="S310" s="103" t="s">
        <v>770</v>
      </c>
      <c r="T310" s="104" t="s">
        <v>780</v>
      </c>
      <c r="U310" s="141"/>
      <c r="V310" s="142"/>
    </row>
    <row r="311" spans="1:22" ht="12.75" x14ac:dyDescent="0.2">
      <c r="A311" s="93">
        <v>305</v>
      </c>
      <c r="B311" s="145" t="s">
        <v>488</v>
      </c>
      <c r="C311" s="141" t="s">
        <v>866</v>
      </c>
      <c r="D311" s="142" t="s">
        <v>875</v>
      </c>
      <c r="E311" s="149" t="s">
        <v>487</v>
      </c>
      <c r="F311" s="542">
        <v>10175830</v>
      </c>
      <c r="G311" s="542">
        <v>0</v>
      </c>
      <c r="H311" s="542">
        <v>40670</v>
      </c>
      <c r="I311" s="542">
        <v>84601</v>
      </c>
      <c r="J311" s="542">
        <v>0</v>
      </c>
      <c r="K311" s="542">
        <v>84601</v>
      </c>
      <c r="L311" s="542">
        <v>0</v>
      </c>
      <c r="M311" s="542">
        <v>0</v>
      </c>
      <c r="N311" s="542">
        <v>0</v>
      </c>
      <c r="O311" s="542">
        <v>0</v>
      </c>
      <c r="P311" s="542">
        <v>0</v>
      </c>
      <c r="Q311" s="542">
        <v>10050559</v>
      </c>
      <c r="R311" s="102" t="s">
        <v>487</v>
      </c>
      <c r="S311" s="103" t="s">
        <v>803</v>
      </c>
      <c r="T311" s="104" t="s">
        <v>804</v>
      </c>
      <c r="U311" s="141"/>
      <c r="V311" s="142"/>
    </row>
    <row r="312" spans="1:22" ht="12.75" x14ac:dyDescent="0.2">
      <c r="A312" s="93">
        <v>306</v>
      </c>
      <c r="B312" s="145" t="s">
        <v>490</v>
      </c>
      <c r="C312" s="141" t="s">
        <v>866</v>
      </c>
      <c r="D312" s="142" t="s">
        <v>875</v>
      </c>
      <c r="E312" s="149" t="s">
        <v>489</v>
      </c>
      <c r="F312" s="542">
        <v>28264962</v>
      </c>
      <c r="G312" s="542">
        <v>0</v>
      </c>
      <c r="H312" s="542">
        <v>56335</v>
      </c>
      <c r="I312" s="542">
        <v>206892</v>
      </c>
      <c r="J312" s="542">
        <v>0</v>
      </c>
      <c r="K312" s="542">
        <v>206892</v>
      </c>
      <c r="L312" s="542">
        <v>0</v>
      </c>
      <c r="M312" s="542">
        <v>0</v>
      </c>
      <c r="N312" s="542">
        <v>164551</v>
      </c>
      <c r="O312" s="542">
        <v>164551</v>
      </c>
      <c r="P312" s="542">
        <v>0</v>
      </c>
      <c r="Q312" s="542">
        <v>27837184</v>
      </c>
      <c r="R312" s="102" t="s">
        <v>489</v>
      </c>
      <c r="S312" s="103" t="s">
        <v>797</v>
      </c>
      <c r="T312" s="104" t="s">
        <v>779</v>
      </c>
      <c r="U312" s="141"/>
      <c r="V312" s="142"/>
    </row>
    <row r="313" spans="1:22" ht="12.75" x14ac:dyDescent="0.2">
      <c r="A313" s="93">
        <v>307</v>
      </c>
      <c r="B313" s="145" t="s">
        <v>492</v>
      </c>
      <c r="C313" s="141" t="s">
        <v>866</v>
      </c>
      <c r="D313" s="142" t="s">
        <v>868</v>
      </c>
      <c r="E313" s="149" t="s">
        <v>491</v>
      </c>
      <c r="F313" s="542">
        <v>29959730</v>
      </c>
      <c r="G313" s="542">
        <v>0</v>
      </c>
      <c r="H313" s="542">
        <v>136354</v>
      </c>
      <c r="I313" s="542">
        <v>132942</v>
      </c>
      <c r="J313" s="542">
        <v>0</v>
      </c>
      <c r="K313" s="542">
        <v>132942</v>
      </c>
      <c r="L313" s="542">
        <v>0</v>
      </c>
      <c r="M313" s="542">
        <v>0</v>
      </c>
      <c r="N313" s="542">
        <v>0</v>
      </c>
      <c r="O313" s="542">
        <v>0</v>
      </c>
      <c r="P313" s="542">
        <v>0</v>
      </c>
      <c r="Q313" s="542">
        <v>29690434</v>
      </c>
      <c r="R313" s="102" t="s">
        <v>491</v>
      </c>
      <c r="S313" s="103" t="s">
        <v>789</v>
      </c>
      <c r="T313" s="104" t="s">
        <v>776</v>
      </c>
      <c r="U313" s="141"/>
      <c r="V313" s="142"/>
    </row>
    <row r="314" spans="1:22" ht="12.75" x14ac:dyDescent="0.2">
      <c r="A314" s="93">
        <v>308</v>
      </c>
      <c r="B314" s="145" t="s">
        <v>494</v>
      </c>
      <c r="C314" s="141" t="s">
        <v>866</v>
      </c>
      <c r="D314" s="142" t="s">
        <v>869</v>
      </c>
      <c r="E314" s="149" t="s">
        <v>493</v>
      </c>
      <c r="F314" s="542">
        <v>15630449</v>
      </c>
      <c r="G314" s="542">
        <v>0</v>
      </c>
      <c r="H314" s="542">
        <v>75543</v>
      </c>
      <c r="I314" s="542">
        <v>107102</v>
      </c>
      <c r="J314" s="542">
        <v>0</v>
      </c>
      <c r="K314" s="542">
        <v>107102</v>
      </c>
      <c r="L314" s="542">
        <v>0</v>
      </c>
      <c r="M314" s="542">
        <v>0</v>
      </c>
      <c r="N314" s="542">
        <v>843</v>
      </c>
      <c r="O314" s="542">
        <v>674</v>
      </c>
      <c r="P314" s="542">
        <v>169</v>
      </c>
      <c r="Q314" s="542">
        <v>15446961</v>
      </c>
      <c r="R314" s="102" t="s">
        <v>493</v>
      </c>
      <c r="S314" s="103" t="s">
        <v>778</v>
      </c>
      <c r="T314" s="104" t="s">
        <v>751</v>
      </c>
      <c r="U314" s="141"/>
      <c r="V314" s="142"/>
    </row>
    <row r="315" spans="1:22" ht="12.75" x14ac:dyDescent="0.2">
      <c r="A315" s="93">
        <v>309</v>
      </c>
      <c r="B315" s="145" t="s">
        <v>496</v>
      </c>
      <c r="C315" s="141" t="s">
        <v>866</v>
      </c>
      <c r="D315" s="142" t="s">
        <v>867</v>
      </c>
      <c r="E315" s="149" t="s">
        <v>495</v>
      </c>
      <c r="F315" s="542">
        <v>31887013</v>
      </c>
      <c r="G315" s="542">
        <v>68295</v>
      </c>
      <c r="H315" s="542">
        <v>0</v>
      </c>
      <c r="I315" s="542">
        <v>164331</v>
      </c>
      <c r="J315" s="542">
        <v>0</v>
      </c>
      <c r="K315" s="542">
        <v>164331</v>
      </c>
      <c r="L315" s="542">
        <v>0</v>
      </c>
      <c r="M315" s="542">
        <v>0</v>
      </c>
      <c r="N315" s="542">
        <v>120573</v>
      </c>
      <c r="O315" s="542">
        <v>120573</v>
      </c>
      <c r="P315" s="542">
        <v>0</v>
      </c>
      <c r="Q315" s="542">
        <v>31670404</v>
      </c>
      <c r="R315" s="102" t="s">
        <v>495</v>
      </c>
      <c r="S315" s="103" t="s">
        <v>795</v>
      </c>
      <c r="T315" s="104" t="s">
        <v>751</v>
      </c>
      <c r="U315" s="141"/>
      <c r="V315" s="142"/>
    </row>
    <row r="316" spans="1:22" ht="12.75" x14ac:dyDescent="0.2">
      <c r="A316" s="93">
        <v>310</v>
      </c>
      <c r="B316" s="145" t="s">
        <v>498</v>
      </c>
      <c r="C316" s="141" t="s">
        <v>866</v>
      </c>
      <c r="D316" s="142" t="s">
        <v>875</v>
      </c>
      <c r="E316" s="149" t="s">
        <v>497</v>
      </c>
      <c r="F316" s="542">
        <v>6092584</v>
      </c>
      <c r="G316" s="542">
        <v>0</v>
      </c>
      <c r="H316" s="542">
        <v>13936</v>
      </c>
      <c r="I316" s="542">
        <v>75158</v>
      </c>
      <c r="J316" s="542">
        <v>0</v>
      </c>
      <c r="K316" s="542">
        <v>75158</v>
      </c>
      <c r="L316" s="542">
        <v>0</v>
      </c>
      <c r="M316" s="542">
        <v>0</v>
      </c>
      <c r="N316" s="542">
        <v>0</v>
      </c>
      <c r="O316" s="542">
        <v>0</v>
      </c>
      <c r="P316" s="542">
        <v>0</v>
      </c>
      <c r="Q316" s="542">
        <v>6003490</v>
      </c>
      <c r="R316" s="102" t="s">
        <v>497</v>
      </c>
      <c r="S316" s="103" t="s">
        <v>815</v>
      </c>
      <c r="T316" s="104" t="s">
        <v>804</v>
      </c>
      <c r="U316" s="141"/>
      <c r="V316" s="142"/>
    </row>
    <row r="317" spans="1:22" ht="12.75" x14ac:dyDescent="0.2">
      <c r="A317" s="93">
        <v>311</v>
      </c>
      <c r="B317" s="145" t="s">
        <v>500</v>
      </c>
      <c r="C317" s="141" t="s">
        <v>877</v>
      </c>
      <c r="D317" s="142" t="s">
        <v>872</v>
      </c>
      <c r="E317" s="149" t="s">
        <v>499</v>
      </c>
      <c r="F317" s="542">
        <v>1585953016</v>
      </c>
      <c r="G317" s="542">
        <v>0</v>
      </c>
      <c r="H317" s="542">
        <v>43800511</v>
      </c>
      <c r="I317" s="542">
        <v>3154688</v>
      </c>
      <c r="J317" s="542">
        <v>0</v>
      </c>
      <c r="K317" s="542">
        <v>3154688</v>
      </c>
      <c r="L317" s="542">
        <v>0</v>
      </c>
      <c r="M317" s="542">
        <v>0</v>
      </c>
      <c r="N317" s="542">
        <v>0</v>
      </c>
      <c r="O317" s="542">
        <v>0</v>
      </c>
      <c r="P317" s="542">
        <v>0</v>
      </c>
      <c r="Q317" s="542">
        <v>1538997817</v>
      </c>
      <c r="R317" s="102" t="s">
        <v>499</v>
      </c>
      <c r="S317" s="103" t="s">
        <v>762</v>
      </c>
      <c r="T317" s="103" t="s">
        <v>750</v>
      </c>
      <c r="U317" s="141"/>
      <c r="V317" s="142"/>
    </row>
    <row r="318" spans="1:22" ht="12.75" x14ac:dyDescent="0.2">
      <c r="A318" s="93">
        <v>312</v>
      </c>
      <c r="B318" s="145" t="s">
        <v>502</v>
      </c>
      <c r="C318" s="141" t="s">
        <v>866</v>
      </c>
      <c r="D318" s="142" t="s">
        <v>875</v>
      </c>
      <c r="E318" s="149" t="s">
        <v>736</v>
      </c>
      <c r="F318" s="542">
        <v>16411139</v>
      </c>
      <c r="G318" s="542">
        <v>0</v>
      </c>
      <c r="H318" s="542">
        <v>77979</v>
      </c>
      <c r="I318" s="542">
        <v>108024</v>
      </c>
      <c r="J318" s="542">
        <v>0</v>
      </c>
      <c r="K318" s="542">
        <v>108024</v>
      </c>
      <c r="L318" s="542">
        <v>0</v>
      </c>
      <c r="M318" s="542">
        <v>0</v>
      </c>
      <c r="N318" s="542">
        <v>1213</v>
      </c>
      <c r="O318" s="542">
        <v>1213</v>
      </c>
      <c r="P318" s="542">
        <v>0</v>
      </c>
      <c r="Q318" s="542">
        <v>16223923</v>
      </c>
      <c r="R318" s="102" t="s">
        <v>736</v>
      </c>
      <c r="S318" s="103" t="s">
        <v>797</v>
      </c>
      <c r="T318" s="104" t="s">
        <v>779</v>
      </c>
      <c r="U318" s="141"/>
      <c r="V318" s="142"/>
    </row>
    <row r="319" spans="1:22" ht="12.75" x14ac:dyDescent="0.2">
      <c r="A319" s="93">
        <v>313</v>
      </c>
      <c r="B319" s="150" t="s">
        <v>504</v>
      </c>
      <c r="C319" s="143" t="s">
        <v>873</v>
      </c>
      <c r="D319" s="144" t="s">
        <v>868</v>
      </c>
      <c r="E319" s="151" t="s">
        <v>503</v>
      </c>
      <c r="F319" s="542">
        <v>76960341</v>
      </c>
      <c r="G319" s="542">
        <v>0</v>
      </c>
      <c r="H319" s="542">
        <v>1982249</v>
      </c>
      <c r="I319" s="542">
        <v>387845</v>
      </c>
      <c r="J319" s="542">
        <v>0</v>
      </c>
      <c r="K319" s="542">
        <v>387845</v>
      </c>
      <c r="L319" s="542">
        <v>0</v>
      </c>
      <c r="M319" s="542">
        <v>0</v>
      </c>
      <c r="N319" s="542">
        <v>0</v>
      </c>
      <c r="O319" s="542">
        <v>0</v>
      </c>
      <c r="P319" s="542">
        <v>0</v>
      </c>
      <c r="Q319" s="542">
        <v>74590247</v>
      </c>
      <c r="R319" s="102" t="s">
        <v>503</v>
      </c>
      <c r="S319" s="103" t="s">
        <v>763</v>
      </c>
      <c r="T319" s="104" t="s">
        <v>777</v>
      </c>
      <c r="U319" s="143"/>
      <c r="V319" s="144"/>
    </row>
    <row r="320" spans="1:22" ht="12.75" x14ac:dyDescent="0.2">
      <c r="A320" s="93">
        <v>314</v>
      </c>
      <c r="B320" s="145" t="s">
        <v>506</v>
      </c>
      <c r="C320" s="141" t="s">
        <v>770</v>
      </c>
      <c r="D320" s="142" t="s">
        <v>875</v>
      </c>
      <c r="E320" s="149" t="s">
        <v>505</v>
      </c>
      <c r="F320" s="542">
        <v>137311104</v>
      </c>
      <c r="G320" s="542">
        <v>361643</v>
      </c>
      <c r="H320" s="542">
        <v>0</v>
      </c>
      <c r="I320" s="542">
        <v>616399</v>
      </c>
      <c r="J320" s="542">
        <v>0</v>
      </c>
      <c r="K320" s="542">
        <v>616399</v>
      </c>
      <c r="L320" s="542">
        <v>0</v>
      </c>
      <c r="M320" s="542">
        <v>0</v>
      </c>
      <c r="N320" s="542">
        <v>464303</v>
      </c>
      <c r="O320" s="542">
        <v>464303</v>
      </c>
      <c r="P320" s="542">
        <v>0</v>
      </c>
      <c r="Q320" s="542">
        <v>136592045</v>
      </c>
      <c r="R320" s="102" t="s">
        <v>505</v>
      </c>
      <c r="S320" s="103" t="s">
        <v>770</v>
      </c>
      <c r="T320" s="104" t="s">
        <v>819</v>
      </c>
      <c r="U320" s="141"/>
      <c r="V320" s="142"/>
    </row>
    <row r="321" spans="1:31" ht="12.75" x14ac:dyDescent="0.2">
      <c r="A321" s="93">
        <v>315</v>
      </c>
      <c r="B321" s="145" t="s">
        <v>508</v>
      </c>
      <c r="C321" s="141" t="s">
        <v>866</v>
      </c>
      <c r="D321" s="142" t="s">
        <v>867</v>
      </c>
      <c r="E321" s="149" t="s">
        <v>507</v>
      </c>
      <c r="F321" s="542">
        <v>53131181</v>
      </c>
      <c r="G321" s="542">
        <v>0</v>
      </c>
      <c r="H321" s="542">
        <v>200212</v>
      </c>
      <c r="I321" s="542">
        <v>197633</v>
      </c>
      <c r="J321" s="542">
        <v>0</v>
      </c>
      <c r="K321" s="542">
        <v>197633</v>
      </c>
      <c r="L321" s="542">
        <v>0</v>
      </c>
      <c r="M321" s="542">
        <v>0</v>
      </c>
      <c r="N321" s="542">
        <v>85452</v>
      </c>
      <c r="O321" s="542">
        <v>85452</v>
      </c>
      <c r="P321" s="542">
        <v>0</v>
      </c>
      <c r="Q321" s="542">
        <v>52647884</v>
      </c>
      <c r="R321" s="102" t="s">
        <v>507</v>
      </c>
      <c r="S321" s="103" t="s">
        <v>767</v>
      </c>
      <c r="T321" s="104" t="s">
        <v>768</v>
      </c>
      <c r="U321" s="141"/>
      <c r="V321" s="142"/>
    </row>
    <row r="322" spans="1:31" ht="12.75" x14ac:dyDescent="0.2">
      <c r="A322" s="93">
        <v>316</v>
      </c>
      <c r="B322" s="145" t="s">
        <v>510</v>
      </c>
      <c r="C322" s="141" t="s">
        <v>770</v>
      </c>
      <c r="D322" s="142" t="s">
        <v>867</v>
      </c>
      <c r="E322" s="149" t="s">
        <v>737</v>
      </c>
      <c r="F322" s="542">
        <v>76730937</v>
      </c>
      <c r="G322" s="542">
        <v>0</v>
      </c>
      <c r="H322" s="542">
        <v>358821</v>
      </c>
      <c r="I322" s="542">
        <v>248540</v>
      </c>
      <c r="J322" s="542">
        <v>0</v>
      </c>
      <c r="K322" s="542">
        <v>248540</v>
      </c>
      <c r="L322" s="542">
        <v>0</v>
      </c>
      <c r="M322" s="542">
        <v>0</v>
      </c>
      <c r="N322" s="542">
        <v>7159</v>
      </c>
      <c r="O322" s="542">
        <v>7159</v>
      </c>
      <c r="P322" s="542">
        <v>0</v>
      </c>
      <c r="Q322" s="542">
        <v>76116417</v>
      </c>
      <c r="R322" s="102" t="s">
        <v>737</v>
      </c>
      <c r="S322" s="103" t="s">
        <v>770</v>
      </c>
      <c r="T322" s="104" t="s">
        <v>780</v>
      </c>
      <c r="U322" s="141"/>
      <c r="V322" s="142"/>
    </row>
    <row r="323" spans="1:31" ht="12.75" x14ac:dyDescent="0.2">
      <c r="A323" s="93">
        <v>317</v>
      </c>
      <c r="B323" s="145" t="s">
        <v>512</v>
      </c>
      <c r="C323" s="141" t="s">
        <v>873</v>
      </c>
      <c r="D323" s="142" t="s">
        <v>868</v>
      </c>
      <c r="E323" s="149" t="s">
        <v>511</v>
      </c>
      <c r="F323" s="542">
        <v>66101818</v>
      </c>
      <c r="G323" s="542">
        <v>0</v>
      </c>
      <c r="H323" s="542">
        <v>374876</v>
      </c>
      <c r="I323" s="542">
        <v>339424</v>
      </c>
      <c r="J323" s="542">
        <v>0</v>
      </c>
      <c r="K323" s="542">
        <v>339424</v>
      </c>
      <c r="L323" s="542">
        <v>0</v>
      </c>
      <c r="M323" s="542">
        <v>0</v>
      </c>
      <c r="N323" s="542">
        <v>0</v>
      </c>
      <c r="O323" s="542">
        <v>0</v>
      </c>
      <c r="P323" s="542">
        <v>0</v>
      </c>
      <c r="Q323" s="542">
        <v>65387518</v>
      </c>
      <c r="R323" s="102" t="s">
        <v>511</v>
      </c>
      <c r="S323" s="103" t="s">
        <v>763</v>
      </c>
      <c r="T323" s="104" t="s">
        <v>814</v>
      </c>
      <c r="U323" s="141"/>
      <c r="V323" s="142"/>
    </row>
    <row r="324" spans="1:31" ht="12.75" x14ac:dyDescent="0.2">
      <c r="A324" s="93">
        <v>318</v>
      </c>
      <c r="B324" s="145" t="s">
        <v>514</v>
      </c>
      <c r="C324" s="141" t="s">
        <v>866</v>
      </c>
      <c r="D324" s="142" t="s">
        <v>867</v>
      </c>
      <c r="E324" s="149" t="s">
        <v>513</v>
      </c>
      <c r="F324" s="542">
        <v>42480286</v>
      </c>
      <c r="G324" s="542">
        <v>0</v>
      </c>
      <c r="H324" s="542">
        <v>263187</v>
      </c>
      <c r="I324" s="542">
        <v>136562</v>
      </c>
      <c r="J324" s="542">
        <v>0</v>
      </c>
      <c r="K324" s="542">
        <v>136562</v>
      </c>
      <c r="L324" s="542">
        <v>0</v>
      </c>
      <c r="M324" s="542">
        <v>0</v>
      </c>
      <c r="N324" s="542">
        <v>0</v>
      </c>
      <c r="O324" s="542">
        <v>0</v>
      </c>
      <c r="P324" s="542">
        <v>0</v>
      </c>
      <c r="Q324" s="542">
        <v>42080537</v>
      </c>
      <c r="R324" s="102" t="s">
        <v>513</v>
      </c>
      <c r="S324" s="103" t="s">
        <v>807</v>
      </c>
      <c r="T324" s="104" t="s">
        <v>751</v>
      </c>
      <c r="U324" s="141"/>
      <c r="V324" s="142"/>
    </row>
    <row r="325" spans="1:31" ht="12.75" x14ac:dyDescent="0.2">
      <c r="A325" s="93">
        <v>319</v>
      </c>
      <c r="B325" s="145" t="s">
        <v>516</v>
      </c>
      <c r="C325" s="141" t="s">
        <v>770</v>
      </c>
      <c r="D325" s="142" t="s">
        <v>867</v>
      </c>
      <c r="E325" s="149" t="s">
        <v>738</v>
      </c>
      <c r="F325" s="542">
        <v>56575533</v>
      </c>
      <c r="G325" s="542">
        <v>0</v>
      </c>
      <c r="H325" s="542">
        <v>249440</v>
      </c>
      <c r="I325" s="542">
        <v>180513</v>
      </c>
      <c r="J325" s="542">
        <v>0</v>
      </c>
      <c r="K325" s="542">
        <v>180513</v>
      </c>
      <c r="L325" s="542">
        <v>0</v>
      </c>
      <c r="M325" s="542">
        <v>0</v>
      </c>
      <c r="N325" s="542">
        <v>0</v>
      </c>
      <c r="O325" s="542">
        <v>0</v>
      </c>
      <c r="P325" s="542">
        <v>0</v>
      </c>
      <c r="Q325" s="542">
        <v>56145580</v>
      </c>
      <c r="R325" s="102" t="s">
        <v>738</v>
      </c>
      <c r="S325" s="103" t="s">
        <v>770</v>
      </c>
      <c r="T325" s="104" t="s">
        <v>780</v>
      </c>
      <c r="U325" s="141"/>
      <c r="V325" s="142"/>
    </row>
    <row r="326" spans="1:31" ht="12.75" x14ac:dyDescent="0.2">
      <c r="A326" s="93">
        <v>320</v>
      </c>
      <c r="B326" s="145" t="s">
        <v>518</v>
      </c>
      <c r="C326" s="141" t="s">
        <v>873</v>
      </c>
      <c r="D326" s="142" t="s">
        <v>876</v>
      </c>
      <c r="E326" s="149" t="s">
        <v>517</v>
      </c>
      <c r="F326" s="542">
        <v>66476356</v>
      </c>
      <c r="G326" s="542">
        <v>0</v>
      </c>
      <c r="H326" s="542">
        <v>75683</v>
      </c>
      <c r="I326" s="542">
        <v>346243</v>
      </c>
      <c r="J326" s="542">
        <v>0</v>
      </c>
      <c r="K326" s="542">
        <v>346243</v>
      </c>
      <c r="L326" s="542">
        <v>0</v>
      </c>
      <c r="M326" s="542">
        <v>473</v>
      </c>
      <c r="N326" s="542">
        <v>0</v>
      </c>
      <c r="O326" s="542">
        <v>0</v>
      </c>
      <c r="P326" s="542">
        <v>0</v>
      </c>
      <c r="Q326" s="542">
        <v>66053957</v>
      </c>
      <c r="R326" s="102" t="s">
        <v>517</v>
      </c>
      <c r="S326" s="103" t="s">
        <v>763</v>
      </c>
      <c r="T326" s="104" t="s">
        <v>773</v>
      </c>
      <c r="U326" s="141"/>
      <c r="V326" s="142"/>
    </row>
    <row r="327" spans="1:31" ht="12.75" x14ac:dyDescent="0.2">
      <c r="A327" s="93">
        <v>321</v>
      </c>
      <c r="B327" s="145" t="s">
        <v>520</v>
      </c>
      <c r="C327" s="141" t="s">
        <v>866</v>
      </c>
      <c r="D327" s="142" t="s">
        <v>876</v>
      </c>
      <c r="E327" s="149" t="s">
        <v>519</v>
      </c>
      <c r="F327" s="542">
        <v>35864479</v>
      </c>
      <c r="G327" s="542">
        <v>0</v>
      </c>
      <c r="H327" s="542">
        <v>188832</v>
      </c>
      <c r="I327" s="542">
        <v>139191</v>
      </c>
      <c r="J327" s="542">
        <v>0</v>
      </c>
      <c r="K327" s="542">
        <v>139191</v>
      </c>
      <c r="L327" s="542">
        <v>0</v>
      </c>
      <c r="M327" s="542">
        <v>0</v>
      </c>
      <c r="N327" s="542">
        <v>0</v>
      </c>
      <c r="O327" s="542">
        <v>0</v>
      </c>
      <c r="P327" s="542">
        <v>0</v>
      </c>
      <c r="Q327" s="542">
        <v>35536456</v>
      </c>
      <c r="R327" s="102" t="s">
        <v>519</v>
      </c>
      <c r="S327" s="103" t="s">
        <v>786</v>
      </c>
      <c r="T327" s="104" t="s">
        <v>787</v>
      </c>
      <c r="U327" s="141"/>
      <c r="V327" s="142"/>
    </row>
    <row r="328" spans="1:31" ht="12.75" x14ac:dyDescent="0.2">
      <c r="A328" s="93">
        <v>322</v>
      </c>
      <c r="B328" s="145" t="s">
        <v>522</v>
      </c>
      <c r="C328" s="141" t="s">
        <v>866</v>
      </c>
      <c r="D328" s="142" t="s">
        <v>867</v>
      </c>
      <c r="E328" s="149" t="s">
        <v>521</v>
      </c>
      <c r="F328" s="542">
        <v>29488837</v>
      </c>
      <c r="G328" s="542">
        <v>0</v>
      </c>
      <c r="H328" s="542">
        <v>72804</v>
      </c>
      <c r="I328" s="542">
        <v>132502</v>
      </c>
      <c r="J328" s="542">
        <v>0</v>
      </c>
      <c r="K328" s="542">
        <v>132502</v>
      </c>
      <c r="L328" s="542">
        <v>0</v>
      </c>
      <c r="M328" s="542">
        <v>0</v>
      </c>
      <c r="N328" s="542">
        <v>0</v>
      </c>
      <c r="O328" s="542">
        <v>0</v>
      </c>
      <c r="P328" s="542">
        <v>0</v>
      </c>
      <c r="Q328" s="542">
        <v>29283531</v>
      </c>
      <c r="R328" s="102" t="s">
        <v>521</v>
      </c>
      <c r="S328" s="103" t="s">
        <v>749</v>
      </c>
      <c r="T328" s="104" t="s">
        <v>751</v>
      </c>
      <c r="U328" s="141"/>
      <c r="V328" s="142"/>
    </row>
    <row r="329" spans="1:31" ht="12.75" x14ac:dyDescent="0.2">
      <c r="A329" s="93">
        <v>323</v>
      </c>
      <c r="B329" s="145" t="s">
        <v>524</v>
      </c>
      <c r="C329" s="141" t="s">
        <v>866</v>
      </c>
      <c r="D329" s="142" t="s">
        <v>876</v>
      </c>
      <c r="E329" s="149" t="s">
        <v>523</v>
      </c>
      <c r="F329" s="542">
        <v>34894269</v>
      </c>
      <c r="G329" s="542">
        <v>9160</v>
      </c>
      <c r="H329" s="542">
        <v>0</v>
      </c>
      <c r="I329" s="542">
        <v>188752</v>
      </c>
      <c r="J329" s="542">
        <v>0</v>
      </c>
      <c r="K329" s="542">
        <v>188752</v>
      </c>
      <c r="L329" s="542">
        <v>0</v>
      </c>
      <c r="M329" s="542">
        <v>0</v>
      </c>
      <c r="N329" s="542">
        <v>23313</v>
      </c>
      <c r="O329" s="542">
        <v>23313</v>
      </c>
      <c r="P329" s="542">
        <v>0</v>
      </c>
      <c r="Q329" s="542">
        <v>34691364</v>
      </c>
      <c r="R329" s="102" t="s">
        <v>523</v>
      </c>
      <c r="S329" s="103" t="s">
        <v>786</v>
      </c>
      <c r="T329" s="104" t="s">
        <v>787</v>
      </c>
      <c r="U329" s="141"/>
      <c r="V329" s="142"/>
    </row>
    <row r="330" spans="1:31" ht="12.75" x14ac:dyDescent="0.2">
      <c r="A330" s="93">
        <v>324</v>
      </c>
      <c r="B330" s="145" t="s">
        <v>526</v>
      </c>
      <c r="C330" s="141" t="s">
        <v>866</v>
      </c>
      <c r="D330" s="142" t="s">
        <v>867</v>
      </c>
      <c r="E330" s="149" t="s">
        <v>525</v>
      </c>
      <c r="F330" s="542">
        <v>68438459</v>
      </c>
      <c r="G330" s="542">
        <v>30699</v>
      </c>
      <c r="H330" s="542">
        <v>0</v>
      </c>
      <c r="I330" s="542">
        <v>247286</v>
      </c>
      <c r="J330" s="542">
        <v>0</v>
      </c>
      <c r="K330" s="542">
        <v>247286</v>
      </c>
      <c r="L330" s="542">
        <v>0</v>
      </c>
      <c r="M330" s="542">
        <v>0</v>
      </c>
      <c r="N330" s="542">
        <v>0</v>
      </c>
      <c r="O330" s="542">
        <v>0</v>
      </c>
      <c r="P330" s="542">
        <v>0</v>
      </c>
      <c r="Q330" s="542">
        <v>68221872</v>
      </c>
      <c r="R330" s="102" t="s">
        <v>525</v>
      </c>
      <c r="S330" s="103" t="s">
        <v>759</v>
      </c>
      <c r="T330" s="104" t="s">
        <v>760</v>
      </c>
      <c r="U330" s="141"/>
      <c r="V330" s="142"/>
    </row>
    <row r="331" spans="1:31" ht="12.75" x14ac:dyDescent="0.2">
      <c r="A331" s="93">
        <v>325</v>
      </c>
      <c r="B331" s="145" t="s">
        <v>528</v>
      </c>
      <c r="C331" s="141" t="s">
        <v>866</v>
      </c>
      <c r="D331" s="142" t="s">
        <v>868</v>
      </c>
      <c r="E331" s="149" t="s">
        <v>527</v>
      </c>
      <c r="F331" s="542">
        <v>26007088</v>
      </c>
      <c r="G331" s="542">
        <v>50466</v>
      </c>
      <c r="H331" s="542">
        <v>0</v>
      </c>
      <c r="I331" s="542">
        <v>154288</v>
      </c>
      <c r="J331" s="542">
        <v>0</v>
      </c>
      <c r="K331" s="542">
        <v>154288</v>
      </c>
      <c r="L331" s="542">
        <v>0</v>
      </c>
      <c r="M331" s="542">
        <v>0</v>
      </c>
      <c r="N331" s="542">
        <v>0</v>
      </c>
      <c r="O331" s="542">
        <v>0</v>
      </c>
      <c r="P331" s="542">
        <v>0</v>
      </c>
      <c r="Q331" s="542">
        <v>25903266</v>
      </c>
      <c r="R331" s="102" t="s">
        <v>527</v>
      </c>
      <c r="S331" s="103" t="s">
        <v>789</v>
      </c>
      <c r="T331" s="104" t="s">
        <v>776</v>
      </c>
      <c r="U331" s="141"/>
      <c r="V331" s="142"/>
    </row>
    <row r="332" spans="1:31" ht="12.75" x14ac:dyDescent="0.2">
      <c r="A332" s="93">
        <v>326</v>
      </c>
      <c r="B332" s="145" t="s">
        <v>530</v>
      </c>
      <c r="C332" s="141" t="s">
        <v>866</v>
      </c>
      <c r="D332" s="142" t="s">
        <v>876</v>
      </c>
      <c r="E332" s="149" t="s">
        <v>529</v>
      </c>
      <c r="F332" s="542">
        <v>26552705</v>
      </c>
      <c r="G332" s="542">
        <v>0</v>
      </c>
      <c r="H332" s="542">
        <v>156796</v>
      </c>
      <c r="I332" s="542">
        <v>137170</v>
      </c>
      <c r="J332" s="542">
        <v>0</v>
      </c>
      <c r="K332" s="542">
        <v>137170</v>
      </c>
      <c r="L332" s="542">
        <v>0</v>
      </c>
      <c r="M332" s="542">
        <v>0</v>
      </c>
      <c r="N332" s="542">
        <v>0</v>
      </c>
      <c r="O332" s="542">
        <v>0</v>
      </c>
      <c r="P332" s="542">
        <v>0</v>
      </c>
      <c r="Q332" s="542">
        <v>26258739</v>
      </c>
      <c r="R332" s="102" t="s">
        <v>529</v>
      </c>
      <c r="S332" s="103" t="s">
        <v>786</v>
      </c>
      <c r="T332" s="104" t="s">
        <v>787</v>
      </c>
      <c r="U332" s="141"/>
      <c r="V332" s="142"/>
    </row>
    <row r="333" spans="1:31" ht="13.5" thickBot="1" x14ac:dyDescent="0.25">
      <c r="A333" s="93">
        <v>327</v>
      </c>
      <c r="B333" s="145" t="s">
        <v>532</v>
      </c>
      <c r="C333" s="141" t="s">
        <v>770</v>
      </c>
      <c r="D333" s="142" t="s">
        <v>874</v>
      </c>
      <c r="E333" s="149" t="s">
        <v>739</v>
      </c>
      <c r="F333" s="542">
        <v>99027202</v>
      </c>
      <c r="G333" s="542">
        <v>0</v>
      </c>
      <c r="H333" s="542">
        <v>206335</v>
      </c>
      <c r="I333" s="542">
        <v>294970</v>
      </c>
      <c r="J333" s="542">
        <v>0</v>
      </c>
      <c r="K333" s="542">
        <v>294970</v>
      </c>
      <c r="L333" s="542">
        <v>0</v>
      </c>
      <c r="M333" s="542">
        <v>0</v>
      </c>
      <c r="N333" s="542">
        <v>0</v>
      </c>
      <c r="O333" s="542">
        <v>0</v>
      </c>
      <c r="P333" s="542">
        <v>0</v>
      </c>
      <c r="Q333" s="542">
        <v>98525897</v>
      </c>
      <c r="R333" s="102" t="s">
        <v>739</v>
      </c>
      <c r="S333" s="103" t="s">
        <v>770</v>
      </c>
      <c r="T333" s="104" t="s">
        <v>801</v>
      </c>
      <c r="U333" s="141"/>
      <c r="V333" s="142"/>
    </row>
    <row r="334" spans="1:31" ht="15.75" thickBot="1" x14ac:dyDescent="0.25">
      <c r="A334" s="93">
        <v>1</v>
      </c>
      <c r="B334" s="72">
        <v>327</v>
      </c>
      <c r="D334" s="94" t="s">
        <v>870</v>
      </c>
      <c r="E334" s="94" t="s">
        <v>686</v>
      </c>
      <c r="F334" s="109">
        <f>SUM(F8:F333)</f>
        <v>21861969383.899998</v>
      </c>
      <c r="G334" s="109">
        <f>SUM(G8:G333)</f>
        <v>62292835</v>
      </c>
      <c r="H334" s="109">
        <f t="shared" ref="H334:Q334" si="0">SUM(H8:H333)</f>
        <v>181441751</v>
      </c>
      <c r="I334" s="109">
        <f t="shared" si="0"/>
        <v>83999996</v>
      </c>
      <c r="J334" s="109">
        <f t="shared" si="0"/>
        <v>48214</v>
      </c>
      <c r="K334" s="109">
        <f t="shared" si="0"/>
        <v>84048210</v>
      </c>
      <c r="L334" s="109">
        <f t="shared" si="0"/>
        <v>10743000</v>
      </c>
      <c r="M334" s="109">
        <f t="shared" si="0"/>
        <v>15279209</v>
      </c>
      <c r="N334" s="109">
        <f t="shared" si="0"/>
        <v>22458395</v>
      </c>
      <c r="O334" s="109">
        <f t="shared" si="0"/>
        <v>21779806</v>
      </c>
      <c r="P334" s="109">
        <f t="shared" si="0"/>
        <v>678589</v>
      </c>
      <c r="Q334" s="109">
        <f t="shared" si="0"/>
        <v>21610291653.899998</v>
      </c>
      <c r="R334" s="103" t="s">
        <v>823</v>
      </c>
      <c r="S334" s="103" t="s">
        <v>548</v>
      </c>
      <c r="T334" s="103" t="s">
        <v>822</v>
      </c>
      <c r="U334" s="145"/>
      <c r="V334" s="146"/>
    </row>
    <row r="335" spans="1:31" x14ac:dyDescent="0.2">
      <c r="D335" s="146"/>
      <c r="E335" s="147"/>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row>
    <row r="336" spans="1:31" x14ac:dyDescent="0.2">
      <c r="D336" s="146"/>
      <c r="E336" s="147"/>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row>
    <row r="337" spans="4:31" x14ac:dyDescent="0.2">
      <c r="D337" s="146"/>
      <c r="E337" s="147"/>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row>
    <row r="338" spans="4:31" x14ac:dyDescent="0.2">
      <c r="D338" s="146"/>
      <c r="E338" s="147"/>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row>
    <row r="339" spans="4:31" x14ac:dyDescent="0.2">
      <c r="D339" s="146"/>
      <c r="E339" s="147"/>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row>
    <row r="340" spans="4:31" x14ac:dyDescent="0.2">
      <c r="G340" s="80"/>
      <c r="H340" s="80"/>
      <c r="I340" s="80"/>
      <c r="J340" s="80"/>
      <c r="K340" s="80"/>
      <c r="L340" s="80"/>
      <c r="M340" s="80"/>
      <c r="N340" s="80"/>
      <c r="O340" s="80"/>
      <c r="P340" s="80"/>
      <c r="Q340" s="80"/>
    </row>
    <row r="341" spans="4:31" x14ac:dyDescent="0.2">
      <c r="F341" s="164"/>
      <c r="G341" s="164"/>
      <c r="H341" s="164"/>
      <c r="I341" s="164"/>
      <c r="J341" s="164"/>
      <c r="K341" s="164"/>
      <c r="L341" s="164"/>
      <c r="M341" s="164"/>
      <c r="N341" s="164"/>
      <c r="O341" s="164"/>
      <c r="P341" s="164"/>
      <c r="Q341" s="164"/>
    </row>
    <row r="342" spans="4:31" x14ac:dyDescent="0.2">
      <c r="F342" s="163"/>
      <c r="G342" s="163"/>
      <c r="H342" s="163"/>
      <c r="I342" s="163"/>
      <c r="J342" s="163"/>
      <c r="K342" s="163"/>
      <c r="L342" s="163"/>
      <c r="M342" s="163"/>
      <c r="N342" s="163"/>
      <c r="O342" s="163"/>
      <c r="P342" s="163"/>
      <c r="Q342" s="163"/>
    </row>
  </sheetData>
  <phoneticPr fontId="3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341"/>
  <sheetViews>
    <sheetView zoomScaleNormal="100" workbookViewId="0">
      <pane xSplit="3" ySplit="6" topLeftCell="BF7" activePane="bottomRight" state="frozen"/>
      <selection pane="topRight" activeCell="D1" sqref="D1"/>
      <selection pane="bottomLeft" activeCell="A7" sqref="A7"/>
      <selection pane="bottomRight" sqref="A1:A1048576"/>
    </sheetView>
  </sheetViews>
  <sheetFormatPr defaultRowHeight="15" x14ac:dyDescent="0.2"/>
  <cols>
    <col min="1" max="1" width="4" style="93" bestFit="1" customWidth="1"/>
    <col min="2" max="2" width="7.42578125" style="17" bestFit="1" customWidth="1"/>
    <col min="3" max="3" width="5.5703125" style="17" customWidth="1"/>
    <col min="4" max="4" width="8.140625" style="17" hidden="1" customWidth="1"/>
    <col min="5" max="5" width="27" style="17" bestFit="1" customWidth="1"/>
    <col min="6" max="6" width="13.85546875" style="80" bestFit="1" customWidth="1"/>
    <col min="7" max="7" width="12.7109375" style="17" customWidth="1"/>
    <col min="8" max="8" width="13.85546875" style="17" bestFit="1" customWidth="1"/>
    <col min="9" max="26" width="12.7109375" customWidth="1"/>
    <col min="27" max="27" width="13.42578125" bestFit="1" customWidth="1"/>
    <col min="28" max="28" width="9.7109375" bestFit="1" customWidth="1"/>
    <col min="29" max="29" width="13.42578125" bestFit="1" customWidth="1"/>
    <col min="30" max="30" width="13.85546875" bestFit="1" customWidth="1"/>
    <col min="31" max="31" width="11.140625" bestFit="1" customWidth="1"/>
    <col min="32" max="32" width="13.85546875" bestFit="1" customWidth="1"/>
    <col min="33" max="42" width="12.7109375" customWidth="1"/>
    <col min="43" max="49" width="12.7109375" style="110" customWidth="1"/>
    <col min="50" max="58" width="11.7109375" style="110" customWidth="1"/>
    <col min="59" max="59" width="12.7109375" style="110" bestFit="1" customWidth="1"/>
    <col min="60" max="61" width="11.7109375" style="110" customWidth="1"/>
    <col min="62" max="62" width="12.7109375" style="110" bestFit="1" customWidth="1"/>
    <col min="63" max="70" width="11.7109375" style="110" customWidth="1"/>
    <col min="71" max="71" width="12.7109375" style="110" bestFit="1" customWidth="1"/>
    <col min="72" max="76" width="11.7109375" style="110" customWidth="1"/>
    <col min="77" max="77" width="12.7109375" style="110" bestFit="1" customWidth="1"/>
    <col min="78" max="79" width="11.7109375" style="110" customWidth="1"/>
    <col min="80" max="80" width="12.7109375" style="110" bestFit="1" customWidth="1"/>
    <col min="81" max="146" width="11.7109375" style="110" customWidth="1"/>
    <col min="147" max="152" width="11.42578125" style="110" customWidth="1"/>
    <col min="153" max="153" width="11.140625" style="110" bestFit="1" customWidth="1"/>
    <col min="154" max="155" width="8.140625" style="110" bestFit="1" customWidth="1"/>
    <col min="156" max="156" width="11.140625" style="110" bestFit="1" customWidth="1"/>
    <col min="157" max="158" width="14" style="110" bestFit="1" customWidth="1"/>
    <col min="159" max="159" width="11.28515625" style="110" bestFit="1" customWidth="1"/>
    <col min="160" max="160" width="14" style="110" bestFit="1" customWidth="1"/>
    <col min="161" max="162" width="9.28515625" style="110" bestFit="1" customWidth="1"/>
    <col min="163" max="167" width="8.85546875" style="110"/>
  </cols>
  <sheetData>
    <row r="1" spans="1:167" ht="16.5" hidden="1" thickBot="1" x14ac:dyDescent="0.25">
      <c r="A1" s="408"/>
      <c r="B1" s="155"/>
      <c r="C1" s="19"/>
      <c r="D1" s="160"/>
      <c r="E1" s="92"/>
      <c r="F1" s="386"/>
      <c r="G1" s="387"/>
      <c r="H1" s="387"/>
      <c r="I1" s="388"/>
      <c r="J1" s="388"/>
      <c r="K1" s="388"/>
      <c r="L1" s="388"/>
      <c r="M1" s="388"/>
      <c r="N1" s="388"/>
      <c r="O1" s="388"/>
      <c r="P1" s="388"/>
      <c r="Q1" s="388"/>
      <c r="R1" s="388"/>
      <c r="S1" s="388"/>
      <c r="T1" s="388"/>
      <c r="U1" s="388"/>
      <c r="V1" s="389"/>
      <c r="W1" s="388"/>
      <c r="X1" s="388"/>
      <c r="Y1" s="388"/>
      <c r="Z1" s="388"/>
      <c r="AA1" s="388"/>
      <c r="AB1" s="388"/>
      <c r="AC1" s="388"/>
      <c r="AD1" s="388"/>
      <c r="AE1" s="388"/>
      <c r="AF1" s="388"/>
      <c r="AG1" s="388"/>
      <c r="AH1" s="388"/>
      <c r="AI1" s="388"/>
      <c r="AJ1" s="388"/>
      <c r="AK1" s="388"/>
      <c r="AL1" s="388"/>
      <c r="AM1" s="388"/>
      <c r="AN1" s="388"/>
      <c r="AO1" s="388"/>
      <c r="AP1" s="388"/>
      <c r="AQ1" s="390"/>
      <c r="AR1" s="390"/>
      <c r="AS1" s="390"/>
      <c r="AT1" s="390"/>
      <c r="AU1" s="390"/>
      <c r="AV1" s="390"/>
      <c r="AW1" s="390"/>
      <c r="AX1" s="129"/>
    </row>
    <row r="2" spans="1:167" s="99" customFormat="1" ht="38.25" customHeight="1" thickTop="1" thickBot="1" x14ac:dyDescent="0.25">
      <c r="A2" s="615"/>
      <c r="B2" s="596"/>
      <c r="C2" s="597"/>
      <c r="D2" s="598"/>
      <c r="E2" s="599"/>
      <c r="F2" s="732" t="s">
        <v>685</v>
      </c>
      <c r="G2" s="733"/>
      <c r="H2" s="734"/>
      <c r="I2" s="735" t="s">
        <v>1055</v>
      </c>
      <c r="J2" s="733"/>
      <c r="K2" s="734"/>
      <c r="L2" s="735" t="s">
        <v>1056</v>
      </c>
      <c r="M2" s="733"/>
      <c r="N2" s="734"/>
      <c r="O2" s="735" t="s">
        <v>1057</v>
      </c>
      <c r="P2" s="733"/>
      <c r="Q2" s="734"/>
      <c r="R2" s="735" t="s">
        <v>1058</v>
      </c>
      <c r="S2" s="733"/>
      <c r="T2" s="734"/>
      <c r="U2" s="735" t="s">
        <v>1059</v>
      </c>
      <c r="V2" s="733"/>
      <c r="W2" s="734"/>
      <c r="X2" s="735" t="s">
        <v>1060</v>
      </c>
      <c r="Y2" s="733"/>
      <c r="Z2" s="734"/>
      <c r="AA2" s="735" t="s">
        <v>1061</v>
      </c>
      <c r="AB2" s="733"/>
      <c r="AC2" s="734"/>
      <c r="AD2" s="735" t="s">
        <v>1062</v>
      </c>
      <c r="AE2" s="733"/>
      <c r="AF2" s="734"/>
      <c r="AG2" s="735" t="s">
        <v>1063</v>
      </c>
      <c r="AH2" s="733"/>
      <c r="AI2" s="734"/>
      <c r="AJ2" s="735" t="s">
        <v>1064</v>
      </c>
      <c r="AK2" s="733"/>
      <c r="AL2" s="733"/>
      <c r="AM2" s="734"/>
      <c r="AN2" s="735" t="s">
        <v>1065</v>
      </c>
      <c r="AO2" s="733"/>
      <c r="AP2" s="734"/>
      <c r="AQ2" s="735" t="s">
        <v>846</v>
      </c>
      <c r="AR2" s="734"/>
      <c r="AS2" s="735" t="s">
        <v>687</v>
      </c>
      <c r="AT2" s="733"/>
      <c r="AU2" s="734"/>
      <c r="AV2" s="730" t="s">
        <v>1066</v>
      </c>
      <c r="AW2" s="731"/>
      <c r="AX2" s="130"/>
      <c r="AY2" s="729"/>
      <c r="AZ2" s="729"/>
      <c r="BA2" s="729"/>
      <c r="BB2" s="729"/>
      <c r="BC2" s="729"/>
      <c r="BD2" s="729"/>
      <c r="BE2" s="729"/>
      <c r="BF2" s="729"/>
      <c r="BG2" s="728"/>
      <c r="BH2" s="729"/>
      <c r="BI2" s="729"/>
      <c r="BJ2" s="729"/>
      <c r="BK2" s="728"/>
      <c r="BL2" s="729"/>
      <c r="BM2" s="729"/>
      <c r="BN2" s="729"/>
      <c r="BO2" s="728"/>
      <c r="BP2" s="729"/>
      <c r="BQ2" s="729"/>
      <c r="BR2" s="729"/>
      <c r="BS2" s="729"/>
      <c r="BT2" s="729"/>
      <c r="BU2" s="729"/>
      <c r="BV2" s="729"/>
      <c r="BW2" s="729"/>
      <c r="BX2" s="729"/>
      <c r="BY2" s="729"/>
      <c r="BZ2" s="729"/>
      <c r="CA2" s="729"/>
      <c r="CB2" s="729"/>
      <c r="CC2" s="728"/>
      <c r="CD2" s="729"/>
      <c r="CE2" s="729"/>
      <c r="CF2" s="729"/>
      <c r="CG2" s="728"/>
      <c r="CH2" s="729"/>
      <c r="CI2" s="729"/>
      <c r="CJ2" s="729"/>
      <c r="CK2" s="728"/>
      <c r="CL2" s="728"/>
      <c r="CM2" s="728"/>
      <c r="CN2" s="729"/>
      <c r="CO2" s="729"/>
      <c r="CP2" s="729"/>
      <c r="CQ2" s="729"/>
      <c r="CR2" s="729"/>
      <c r="CS2" s="729"/>
      <c r="CT2" s="729"/>
      <c r="CU2" s="728"/>
      <c r="CV2" s="729"/>
      <c r="CW2" s="729"/>
      <c r="CX2" s="729"/>
      <c r="CY2" s="728"/>
      <c r="CZ2" s="729"/>
      <c r="DA2" s="729"/>
      <c r="DB2" s="729"/>
      <c r="DC2" s="728"/>
      <c r="DD2" s="729"/>
      <c r="DE2" s="729"/>
      <c r="DF2" s="729"/>
      <c r="DG2" s="728"/>
      <c r="DH2" s="729"/>
      <c r="DI2" s="729"/>
      <c r="DJ2" s="729"/>
      <c r="DK2" s="728"/>
      <c r="DL2" s="729"/>
      <c r="DM2" s="729"/>
      <c r="DN2" s="729"/>
      <c r="DO2" s="728"/>
      <c r="DP2" s="729"/>
      <c r="DQ2" s="729"/>
      <c r="DR2" s="729"/>
      <c r="DS2" s="729"/>
      <c r="DT2" s="729"/>
      <c r="DU2" s="729"/>
      <c r="DV2" s="729"/>
      <c r="DW2" s="729"/>
      <c r="DX2" s="729"/>
      <c r="DY2" s="729"/>
      <c r="DZ2" s="729"/>
      <c r="EA2" s="729"/>
      <c r="EB2" s="729"/>
      <c r="EC2" s="132"/>
      <c r="ED2" s="132"/>
      <c r="EE2" s="729"/>
      <c r="EF2" s="729"/>
      <c r="EG2" s="729"/>
      <c r="EH2" s="729"/>
      <c r="EI2" s="729"/>
      <c r="EJ2" s="729"/>
      <c r="EK2" s="729"/>
      <c r="EL2" s="729"/>
      <c r="EM2" s="729"/>
      <c r="EN2" s="729"/>
      <c r="EO2" s="729"/>
      <c r="EP2" s="729"/>
      <c r="EQ2" s="729"/>
      <c r="ER2" s="729"/>
      <c r="ES2" s="729"/>
      <c r="ET2" s="729"/>
      <c r="EU2" s="729"/>
      <c r="EV2" s="729"/>
      <c r="EW2" s="729"/>
      <c r="EX2" s="729"/>
      <c r="EY2" s="729"/>
      <c r="EZ2" s="729"/>
      <c r="FA2" s="729"/>
      <c r="FB2" s="729"/>
      <c r="FC2" s="729"/>
      <c r="FD2" s="729"/>
      <c r="FE2" s="133"/>
      <c r="FF2" s="129"/>
      <c r="FG2" s="129"/>
      <c r="FH2" s="129"/>
      <c r="FI2" s="129"/>
      <c r="FJ2" s="129"/>
      <c r="FK2" s="129"/>
    </row>
    <row r="3" spans="1:167" s="93" customFormat="1" ht="12.75" x14ac:dyDescent="0.2">
      <c r="A3" s="411">
        <v>1</v>
      </c>
      <c r="B3" s="411">
        <v>2</v>
      </c>
      <c r="C3" s="411">
        <v>3</v>
      </c>
      <c r="D3" s="411">
        <v>4</v>
      </c>
      <c r="E3" s="411">
        <v>5</v>
      </c>
      <c r="F3" s="408">
        <v>6</v>
      </c>
      <c r="G3" s="408">
        <v>7</v>
      </c>
      <c r="H3" s="408">
        <v>8</v>
      </c>
      <c r="I3" s="408">
        <v>9</v>
      </c>
      <c r="J3" s="408">
        <v>10</v>
      </c>
      <c r="K3" s="408">
        <v>11</v>
      </c>
      <c r="L3" s="408">
        <v>12</v>
      </c>
      <c r="M3" s="408">
        <v>13</v>
      </c>
      <c r="N3" s="408">
        <v>14</v>
      </c>
      <c r="O3" s="408">
        <v>15</v>
      </c>
      <c r="P3" s="408">
        <v>16</v>
      </c>
      <c r="Q3" s="408">
        <v>17</v>
      </c>
      <c r="R3" s="408">
        <v>18</v>
      </c>
      <c r="S3" s="408">
        <v>19</v>
      </c>
      <c r="T3" s="408">
        <v>20</v>
      </c>
      <c r="U3" s="408">
        <v>21</v>
      </c>
      <c r="V3" s="408">
        <v>22</v>
      </c>
      <c r="W3" s="408">
        <v>23</v>
      </c>
      <c r="X3" s="408">
        <v>24</v>
      </c>
      <c r="Y3" s="408">
        <v>25</v>
      </c>
      <c r="Z3" s="408">
        <v>26</v>
      </c>
      <c r="AA3" s="408">
        <v>27</v>
      </c>
      <c r="AB3" s="408">
        <v>28</v>
      </c>
      <c r="AC3" s="408">
        <v>29</v>
      </c>
      <c r="AD3" s="408">
        <v>30</v>
      </c>
      <c r="AE3" s="408">
        <v>31</v>
      </c>
      <c r="AF3" s="408">
        <v>32</v>
      </c>
      <c r="AG3" s="408">
        <v>33</v>
      </c>
      <c r="AH3" s="408">
        <v>34</v>
      </c>
      <c r="AI3" s="408">
        <v>35</v>
      </c>
      <c r="AJ3" s="408">
        <v>36</v>
      </c>
      <c r="AK3" s="408">
        <v>37</v>
      </c>
      <c r="AL3" s="408">
        <v>38</v>
      </c>
      <c r="AM3" s="408">
        <v>39</v>
      </c>
      <c r="AN3" s="408">
        <v>40</v>
      </c>
      <c r="AO3" s="408">
        <v>41</v>
      </c>
      <c r="AP3" s="408">
        <v>42</v>
      </c>
      <c r="AQ3" s="408">
        <v>43</v>
      </c>
      <c r="AR3" s="408">
        <v>44</v>
      </c>
      <c r="AS3" s="408">
        <v>45</v>
      </c>
      <c r="AT3" s="408">
        <v>46</v>
      </c>
      <c r="AU3" s="408">
        <v>47</v>
      </c>
      <c r="AV3" s="408">
        <v>48</v>
      </c>
      <c r="AW3" s="408">
        <v>49</v>
      </c>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c r="CC3" s="134"/>
      <c r="CD3" s="134"/>
      <c r="CE3" s="134"/>
      <c r="CF3" s="134"/>
      <c r="CG3" s="134"/>
      <c r="CH3" s="134"/>
      <c r="CI3" s="134"/>
      <c r="CJ3" s="134"/>
      <c r="CK3" s="134"/>
      <c r="CL3" s="134"/>
      <c r="CM3" s="134"/>
      <c r="CN3" s="134"/>
      <c r="CO3" s="134"/>
      <c r="CP3" s="134"/>
      <c r="CQ3" s="134"/>
      <c r="CR3" s="134"/>
      <c r="CS3" s="134"/>
      <c r="CT3" s="134"/>
      <c r="CU3" s="134"/>
      <c r="CV3" s="134"/>
      <c r="CW3" s="134"/>
      <c r="CX3" s="134"/>
      <c r="CY3" s="134"/>
      <c r="CZ3" s="134"/>
      <c r="DA3" s="134"/>
      <c r="DB3" s="134"/>
      <c r="DC3" s="134"/>
      <c r="DD3" s="134"/>
      <c r="DE3" s="134"/>
      <c r="DF3" s="134"/>
      <c r="DG3" s="134"/>
      <c r="DH3" s="134"/>
      <c r="DI3" s="134"/>
      <c r="DJ3" s="134"/>
      <c r="DK3" s="134"/>
      <c r="DL3" s="134"/>
      <c r="DM3" s="134"/>
      <c r="DN3" s="134"/>
      <c r="DO3" s="134"/>
      <c r="DP3" s="134"/>
      <c r="DQ3" s="134"/>
      <c r="DR3" s="134"/>
      <c r="DS3" s="134"/>
      <c r="DT3" s="134"/>
      <c r="DU3" s="134"/>
      <c r="DV3" s="134"/>
      <c r="DW3" s="134"/>
      <c r="DX3" s="134"/>
      <c r="DY3" s="134"/>
      <c r="DZ3" s="134"/>
      <c r="EA3" s="134"/>
      <c r="EB3" s="134"/>
      <c r="EC3" s="134"/>
      <c r="ED3" s="134"/>
      <c r="EE3" s="134"/>
      <c r="EF3" s="134"/>
      <c r="EG3" s="134"/>
      <c r="EH3" s="134"/>
      <c r="EI3" s="134"/>
      <c r="EJ3" s="134"/>
      <c r="EK3" s="134"/>
      <c r="EL3" s="134"/>
      <c r="EM3" s="134"/>
      <c r="EN3" s="134"/>
      <c r="EO3" s="134"/>
      <c r="EP3" s="134"/>
      <c r="EQ3" s="134"/>
      <c r="ER3" s="134"/>
      <c r="ES3" s="134"/>
      <c r="ET3" s="134"/>
      <c r="EU3" s="134"/>
      <c r="EV3" s="134"/>
      <c r="EW3" s="134"/>
      <c r="EX3" s="134"/>
      <c r="EY3" s="134"/>
      <c r="EZ3" s="134"/>
      <c r="FA3" s="134"/>
      <c r="FB3" s="134"/>
      <c r="FC3" s="134"/>
      <c r="FD3" s="134"/>
      <c r="FE3" s="130"/>
      <c r="FF3" s="130"/>
      <c r="FG3" s="130"/>
      <c r="FH3" s="130"/>
      <c r="FI3" s="130"/>
      <c r="FJ3" s="130"/>
      <c r="FK3" s="130"/>
    </row>
    <row r="4" spans="1:167" ht="13.5" thickBot="1" x14ac:dyDescent="0.25">
      <c r="A4" s="591"/>
      <c r="B4" s="159"/>
      <c r="C4" s="409"/>
      <c r="D4" s="407"/>
      <c r="E4" s="407"/>
      <c r="F4" s="83"/>
      <c r="G4" s="84"/>
      <c r="H4" s="84"/>
      <c r="I4" s="607"/>
      <c r="J4" s="607"/>
      <c r="K4" s="607"/>
      <c r="L4" s="607"/>
      <c r="M4" s="607"/>
      <c r="N4" s="607"/>
      <c r="O4" s="607"/>
      <c r="P4" s="607"/>
      <c r="Q4" s="607"/>
      <c r="R4" s="607"/>
      <c r="S4" s="607"/>
      <c r="T4" s="607"/>
      <c r="U4" s="607"/>
      <c r="V4" s="608"/>
      <c r="W4" s="608"/>
      <c r="X4" s="608"/>
      <c r="Y4" s="608"/>
      <c r="Z4" s="608"/>
      <c r="AA4" s="608"/>
      <c r="AB4" s="608"/>
      <c r="AC4" s="608"/>
      <c r="AD4" s="608"/>
      <c r="AE4" s="608"/>
      <c r="AF4" s="608"/>
      <c r="AG4" s="608"/>
      <c r="AH4" s="609"/>
      <c r="AI4" s="608"/>
      <c r="AJ4" s="608"/>
      <c r="AK4" s="608"/>
      <c r="AL4" s="608"/>
      <c r="AM4" s="608"/>
      <c r="AN4" s="608"/>
      <c r="AO4" s="608"/>
      <c r="AP4" s="608"/>
      <c r="AQ4" s="608"/>
      <c r="AR4" s="608"/>
      <c r="AS4" s="608"/>
      <c r="AT4" s="608"/>
      <c r="AU4" s="608"/>
      <c r="AV4" s="608"/>
      <c r="AW4" s="608"/>
      <c r="AX4" s="129"/>
    </row>
    <row r="5" spans="1:167" s="93" customFormat="1" ht="13.5" thickBot="1" x14ac:dyDescent="0.25">
      <c r="A5" s="411"/>
      <c r="B5" s="81" t="s">
        <v>561</v>
      </c>
      <c r="C5" s="81" t="s">
        <v>864</v>
      </c>
      <c r="D5" s="161" t="s">
        <v>865</v>
      </c>
      <c r="E5" s="81" t="s">
        <v>560</v>
      </c>
      <c r="F5" s="610">
        <v>1</v>
      </c>
      <c r="G5" s="610">
        <v>2</v>
      </c>
      <c r="H5" s="610">
        <v>3</v>
      </c>
      <c r="I5" s="610">
        <v>4</v>
      </c>
      <c r="J5" s="610">
        <v>5</v>
      </c>
      <c r="K5" s="610">
        <v>6</v>
      </c>
      <c r="L5" s="610">
        <v>7</v>
      </c>
      <c r="M5" s="610">
        <v>8</v>
      </c>
      <c r="N5" s="610">
        <v>9</v>
      </c>
      <c r="O5" s="610">
        <v>10</v>
      </c>
      <c r="P5" s="610">
        <v>11</v>
      </c>
      <c r="Q5" s="610">
        <v>12</v>
      </c>
      <c r="R5" s="610">
        <v>13</v>
      </c>
      <c r="S5" s="610">
        <v>14</v>
      </c>
      <c r="T5" s="610">
        <v>15</v>
      </c>
      <c r="U5" s="610">
        <v>16</v>
      </c>
      <c r="V5" s="610">
        <v>17</v>
      </c>
      <c r="W5" s="610">
        <v>18</v>
      </c>
      <c r="X5" s="610">
        <v>19</v>
      </c>
      <c r="Y5" s="610">
        <v>20</v>
      </c>
      <c r="Z5" s="610">
        <v>21</v>
      </c>
      <c r="AA5" s="610">
        <v>22</v>
      </c>
      <c r="AB5" s="610">
        <v>23</v>
      </c>
      <c r="AC5" s="610">
        <v>24</v>
      </c>
      <c r="AD5" s="610">
        <v>25</v>
      </c>
      <c r="AE5" s="610">
        <v>26</v>
      </c>
      <c r="AF5" s="610">
        <v>27</v>
      </c>
      <c r="AG5" s="610">
        <v>28</v>
      </c>
      <c r="AH5" s="610">
        <v>29</v>
      </c>
      <c r="AI5" s="610">
        <v>30</v>
      </c>
      <c r="AJ5" s="610">
        <v>31</v>
      </c>
      <c r="AK5" s="610">
        <v>32</v>
      </c>
      <c r="AL5" s="610">
        <v>33</v>
      </c>
      <c r="AM5" s="610">
        <v>34</v>
      </c>
      <c r="AN5" s="610">
        <v>35</v>
      </c>
      <c r="AO5" s="610">
        <v>36</v>
      </c>
      <c r="AP5" s="610">
        <v>37</v>
      </c>
      <c r="AQ5" s="610">
        <v>38</v>
      </c>
      <c r="AR5" s="610">
        <v>39</v>
      </c>
      <c r="AS5" s="610">
        <v>40</v>
      </c>
      <c r="AT5" s="610">
        <v>41</v>
      </c>
      <c r="AU5" s="610">
        <v>42</v>
      </c>
      <c r="AV5" s="610">
        <v>43</v>
      </c>
      <c r="AW5" s="610">
        <v>44</v>
      </c>
      <c r="AX5" s="38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c r="EF5" s="135"/>
      <c r="EG5" s="135"/>
      <c r="EH5" s="135"/>
      <c r="EI5" s="135"/>
      <c r="EJ5" s="135"/>
      <c r="EK5" s="135"/>
      <c r="EL5" s="135"/>
      <c r="EM5" s="135"/>
      <c r="EN5" s="135"/>
      <c r="EO5" s="135"/>
      <c r="EP5" s="135"/>
      <c r="EQ5" s="135"/>
      <c r="ER5" s="135"/>
      <c r="ES5" s="135"/>
      <c r="ET5" s="135"/>
      <c r="EU5" s="135"/>
      <c r="EV5" s="135"/>
      <c r="EW5" s="135"/>
      <c r="EX5" s="135"/>
      <c r="EY5" s="135"/>
      <c r="EZ5" s="135"/>
      <c r="FA5" s="135"/>
      <c r="FB5" s="135"/>
      <c r="FC5" s="135"/>
      <c r="FD5" s="135"/>
      <c r="FE5" s="135"/>
      <c r="FF5" s="130"/>
      <c r="FG5" s="130"/>
      <c r="FH5" s="130"/>
      <c r="FI5" s="130"/>
      <c r="FJ5" s="130"/>
      <c r="FK5" s="130"/>
    </row>
    <row r="6" spans="1:167" s="93" customFormat="1" ht="13.5" thickBot="1" x14ac:dyDescent="0.25">
      <c r="A6" s="591"/>
      <c r="B6" s="157"/>
      <c r="C6" s="82"/>
      <c r="D6" s="65"/>
      <c r="E6" s="82"/>
      <c r="F6" s="610">
        <v>1</v>
      </c>
      <c r="G6" s="610">
        <v>2</v>
      </c>
      <c r="H6" s="610">
        <v>3</v>
      </c>
      <c r="I6" s="610">
        <v>1</v>
      </c>
      <c r="J6" s="610">
        <v>2</v>
      </c>
      <c r="K6" s="610">
        <v>3</v>
      </c>
      <c r="L6" s="610">
        <v>1</v>
      </c>
      <c r="M6" s="610">
        <v>2</v>
      </c>
      <c r="N6" s="610">
        <v>3</v>
      </c>
      <c r="O6" s="610">
        <v>1</v>
      </c>
      <c r="P6" s="610">
        <v>2</v>
      </c>
      <c r="Q6" s="610">
        <v>3</v>
      </c>
      <c r="R6" s="610">
        <v>1</v>
      </c>
      <c r="S6" s="610">
        <v>2</v>
      </c>
      <c r="T6" s="610">
        <v>3</v>
      </c>
      <c r="U6" s="610">
        <v>1</v>
      </c>
      <c r="V6" s="610">
        <v>2</v>
      </c>
      <c r="W6" s="610">
        <v>3</v>
      </c>
      <c r="X6" s="610">
        <v>1</v>
      </c>
      <c r="Y6" s="610">
        <v>2</v>
      </c>
      <c r="Z6" s="610">
        <v>3</v>
      </c>
      <c r="AA6" s="610">
        <v>1</v>
      </c>
      <c r="AB6" s="610">
        <v>2</v>
      </c>
      <c r="AC6" s="610">
        <v>3</v>
      </c>
      <c r="AD6" s="610">
        <v>1</v>
      </c>
      <c r="AE6" s="610">
        <v>2</v>
      </c>
      <c r="AF6" s="610">
        <v>3</v>
      </c>
      <c r="AG6" s="610">
        <v>1</v>
      </c>
      <c r="AH6" s="610">
        <v>2</v>
      </c>
      <c r="AI6" s="610">
        <v>3</v>
      </c>
      <c r="AJ6" s="610">
        <v>1</v>
      </c>
      <c r="AK6" s="610">
        <v>2</v>
      </c>
      <c r="AL6" s="610">
        <v>3</v>
      </c>
      <c r="AM6" s="610">
        <v>4</v>
      </c>
      <c r="AN6" s="610">
        <v>1</v>
      </c>
      <c r="AO6" s="610">
        <v>2</v>
      </c>
      <c r="AP6" s="610">
        <v>3</v>
      </c>
      <c r="AQ6" s="611">
        <v>1</v>
      </c>
      <c r="AR6" s="611">
        <v>2</v>
      </c>
      <c r="AS6" s="611">
        <v>1</v>
      </c>
      <c r="AT6" s="611">
        <v>2</v>
      </c>
      <c r="AU6" s="611">
        <v>3</v>
      </c>
      <c r="AV6" s="611">
        <v>1</v>
      </c>
      <c r="AW6" s="611">
        <v>1</v>
      </c>
      <c r="AX6" s="385"/>
      <c r="AY6" s="135"/>
      <c r="AZ6" s="135"/>
      <c r="BA6" s="135"/>
      <c r="BB6" s="135"/>
      <c r="BC6" s="135"/>
      <c r="BD6" s="135"/>
      <c r="BE6" s="135"/>
      <c r="BF6" s="135"/>
      <c r="BG6" s="135"/>
      <c r="BH6" s="135"/>
      <c r="BI6" s="135"/>
      <c r="BJ6" s="135"/>
      <c r="BK6" s="135"/>
      <c r="BL6" s="135"/>
      <c r="BM6" s="135"/>
      <c r="BN6" s="135"/>
      <c r="BO6" s="135"/>
      <c r="BP6" s="135"/>
      <c r="BQ6" s="135"/>
      <c r="BR6" s="135"/>
      <c r="BS6" s="135"/>
      <c r="BT6" s="135"/>
      <c r="BU6" s="135"/>
      <c r="BV6" s="135"/>
      <c r="BW6" s="135"/>
      <c r="BX6" s="135"/>
      <c r="BY6" s="135"/>
      <c r="BZ6" s="135"/>
      <c r="CA6" s="135"/>
      <c r="CB6" s="135"/>
      <c r="CC6" s="135"/>
      <c r="CD6" s="135"/>
      <c r="CE6" s="135"/>
      <c r="CF6" s="135"/>
      <c r="CG6" s="135"/>
      <c r="CH6" s="135"/>
      <c r="CI6" s="135"/>
      <c r="CJ6" s="135"/>
      <c r="CK6" s="135"/>
      <c r="CL6" s="135"/>
      <c r="CM6" s="135"/>
      <c r="CN6" s="135"/>
      <c r="CO6" s="135"/>
      <c r="CP6" s="135"/>
      <c r="CQ6" s="135"/>
      <c r="CR6" s="135"/>
      <c r="CS6" s="135"/>
      <c r="CT6" s="135"/>
      <c r="CU6" s="135"/>
      <c r="CV6" s="135"/>
      <c r="CW6" s="135"/>
      <c r="CX6" s="135"/>
      <c r="CY6" s="135"/>
      <c r="CZ6" s="135"/>
      <c r="DA6" s="135"/>
      <c r="DB6" s="135"/>
      <c r="DC6" s="135"/>
      <c r="DD6" s="135"/>
      <c r="DE6" s="135"/>
      <c r="DF6" s="135"/>
      <c r="DG6" s="135"/>
      <c r="DH6" s="135"/>
      <c r="DI6" s="135"/>
      <c r="DJ6" s="135"/>
      <c r="DK6" s="135"/>
      <c r="DL6" s="135"/>
      <c r="DM6" s="135"/>
      <c r="DN6" s="135"/>
      <c r="DO6" s="135"/>
      <c r="DP6" s="135"/>
      <c r="DQ6" s="135"/>
      <c r="DR6" s="135"/>
      <c r="DS6" s="135"/>
      <c r="DT6" s="135"/>
      <c r="DU6" s="135"/>
      <c r="DV6" s="135"/>
      <c r="DW6" s="135"/>
      <c r="DX6" s="135"/>
      <c r="DY6" s="135"/>
      <c r="DZ6" s="135"/>
      <c r="EA6" s="135"/>
      <c r="EB6" s="135"/>
      <c r="EC6" s="135"/>
      <c r="ED6" s="135"/>
      <c r="EE6" s="135"/>
      <c r="EF6" s="135"/>
      <c r="EG6" s="135"/>
      <c r="EH6" s="135"/>
      <c r="EI6" s="135"/>
      <c r="EJ6" s="135"/>
      <c r="EK6" s="135"/>
      <c r="EL6" s="135"/>
      <c r="EM6" s="135"/>
      <c r="EN6" s="135"/>
      <c r="EO6" s="135"/>
      <c r="EP6" s="135"/>
      <c r="EQ6" s="135"/>
      <c r="ER6" s="135"/>
      <c r="ES6" s="135"/>
      <c r="ET6" s="135"/>
      <c r="EU6" s="135"/>
      <c r="EV6" s="135"/>
      <c r="EW6" s="135"/>
      <c r="EX6" s="135"/>
      <c r="EY6" s="135"/>
      <c r="EZ6" s="135"/>
      <c r="FA6" s="135"/>
      <c r="FB6" s="135"/>
      <c r="FC6" s="135"/>
      <c r="FD6" s="135"/>
      <c r="FE6" s="135"/>
      <c r="FF6" s="130"/>
      <c r="FG6" s="130"/>
      <c r="FH6" s="130"/>
      <c r="FI6" s="130"/>
      <c r="FJ6" s="130"/>
      <c r="FK6" s="130"/>
    </row>
    <row r="7" spans="1:167" ht="13.5" thickBot="1" x14ac:dyDescent="0.25">
      <c r="A7" s="614"/>
      <c r="B7" s="51"/>
      <c r="C7" s="52"/>
      <c r="D7" s="59"/>
      <c r="E7" s="152"/>
      <c r="F7" s="87"/>
      <c r="G7" s="88"/>
      <c r="H7" s="88"/>
      <c r="I7" s="89"/>
      <c r="J7" s="90"/>
      <c r="K7" s="89"/>
      <c r="L7" s="89"/>
      <c r="M7" s="89"/>
      <c r="N7" s="89"/>
      <c r="O7" s="89"/>
      <c r="P7" s="89"/>
      <c r="Q7" s="89"/>
      <c r="R7" s="89"/>
      <c r="S7" s="89"/>
      <c r="T7" s="89"/>
      <c r="U7" s="89"/>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row>
    <row r="8" spans="1:167" ht="12.75" x14ac:dyDescent="0.2">
      <c r="A8" s="93">
        <v>2</v>
      </c>
      <c r="B8" s="145" t="s">
        <v>563</v>
      </c>
      <c r="C8" s="141" t="s">
        <v>866</v>
      </c>
      <c r="D8" s="142" t="s">
        <v>867</v>
      </c>
      <c r="E8" s="149" t="s">
        <v>562</v>
      </c>
      <c r="F8" s="542">
        <v>16663533</v>
      </c>
      <c r="G8" s="542">
        <v>0</v>
      </c>
      <c r="H8" s="542">
        <v>16663533</v>
      </c>
      <c r="I8" s="542">
        <v>0</v>
      </c>
      <c r="J8" s="542">
        <v>0</v>
      </c>
      <c r="K8" s="542">
        <v>0</v>
      </c>
      <c r="L8" s="542">
        <v>77342</v>
      </c>
      <c r="M8" s="542">
        <v>0</v>
      </c>
      <c r="N8" s="542">
        <v>77342</v>
      </c>
      <c r="O8" s="542">
        <v>-120708</v>
      </c>
      <c r="P8" s="542">
        <v>0</v>
      </c>
      <c r="Q8" s="542">
        <v>-120708</v>
      </c>
      <c r="R8" s="542">
        <v>0</v>
      </c>
      <c r="S8" s="542">
        <v>0</v>
      </c>
      <c r="T8" s="542">
        <v>0</v>
      </c>
      <c r="U8" s="542">
        <v>-146137</v>
      </c>
      <c r="V8" s="542">
        <v>0</v>
      </c>
      <c r="W8" s="542">
        <v>-146137</v>
      </c>
      <c r="X8" s="542">
        <v>179930</v>
      </c>
      <c r="Y8" s="542">
        <v>0</v>
      </c>
      <c r="Z8" s="542">
        <v>179930</v>
      </c>
      <c r="AA8" s="542">
        <v>19744</v>
      </c>
      <c r="AB8" s="542">
        <v>0</v>
      </c>
      <c r="AC8" s="542">
        <v>19744</v>
      </c>
      <c r="AD8" s="542">
        <v>16794412</v>
      </c>
      <c r="AE8" s="542">
        <v>0</v>
      </c>
      <c r="AF8" s="542">
        <v>16794412</v>
      </c>
      <c r="AG8" s="542">
        <v>0</v>
      </c>
      <c r="AH8" s="542">
        <v>0</v>
      </c>
      <c r="AI8" s="542">
        <v>0</v>
      </c>
      <c r="AJ8" s="542">
        <v>0</v>
      </c>
      <c r="AK8" s="542">
        <v>0</v>
      </c>
      <c r="AL8" s="542">
        <v>0</v>
      </c>
      <c r="AM8" s="542">
        <v>0</v>
      </c>
      <c r="AN8" s="542">
        <v>0</v>
      </c>
      <c r="AO8" s="542">
        <v>0</v>
      </c>
      <c r="AP8" s="542">
        <v>0</v>
      </c>
      <c r="AQ8" s="542">
        <v>0</v>
      </c>
      <c r="AR8" s="542">
        <v>0</v>
      </c>
      <c r="AS8" s="542">
        <v>0</v>
      </c>
      <c r="AT8" s="542">
        <v>0</v>
      </c>
      <c r="AU8" s="542">
        <v>0</v>
      </c>
      <c r="AV8" s="542">
        <v>928872</v>
      </c>
      <c r="AW8" s="542">
        <v>-319471</v>
      </c>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7"/>
      <c r="FF8" s="138"/>
    </row>
    <row r="9" spans="1:167" ht="12.75" x14ac:dyDescent="0.2">
      <c r="A9" s="93">
        <v>3</v>
      </c>
      <c r="B9" s="145" t="s">
        <v>565</v>
      </c>
      <c r="C9" s="141" t="s">
        <v>866</v>
      </c>
      <c r="D9" s="142" t="s">
        <v>868</v>
      </c>
      <c r="E9" s="149" t="s">
        <v>564</v>
      </c>
      <c r="F9" s="542">
        <v>24513726</v>
      </c>
      <c r="G9" s="542">
        <v>0</v>
      </c>
      <c r="H9" s="542">
        <v>24513726</v>
      </c>
      <c r="I9" s="542">
        <v>0</v>
      </c>
      <c r="J9" s="542">
        <v>0</v>
      </c>
      <c r="K9" s="542">
        <v>0</v>
      </c>
      <c r="L9" s="542">
        <v>67098</v>
      </c>
      <c r="M9" s="542">
        <v>0</v>
      </c>
      <c r="N9" s="542">
        <v>67098</v>
      </c>
      <c r="O9" s="542">
        <v>-92849</v>
      </c>
      <c r="P9" s="542">
        <v>0</v>
      </c>
      <c r="Q9" s="542">
        <v>-92849</v>
      </c>
      <c r="R9" s="542">
        <v>0</v>
      </c>
      <c r="S9" s="542">
        <v>0</v>
      </c>
      <c r="T9" s="542">
        <v>0</v>
      </c>
      <c r="U9" s="542">
        <v>-125286</v>
      </c>
      <c r="V9" s="542">
        <v>0</v>
      </c>
      <c r="W9" s="542">
        <v>-125286</v>
      </c>
      <c r="X9" s="542">
        <v>2493684</v>
      </c>
      <c r="Y9" s="542">
        <v>0</v>
      </c>
      <c r="Z9" s="542">
        <v>2493684</v>
      </c>
      <c r="AA9" s="542">
        <v>-1465744</v>
      </c>
      <c r="AB9" s="542">
        <v>0</v>
      </c>
      <c r="AC9" s="542">
        <v>-1465744</v>
      </c>
      <c r="AD9" s="542">
        <v>25483478</v>
      </c>
      <c r="AE9" s="542">
        <v>0</v>
      </c>
      <c r="AF9" s="542">
        <v>25483478</v>
      </c>
      <c r="AG9" s="542">
        <v>0</v>
      </c>
      <c r="AH9" s="542">
        <v>0</v>
      </c>
      <c r="AI9" s="542">
        <v>0</v>
      </c>
      <c r="AJ9" s="542">
        <v>411621</v>
      </c>
      <c r="AK9" s="542">
        <v>0</v>
      </c>
      <c r="AL9" s="542">
        <v>0</v>
      </c>
      <c r="AM9" s="542">
        <v>411621</v>
      </c>
      <c r="AN9" s="542">
        <v>0</v>
      </c>
      <c r="AO9" s="542">
        <v>0</v>
      </c>
      <c r="AP9" s="542">
        <v>0</v>
      </c>
      <c r="AQ9" s="542">
        <v>0</v>
      </c>
      <c r="AR9" s="542">
        <v>0</v>
      </c>
      <c r="AS9" s="542">
        <v>0</v>
      </c>
      <c r="AT9" s="542">
        <v>0</v>
      </c>
      <c r="AU9" s="542">
        <v>0</v>
      </c>
      <c r="AV9" s="542">
        <v>1010813</v>
      </c>
      <c r="AW9" s="542">
        <v>-456620</v>
      </c>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7"/>
      <c r="FF9" s="138"/>
    </row>
    <row r="10" spans="1:167" ht="12.75" x14ac:dyDescent="0.2">
      <c r="A10" s="93">
        <v>4</v>
      </c>
      <c r="B10" s="145" t="s">
        <v>567</v>
      </c>
      <c r="C10" s="141" t="s">
        <v>866</v>
      </c>
      <c r="D10" s="142" t="s">
        <v>869</v>
      </c>
      <c r="E10" s="149" t="s">
        <v>566</v>
      </c>
      <c r="F10" s="542">
        <v>29795940</v>
      </c>
      <c r="G10" s="542">
        <v>0</v>
      </c>
      <c r="H10" s="542">
        <v>29795940</v>
      </c>
      <c r="I10" s="542">
        <v>-1060</v>
      </c>
      <c r="J10" s="542">
        <v>0</v>
      </c>
      <c r="K10" s="542">
        <v>-1060</v>
      </c>
      <c r="L10" s="542">
        <v>120596</v>
      </c>
      <c r="M10" s="542">
        <v>0</v>
      </c>
      <c r="N10" s="542">
        <v>120596</v>
      </c>
      <c r="O10" s="542">
        <v>-253184</v>
      </c>
      <c r="P10" s="542">
        <v>0</v>
      </c>
      <c r="Q10" s="542">
        <v>-253184</v>
      </c>
      <c r="R10" s="542">
        <v>0</v>
      </c>
      <c r="S10" s="542">
        <v>0</v>
      </c>
      <c r="T10" s="542">
        <v>0</v>
      </c>
      <c r="U10" s="542">
        <v>-233184</v>
      </c>
      <c r="V10" s="542">
        <v>0</v>
      </c>
      <c r="W10" s="542">
        <v>-233184</v>
      </c>
      <c r="X10" s="542">
        <v>314084</v>
      </c>
      <c r="Y10" s="542">
        <v>0</v>
      </c>
      <c r="Z10" s="542">
        <v>314084</v>
      </c>
      <c r="AA10" s="542">
        <v>-654084</v>
      </c>
      <c r="AB10" s="542">
        <v>0</v>
      </c>
      <c r="AC10" s="542">
        <v>-654084</v>
      </c>
      <c r="AD10" s="542">
        <v>29342292</v>
      </c>
      <c r="AE10" s="542">
        <v>0</v>
      </c>
      <c r="AF10" s="542">
        <v>29342292</v>
      </c>
      <c r="AG10" s="542">
        <v>0</v>
      </c>
      <c r="AH10" s="542">
        <v>0</v>
      </c>
      <c r="AI10" s="542">
        <v>0</v>
      </c>
      <c r="AJ10" s="542">
        <v>0</v>
      </c>
      <c r="AK10" s="542">
        <v>0</v>
      </c>
      <c r="AL10" s="542">
        <v>0</v>
      </c>
      <c r="AM10" s="542">
        <v>0</v>
      </c>
      <c r="AN10" s="542">
        <v>0</v>
      </c>
      <c r="AO10" s="542">
        <v>0</v>
      </c>
      <c r="AP10" s="542">
        <v>0</v>
      </c>
      <c r="AQ10" s="542">
        <v>0</v>
      </c>
      <c r="AR10" s="542">
        <v>0</v>
      </c>
      <c r="AS10" s="542">
        <v>0</v>
      </c>
      <c r="AT10" s="542">
        <v>0</v>
      </c>
      <c r="AU10" s="542">
        <v>0</v>
      </c>
      <c r="AV10" s="542">
        <v>454890</v>
      </c>
      <c r="AW10" s="542">
        <v>-683308</v>
      </c>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7"/>
      <c r="FF10" s="138"/>
    </row>
    <row r="11" spans="1:167" ht="12.75" x14ac:dyDescent="0.2">
      <c r="A11" s="93">
        <v>5</v>
      </c>
      <c r="B11" s="145" t="s">
        <v>569</v>
      </c>
      <c r="C11" s="141" t="s">
        <v>866</v>
      </c>
      <c r="D11" s="142" t="s">
        <v>867</v>
      </c>
      <c r="E11" s="149" t="s">
        <v>568</v>
      </c>
      <c r="F11" s="542">
        <v>32921056</v>
      </c>
      <c r="G11" s="542">
        <v>0</v>
      </c>
      <c r="H11" s="542">
        <v>32921056</v>
      </c>
      <c r="I11" s="542">
        <v>0</v>
      </c>
      <c r="J11" s="542">
        <v>0</v>
      </c>
      <c r="K11" s="542">
        <v>0</v>
      </c>
      <c r="L11" s="542">
        <v>142547</v>
      </c>
      <c r="M11" s="542">
        <v>0</v>
      </c>
      <c r="N11" s="542">
        <v>142547</v>
      </c>
      <c r="O11" s="542">
        <v>-184370</v>
      </c>
      <c r="P11" s="542">
        <v>0</v>
      </c>
      <c r="Q11" s="542">
        <v>-184370</v>
      </c>
      <c r="R11" s="542">
        <v>0</v>
      </c>
      <c r="S11" s="542">
        <v>0</v>
      </c>
      <c r="T11" s="542">
        <v>0</v>
      </c>
      <c r="U11" s="542">
        <v>-155370</v>
      </c>
      <c r="V11" s="542">
        <v>0</v>
      </c>
      <c r="W11" s="542">
        <v>-155370</v>
      </c>
      <c r="X11" s="542">
        <v>1850048</v>
      </c>
      <c r="Y11" s="542">
        <v>0</v>
      </c>
      <c r="Z11" s="542">
        <v>1850048</v>
      </c>
      <c r="AA11" s="542">
        <v>-2541048</v>
      </c>
      <c r="AB11" s="542">
        <v>0</v>
      </c>
      <c r="AC11" s="542">
        <v>-2541048</v>
      </c>
      <c r="AD11" s="542">
        <v>32217233</v>
      </c>
      <c r="AE11" s="542">
        <v>0</v>
      </c>
      <c r="AF11" s="542">
        <v>32217233</v>
      </c>
      <c r="AG11" s="542">
        <v>0</v>
      </c>
      <c r="AH11" s="542">
        <v>0</v>
      </c>
      <c r="AI11" s="542">
        <v>0</v>
      </c>
      <c r="AJ11" s="542">
        <v>0</v>
      </c>
      <c r="AK11" s="542">
        <v>0</v>
      </c>
      <c r="AL11" s="542">
        <v>0</v>
      </c>
      <c r="AM11" s="542">
        <v>0</v>
      </c>
      <c r="AN11" s="542">
        <v>0</v>
      </c>
      <c r="AO11" s="542">
        <v>0</v>
      </c>
      <c r="AP11" s="542">
        <v>0</v>
      </c>
      <c r="AQ11" s="542">
        <v>0</v>
      </c>
      <c r="AR11" s="542">
        <v>0</v>
      </c>
      <c r="AS11" s="542">
        <v>0</v>
      </c>
      <c r="AT11" s="542">
        <v>0</v>
      </c>
      <c r="AU11" s="542">
        <v>0</v>
      </c>
      <c r="AV11" s="542">
        <v>875673</v>
      </c>
      <c r="AW11" s="542">
        <v>-353913</v>
      </c>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7"/>
      <c r="FF11" s="138"/>
    </row>
    <row r="12" spans="1:167" ht="12.75" x14ac:dyDescent="0.2">
      <c r="A12" s="93">
        <v>6</v>
      </c>
      <c r="B12" s="145" t="s">
        <v>571</v>
      </c>
      <c r="C12" s="141" t="s">
        <v>866</v>
      </c>
      <c r="D12" s="142" t="s">
        <v>869</v>
      </c>
      <c r="E12" s="149" t="s">
        <v>570</v>
      </c>
      <c r="F12" s="542">
        <v>34386974</v>
      </c>
      <c r="G12" s="542">
        <v>0</v>
      </c>
      <c r="H12" s="542">
        <v>34386974</v>
      </c>
      <c r="I12" s="542">
        <v>0</v>
      </c>
      <c r="J12" s="542">
        <v>0</v>
      </c>
      <c r="K12" s="542">
        <v>0</v>
      </c>
      <c r="L12" s="542">
        <v>61184</v>
      </c>
      <c r="M12" s="542">
        <v>0</v>
      </c>
      <c r="N12" s="542">
        <v>61184</v>
      </c>
      <c r="O12" s="542">
        <v>-373274</v>
      </c>
      <c r="P12" s="542">
        <v>0</v>
      </c>
      <c r="Q12" s="542">
        <v>-373274</v>
      </c>
      <c r="R12" s="542">
        <v>0</v>
      </c>
      <c r="S12" s="542">
        <v>0</v>
      </c>
      <c r="T12" s="542">
        <v>0</v>
      </c>
      <c r="U12" s="542">
        <v>-788103</v>
      </c>
      <c r="V12" s="542">
        <v>0</v>
      </c>
      <c r="W12" s="542">
        <v>-788103</v>
      </c>
      <c r="X12" s="542">
        <v>823109</v>
      </c>
      <c r="Y12" s="542">
        <v>0</v>
      </c>
      <c r="Z12" s="542">
        <v>823109</v>
      </c>
      <c r="AA12" s="542">
        <v>-1837530</v>
      </c>
      <c r="AB12" s="542">
        <v>0</v>
      </c>
      <c r="AC12" s="542">
        <v>-1837530</v>
      </c>
      <c r="AD12" s="542">
        <v>32645634</v>
      </c>
      <c r="AE12" s="542">
        <v>0</v>
      </c>
      <c r="AF12" s="542">
        <v>32645634</v>
      </c>
      <c r="AG12" s="542">
        <v>0</v>
      </c>
      <c r="AH12" s="542">
        <v>0</v>
      </c>
      <c r="AI12" s="542">
        <v>0</v>
      </c>
      <c r="AJ12" s="542">
        <v>0</v>
      </c>
      <c r="AK12" s="542">
        <v>0</v>
      </c>
      <c r="AL12" s="542">
        <v>0</v>
      </c>
      <c r="AM12" s="542">
        <v>0</v>
      </c>
      <c r="AN12" s="542">
        <v>0</v>
      </c>
      <c r="AO12" s="542">
        <v>0</v>
      </c>
      <c r="AP12" s="542">
        <v>0</v>
      </c>
      <c r="AQ12" s="542">
        <v>0</v>
      </c>
      <c r="AR12" s="542">
        <v>0</v>
      </c>
      <c r="AS12" s="542">
        <v>0</v>
      </c>
      <c r="AT12" s="542">
        <v>0</v>
      </c>
      <c r="AU12" s="542">
        <v>0</v>
      </c>
      <c r="AV12" s="542">
        <v>2068846</v>
      </c>
      <c r="AW12" s="542">
        <v>-189673</v>
      </c>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c r="FA12" s="136"/>
      <c r="FB12" s="136"/>
      <c r="FC12" s="136"/>
      <c r="FD12" s="136"/>
      <c r="FE12" s="137"/>
      <c r="FF12" s="138"/>
    </row>
    <row r="13" spans="1:167" ht="12.75" x14ac:dyDescent="0.2">
      <c r="A13" s="93">
        <v>7</v>
      </c>
      <c r="B13" s="145" t="s">
        <v>573</v>
      </c>
      <c r="C13" s="141" t="s">
        <v>866</v>
      </c>
      <c r="D13" s="142" t="s">
        <v>867</v>
      </c>
      <c r="E13" s="149" t="s">
        <v>572</v>
      </c>
      <c r="F13" s="542">
        <v>45887976</v>
      </c>
      <c r="G13" s="542">
        <v>0</v>
      </c>
      <c r="H13" s="542">
        <v>45887976</v>
      </c>
      <c r="I13" s="542">
        <v>0</v>
      </c>
      <c r="J13" s="542">
        <v>0</v>
      </c>
      <c r="K13" s="542">
        <v>0</v>
      </c>
      <c r="L13" s="542">
        <v>263847</v>
      </c>
      <c r="M13" s="542">
        <v>0</v>
      </c>
      <c r="N13" s="542">
        <v>263847</v>
      </c>
      <c r="O13" s="542">
        <v>-197390</v>
      </c>
      <c r="P13" s="542">
        <v>0</v>
      </c>
      <c r="Q13" s="542">
        <v>-197390</v>
      </c>
      <c r="R13" s="542">
        <v>-17670</v>
      </c>
      <c r="S13" s="542">
        <v>0</v>
      </c>
      <c r="T13" s="542">
        <v>-17670</v>
      </c>
      <c r="U13" s="542">
        <v>-46815</v>
      </c>
      <c r="V13" s="542">
        <v>0</v>
      </c>
      <c r="W13" s="542">
        <v>-46815</v>
      </c>
      <c r="X13" s="542">
        <v>345501</v>
      </c>
      <c r="Y13" s="542">
        <v>0</v>
      </c>
      <c r="Z13" s="542">
        <v>345501</v>
      </c>
      <c r="AA13" s="542">
        <v>-1186799</v>
      </c>
      <c r="AB13" s="542">
        <v>0</v>
      </c>
      <c r="AC13" s="542">
        <v>-1186799</v>
      </c>
      <c r="AD13" s="542">
        <v>45246040</v>
      </c>
      <c r="AE13" s="542">
        <v>0</v>
      </c>
      <c r="AF13" s="542">
        <v>45246040</v>
      </c>
      <c r="AG13" s="542">
        <v>0</v>
      </c>
      <c r="AH13" s="542">
        <v>0</v>
      </c>
      <c r="AI13" s="542">
        <v>0</v>
      </c>
      <c r="AJ13" s="542">
        <v>0</v>
      </c>
      <c r="AK13" s="542">
        <v>0</v>
      </c>
      <c r="AL13" s="542">
        <v>0</v>
      </c>
      <c r="AM13" s="542">
        <v>0</v>
      </c>
      <c r="AN13" s="542">
        <v>0</v>
      </c>
      <c r="AO13" s="542">
        <v>0</v>
      </c>
      <c r="AP13" s="542">
        <v>0</v>
      </c>
      <c r="AQ13" s="542">
        <v>0</v>
      </c>
      <c r="AR13" s="542">
        <v>0</v>
      </c>
      <c r="AS13" s="542">
        <v>0</v>
      </c>
      <c r="AT13" s="542">
        <v>0</v>
      </c>
      <c r="AU13" s="542">
        <v>0</v>
      </c>
      <c r="AV13" s="542">
        <v>255598</v>
      </c>
      <c r="AW13" s="542">
        <v>-1262584</v>
      </c>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7"/>
      <c r="FF13" s="138"/>
    </row>
    <row r="14" spans="1:167" ht="12.75" x14ac:dyDescent="0.2">
      <c r="A14" s="93">
        <v>8</v>
      </c>
      <c r="B14" s="145" t="s">
        <v>575</v>
      </c>
      <c r="C14" s="141" t="s">
        <v>866</v>
      </c>
      <c r="D14" s="142" t="s">
        <v>867</v>
      </c>
      <c r="E14" s="149" t="s">
        <v>574</v>
      </c>
      <c r="F14" s="542">
        <v>49613040</v>
      </c>
      <c r="G14" s="542">
        <v>0</v>
      </c>
      <c r="H14" s="542">
        <v>49613040</v>
      </c>
      <c r="I14" s="542">
        <v>-12413</v>
      </c>
      <c r="J14" s="542">
        <v>0</v>
      </c>
      <c r="K14" s="542">
        <v>-12413</v>
      </c>
      <c r="L14" s="542">
        <v>0</v>
      </c>
      <c r="M14" s="542">
        <v>0</v>
      </c>
      <c r="N14" s="542">
        <v>0</v>
      </c>
      <c r="O14" s="542">
        <v>0</v>
      </c>
      <c r="P14" s="542">
        <v>0</v>
      </c>
      <c r="Q14" s="542">
        <v>0</v>
      </c>
      <c r="R14" s="542">
        <v>-81618</v>
      </c>
      <c r="S14" s="542">
        <v>0</v>
      </c>
      <c r="T14" s="542">
        <v>-81618</v>
      </c>
      <c r="U14" s="542">
        <v>0</v>
      </c>
      <c r="V14" s="542">
        <v>0</v>
      </c>
      <c r="W14" s="542">
        <v>0</v>
      </c>
      <c r="X14" s="542">
        <v>0</v>
      </c>
      <c r="Y14" s="542">
        <v>0</v>
      </c>
      <c r="Z14" s="542">
        <v>0</v>
      </c>
      <c r="AA14" s="542">
        <v>0</v>
      </c>
      <c r="AB14" s="542">
        <v>0</v>
      </c>
      <c r="AC14" s="542">
        <v>0</v>
      </c>
      <c r="AD14" s="542">
        <v>49519009</v>
      </c>
      <c r="AE14" s="542">
        <v>0</v>
      </c>
      <c r="AF14" s="542">
        <v>49519009</v>
      </c>
      <c r="AG14" s="542">
        <v>0</v>
      </c>
      <c r="AH14" s="542">
        <v>0</v>
      </c>
      <c r="AI14" s="542">
        <v>0</v>
      </c>
      <c r="AJ14" s="542">
        <v>0</v>
      </c>
      <c r="AK14" s="542">
        <v>0</v>
      </c>
      <c r="AL14" s="542">
        <v>0</v>
      </c>
      <c r="AM14" s="542">
        <v>0</v>
      </c>
      <c r="AN14" s="542">
        <v>0</v>
      </c>
      <c r="AO14" s="542">
        <v>0</v>
      </c>
      <c r="AP14" s="542">
        <v>0</v>
      </c>
      <c r="AQ14" s="542">
        <v>0</v>
      </c>
      <c r="AR14" s="542">
        <v>0</v>
      </c>
      <c r="AS14" s="542">
        <v>0</v>
      </c>
      <c r="AT14" s="542">
        <v>0</v>
      </c>
      <c r="AU14" s="542">
        <v>0</v>
      </c>
      <c r="AV14" s="542">
        <v>186823</v>
      </c>
      <c r="AW14" s="542">
        <v>-1503901</v>
      </c>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7"/>
      <c r="FF14" s="138"/>
    </row>
    <row r="15" spans="1:167" ht="12.75" x14ac:dyDescent="0.2">
      <c r="A15" s="93">
        <v>9</v>
      </c>
      <c r="B15" s="145" t="s">
        <v>577</v>
      </c>
      <c r="C15" s="141" t="s">
        <v>866</v>
      </c>
      <c r="D15" s="142" t="s">
        <v>870</v>
      </c>
      <c r="E15" s="149" t="s">
        <v>576</v>
      </c>
      <c r="F15" s="542">
        <v>22361538</v>
      </c>
      <c r="G15" s="542">
        <v>0</v>
      </c>
      <c r="H15" s="542">
        <v>22361538</v>
      </c>
      <c r="I15" s="542">
        <v>0</v>
      </c>
      <c r="J15" s="542">
        <v>0</v>
      </c>
      <c r="K15" s="542">
        <v>0</v>
      </c>
      <c r="L15" s="542">
        <v>580560</v>
      </c>
      <c r="M15" s="542">
        <v>0</v>
      </c>
      <c r="N15" s="542">
        <v>580560</v>
      </c>
      <c r="O15" s="542">
        <v>-136465</v>
      </c>
      <c r="P15" s="542">
        <v>0</v>
      </c>
      <c r="Q15" s="542">
        <v>-136465</v>
      </c>
      <c r="R15" s="542">
        <v>0</v>
      </c>
      <c r="S15" s="542">
        <v>0</v>
      </c>
      <c r="T15" s="542">
        <v>0</v>
      </c>
      <c r="U15" s="542">
        <v>-138556</v>
      </c>
      <c r="V15" s="542">
        <v>0</v>
      </c>
      <c r="W15" s="542">
        <v>-138556</v>
      </c>
      <c r="X15" s="542">
        <v>908578</v>
      </c>
      <c r="Y15" s="542">
        <v>0</v>
      </c>
      <c r="Z15" s="542">
        <v>908578</v>
      </c>
      <c r="AA15" s="542">
        <v>-885436</v>
      </c>
      <c r="AB15" s="542">
        <v>0</v>
      </c>
      <c r="AC15" s="542">
        <v>-885436</v>
      </c>
      <c r="AD15" s="542">
        <v>22826684</v>
      </c>
      <c r="AE15" s="542">
        <v>0</v>
      </c>
      <c r="AF15" s="542">
        <v>22826684</v>
      </c>
      <c r="AG15" s="542">
        <v>0</v>
      </c>
      <c r="AH15" s="542">
        <v>0</v>
      </c>
      <c r="AI15" s="542">
        <v>0</v>
      </c>
      <c r="AJ15" s="542">
        <v>0</v>
      </c>
      <c r="AK15" s="542">
        <v>0</v>
      </c>
      <c r="AL15" s="542">
        <v>0</v>
      </c>
      <c r="AM15" s="542">
        <v>0</v>
      </c>
      <c r="AN15" s="542">
        <v>0</v>
      </c>
      <c r="AO15" s="542">
        <v>0</v>
      </c>
      <c r="AP15" s="542">
        <v>0</v>
      </c>
      <c r="AQ15" s="542">
        <v>0</v>
      </c>
      <c r="AR15" s="542">
        <v>0</v>
      </c>
      <c r="AS15" s="542">
        <v>0</v>
      </c>
      <c r="AT15" s="542">
        <v>0</v>
      </c>
      <c r="AU15" s="542">
        <v>0</v>
      </c>
      <c r="AV15" s="542">
        <v>487679</v>
      </c>
      <c r="AW15" s="542">
        <v>-132933</v>
      </c>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DX15" s="136"/>
      <c r="DY15" s="136"/>
      <c r="DZ15" s="136"/>
      <c r="EA15" s="136"/>
      <c r="EB15" s="136"/>
      <c r="EC15" s="136"/>
      <c r="ED15" s="136"/>
      <c r="EE15" s="136"/>
      <c r="EF15" s="136"/>
      <c r="EG15" s="136"/>
      <c r="EH15" s="136"/>
      <c r="EI15" s="136"/>
      <c r="EJ15" s="136"/>
      <c r="EK15" s="136"/>
      <c r="EL15" s="136"/>
      <c r="EM15" s="136"/>
      <c r="EN15" s="136"/>
      <c r="EO15" s="136"/>
      <c r="EP15" s="136"/>
      <c r="EQ15" s="136"/>
      <c r="ER15" s="136"/>
      <c r="ES15" s="136"/>
      <c r="ET15" s="136"/>
      <c r="EU15" s="136"/>
      <c r="EV15" s="136"/>
      <c r="EW15" s="136"/>
      <c r="EX15" s="136"/>
      <c r="EY15" s="136"/>
      <c r="EZ15" s="136"/>
      <c r="FA15" s="136"/>
      <c r="FB15" s="136"/>
      <c r="FC15" s="136"/>
      <c r="FD15" s="136"/>
      <c r="FE15" s="137"/>
      <c r="FF15" s="138"/>
    </row>
    <row r="16" spans="1:167" ht="12.75" x14ac:dyDescent="0.2">
      <c r="A16" s="93">
        <v>10</v>
      </c>
      <c r="B16" s="145" t="s">
        <v>579</v>
      </c>
      <c r="C16" s="141" t="s">
        <v>871</v>
      </c>
      <c r="D16" s="142" t="s">
        <v>872</v>
      </c>
      <c r="E16" s="149" t="s">
        <v>688</v>
      </c>
      <c r="F16" s="542">
        <v>59463962</v>
      </c>
      <c r="G16" s="542">
        <v>0</v>
      </c>
      <c r="H16" s="542">
        <v>59463962</v>
      </c>
      <c r="I16" s="542">
        <v>0</v>
      </c>
      <c r="J16" s="542">
        <v>0</v>
      </c>
      <c r="K16" s="542">
        <v>0</v>
      </c>
      <c r="L16" s="542">
        <v>0</v>
      </c>
      <c r="M16" s="542">
        <v>0</v>
      </c>
      <c r="N16" s="542">
        <v>0</v>
      </c>
      <c r="O16" s="542">
        <v>0</v>
      </c>
      <c r="P16" s="542">
        <v>0</v>
      </c>
      <c r="Q16" s="542">
        <v>0</v>
      </c>
      <c r="R16" s="542">
        <v>-320397</v>
      </c>
      <c r="S16" s="542">
        <v>0</v>
      </c>
      <c r="T16" s="542">
        <v>-320397</v>
      </c>
      <c r="U16" s="542">
        <v>-353000</v>
      </c>
      <c r="V16" s="542">
        <v>0</v>
      </c>
      <c r="W16" s="542">
        <v>-353000</v>
      </c>
      <c r="X16" s="542">
        <v>0</v>
      </c>
      <c r="Y16" s="542">
        <v>0</v>
      </c>
      <c r="Z16" s="542">
        <v>0</v>
      </c>
      <c r="AA16" s="542">
        <v>-1843870</v>
      </c>
      <c r="AB16" s="542">
        <v>0</v>
      </c>
      <c r="AC16" s="542">
        <v>-1843870</v>
      </c>
      <c r="AD16" s="542">
        <v>56946695</v>
      </c>
      <c r="AE16" s="542">
        <v>0</v>
      </c>
      <c r="AF16" s="542">
        <v>56946695</v>
      </c>
      <c r="AG16" s="542">
        <v>0</v>
      </c>
      <c r="AH16" s="542">
        <v>0</v>
      </c>
      <c r="AI16" s="542">
        <v>0</v>
      </c>
      <c r="AJ16" s="542">
        <v>0</v>
      </c>
      <c r="AK16" s="542">
        <v>0</v>
      </c>
      <c r="AL16" s="542">
        <v>0</v>
      </c>
      <c r="AM16" s="542">
        <v>0</v>
      </c>
      <c r="AN16" s="542">
        <v>0</v>
      </c>
      <c r="AO16" s="542">
        <v>0</v>
      </c>
      <c r="AP16" s="542">
        <v>0</v>
      </c>
      <c r="AQ16" s="542">
        <v>0</v>
      </c>
      <c r="AR16" s="542">
        <v>0</v>
      </c>
      <c r="AS16" s="542">
        <v>0</v>
      </c>
      <c r="AT16" s="542">
        <v>0</v>
      </c>
      <c r="AU16" s="542">
        <v>0</v>
      </c>
      <c r="AV16" s="542">
        <v>5533919</v>
      </c>
      <c r="AW16" s="542">
        <v>-670385</v>
      </c>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c r="DJ16" s="136"/>
      <c r="DK16" s="136"/>
      <c r="DL16" s="136"/>
      <c r="DM16" s="136"/>
      <c r="DN16" s="136"/>
      <c r="DO16" s="136"/>
      <c r="DP16" s="136"/>
      <c r="DQ16" s="136"/>
      <c r="DR16" s="136"/>
      <c r="DS16" s="136"/>
      <c r="DT16" s="136"/>
      <c r="DU16" s="136"/>
      <c r="DV16" s="136"/>
      <c r="DW16" s="136"/>
      <c r="DX16" s="136"/>
      <c r="DY16" s="136"/>
      <c r="DZ16" s="136"/>
      <c r="EA16" s="136"/>
      <c r="EB16" s="136"/>
      <c r="EC16" s="136"/>
      <c r="ED16" s="136"/>
      <c r="EE16" s="136"/>
      <c r="EF16" s="136"/>
      <c r="EG16" s="136"/>
      <c r="EH16" s="136"/>
      <c r="EI16" s="136"/>
      <c r="EJ16" s="136"/>
      <c r="EK16" s="136"/>
      <c r="EL16" s="136"/>
      <c r="EM16" s="136"/>
      <c r="EN16" s="136"/>
      <c r="EO16" s="136"/>
      <c r="EP16" s="136"/>
      <c r="EQ16" s="136"/>
      <c r="ER16" s="136"/>
      <c r="ES16" s="136"/>
      <c r="ET16" s="136"/>
      <c r="EU16" s="136"/>
      <c r="EV16" s="136"/>
      <c r="EW16" s="136"/>
      <c r="EX16" s="136"/>
      <c r="EY16" s="136"/>
      <c r="EZ16" s="136"/>
      <c r="FA16" s="136"/>
      <c r="FB16" s="136"/>
      <c r="FC16" s="136"/>
      <c r="FD16" s="136"/>
      <c r="FE16" s="137"/>
      <c r="FF16" s="138"/>
    </row>
    <row r="17" spans="1:162" ht="12.75" x14ac:dyDescent="0.2">
      <c r="A17" s="93">
        <v>11</v>
      </c>
      <c r="B17" s="145" t="s">
        <v>581</v>
      </c>
      <c r="C17" s="141" t="s">
        <v>871</v>
      </c>
      <c r="D17" s="142" t="s">
        <v>872</v>
      </c>
      <c r="E17" s="149" t="s">
        <v>580</v>
      </c>
      <c r="F17" s="542">
        <v>108878994</v>
      </c>
      <c r="G17" s="542">
        <v>0</v>
      </c>
      <c r="H17" s="542">
        <v>108878994</v>
      </c>
      <c r="I17" s="542">
        <v>-4668</v>
      </c>
      <c r="J17" s="542">
        <v>0</v>
      </c>
      <c r="K17" s="542">
        <v>-4668</v>
      </c>
      <c r="L17" s="542">
        <v>555937</v>
      </c>
      <c r="M17" s="542">
        <v>0</v>
      </c>
      <c r="N17" s="542">
        <v>555937</v>
      </c>
      <c r="O17" s="542">
        <v>-1263243</v>
      </c>
      <c r="P17" s="542">
        <v>0</v>
      </c>
      <c r="Q17" s="542">
        <v>-1263243</v>
      </c>
      <c r="R17" s="542">
        <v>0</v>
      </c>
      <c r="S17" s="542">
        <v>0</v>
      </c>
      <c r="T17" s="542">
        <v>0</v>
      </c>
      <c r="U17" s="542">
        <v>-672184</v>
      </c>
      <c r="V17" s="542">
        <v>0</v>
      </c>
      <c r="W17" s="542">
        <v>-672184</v>
      </c>
      <c r="X17" s="542">
        <v>0</v>
      </c>
      <c r="Y17" s="542">
        <v>0</v>
      </c>
      <c r="Z17" s="542">
        <v>0</v>
      </c>
      <c r="AA17" s="542">
        <v>-4100000</v>
      </c>
      <c r="AB17" s="542">
        <v>0</v>
      </c>
      <c r="AC17" s="542">
        <v>-4100000</v>
      </c>
      <c r="AD17" s="542">
        <v>104658079</v>
      </c>
      <c r="AE17" s="542">
        <v>0</v>
      </c>
      <c r="AF17" s="542">
        <v>104658079</v>
      </c>
      <c r="AG17" s="542">
        <v>0</v>
      </c>
      <c r="AH17" s="542">
        <v>0</v>
      </c>
      <c r="AI17" s="542">
        <v>0</v>
      </c>
      <c r="AJ17" s="542">
        <v>0</v>
      </c>
      <c r="AK17" s="542">
        <v>0</v>
      </c>
      <c r="AL17" s="542">
        <v>0</v>
      </c>
      <c r="AM17" s="542">
        <v>0</v>
      </c>
      <c r="AN17" s="542">
        <v>0</v>
      </c>
      <c r="AO17" s="542">
        <v>0</v>
      </c>
      <c r="AP17" s="542">
        <v>0</v>
      </c>
      <c r="AQ17" s="542">
        <v>0</v>
      </c>
      <c r="AR17" s="542">
        <v>0</v>
      </c>
      <c r="AS17" s="542">
        <v>0</v>
      </c>
      <c r="AT17" s="542">
        <v>0</v>
      </c>
      <c r="AU17" s="542">
        <v>0</v>
      </c>
      <c r="AV17" s="542">
        <v>13235001</v>
      </c>
      <c r="AW17" s="542">
        <v>-6256633</v>
      </c>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7"/>
      <c r="FF17" s="138"/>
    </row>
    <row r="18" spans="1:162" ht="12.75" x14ac:dyDescent="0.2">
      <c r="A18" s="93">
        <v>12</v>
      </c>
      <c r="B18" s="145" t="s">
        <v>583</v>
      </c>
      <c r="C18" s="141" t="s">
        <v>873</v>
      </c>
      <c r="D18" s="142" t="s">
        <v>874</v>
      </c>
      <c r="E18" s="149" t="s">
        <v>582</v>
      </c>
      <c r="F18" s="542">
        <v>51868148</v>
      </c>
      <c r="G18" s="542">
        <v>393979</v>
      </c>
      <c r="H18" s="542">
        <v>52262127</v>
      </c>
      <c r="I18" s="542">
        <v>-1932</v>
      </c>
      <c r="J18" s="542">
        <v>0</v>
      </c>
      <c r="K18" s="542">
        <v>-1932</v>
      </c>
      <c r="L18" s="542">
        <v>30066</v>
      </c>
      <c r="M18" s="542">
        <v>0</v>
      </c>
      <c r="N18" s="542">
        <v>30066</v>
      </c>
      <c r="O18" s="542">
        <v>-522698</v>
      </c>
      <c r="P18" s="542">
        <v>0</v>
      </c>
      <c r="Q18" s="542">
        <v>-522698</v>
      </c>
      <c r="R18" s="542">
        <v>0</v>
      </c>
      <c r="S18" s="542">
        <v>0</v>
      </c>
      <c r="T18" s="542">
        <v>0</v>
      </c>
      <c r="U18" s="542">
        <v>-1140515</v>
      </c>
      <c r="V18" s="542">
        <v>0</v>
      </c>
      <c r="W18" s="542">
        <v>-1140515</v>
      </c>
      <c r="X18" s="542">
        <v>1774176</v>
      </c>
      <c r="Y18" s="542">
        <v>0</v>
      </c>
      <c r="Z18" s="542">
        <v>1774176</v>
      </c>
      <c r="AA18" s="542">
        <v>-2194478</v>
      </c>
      <c r="AB18" s="542">
        <v>0</v>
      </c>
      <c r="AC18" s="542">
        <v>-2194478</v>
      </c>
      <c r="AD18" s="542">
        <v>50335465</v>
      </c>
      <c r="AE18" s="542">
        <v>393979</v>
      </c>
      <c r="AF18" s="542">
        <v>50729444</v>
      </c>
      <c r="AG18" s="542">
        <v>393979</v>
      </c>
      <c r="AH18" s="542">
        <v>0</v>
      </c>
      <c r="AI18" s="542">
        <v>393979</v>
      </c>
      <c r="AJ18" s="542">
        <v>0</v>
      </c>
      <c r="AK18" s="542">
        <v>0</v>
      </c>
      <c r="AL18" s="542">
        <v>0</v>
      </c>
      <c r="AM18" s="542">
        <v>0</v>
      </c>
      <c r="AN18" s="542">
        <v>0</v>
      </c>
      <c r="AO18" s="542">
        <v>0</v>
      </c>
      <c r="AP18" s="542">
        <v>0</v>
      </c>
      <c r="AQ18" s="542">
        <v>87431</v>
      </c>
      <c r="AR18" s="542">
        <v>0</v>
      </c>
      <c r="AS18" s="542">
        <v>306548</v>
      </c>
      <c r="AT18" s="542">
        <v>0</v>
      </c>
      <c r="AU18" s="542">
        <v>306548</v>
      </c>
      <c r="AV18" s="542">
        <v>2333187</v>
      </c>
      <c r="AW18" s="542">
        <v>-233232</v>
      </c>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7"/>
      <c r="FF18" s="138"/>
    </row>
    <row r="19" spans="1:162" ht="12.75" x14ac:dyDescent="0.2">
      <c r="A19" s="93">
        <v>13</v>
      </c>
      <c r="B19" s="145" t="s">
        <v>585</v>
      </c>
      <c r="C19" s="141" t="s">
        <v>866</v>
      </c>
      <c r="D19" s="142" t="s">
        <v>868</v>
      </c>
      <c r="E19" s="149" t="s">
        <v>584</v>
      </c>
      <c r="F19" s="542">
        <v>22991982</v>
      </c>
      <c r="G19" s="542">
        <v>0</v>
      </c>
      <c r="H19" s="542">
        <v>22991982</v>
      </c>
      <c r="I19" s="542">
        <v>0</v>
      </c>
      <c r="J19" s="542">
        <v>0</v>
      </c>
      <c r="K19" s="542">
        <v>0</v>
      </c>
      <c r="L19" s="542">
        <v>113600</v>
      </c>
      <c r="M19" s="542">
        <v>0</v>
      </c>
      <c r="N19" s="542">
        <v>113600</v>
      </c>
      <c r="O19" s="542">
        <v>-140790</v>
      </c>
      <c r="P19" s="542">
        <v>0</v>
      </c>
      <c r="Q19" s="542">
        <v>-140790</v>
      </c>
      <c r="R19" s="542">
        <v>0</v>
      </c>
      <c r="S19" s="542">
        <v>0</v>
      </c>
      <c r="T19" s="542">
        <v>0</v>
      </c>
      <c r="U19" s="542">
        <v>152914</v>
      </c>
      <c r="V19" s="542">
        <v>0</v>
      </c>
      <c r="W19" s="542">
        <v>152914</v>
      </c>
      <c r="X19" s="542">
        <v>848240</v>
      </c>
      <c r="Y19" s="542">
        <v>0</v>
      </c>
      <c r="Z19" s="542">
        <v>848240</v>
      </c>
      <c r="AA19" s="542">
        <v>-832387</v>
      </c>
      <c r="AB19" s="542">
        <v>0</v>
      </c>
      <c r="AC19" s="542">
        <v>-832387</v>
      </c>
      <c r="AD19" s="542">
        <v>23274349</v>
      </c>
      <c r="AE19" s="542">
        <v>0</v>
      </c>
      <c r="AF19" s="542">
        <v>23274349</v>
      </c>
      <c r="AG19" s="542">
        <v>0</v>
      </c>
      <c r="AH19" s="542">
        <v>0</v>
      </c>
      <c r="AI19" s="542">
        <v>0</v>
      </c>
      <c r="AJ19" s="542">
        <v>0</v>
      </c>
      <c r="AK19" s="542">
        <v>0</v>
      </c>
      <c r="AL19" s="542">
        <v>0</v>
      </c>
      <c r="AM19" s="542">
        <v>0</v>
      </c>
      <c r="AN19" s="542">
        <v>0</v>
      </c>
      <c r="AO19" s="542">
        <v>0</v>
      </c>
      <c r="AP19" s="542">
        <v>0</v>
      </c>
      <c r="AQ19" s="542">
        <v>0</v>
      </c>
      <c r="AR19" s="542">
        <v>0</v>
      </c>
      <c r="AS19" s="542">
        <v>0</v>
      </c>
      <c r="AT19" s="542">
        <v>0</v>
      </c>
      <c r="AU19" s="542">
        <v>0</v>
      </c>
      <c r="AV19" s="542">
        <v>1219997</v>
      </c>
      <c r="AW19" s="542">
        <v>-1239522</v>
      </c>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c r="EK19" s="136"/>
      <c r="EL19" s="136"/>
      <c r="EM19" s="136"/>
      <c r="EN19" s="136"/>
      <c r="EO19" s="136"/>
      <c r="EP19" s="136"/>
      <c r="EQ19" s="136"/>
      <c r="ER19" s="136"/>
      <c r="ES19" s="136"/>
      <c r="ET19" s="136"/>
      <c r="EU19" s="136"/>
      <c r="EV19" s="136"/>
      <c r="EW19" s="136"/>
      <c r="EX19" s="136"/>
      <c r="EY19" s="136"/>
      <c r="EZ19" s="136"/>
      <c r="FA19" s="136"/>
      <c r="FB19" s="136"/>
      <c r="FC19" s="136"/>
      <c r="FD19" s="136"/>
      <c r="FE19" s="137"/>
      <c r="FF19" s="138"/>
    </row>
    <row r="20" spans="1:162" ht="12.75" x14ac:dyDescent="0.2">
      <c r="A20" s="93">
        <v>14</v>
      </c>
      <c r="B20" s="145" t="s">
        <v>587</v>
      </c>
      <c r="C20" s="141" t="s">
        <v>866</v>
      </c>
      <c r="D20" s="142" t="s">
        <v>870</v>
      </c>
      <c r="E20" s="149" t="s">
        <v>586</v>
      </c>
      <c r="F20" s="542">
        <v>79523394</v>
      </c>
      <c r="G20" s="542">
        <v>0</v>
      </c>
      <c r="H20" s="542">
        <v>79523394</v>
      </c>
      <c r="I20" s="542">
        <v>-148</v>
      </c>
      <c r="J20" s="542">
        <v>0</v>
      </c>
      <c r="K20" s="542">
        <v>-148</v>
      </c>
      <c r="L20" s="542">
        <v>671430</v>
      </c>
      <c r="M20" s="542">
        <v>0</v>
      </c>
      <c r="N20" s="542">
        <v>671430</v>
      </c>
      <c r="O20" s="542">
        <v>-485708</v>
      </c>
      <c r="P20" s="542">
        <v>0</v>
      </c>
      <c r="Q20" s="542">
        <v>-485708</v>
      </c>
      <c r="R20" s="542">
        <v>0</v>
      </c>
      <c r="S20" s="542">
        <v>0</v>
      </c>
      <c r="T20" s="542">
        <v>0</v>
      </c>
      <c r="U20" s="542">
        <v>-474708</v>
      </c>
      <c r="V20" s="542">
        <v>0</v>
      </c>
      <c r="W20" s="542">
        <v>-474708</v>
      </c>
      <c r="X20" s="542">
        <v>3283345</v>
      </c>
      <c r="Y20" s="542">
        <v>0</v>
      </c>
      <c r="Z20" s="542">
        <v>3283345</v>
      </c>
      <c r="AA20" s="542">
        <v>-7683345</v>
      </c>
      <c r="AB20" s="542">
        <v>0</v>
      </c>
      <c r="AC20" s="542">
        <v>-7683345</v>
      </c>
      <c r="AD20" s="542">
        <v>75319968</v>
      </c>
      <c r="AE20" s="542">
        <v>0</v>
      </c>
      <c r="AF20" s="542">
        <v>75319968</v>
      </c>
      <c r="AG20" s="542">
        <v>0</v>
      </c>
      <c r="AH20" s="542">
        <v>0</v>
      </c>
      <c r="AI20" s="542">
        <v>0</v>
      </c>
      <c r="AJ20" s="542">
        <v>50</v>
      </c>
      <c r="AK20" s="542">
        <v>0</v>
      </c>
      <c r="AL20" s="542">
        <v>0</v>
      </c>
      <c r="AM20" s="542">
        <v>50</v>
      </c>
      <c r="AN20" s="542">
        <v>0</v>
      </c>
      <c r="AO20" s="542">
        <v>0</v>
      </c>
      <c r="AP20" s="542">
        <v>0</v>
      </c>
      <c r="AQ20" s="542">
        <v>0</v>
      </c>
      <c r="AR20" s="542">
        <v>0</v>
      </c>
      <c r="AS20" s="542">
        <v>0</v>
      </c>
      <c r="AT20" s="542">
        <v>0</v>
      </c>
      <c r="AU20" s="542">
        <v>0</v>
      </c>
      <c r="AV20" s="542">
        <v>2030339</v>
      </c>
      <c r="AW20" s="542">
        <v>-950478</v>
      </c>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7"/>
      <c r="FF20" s="138"/>
    </row>
    <row r="21" spans="1:162" ht="12.75" x14ac:dyDescent="0.2">
      <c r="A21" s="93">
        <v>15</v>
      </c>
      <c r="B21" s="145" t="s">
        <v>589</v>
      </c>
      <c r="C21" s="141" t="s">
        <v>866</v>
      </c>
      <c r="D21" s="142" t="s">
        <v>867</v>
      </c>
      <c r="E21" s="149" t="s">
        <v>588</v>
      </c>
      <c r="F21" s="542">
        <v>74124534</v>
      </c>
      <c r="G21" s="542">
        <v>0</v>
      </c>
      <c r="H21" s="542">
        <v>74124534</v>
      </c>
      <c r="I21" s="542">
        <v>0</v>
      </c>
      <c r="J21" s="542">
        <v>0</v>
      </c>
      <c r="K21" s="542">
        <v>0</v>
      </c>
      <c r="L21" s="542">
        <v>1936230</v>
      </c>
      <c r="M21" s="542">
        <v>0</v>
      </c>
      <c r="N21" s="542">
        <v>1936230</v>
      </c>
      <c r="O21" s="542">
        <v>-60091</v>
      </c>
      <c r="P21" s="542">
        <v>0</v>
      </c>
      <c r="Q21" s="542">
        <v>-60091</v>
      </c>
      <c r="R21" s="542">
        <v>0</v>
      </c>
      <c r="S21" s="542">
        <v>0</v>
      </c>
      <c r="T21" s="542">
        <v>0</v>
      </c>
      <c r="U21" s="542">
        <v>39909</v>
      </c>
      <c r="V21" s="542">
        <v>0</v>
      </c>
      <c r="W21" s="542">
        <v>39909</v>
      </c>
      <c r="X21" s="542">
        <v>1963400</v>
      </c>
      <c r="Y21" s="542">
        <v>0</v>
      </c>
      <c r="Z21" s="542">
        <v>1963400</v>
      </c>
      <c r="AA21" s="542">
        <v>-5563400</v>
      </c>
      <c r="AB21" s="542">
        <v>0</v>
      </c>
      <c r="AC21" s="542">
        <v>-5563400</v>
      </c>
      <c r="AD21" s="542">
        <v>72500673</v>
      </c>
      <c r="AE21" s="542">
        <v>0</v>
      </c>
      <c r="AF21" s="542">
        <v>72500673</v>
      </c>
      <c r="AG21" s="542">
        <v>0</v>
      </c>
      <c r="AH21" s="542">
        <v>0</v>
      </c>
      <c r="AI21" s="542">
        <v>0</v>
      </c>
      <c r="AJ21" s="542">
        <v>233541</v>
      </c>
      <c r="AK21" s="542">
        <v>0</v>
      </c>
      <c r="AL21" s="542">
        <v>0</v>
      </c>
      <c r="AM21" s="542">
        <v>233541</v>
      </c>
      <c r="AN21" s="542">
        <v>0</v>
      </c>
      <c r="AO21" s="542">
        <v>0</v>
      </c>
      <c r="AP21" s="542">
        <v>0</v>
      </c>
      <c r="AQ21" s="542">
        <v>0</v>
      </c>
      <c r="AR21" s="542">
        <v>0</v>
      </c>
      <c r="AS21" s="542">
        <v>0</v>
      </c>
      <c r="AT21" s="542">
        <v>0</v>
      </c>
      <c r="AU21" s="542">
        <v>0</v>
      </c>
      <c r="AV21" s="542">
        <v>2044206</v>
      </c>
      <c r="AW21" s="542">
        <v>-1156826</v>
      </c>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7"/>
      <c r="FF21" s="138"/>
    </row>
    <row r="22" spans="1:162" ht="12.75" x14ac:dyDescent="0.2">
      <c r="A22" s="93">
        <v>16</v>
      </c>
      <c r="B22" s="145" t="s">
        <v>591</v>
      </c>
      <c r="C22" s="141" t="s">
        <v>866</v>
      </c>
      <c r="D22" s="142" t="s">
        <v>869</v>
      </c>
      <c r="E22" s="149" t="s">
        <v>590</v>
      </c>
      <c r="F22" s="542">
        <v>55014620</v>
      </c>
      <c r="G22" s="542">
        <v>0</v>
      </c>
      <c r="H22" s="542">
        <v>55014620</v>
      </c>
      <c r="I22" s="542">
        <v>-4110</v>
      </c>
      <c r="J22" s="542">
        <v>0</v>
      </c>
      <c r="K22" s="542">
        <v>-4110</v>
      </c>
      <c r="L22" s="542">
        <v>75720</v>
      </c>
      <c r="M22" s="542">
        <v>0</v>
      </c>
      <c r="N22" s="542">
        <v>75720</v>
      </c>
      <c r="O22" s="542">
        <v>-222598</v>
      </c>
      <c r="P22" s="542">
        <v>0</v>
      </c>
      <c r="Q22" s="542">
        <v>-222598</v>
      </c>
      <c r="R22" s="542">
        <v>0</v>
      </c>
      <c r="S22" s="542">
        <v>0</v>
      </c>
      <c r="T22" s="542">
        <v>0</v>
      </c>
      <c r="U22" s="542">
        <v>-278498</v>
      </c>
      <c r="V22" s="542">
        <v>0</v>
      </c>
      <c r="W22" s="542">
        <v>-278498</v>
      </c>
      <c r="X22" s="542">
        <v>1197246</v>
      </c>
      <c r="Y22" s="542">
        <v>0</v>
      </c>
      <c r="Z22" s="542">
        <v>1197246</v>
      </c>
      <c r="AA22" s="542">
        <v>-3214476</v>
      </c>
      <c r="AB22" s="542">
        <v>0</v>
      </c>
      <c r="AC22" s="542">
        <v>-3214476</v>
      </c>
      <c r="AD22" s="542">
        <v>52790502</v>
      </c>
      <c r="AE22" s="542">
        <v>0</v>
      </c>
      <c r="AF22" s="542">
        <v>52790502</v>
      </c>
      <c r="AG22" s="542">
        <v>0</v>
      </c>
      <c r="AH22" s="542">
        <v>0</v>
      </c>
      <c r="AI22" s="542">
        <v>0</v>
      </c>
      <c r="AJ22" s="542">
        <v>115279</v>
      </c>
      <c r="AK22" s="542">
        <v>0</v>
      </c>
      <c r="AL22" s="542">
        <v>0</v>
      </c>
      <c r="AM22" s="542">
        <v>115279</v>
      </c>
      <c r="AN22" s="542">
        <v>0</v>
      </c>
      <c r="AO22" s="542">
        <v>0</v>
      </c>
      <c r="AP22" s="542">
        <v>0</v>
      </c>
      <c r="AQ22" s="542">
        <v>0</v>
      </c>
      <c r="AR22" s="542">
        <v>0</v>
      </c>
      <c r="AS22" s="542">
        <v>0</v>
      </c>
      <c r="AT22" s="542">
        <v>0</v>
      </c>
      <c r="AU22" s="542">
        <v>0</v>
      </c>
      <c r="AV22" s="542">
        <v>2082875</v>
      </c>
      <c r="AW22" s="542">
        <v>-789302</v>
      </c>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c r="DE22" s="136"/>
      <c r="DF22" s="136"/>
      <c r="DG22" s="136"/>
      <c r="DH22" s="136"/>
      <c r="DI22" s="136"/>
      <c r="DJ22" s="136"/>
      <c r="DK22" s="136"/>
      <c r="DL22" s="136"/>
      <c r="DM22" s="136"/>
      <c r="DN22" s="136"/>
      <c r="DO22" s="136"/>
      <c r="DP22" s="136"/>
      <c r="DQ22" s="136"/>
      <c r="DR22" s="136"/>
      <c r="DS22" s="136"/>
      <c r="DT22" s="136"/>
      <c r="DU22" s="136"/>
      <c r="DV22" s="136"/>
      <c r="DW22" s="136"/>
      <c r="DX22" s="136"/>
      <c r="DY22" s="136"/>
      <c r="DZ22" s="136"/>
      <c r="EA22" s="136"/>
      <c r="EB22" s="136"/>
      <c r="EC22" s="136"/>
      <c r="ED22" s="136"/>
      <c r="EE22" s="136"/>
      <c r="EF22" s="136"/>
      <c r="EG22" s="136"/>
      <c r="EH22" s="136"/>
      <c r="EI22" s="136"/>
      <c r="EJ22" s="136"/>
      <c r="EK22" s="136"/>
      <c r="EL22" s="136"/>
      <c r="EM22" s="136"/>
      <c r="EN22" s="136"/>
      <c r="EO22" s="136"/>
      <c r="EP22" s="136"/>
      <c r="EQ22" s="136"/>
      <c r="ER22" s="136"/>
      <c r="ES22" s="136"/>
      <c r="ET22" s="136"/>
      <c r="EU22" s="136"/>
      <c r="EV22" s="136"/>
      <c r="EW22" s="136"/>
      <c r="EX22" s="136"/>
      <c r="EY22" s="136"/>
      <c r="EZ22" s="136"/>
      <c r="FA22" s="136"/>
      <c r="FB22" s="136"/>
      <c r="FC22" s="136"/>
      <c r="FD22" s="136"/>
      <c r="FE22" s="137"/>
      <c r="FF22" s="138"/>
    </row>
    <row r="23" spans="1:162" ht="12.75" x14ac:dyDescent="0.2">
      <c r="A23" s="93">
        <v>17</v>
      </c>
      <c r="B23" s="145" t="s">
        <v>593</v>
      </c>
      <c r="C23" s="141" t="s">
        <v>770</v>
      </c>
      <c r="D23" s="142" t="s">
        <v>875</v>
      </c>
      <c r="E23" s="149" t="s">
        <v>592</v>
      </c>
      <c r="F23" s="542">
        <v>57372687</v>
      </c>
      <c r="G23" s="542">
        <v>5482100</v>
      </c>
      <c r="H23" s="542">
        <v>62854787</v>
      </c>
      <c r="I23" s="542">
        <v>0</v>
      </c>
      <c r="J23" s="542">
        <v>0</v>
      </c>
      <c r="K23" s="542">
        <v>0</v>
      </c>
      <c r="L23" s="542">
        <v>98029</v>
      </c>
      <c r="M23" s="542">
        <v>19529</v>
      </c>
      <c r="N23" s="542">
        <v>117558</v>
      </c>
      <c r="O23" s="542">
        <v>-309338</v>
      </c>
      <c r="P23" s="542">
        <v>-13829</v>
      </c>
      <c r="Q23" s="542">
        <v>-323167</v>
      </c>
      <c r="R23" s="542">
        <v>0</v>
      </c>
      <c r="S23" s="542">
        <v>0</v>
      </c>
      <c r="T23" s="542">
        <v>0</v>
      </c>
      <c r="U23" s="542">
        <v>-343489</v>
      </c>
      <c r="V23" s="542">
        <v>-10267</v>
      </c>
      <c r="W23" s="542">
        <v>-353756</v>
      </c>
      <c r="X23" s="542">
        <v>1585206</v>
      </c>
      <c r="Y23" s="542">
        <v>386924</v>
      </c>
      <c r="Z23" s="542">
        <v>1972130</v>
      </c>
      <c r="AA23" s="542">
        <v>-2987892</v>
      </c>
      <c r="AB23" s="542">
        <v>-305390</v>
      </c>
      <c r="AC23" s="542">
        <v>-3293282</v>
      </c>
      <c r="AD23" s="542">
        <v>55724541</v>
      </c>
      <c r="AE23" s="542">
        <v>5572896</v>
      </c>
      <c r="AF23" s="542">
        <v>61297437</v>
      </c>
      <c r="AG23" s="542">
        <v>5572896</v>
      </c>
      <c r="AH23" s="542">
        <v>0</v>
      </c>
      <c r="AI23" s="542">
        <v>5572896</v>
      </c>
      <c r="AJ23" s="542">
        <v>0</v>
      </c>
      <c r="AK23" s="542">
        <v>0</v>
      </c>
      <c r="AL23" s="542">
        <v>0</v>
      </c>
      <c r="AM23" s="542">
        <v>0</v>
      </c>
      <c r="AN23" s="542">
        <v>-36363</v>
      </c>
      <c r="AO23" s="542">
        <v>0</v>
      </c>
      <c r="AP23" s="542">
        <v>-36363</v>
      </c>
      <c r="AQ23" s="542">
        <v>4794705</v>
      </c>
      <c r="AR23" s="542">
        <v>0</v>
      </c>
      <c r="AS23" s="542">
        <v>741828</v>
      </c>
      <c r="AT23" s="542">
        <v>0</v>
      </c>
      <c r="AU23" s="542">
        <v>741828</v>
      </c>
      <c r="AV23" s="542">
        <v>2442090</v>
      </c>
      <c r="AW23" s="542">
        <v>-1351954</v>
      </c>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c r="DE23" s="136"/>
      <c r="DF23" s="136"/>
      <c r="DG23" s="136"/>
      <c r="DH23" s="136"/>
      <c r="DI23" s="136"/>
      <c r="DJ23" s="136"/>
      <c r="DK23" s="136"/>
      <c r="DL23" s="136"/>
      <c r="DM23" s="136"/>
      <c r="DN23" s="136"/>
      <c r="DO23" s="136"/>
      <c r="DP23" s="136"/>
      <c r="DQ23" s="136"/>
      <c r="DR23" s="136"/>
      <c r="DS23" s="136"/>
      <c r="DT23" s="136"/>
      <c r="DU23" s="136"/>
      <c r="DV23" s="136"/>
      <c r="DW23" s="136"/>
      <c r="DX23" s="136"/>
      <c r="DY23" s="136"/>
      <c r="DZ23" s="136"/>
      <c r="EA23" s="136"/>
      <c r="EB23" s="136"/>
      <c r="EC23" s="136"/>
      <c r="ED23" s="136"/>
      <c r="EE23" s="136"/>
      <c r="EF23" s="136"/>
      <c r="EG23" s="136"/>
      <c r="EH23" s="136"/>
      <c r="EI23" s="136"/>
      <c r="EJ23" s="136"/>
      <c r="EK23" s="136"/>
      <c r="EL23" s="136"/>
      <c r="EM23" s="136"/>
      <c r="EN23" s="136"/>
      <c r="EO23" s="136"/>
      <c r="EP23" s="136"/>
      <c r="EQ23" s="136"/>
      <c r="ER23" s="136"/>
      <c r="ES23" s="136"/>
      <c r="ET23" s="136"/>
      <c r="EU23" s="136"/>
      <c r="EV23" s="136"/>
      <c r="EW23" s="136"/>
      <c r="EX23" s="136"/>
      <c r="EY23" s="136"/>
      <c r="EZ23" s="136"/>
      <c r="FA23" s="136"/>
      <c r="FB23" s="136"/>
      <c r="FC23" s="136"/>
      <c r="FD23" s="136"/>
      <c r="FE23" s="137"/>
      <c r="FF23" s="138"/>
    </row>
    <row r="24" spans="1:162" ht="12.75" x14ac:dyDescent="0.2">
      <c r="A24" s="93">
        <v>18</v>
      </c>
      <c r="B24" s="145" t="s">
        <v>595</v>
      </c>
      <c r="C24" s="141" t="s">
        <v>770</v>
      </c>
      <c r="D24" s="142" t="s">
        <v>870</v>
      </c>
      <c r="E24" s="149" t="s">
        <v>594</v>
      </c>
      <c r="F24" s="542">
        <v>64181907</v>
      </c>
      <c r="G24" s="542">
        <v>0</v>
      </c>
      <c r="H24" s="542">
        <v>64181907</v>
      </c>
      <c r="I24" s="542">
        <v>-17</v>
      </c>
      <c r="J24" s="542">
        <v>0</v>
      </c>
      <c r="K24" s="542">
        <v>-17</v>
      </c>
      <c r="L24" s="542">
        <v>333589</v>
      </c>
      <c r="M24" s="542">
        <v>0</v>
      </c>
      <c r="N24" s="542">
        <v>333589</v>
      </c>
      <c r="O24" s="542">
        <v>-264214</v>
      </c>
      <c r="P24" s="542">
        <v>0</v>
      </c>
      <c r="Q24" s="542">
        <v>-264214</v>
      </c>
      <c r="R24" s="542">
        <v>0</v>
      </c>
      <c r="S24" s="542">
        <v>0</v>
      </c>
      <c r="T24" s="542">
        <v>0</v>
      </c>
      <c r="U24" s="542">
        <v>-492613</v>
      </c>
      <c r="V24" s="542">
        <v>0</v>
      </c>
      <c r="W24" s="542">
        <v>-492613</v>
      </c>
      <c r="X24" s="542">
        <v>1686892</v>
      </c>
      <c r="Y24" s="542">
        <v>0</v>
      </c>
      <c r="Z24" s="542">
        <v>1686892</v>
      </c>
      <c r="AA24" s="542">
        <v>-4151973</v>
      </c>
      <c r="AB24" s="542">
        <v>0</v>
      </c>
      <c r="AC24" s="542">
        <v>-4151973</v>
      </c>
      <c r="AD24" s="542">
        <v>61557785</v>
      </c>
      <c r="AE24" s="542">
        <v>0</v>
      </c>
      <c r="AF24" s="542">
        <v>61557785</v>
      </c>
      <c r="AG24" s="542">
        <v>0</v>
      </c>
      <c r="AH24" s="542">
        <v>0</v>
      </c>
      <c r="AI24" s="542">
        <v>0</v>
      </c>
      <c r="AJ24" s="542">
        <v>0</v>
      </c>
      <c r="AK24" s="542">
        <v>0</v>
      </c>
      <c r="AL24" s="542">
        <v>0</v>
      </c>
      <c r="AM24" s="542">
        <v>0</v>
      </c>
      <c r="AN24" s="542">
        <v>0</v>
      </c>
      <c r="AO24" s="542">
        <v>0</v>
      </c>
      <c r="AP24" s="542">
        <v>0</v>
      </c>
      <c r="AQ24" s="542">
        <v>0</v>
      </c>
      <c r="AR24" s="542">
        <v>0</v>
      </c>
      <c r="AS24" s="542">
        <v>0</v>
      </c>
      <c r="AT24" s="542">
        <v>0</v>
      </c>
      <c r="AU24" s="542">
        <v>0</v>
      </c>
      <c r="AV24" s="542">
        <v>2116914</v>
      </c>
      <c r="AW24" s="542">
        <v>-286072</v>
      </c>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c r="DE24" s="136"/>
      <c r="DF24" s="136"/>
      <c r="DG24" s="136"/>
      <c r="DH24" s="136"/>
      <c r="DI24" s="136"/>
      <c r="DJ24" s="136"/>
      <c r="DK24" s="136"/>
      <c r="DL24" s="136"/>
      <c r="DM24" s="136"/>
      <c r="DN24" s="136"/>
      <c r="DO24" s="136"/>
      <c r="DP24" s="136"/>
      <c r="DQ24" s="136"/>
      <c r="DR24" s="136"/>
      <c r="DS24" s="136"/>
      <c r="DT24" s="136"/>
      <c r="DU24" s="136"/>
      <c r="DV24" s="136"/>
      <c r="DW24" s="136"/>
      <c r="DX24" s="136"/>
      <c r="DY24" s="136"/>
      <c r="DZ24" s="136"/>
      <c r="EA24" s="136"/>
      <c r="EB24" s="136"/>
      <c r="EC24" s="136"/>
      <c r="ED24" s="136"/>
      <c r="EE24" s="136"/>
      <c r="EF24" s="136"/>
      <c r="EG24" s="136"/>
      <c r="EH24" s="136"/>
      <c r="EI24" s="136"/>
      <c r="EJ24" s="136"/>
      <c r="EK24" s="136"/>
      <c r="EL24" s="136"/>
      <c r="EM24" s="136"/>
      <c r="EN24" s="136"/>
      <c r="EO24" s="136"/>
      <c r="EP24" s="136"/>
      <c r="EQ24" s="136"/>
      <c r="ER24" s="136"/>
      <c r="ES24" s="136"/>
      <c r="ET24" s="136"/>
      <c r="EU24" s="136"/>
      <c r="EV24" s="136"/>
      <c r="EW24" s="136"/>
      <c r="EX24" s="136"/>
      <c r="EY24" s="136"/>
      <c r="EZ24" s="136"/>
      <c r="FA24" s="136"/>
      <c r="FB24" s="136"/>
      <c r="FC24" s="136"/>
      <c r="FD24" s="136"/>
      <c r="FE24" s="137"/>
      <c r="FF24" s="138"/>
    </row>
    <row r="25" spans="1:162" ht="12.75" x14ac:dyDescent="0.2">
      <c r="A25" s="93">
        <v>19</v>
      </c>
      <c r="B25" s="145" t="s">
        <v>597</v>
      </c>
      <c r="C25" s="141" t="s">
        <v>871</v>
      </c>
      <c r="D25" s="142" t="s">
        <v>872</v>
      </c>
      <c r="E25" s="149" t="s">
        <v>596</v>
      </c>
      <c r="F25" s="542">
        <v>66003945</v>
      </c>
      <c r="G25" s="542">
        <v>0</v>
      </c>
      <c r="H25" s="542">
        <v>66003945</v>
      </c>
      <c r="I25" s="542">
        <v>-4659</v>
      </c>
      <c r="J25" s="542">
        <v>0</v>
      </c>
      <c r="K25" s="542">
        <v>-4659</v>
      </c>
      <c r="L25" s="542">
        <v>402886</v>
      </c>
      <c r="M25" s="542">
        <v>0</v>
      </c>
      <c r="N25" s="542">
        <v>402886</v>
      </c>
      <c r="O25" s="542">
        <v>0</v>
      </c>
      <c r="P25" s="542">
        <v>0</v>
      </c>
      <c r="Q25" s="542">
        <v>0</v>
      </c>
      <c r="R25" s="542">
        <v>-361545</v>
      </c>
      <c r="S25" s="542">
        <v>0</v>
      </c>
      <c r="T25" s="542">
        <v>-361545</v>
      </c>
      <c r="U25" s="542">
        <v>99000</v>
      </c>
      <c r="V25" s="542">
        <v>0</v>
      </c>
      <c r="W25" s="542">
        <v>99000</v>
      </c>
      <c r="X25" s="542">
        <v>0</v>
      </c>
      <c r="Y25" s="542">
        <v>0</v>
      </c>
      <c r="Z25" s="542">
        <v>0</v>
      </c>
      <c r="AA25" s="542">
        <v>-1203883</v>
      </c>
      <c r="AB25" s="542">
        <v>0</v>
      </c>
      <c r="AC25" s="542">
        <v>-1203883</v>
      </c>
      <c r="AD25" s="542">
        <v>64935744</v>
      </c>
      <c r="AE25" s="542">
        <v>0</v>
      </c>
      <c r="AF25" s="542">
        <v>64935744</v>
      </c>
      <c r="AG25" s="542">
        <v>0</v>
      </c>
      <c r="AH25" s="542">
        <v>0</v>
      </c>
      <c r="AI25" s="542">
        <v>0</v>
      </c>
      <c r="AJ25" s="542">
        <v>0</v>
      </c>
      <c r="AK25" s="542">
        <v>0</v>
      </c>
      <c r="AL25" s="542">
        <v>0</v>
      </c>
      <c r="AM25" s="542">
        <v>0</v>
      </c>
      <c r="AN25" s="542">
        <v>0</v>
      </c>
      <c r="AO25" s="542">
        <v>0</v>
      </c>
      <c r="AP25" s="542">
        <v>0</v>
      </c>
      <c r="AQ25" s="542">
        <v>0</v>
      </c>
      <c r="AR25" s="542">
        <v>0</v>
      </c>
      <c r="AS25" s="542">
        <v>0</v>
      </c>
      <c r="AT25" s="542">
        <v>0</v>
      </c>
      <c r="AU25" s="542">
        <v>0</v>
      </c>
      <c r="AV25" s="542">
        <v>2431843</v>
      </c>
      <c r="AW25" s="542">
        <v>-4709988</v>
      </c>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c r="EF25" s="136"/>
      <c r="EG25" s="136"/>
      <c r="EH25" s="136"/>
      <c r="EI25" s="136"/>
      <c r="EJ25" s="136"/>
      <c r="EK25" s="136"/>
      <c r="EL25" s="136"/>
      <c r="EM25" s="136"/>
      <c r="EN25" s="136"/>
      <c r="EO25" s="136"/>
      <c r="EP25" s="136"/>
      <c r="EQ25" s="136"/>
      <c r="ER25" s="136"/>
      <c r="ES25" s="136"/>
      <c r="ET25" s="136"/>
      <c r="EU25" s="136"/>
      <c r="EV25" s="136"/>
      <c r="EW25" s="136"/>
      <c r="EX25" s="136"/>
      <c r="EY25" s="136"/>
      <c r="EZ25" s="136"/>
      <c r="FA25" s="136"/>
      <c r="FB25" s="136"/>
      <c r="FC25" s="136"/>
      <c r="FD25" s="136"/>
      <c r="FE25" s="137"/>
      <c r="FF25" s="138"/>
    </row>
    <row r="26" spans="1:162" ht="12.75" x14ac:dyDescent="0.2">
      <c r="A26" s="93">
        <v>20</v>
      </c>
      <c r="B26" s="145" t="s">
        <v>599</v>
      </c>
      <c r="C26" s="141" t="s">
        <v>873</v>
      </c>
      <c r="D26" s="142" t="s">
        <v>876</v>
      </c>
      <c r="E26" s="149" t="s">
        <v>598</v>
      </c>
      <c r="F26" s="542">
        <v>405965840</v>
      </c>
      <c r="G26" s="542">
        <v>4869216</v>
      </c>
      <c r="H26" s="542">
        <v>410835056</v>
      </c>
      <c r="I26" s="542">
        <v>-18783</v>
      </c>
      <c r="J26" s="542">
        <v>0</v>
      </c>
      <c r="K26" s="542">
        <v>-18783</v>
      </c>
      <c r="L26" s="542">
        <v>0</v>
      </c>
      <c r="M26" s="542">
        <v>0</v>
      </c>
      <c r="N26" s="542">
        <v>0</v>
      </c>
      <c r="O26" s="542">
        <v>-11055307</v>
      </c>
      <c r="P26" s="542">
        <v>-102947</v>
      </c>
      <c r="Q26" s="542">
        <v>-11158254</v>
      </c>
      <c r="R26" s="542">
        <v>0</v>
      </c>
      <c r="S26" s="542">
        <v>0</v>
      </c>
      <c r="T26" s="542">
        <v>0</v>
      </c>
      <c r="U26" s="542">
        <v>-9073473</v>
      </c>
      <c r="V26" s="542">
        <v>-177918</v>
      </c>
      <c r="W26" s="542">
        <v>-9251391</v>
      </c>
      <c r="X26" s="542">
        <v>28497894</v>
      </c>
      <c r="Y26" s="542">
        <v>245382</v>
      </c>
      <c r="Z26" s="542">
        <v>28743276</v>
      </c>
      <c r="AA26" s="542">
        <v>-29810567</v>
      </c>
      <c r="AB26" s="542">
        <v>227804</v>
      </c>
      <c r="AC26" s="542">
        <v>-29582763</v>
      </c>
      <c r="AD26" s="542">
        <v>395560911</v>
      </c>
      <c r="AE26" s="542">
        <v>5164484</v>
      </c>
      <c r="AF26" s="542">
        <v>400725395</v>
      </c>
      <c r="AG26" s="542">
        <v>5164484</v>
      </c>
      <c r="AH26" s="542">
        <v>0</v>
      </c>
      <c r="AI26" s="542">
        <v>5164484</v>
      </c>
      <c r="AJ26" s="542">
        <v>0</v>
      </c>
      <c r="AK26" s="542">
        <v>0</v>
      </c>
      <c r="AL26" s="542">
        <v>0</v>
      </c>
      <c r="AM26" s="542">
        <v>0</v>
      </c>
      <c r="AN26" s="542">
        <v>1236</v>
      </c>
      <c r="AO26" s="542">
        <v>0</v>
      </c>
      <c r="AP26" s="542">
        <v>1236</v>
      </c>
      <c r="AQ26" s="542">
        <v>3951049</v>
      </c>
      <c r="AR26" s="542">
        <v>0</v>
      </c>
      <c r="AS26" s="542">
        <v>1214671</v>
      </c>
      <c r="AT26" s="542">
        <v>0</v>
      </c>
      <c r="AU26" s="542">
        <v>1214671</v>
      </c>
      <c r="AV26" s="542">
        <v>93903706</v>
      </c>
      <c r="AW26" s="542">
        <v>-15027240</v>
      </c>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DA26" s="136"/>
      <c r="DB26" s="136"/>
      <c r="DC26" s="136"/>
      <c r="DD26" s="136"/>
      <c r="DE26" s="136"/>
      <c r="DF26" s="136"/>
      <c r="DG26" s="136"/>
      <c r="DH26" s="136"/>
      <c r="DI26" s="136"/>
      <c r="DJ26" s="136"/>
      <c r="DK26" s="136"/>
      <c r="DL26" s="136"/>
      <c r="DM26" s="136"/>
      <c r="DN26" s="136"/>
      <c r="DO26" s="136"/>
      <c r="DP26" s="136"/>
      <c r="DQ26" s="136"/>
      <c r="DR26" s="136"/>
      <c r="DS26" s="136"/>
      <c r="DT26" s="136"/>
      <c r="DU26" s="136"/>
      <c r="DV26" s="136"/>
      <c r="DW26" s="136"/>
      <c r="DX26" s="136"/>
      <c r="DY26" s="136"/>
      <c r="DZ26" s="136"/>
      <c r="EA26" s="136"/>
      <c r="EB26" s="136"/>
      <c r="EC26" s="136"/>
      <c r="ED26" s="136"/>
      <c r="EE26" s="136"/>
      <c r="EF26" s="136"/>
      <c r="EG26" s="136"/>
      <c r="EH26" s="136"/>
      <c r="EI26" s="136"/>
      <c r="EJ26" s="136"/>
      <c r="EK26" s="136"/>
      <c r="EL26" s="136"/>
      <c r="EM26" s="136"/>
      <c r="EN26" s="136"/>
      <c r="EO26" s="136"/>
      <c r="EP26" s="136"/>
      <c r="EQ26" s="136"/>
      <c r="ER26" s="136"/>
      <c r="ES26" s="136"/>
      <c r="ET26" s="136"/>
      <c r="EU26" s="136"/>
      <c r="EV26" s="136"/>
      <c r="EW26" s="136"/>
      <c r="EX26" s="136"/>
      <c r="EY26" s="136"/>
      <c r="EZ26" s="136"/>
      <c r="FA26" s="136"/>
      <c r="FB26" s="136"/>
      <c r="FC26" s="136"/>
      <c r="FD26" s="136"/>
      <c r="FE26" s="137"/>
      <c r="FF26" s="138"/>
    </row>
    <row r="27" spans="1:162" ht="12.75" x14ac:dyDescent="0.2">
      <c r="A27" s="93">
        <v>21</v>
      </c>
      <c r="B27" s="145" t="s">
        <v>601</v>
      </c>
      <c r="C27" s="141" t="s">
        <v>866</v>
      </c>
      <c r="D27" s="142" t="s">
        <v>869</v>
      </c>
      <c r="E27" s="149" t="s">
        <v>600</v>
      </c>
      <c r="F27" s="542">
        <v>41808195</v>
      </c>
      <c r="G27" s="542">
        <v>0</v>
      </c>
      <c r="H27" s="542">
        <v>41808195</v>
      </c>
      <c r="I27" s="542">
        <v>0</v>
      </c>
      <c r="J27" s="542">
        <v>0</v>
      </c>
      <c r="K27" s="542">
        <v>0</v>
      </c>
      <c r="L27" s="542">
        <v>241557</v>
      </c>
      <c r="M27" s="542">
        <v>0</v>
      </c>
      <c r="N27" s="542">
        <v>241557</v>
      </c>
      <c r="O27" s="542">
        <v>0</v>
      </c>
      <c r="P27" s="542">
        <v>0</v>
      </c>
      <c r="Q27" s="542">
        <v>0</v>
      </c>
      <c r="R27" s="542">
        <v>-217047</v>
      </c>
      <c r="S27" s="542">
        <v>0</v>
      </c>
      <c r="T27" s="542">
        <v>-217047</v>
      </c>
      <c r="U27" s="542">
        <v>10027</v>
      </c>
      <c r="V27" s="542">
        <v>0</v>
      </c>
      <c r="W27" s="542">
        <v>10027</v>
      </c>
      <c r="X27" s="542">
        <v>695645</v>
      </c>
      <c r="Y27" s="542">
        <v>0</v>
      </c>
      <c r="Z27" s="542">
        <v>695645</v>
      </c>
      <c r="AA27" s="542">
        <v>-2981477</v>
      </c>
      <c r="AB27" s="542">
        <v>0</v>
      </c>
      <c r="AC27" s="542">
        <v>-2981477</v>
      </c>
      <c r="AD27" s="542">
        <v>39556900</v>
      </c>
      <c r="AE27" s="542">
        <v>0</v>
      </c>
      <c r="AF27" s="542">
        <v>39556900</v>
      </c>
      <c r="AG27" s="542">
        <v>0</v>
      </c>
      <c r="AH27" s="542">
        <v>0</v>
      </c>
      <c r="AI27" s="542">
        <v>0</v>
      </c>
      <c r="AJ27" s="542">
        <v>0</v>
      </c>
      <c r="AK27" s="542">
        <v>0</v>
      </c>
      <c r="AL27" s="542">
        <v>0</v>
      </c>
      <c r="AM27" s="542">
        <v>0</v>
      </c>
      <c r="AN27" s="542">
        <v>0</v>
      </c>
      <c r="AO27" s="542">
        <v>0</v>
      </c>
      <c r="AP27" s="542">
        <v>0</v>
      </c>
      <c r="AQ27" s="542">
        <v>0</v>
      </c>
      <c r="AR27" s="542">
        <v>0</v>
      </c>
      <c r="AS27" s="542">
        <v>0</v>
      </c>
      <c r="AT27" s="542">
        <v>0</v>
      </c>
      <c r="AU27" s="542">
        <v>0</v>
      </c>
      <c r="AV27" s="542">
        <v>675685</v>
      </c>
      <c r="AW27" s="542">
        <v>-1082291</v>
      </c>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DA27" s="136"/>
      <c r="DB27" s="136"/>
      <c r="DC27" s="136"/>
      <c r="DD27" s="136"/>
      <c r="DE27" s="136"/>
      <c r="DF27" s="136"/>
      <c r="DG27" s="136"/>
      <c r="DH27" s="136"/>
      <c r="DI27" s="136"/>
      <c r="DJ27" s="136"/>
      <c r="DK27" s="136"/>
      <c r="DL27" s="136"/>
      <c r="DM27" s="136"/>
      <c r="DN27" s="136"/>
      <c r="DO27" s="136"/>
      <c r="DP27" s="136"/>
      <c r="DQ27" s="136"/>
      <c r="DR27" s="136"/>
      <c r="DS27" s="136"/>
      <c r="DT27" s="136"/>
      <c r="DU27" s="136"/>
      <c r="DV27" s="136"/>
      <c r="DW27" s="136"/>
      <c r="DX27" s="136"/>
      <c r="DY27" s="136"/>
      <c r="DZ27" s="136"/>
      <c r="EA27" s="136"/>
      <c r="EB27" s="136"/>
      <c r="EC27" s="136"/>
      <c r="ED27" s="136"/>
      <c r="EE27" s="136"/>
      <c r="EF27" s="136"/>
      <c r="EG27" s="136"/>
      <c r="EH27" s="136"/>
      <c r="EI27" s="136"/>
      <c r="EJ27" s="136"/>
      <c r="EK27" s="136"/>
      <c r="EL27" s="136"/>
      <c r="EM27" s="136"/>
      <c r="EN27" s="136"/>
      <c r="EO27" s="136"/>
      <c r="EP27" s="136"/>
      <c r="EQ27" s="136"/>
      <c r="ER27" s="136"/>
      <c r="ES27" s="136"/>
      <c r="ET27" s="136"/>
      <c r="EU27" s="136"/>
      <c r="EV27" s="136"/>
      <c r="EW27" s="136"/>
      <c r="EX27" s="136"/>
      <c r="EY27" s="136"/>
      <c r="EZ27" s="136"/>
      <c r="FA27" s="136"/>
      <c r="FB27" s="136"/>
      <c r="FC27" s="136"/>
      <c r="FD27" s="136"/>
      <c r="FE27" s="137"/>
      <c r="FF27" s="138"/>
    </row>
    <row r="28" spans="1:162" ht="12.75" x14ac:dyDescent="0.2">
      <c r="A28" s="93">
        <v>22</v>
      </c>
      <c r="B28" s="145" t="s">
        <v>603</v>
      </c>
      <c r="C28" s="141" t="s">
        <v>770</v>
      </c>
      <c r="D28" s="142" t="s">
        <v>868</v>
      </c>
      <c r="E28" s="149" t="s">
        <v>689</v>
      </c>
      <c r="F28" s="542">
        <v>47855617</v>
      </c>
      <c r="G28" s="542">
        <v>0</v>
      </c>
      <c r="H28" s="542">
        <v>47855617</v>
      </c>
      <c r="I28" s="542">
        <v>0</v>
      </c>
      <c r="J28" s="542">
        <v>0</v>
      </c>
      <c r="K28" s="542">
        <v>0</v>
      </c>
      <c r="L28" s="542">
        <v>63362</v>
      </c>
      <c r="M28" s="542">
        <v>0</v>
      </c>
      <c r="N28" s="542">
        <v>63362</v>
      </c>
      <c r="O28" s="542">
        <v>-439677</v>
      </c>
      <c r="P28" s="542">
        <v>0</v>
      </c>
      <c r="Q28" s="542">
        <v>-439677</v>
      </c>
      <c r="R28" s="542">
        <v>0</v>
      </c>
      <c r="S28" s="542">
        <v>0</v>
      </c>
      <c r="T28" s="542">
        <v>0</v>
      </c>
      <c r="U28" s="542">
        <v>-532677</v>
      </c>
      <c r="V28" s="542">
        <v>0</v>
      </c>
      <c r="W28" s="542">
        <v>-532677</v>
      </c>
      <c r="X28" s="542">
        <v>2093843</v>
      </c>
      <c r="Y28" s="542">
        <v>0</v>
      </c>
      <c r="Z28" s="542">
        <v>2093843</v>
      </c>
      <c r="AA28" s="542">
        <v>-2582793</v>
      </c>
      <c r="AB28" s="542">
        <v>0</v>
      </c>
      <c r="AC28" s="542">
        <v>-2582793</v>
      </c>
      <c r="AD28" s="542">
        <v>46897352</v>
      </c>
      <c r="AE28" s="542">
        <v>0</v>
      </c>
      <c r="AF28" s="542">
        <v>46897352</v>
      </c>
      <c r="AG28" s="542">
        <v>0</v>
      </c>
      <c r="AH28" s="542">
        <v>0</v>
      </c>
      <c r="AI28" s="542">
        <v>0</v>
      </c>
      <c r="AJ28" s="542">
        <v>0</v>
      </c>
      <c r="AK28" s="542">
        <v>0</v>
      </c>
      <c r="AL28" s="542">
        <v>0</v>
      </c>
      <c r="AM28" s="542">
        <v>0</v>
      </c>
      <c r="AN28" s="542">
        <v>0</v>
      </c>
      <c r="AO28" s="542">
        <v>0</v>
      </c>
      <c r="AP28" s="542">
        <v>0</v>
      </c>
      <c r="AQ28" s="542">
        <v>0</v>
      </c>
      <c r="AR28" s="542">
        <v>0</v>
      </c>
      <c r="AS28" s="542">
        <v>0</v>
      </c>
      <c r="AT28" s="542">
        <v>0</v>
      </c>
      <c r="AU28" s="542">
        <v>0</v>
      </c>
      <c r="AV28" s="542">
        <v>2556378</v>
      </c>
      <c r="AW28" s="542">
        <v>-628770</v>
      </c>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c r="DJ28" s="136"/>
      <c r="DK28" s="136"/>
      <c r="DL28" s="136"/>
      <c r="DM28" s="136"/>
      <c r="DN28" s="136"/>
      <c r="DO28" s="136"/>
      <c r="DP28" s="136"/>
      <c r="DQ28" s="136"/>
      <c r="DR28" s="136"/>
      <c r="DS28" s="136"/>
      <c r="DT28" s="136"/>
      <c r="DU28" s="136"/>
      <c r="DV28" s="136"/>
      <c r="DW28" s="136"/>
      <c r="DX28" s="136"/>
      <c r="DY28" s="136"/>
      <c r="DZ28" s="136"/>
      <c r="EA28" s="136"/>
      <c r="EB28" s="136"/>
      <c r="EC28" s="136"/>
      <c r="ED28" s="136"/>
      <c r="EE28" s="136"/>
      <c r="EF28" s="136"/>
      <c r="EG28" s="136"/>
      <c r="EH28" s="136"/>
      <c r="EI28" s="136"/>
      <c r="EJ28" s="136"/>
      <c r="EK28" s="136"/>
      <c r="EL28" s="136"/>
      <c r="EM28" s="136"/>
      <c r="EN28" s="136"/>
      <c r="EO28" s="136"/>
      <c r="EP28" s="136"/>
      <c r="EQ28" s="136"/>
      <c r="ER28" s="136"/>
      <c r="ES28" s="136"/>
      <c r="ET28" s="136"/>
      <c r="EU28" s="136"/>
      <c r="EV28" s="136"/>
      <c r="EW28" s="136"/>
      <c r="EX28" s="136"/>
      <c r="EY28" s="136"/>
      <c r="EZ28" s="136"/>
      <c r="FA28" s="136"/>
      <c r="FB28" s="136"/>
      <c r="FC28" s="136"/>
      <c r="FD28" s="136"/>
      <c r="FE28" s="137"/>
      <c r="FF28" s="138"/>
    </row>
    <row r="29" spans="1:162" ht="12.75" x14ac:dyDescent="0.2">
      <c r="A29" s="93">
        <v>23</v>
      </c>
      <c r="B29" s="145" t="s">
        <v>605</v>
      </c>
      <c r="C29" s="141" t="s">
        <v>770</v>
      </c>
      <c r="D29" s="142" t="s">
        <v>868</v>
      </c>
      <c r="E29" s="149" t="s">
        <v>690</v>
      </c>
      <c r="F29" s="542">
        <v>49449678</v>
      </c>
      <c r="G29" s="542">
        <v>0</v>
      </c>
      <c r="H29" s="542">
        <v>49449678</v>
      </c>
      <c r="I29" s="542">
        <v>-2065</v>
      </c>
      <c r="J29" s="542">
        <v>0</v>
      </c>
      <c r="K29" s="542">
        <v>-2065</v>
      </c>
      <c r="L29" s="542">
        <v>95807</v>
      </c>
      <c r="M29" s="542">
        <v>0</v>
      </c>
      <c r="N29" s="542">
        <v>95807</v>
      </c>
      <c r="O29" s="542">
        <v>-1769447</v>
      </c>
      <c r="P29" s="542">
        <v>0</v>
      </c>
      <c r="Q29" s="542">
        <v>-1769447</v>
      </c>
      <c r="R29" s="542">
        <v>0</v>
      </c>
      <c r="S29" s="542">
        <v>0</v>
      </c>
      <c r="T29" s="542">
        <v>0</v>
      </c>
      <c r="U29" s="542">
        <v>-2024216</v>
      </c>
      <c r="V29" s="542">
        <v>0</v>
      </c>
      <c r="W29" s="542">
        <v>-2024216</v>
      </c>
      <c r="X29" s="542">
        <v>3089374</v>
      </c>
      <c r="Y29" s="542">
        <v>0</v>
      </c>
      <c r="Z29" s="542">
        <v>3089374</v>
      </c>
      <c r="AA29" s="542">
        <v>-9022458</v>
      </c>
      <c r="AB29" s="542">
        <v>0</v>
      </c>
      <c r="AC29" s="542">
        <v>-9022458</v>
      </c>
      <c r="AD29" s="542">
        <v>41586120</v>
      </c>
      <c r="AE29" s="542">
        <v>0</v>
      </c>
      <c r="AF29" s="542">
        <v>41586120</v>
      </c>
      <c r="AG29" s="542">
        <v>0</v>
      </c>
      <c r="AH29" s="542">
        <v>0</v>
      </c>
      <c r="AI29" s="542">
        <v>0</v>
      </c>
      <c r="AJ29" s="542">
        <v>0</v>
      </c>
      <c r="AK29" s="542">
        <v>0</v>
      </c>
      <c r="AL29" s="542">
        <v>0</v>
      </c>
      <c r="AM29" s="542">
        <v>0</v>
      </c>
      <c r="AN29" s="542">
        <v>0</v>
      </c>
      <c r="AO29" s="542">
        <v>0</v>
      </c>
      <c r="AP29" s="542">
        <v>0</v>
      </c>
      <c r="AQ29" s="542">
        <v>0</v>
      </c>
      <c r="AR29" s="542">
        <v>0</v>
      </c>
      <c r="AS29" s="542">
        <v>0</v>
      </c>
      <c r="AT29" s="542">
        <v>0</v>
      </c>
      <c r="AU29" s="542">
        <v>0</v>
      </c>
      <c r="AV29" s="542">
        <v>4506147</v>
      </c>
      <c r="AW29" s="542">
        <v>-342469</v>
      </c>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7"/>
      <c r="FF29" s="138"/>
    </row>
    <row r="30" spans="1:162" ht="12.75" x14ac:dyDescent="0.2">
      <c r="A30" s="93">
        <v>24</v>
      </c>
      <c r="B30" s="145" t="s">
        <v>607</v>
      </c>
      <c r="C30" s="141" t="s">
        <v>866</v>
      </c>
      <c r="D30" s="142" t="s">
        <v>869</v>
      </c>
      <c r="E30" s="149" t="s">
        <v>606</v>
      </c>
      <c r="F30" s="542">
        <v>23476637</v>
      </c>
      <c r="G30" s="542">
        <v>0</v>
      </c>
      <c r="H30" s="542">
        <v>23476637</v>
      </c>
      <c r="I30" s="542">
        <v>0</v>
      </c>
      <c r="J30" s="542">
        <v>0</v>
      </c>
      <c r="K30" s="542">
        <v>0</v>
      </c>
      <c r="L30" s="542">
        <v>62061</v>
      </c>
      <c r="M30" s="542">
        <v>0</v>
      </c>
      <c r="N30" s="542">
        <v>62061</v>
      </c>
      <c r="O30" s="542">
        <v>0</v>
      </c>
      <c r="P30" s="542">
        <v>0</v>
      </c>
      <c r="Q30" s="542">
        <v>0</v>
      </c>
      <c r="R30" s="542">
        <v>-89943</v>
      </c>
      <c r="S30" s="542">
        <v>0</v>
      </c>
      <c r="T30" s="542">
        <v>-89943</v>
      </c>
      <c r="U30" s="542">
        <v>-58860</v>
      </c>
      <c r="V30" s="542">
        <v>0</v>
      </c>
      <c r="W30" s="542">
        <v>-58860</v>
      </c>
      <c r="X30" s="542">
        <v>370163</v>
      </c>
      <c r="Y30" s="542">
        <v>0</v>
      </c>
      <c r="Z30" s="542">
        <v>370163</v>
      </c>
      <c r="AA30" s="542">
        <v>-3129969</v>
      </c>
      <c r="AB30" s="542">
        <v>0</v>
      </c>
      <c r="AC30" s="542">
        <v>-3129969</v>
      </c>
      <c r="AD30" s="542">
        <v>20630089</v>
      </c>
      <c r="AE30" s="542">
        <v>0</v>
      </c>
      <c r="AF30" s="542">
        <v>20630089</v>
      </c>
      <c r="AG30" s="542">
        <v>0</v>
      </c>
      <c r="AH30" s="542">
        <v>0</v>
      </c>
      <c r="AI30" s="542">
        <v>0</v>
      </c>
      <c r="AJ30" s="542">
        <v>0</v>
      </c>
      <c r="AK30" s="542">
        <v>0</v>
      </c>
      <c r="AL30" s="542">
        <v>0</v>
      </c>
      <c r="AM30" s="542">
        <v>0</v>
      </c>
      <c r="AN30" s="542">
        <v>0</v>
      </c>
      <c r="AO30" s="542">
        <v>0</v>
      </c>
      <c r="AP30" s="542">
        <v>0</v>
      </c>
      <c r="AQ30" s="542">
        <v>0</v>
      </c>
      <c r="AR30" s="542">
        <v>0</v>
      </c>
      <c r="AS30" s="542">
        <v>0</v>
      </c>
      <c r="AT30" s="542">
        <v>0</v>
      </c>
      <c r="AU30" s="542">
        <v>0</v>
      </c>
      <c r="AV30" s="542">
        <v>462056</v>
      </c>
      <c r="AW30" s="542">
        <v>-762730</v>
      </c>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136"/>
      <c r="DU30" s="136"/>
      <c r="DV30" s="136"/>
      <c r="DW30" s="136"/>
      <c r="DX30" s="136"/>
      <c r="DY30" s="136"/>
      <c r="DZ30" s="136"/>
      <c r="EA30" s="136"/>
      <c r="EB30" s="136"/>
      <c r="EC30" s="136"/>
      <c r="ED30" s="136"/>
      <c r="EE30" s="136"/>
      <c r="EF30" s="136"/>
      <c r="EG30" s="136"/>
      <c r="EH30" s="136"/>
      <c r="EI30" s="136"/>
      <c r="EJ30" s="136"/>
      <c r="EK30" s="136"/>
      <c r="EL30" s="136"/>
      <c r="EM30" s="136"/>
      <c r="EN30" s="136"/>
      <c r="EO30" s="136"/>
      <c r="EP30" s="136"/>
      <c r="EQ30" s="136"/>
      <c r="ER30" s="136"/>
      <c r="ES30" s="136"/>
      <c r="ET30" s="136"/>
      <c r="EU30" s="136"/>
      <c r="EV30" s="136"/>
      <c r="EW30" s="136"/>
      <c r="EX30" s="136"/>
      <c r="EY30" s="136"/>
      <c r="EZ30" s="136"/>
      <c r="FA30" s="136"/>
      <c r="FB30" s="136"/>
      <c r="FC30" s="136"/>
      <c r="FD30" s="136"/>
      <c r="FE30" s="137"/>
      <c r="FF30" s="138"/>
    </row>
    <row r="31" spans="1:162" ht="12.75" x14ac:dyDescent="0.2">
      <c r="A31" s="93">
        <v>25</v>
      </c>
      <c r="B31" s="145" t="s">
        <v>609</v>
      </c>
      <c r="C31" s="141" t="s">
        <v>873</v>
      </c>
      <c r="D31" s="142" t="s">
        <v>868</v>
      </c>
      <c r="E31" s="149" t="s">
        <v>608</v>
      </c>
      <c r="F31" s="542">
        <v>81654001</v>
      </c>
      <c r="G31" s="542">
        <v>0</v>
      </c>
      <c r="H31" s="542">
        <v>81654001</v>
      </c>
      <c r="I31" s="542">
        <v>0</v>
      </c>
      <c r="J31" s="542">
        <v>0</v>
      </c>
      <c r="K31" s="542">
        <v>0</v>
      </c>
      <c r="L31" s="542">
        <v>0</v>
      </c>
      <c r="M31" s="542">
        <v>0</v>
      </c>
      <c r="N31" s="542">
        <v>0</v>
      </c>
      <c r="O31" s="542">
        <v>-1659980</v>
      </c>
      <c r="P31" s="542">
        <v>0</v>
      </c>
      <c r="Q31" s="542">
        <v>-1659980</v>
      </c>
      <c r="R31" s="542">
        <v>0</v>
      </c>
      <c r="S31" s="542">
        <v>0</v>
      </c>
      <c r="T31" s="542">
        <v>0</v>
      </c>
      <c r="U31" s="542">
        <v>-1784167</v>
      </c>
      <c r="V31" s="542">
        <v>0</v>
      </c>
      <c r="W31" s="542">
        <v>-1784167</v>
      </c>
      <c r="X31" s="542">
        <v>7694137</v>
      </c>
      <c r="Y31" s="542">
        <v>0</v>
      </c>
      <c r="Z31" s="542">
        <v>7694137</v>
      </c>
      <c r="AA31" s="542">
        <v>-10305936</v>
      </c>
      <c r="AB31" s="542">
        <v>0</v>
      </c>
      <c r="AC31" s="542">
        <v>-10305936</v>
      </c>
      <c r="AD31" s="542">
        <v>77258035</v>
      </c>
      <c r="AE31" s="542">
        <v>0</v>
      </c>
      <c r="AF31" s="542">
        <v>77258035</v>
      </c>
      <c r="AG31" s="542">
        <v>0</v>
      </c>
      <c r="AH31" s="542">
        <v>0</v>
      </c>
      <c r="AI31" s="542">
        <v>0</v>
      </c>
      <c r="AJ31" s="542">
        <v>0</v>
      </c>
      <c r="AK31" s="542">
        <v>0</v>
      </c>
      <c r="AL31" s="542">
        <v>0</v>
      </c>
      <c r="AM31" s="542">
        <v>0</v>
      </c>
      <c r="AN31" s="542">
        <v>0</v>
      </c>
      <c r="AO31" s="542">
        <v>0</v>
      </c>
      <c r="AP31" s="542">
        <v>0</v>
      </c>
      <c r="AQ31" s="542">
        <v>0</v>
      </c>
      <c r="AR31" s="542">
        <v>0</v>
      </c>
      <c r="AS31" s="542">
        <v>0</v>
      </c>
      <c r="AT31" s="542">
        <v>0</v>
      </c>
      <c r="AU31" s="542">
        <v>0</v>
      </c>
      <c r="AV31" s="542">
        <v>7225091</v>
      </c>
      <c r="AW31" s="542">
        <v>-1406432</v>
      </c>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c r="DJ31" s="136"/>
      <c r="DK31" s="136"/>
      <c r="DL31" s="136"/>
      <c r="DM31" s="136"/>
      <c r="DN31" s="136"/>
      <c r="DO31" s="136"/>
      <c r="DP31" s="136"/>
      <c r="DQ31" s="136"/>
      <c r="DR31" s="136"/>
      <c r="DS31" s="136"/>
      <c r="DT31" s="136"/>
      <c r="DU31" s="136"/>
      <c r="DV31" s="136"/>
      <c r="DW31" s="136"/>
      <c r="DX31" s="136"/>
      <c r="DY31" s="136"/>
      <c r="DZ31" s="136"/>
      <c r="EA31" s="136"/>
      <c r="EB31" s="136"/>
      <c r="EC31" s="136"/>
      <c r="ED31" s="136"/>
      <c r="EE31" s="136"/>
      <c r="EF31" s="136"/>
      <c r="EG31" s="136"/>
      <c r="EH31" s="136"/>
      <c r="EI31" s="136"/>
      <c r="EJ31" s="136"/>
      <c r="EK31" s="136"/>
      <c r="EL31" s="136"/>
      <c r="EM31" s="136"/>
      <c r="EN31" s="136"/>
      <c r="EO31" s="136"/>
      <c r="EP31" s="136"/>
      <c r="EQ31" s="136"/>
      <c r="ER31" s="136"/>
      <c r="ES31" s="136"/>
      <c r="ET31" s="136"/>
      <c r="EU31" s="136"/>
      <c r="EV31" s="136"/>
      <c r="EW31" s="136"/>
      <c r="EX31" s="136"/>
      <c r="EY31" s="136"/>
      <c r="EZ31" s="136"/>
      <c r="FA31" s="136"/>
      <c r="FB31" s="136"/>
      <c r="FC31" s="136"/>
      <c r="FD31" s="136"/>
      <c r="FE31" s="137"/>
      <c r="FF31" s="138"/>
    </row>
    <row r="32" spans="1:162" ht="12.75" x14ac:dyDescent="0.2">
      <c r="A32" s="93">
        <v>26</v>
      </c>
      <c r="B32" s="145" t="s">
        <v>611</v>
      </c>
      <c r="C32" s="141" t="s">
        <v>866</v>
      </c>
      <c r="D32" s="142" t="s">
        <v>869</v>
      </c>
      <c r="E32" s="149" t="s">
        <v>610</v>
      </c>
      <c r="F32" s="542">
        <v>18735458</v>
      </c>
      <c r="G32" s="542">
        <v>0</v>
      </c>
      <c r="H32" s="542">
        <v>18735458</v>
      </c>
      <c r="I32" s="542">
        <v>0</v>
      </c>
      <c r="J32" s="542">
        <v>0</v>
      </c>
      <c r="K32" s="542">
        <v>0</v>
      </c>
      <c r="L32" s="542">
        <v>0</v>
      </c>
      <c r="M32" s="542">
        <v>0</v>
      </c>
      <c r="N32" s="542">
        <v>0</v>
      </c>
      <c r="O32" s="542">
        <v>-122465</v>
      </c>
      <c r="P32" s="542">
        <v>0</v>
      </c>
      <c r="Q32" s="542">
        <v>-122465</v>
      </c>
      <c r="R32" s="542">
        <v>0</v>
      </c>
      <c r="S32" s="542">
        <v>0</v>
      </c>
      <c r="T32" s="542">
        <v>0</v>
      </c>
      <c r="U32" s="542">
        <v>-211926</v>
      </c>
      <c r="V32" s="542">
        <v>0</v>
      </c>
      <c r="W32" s="542">
        <v>-211926</v>
      </c>
      <c r="X32" s="542">
        <v>500222</v>
      </c>
      <c r="Y32" s="542">
        <v>0</v>
      </c>
      <c r="Z32" s="542">
        <v>500222</v>
      </c>
      <c r="AA32" s="542">
        <v>-1295967</v>
      </c>
      <c r="AB32" s="542">
        <v>0</v>
      </c>
      <c r="AC32" s="542">
        <v>-1295967</v>
      </c>
      <c r="AD32" s="542">
        <v>17727787</v>
      </c>
      <c r="AE32" s="542">
        <v>0</v>
      </c>
      <c r="AF32" s="542">
        <v>17727787</v>
      </c>
      <c r="AG32" s="542">
        <v>0</v>
      </c>
      <c r="AH32" s="542">
        <v>0</v>
      </c>
      <c r="AI32" s="542">
        <v>0</v>
      </c>
      <c r="AJ32" s="542">
        <v>68138</v>
      </c>
      <c r="AK32" s="542">
        <v>0</v>
      </c>
      <c r="AL32" s="542">
        <v>0</v>
      </c>
      <c r="AM32" s="542">
        <v>68138</v>
      </c>
      <c r="AN32" s="542">
        <v>0</v>
      </c>
      <c r="AO32" s="542">
        <v>0</v>
      </c>
      <c r="AP32" s="542">
        <v>0</v>
      </c>
      <c r="AQ32" s="542">
        <v>0</v>
      </c>
      <c r="AR32" s="542">
        <v>0</v>
      </c>
      <c r="AS32" s="542">
        <v>0</v>
      </c>
      <c r="AT32" s="542">
        <v>0</v>
      </c>
      <c r="AU32" s="542">
        <v>0</v>
      </c>
      <c r="AV32" s="542">
        <v>1040460</v>
      </c>
      <c r="AW32" s="542">
        <v>-587016</v>
      </c>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c r="DE32" s="136"/>
      <c r="DF32" s="136"/>
      <c r="DG32" s="136"/>
      <c r="DH32" s="136"/>
      <c r="DI32" s="136"/>
      <c r="DJ32" s="136"/>
      <c r="DK32" s="136"/>
      <c r="DL32" s="136"/>
      <c r="DM32" s="136"/>
      <c r="DN32" s="136"/>
      <c r="DO32" s="136"/>
      <c r="DP32" s="136"/>
      <c r="DQ32" s="136"/>
      <c r="DR32" s="136"/>
      <c r="DS32" s="136"/>
      <c r="DT32" s="136"/>
      <c r="DU32" s="136"/>
      <c r="DV32" s="136"/>
      <c r="DW32" s="136"/>
      <c r="DX32" s="136"/>
      <c r="DY32" s="136"/>
      <c r="DZ32" s="136"/>
      <c r="EA32" s="136"/>
      <c r="EB32" s="136"/>
      <c r="EC32" s="136"/>
      <c r="ED32" s="136"/>
      <c r="EE32" s="136"/>
      <c r="EF32" s="136"/>
      <c r="EG32" s="136"/>
      <c r="EH32" s="136"/>
      <c r="EI32" s="136"/>
      <c r="EJ32" s="136"/>
      <c r="EK32" s="136"/>
      <c r="EL32" s="136"/>
      <c r="EM32" s="136"/>
      <c r="EN32" s="136"/>
      <c r="EO32" s="136"/>
      <c r="EP32" s="136"/>
      <c r="EQ32" s="136"/>
      <c r="ER32" s="136"/>
      <c r="ES32" s="136"/>
      <c r="ET32" s="136"/>
      <c r="EU32" s="136"/>
      <c r="EV32" s="136"/>
      <c r="EW32" s="136"/>
      <c r="EX32" s="136"/>
      <c r="EY32" s="136"/>
      <c r="EZ32" s="136"/>
      <c r="FA32" s="136"/>
      <c r="FB32" s="136"/>
      <c r="FC32" s="136"/>
      <c r="FD32" s="136"/>
      <c r="FE32" s="137"/>
      <c r="FF32" s="138"/>
    </row>
    <row r="33" spans="1:162" ht="12.75" x14ac:dyDescent="0.2">
      <c r="A33" s="93">
        <v>27</v>
      </c>
      <c r="B33" s="145" t="s">
        <v>613</v>
      </c>
      <c r="C33" s="141" t="s">
        <v>770</v>
      </c>
      <c r="D33" s="142" t="s">
        <v>875</v>
      </c>
      <c r="E33" s="149" t="s">
        <v>691</v>
      </c>
      <c r="F33" s="542">
        <v>65945293</v>
      </c>
      <c r="G33" s="542">
        <v>0</v>
      </c>
      <c r="H33" s="542">
        <v>65945293</v>
      </c>
      <c r="I33" s="542">
        <v>0</v>
      </c>
      <c r="J33" s="542">
        <v>0</v>
      </c>
      <c r="K33" s="542">
        <v>0</v>
      </c>
      <c r="L33" s="542">
        <v>150252</v>
      </c>
      <c r="M33" s="542">
        <v>0</v>
      </c>
      <c r="N33" s="542">
        <v>150252</v>
      </c>
      <c r="O33" s="542">
        <v>-151202</v>
      </c>
      <c r="P33" s="542">
        <v>0</v>
      </c>
      <c r="Q33" s="542">
        <v>-151202</v>
      </c>
      <c r="R33" s="542">
        <v>0</v>
      </c>
      <c r="S33" s="542">
        <v>0</v>
      </c>
      <c r="T33" s="542">
        <v>0</v>
      </c>
      <c r="U33" s="542">
        <v>-407784</v>
      </c>
      <c r="V33" s="542">
        <v>0</v>
      </c>
      <c r="W33" s="542">
        <v>-407784</v>
      </c>
      <c r="X33" s="542">
        <v>1112980</v>
      </c>
      <c r="Y33" s="542">
        <v>0</v>
      </c>
      <c r="Z33" s="542">
        <v>1112980</v>
      </c>
      <c r="AA33" s="542">
        <v>0</v>
      </c>
      <c r="AB33" s="542">
        <v>0</v>
      </c>
      <c r="AC33" s="542">
        <v>0</v>
      </c>
      <c r="AD33" s="542">
        <v>66800741</v>
      </c>
      <c r="AE33" s="542">
        <v>0</v>
      </c>
      <c r="AF33" s="542">
        <v>66800741</v>
      </c>
      <c r="AG33" s="542">
        <v>0</v>
      </c>
      <c r="AH33" s="542">
        <v>0</v>
      </c>
      <c r="AI33" s="542">
        <v>0</v>
      </c>
      <c r="AJ33" s="542">
        <v>0</v>
      </c>
      <c r="AK33" s="542">
        <v>185</v>
      </c>
      <c r="AL33" s="542">
        <v>0</v>
      </c>
      <c r="AM33" s="542">
        <v>185</v>
      </c>
      <c r="AN33" s="542">
        <v>0</v>
      </c>
      <c r="AO33" s="542">
        <v>0</v>
      </c>
      <c r="AP33" s="542">
        <v>0</v>
      </c>
      <c r="AQ33" s="542">
        <v>0</v>
      </c>
      <c r="AR33" s="542">
        <v>0</v>
      </c>
      <c r="AS33" s="542">
        <v>0</v>
      </c>
      <c r="AT33" s="542">
        <v>0</v>
      </c>
      <c r="AU33" s="542">
        <v>0</v>
      </c>
      <c r="AV33" s="542">
        <v>3677306</v>
      </c>
      <c r="AW33" s="542">
        <v>-190760</v>
      </c>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c r="DJ33" s="136"/>
      <c r="DK33" s="136"/>
      <c r="DL33" s="136"/>
      <c r="DM33" s="136"/>
      <c r="DN33" s="136"/>
      <c r="DO33" s="136"/>
      <c r="DP33" s="136"/>
      <c r="DQ33" s="136"/>
      <c r="DR33" s="136"/>
      <c r="DS33" s="136"/>
      <c r="DT33" s="136"/>
      <c r="DU33" s="136"/>
      <c r="DV33" s="136"/>
      <c r="DW33" s="136"/>
      <c r="DX33" s="136"/>
      <c r="DY33" s="136"/>
      <c r="DZ33" s="136"/>
      <c r="EA33" s="136"/>
      <c r="EB33" s="136"/>
      <c r="EC33" s="136"/>
      <c r="ED33" s="136"/>
      <c r="EE33" s="136"/>
      <c r="EF33" s="136"/>
      <c r="EG33" s="136"/>
      <c r="EH33" s="136"/>
      <c r="EI33" s="136"/>
      <c r="EJ33" s="136"/>
      <c r="EK33" s="136"/>
      <c r="EL33" s="136"/>
      <c r="EM33" s="136"/>
      <c r="EN33" s="136"/>
      <c r="EO33" s="136"/>
      <c r="EP33" s="136"/>
      <c r="EQ33" s="136"/>
      <c r="ER33" s="136"/>
      <c r="ES33" s="136"/>
      <c r="ET33" s="136"/>
      <c r="EU33" s="136"/>
      <c r="EV33" s="136"/>
      <c r="EW33" s="136"/>
      <c r="EX33" s="136"/>
      <c r="EY33" s="136"/>
      <c r="EZ33" s="136"/>
      <c r="FA33" s="136"/>
      <c r="FB33" s="136"/>
      <c r="FC33" s="136"/>
      <c r="FD33" s="136"/>
      <c r="FE33" s="137"/>
      <c r="FF33" s="138"/>
    </row>
    <row r="34" spans="1:162" ht="12.75" x14ac:dyDescent="0.2">
      <c r="A34" s="93">
        <v>28</v>
      </c>
      <c r="B34" s="145" t="s">
        <v>615</v>
      </c>
      <c r="C34" s="141" t="s">
        <v>770</v>
      </c>
      <c r="D34" s="142" t="s">
        <v>867</v>
      </c>
      <c r="E34" s="149" t="s">
        <v>692</v>
      </c>
      <c r="F34" s="542">
        <v>77168132</v>
      </c>
      <c r="G34" s="542">
        <v>0</v>
      </c>
      <c r="H34" s="542">
        <v>77168132</v>
      </c>
      <c r="I34" s="542">
        <v>-350</v>
      </c>
      <c r="J34" s="542">
        <v>0</v>
      </c>
      <c r="K34" s="542">
        <v>-350</v>
      </c>
      <c r="L34" s="542">
        <v>377076</v>
      </c>
      <c r="M34" s="542">
        <v>0</v>
      </c>
      <c r="N34" s="542">
        <v>377076</v>
      </c>
      <c r="O34" s="542">
        <v>0</v>
      </c>
      <c r="P34" s="542">
        <v>0</v>
      </c>
      <c r="Q34" s="542">
        <v>0</v>
      </c>
      <c r="R34" s="542">
        <v>-170869</v>
      </c>
      <c r="S34" s="542">
        <v>0</v>
      </c>
      <c r="T34" s="542">
        <v>-170869</v>
      </c>
      <c r="U34" s="542">
        <v>-959300</v>
      </c>
      <c r="V34" s="542">
        <v>0</v>
      </c>
      <c r="W34" s="542">
        <v>-959300</v>
      </c>
      <c r="X34" s="542">
        <v>613422</v>
      </c>
      <c r="Y34" s="542">
        <v>0</v>
      </c>
      <c r="Z34" s="542">
        <v>613422</v>
      </c>
      <c r="AA34" s="542">
        <v>-17955209</v>
      </c>
      <c r="AB34" s="542">
        <v>0</v>
      </c>
      <c r="AC34" s="542">
        <v>-17955209</v>
      </c>
      <c r="AD34" s="542">
        <v>59072902</v>
      </c>
      <c r="AE34" s="542">
        <v>0</v>
      </c>
      <c r="AF34" s="542">
        <v>59072902</v>
      </c>
      <c r="AG34" s="542">
        <v>0</v>
      </c>
      <c r="AH34" s="542">
        <v>0</v>
      </c>
      <c r="AI34" s="542">
        <v>0</v>
      </c>
      <c r="AJ34" s="542">
        <v>744</v>
      </c>
      <c r="AK34" s="542">
        <v>0</v>
      </c>
      <c r="AL34" s="542">
        <v>0</v>
      </c>
      <c r="AM34" s="542">
        <v>744</v>
      </c>
      <c r="AN34" s="542">
        <v>0</v>
      </c>
      <c r="AO34" s="542">
        <v>0</v>
      </c>
      <c r="AP34" s="542">
        <v>0</v>
      </c>
      <c r="AQ34" s="542">
        <v>0</v>
      </c>
      <c r="AR34" s="542">
        <v>0</v>
      </c>
      <c r="AS34" s="542">
        <v>0</v>
      </c>
      <c r="AT34" s="542">
        <v>0</v>
      </c>
      <c r="AU34" s="542">
        <v>0</v>
      </c>
      <c r="AV34" s="542">
        <v>3576004</v>
      </c>
      <c r="AW34" s="542">
        <v>-1754268</v>
      </c>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6"/>
      <c r="CD34" s="136"/>
      <c r="CE34" s="136"/>
      <c r="CF34" s="136"/>
      <c r="CG34" s="136"/>
      <c r="CH34" s="136"/>
      <c r="CI34" s="136"/>
      <c r="CJ34" s="136"/>
      <c r="CK34" s="136"/>
      <c r="CL34" s="136"/>
      <c r="CM34" s="136"/>
      <c r="CN34" s="136"/>
      <c r="CO34" s="136"/>
      <c r="CP34" s="136"/>
      <c r="CQ34" s="136"/>
      <c r="CR34" s="136"/>
      <c r="CS34" s="136"/>
      <c r="CT34" s="136"/>
      <c r="CU34" s="136"/>
      <c r="CV34" s="136"/>
      <c r="CW34" s="136"/>
      <c r="CX34" s="136"/>
      <c r="CY34" s="136"/>
      <c r="CZ34" s="136"/>
      <c r="DA34" s="136"/>
      <c r="DB34" s="136"/>
      <c r="DC34" s="136"/>
      <c r="DD34" s="136"/>
      <c r="DE34" s="136"/>
      <c r="DF34" s="136"/>
      <c r="DG34" s="136"/>
      <c r="DH34" s="136"/>
      <c r="DI34" s="136"/>
      <c r="DJ34" s="136"/>
      <c r="DK34" s="136"/>
      <c r="DL34" s="136"/>
      <c r="DM34" s="136"/>
      <c r="DN34" s="136"/>
      <c r="DO34" s="136"/>
      <c r="DP34" s="136"/>
      <c r="DQ34" s="136"/>
      <c r="DR34" s="136"/>
      <c r="DS34" s="136"/>
      <c r="DT34" s="136"/>
      <c r="DU34" s="136"/>
      <c r="DV34" s="136"/>
      <c r="DW34" s="136"/>
      <c r="DX34" s="136"/>
      <c r="DY34" s="136"/>
      <c r="DZ34" s="136"/>
      <c r="EA34" s="136"/>
      <c r="EB34" s="136"/>
      <c r="EC34" s="136"/>
      <c r="ED34" s="136"/>
      <c r="EE34" s="136"/>
      <c r="EF34" s="136"/>
      <c r="EG34" s="136"/>
      <c r="EH34" s="136"/>
      <c r="EI34" s="136"/>
      <c r="EJ34" s="136"/>
      <c r="EK34" s="136"/>
      <c r="EL34" s="136"/>
      <c r="EM34" s="136"/>
      <c r="EN34" s="136"/>
      <c r="EO34" s="136"/>
      <c r="EP34" s="136"/>
      <c r="EQ34" s="136"/>
      <c r="ER34" s="136"/>
      <c r="ES34" s="136"/>
      <c r="ET34" s="136"/>
      <c r="EU34" s="136"/>
      <c r="EV34" s="136"/>
      <c r="EW34" s="136"/>
      <c r="EX34" s="136"/>
      <c r="EY34" s="136"/>
      <c r="EZ34" s="136"/>
      <c r="FA34" s="136"/>
      <c r="FB34" s="136"/>
      <c r="FC34" s="136"/>
      <c r="FD34" s="136"/>
      <c r="FE34" s="137"/>
      <c r="FF34" s="138"/>
    </row>
    <row r="35" spans="1:162" ht="12.75" x14ac:dyDescent="0.2">
      <c r="A35" s="93">
        <v>29</v>
      </c>
      <c r="B35" s="145" t="s">
        <v>617</v>
      </c>
      <c r="C35" s="141" t="s">
        <v>873</v>
      </c>
      <c r="D35" s="142" t="s">
        <v>874</v>
      </c>
      <c r="E35" s="149" t="s">
        <v>616</v>
      </c>
      <c r="F35" s="542">
        <v>138883905</v>
      </c>
      <c r="G35" s="542">
        <v>0</v>
      </c>
      <c r="H35" s="542">
        <v>138883905</v>
      </c>
      <c r="I35" s="542">
        <v>-20881</v>
      </c>
      <c r="J35" s="542">
        <v>0</v>
      </c>
      <c r="K35" s="542">
        <v>-20881</v>
      </c>
      <c r="L35" s="542">
        <v>245115</v>
      </c>
      <c r="M35" s="542">
        <v>0</v>
      </c>
      <c r="N35" s="542">
        <v>245115</v>
      </c>
      <c r="O35" s="542">
        <v>-2837131</v>
      </c>
      <c r="P35" s="542">
        <v>0</v>
      </c>
      <c r="Q35" s="542">
        <v>-2837131</v>
      </c>
      <c r="R35" s="542">
        <v>0</v>
      </c>
      <c r="S35" s="542">
        <v>0</v>
      </c>
      <c r="T35" s="542">
        <v>0</v>
      </c>
      <c r="U35" s="542">
        <v>-3746342</v>
      </c>
      <c r="V35" s="542">
        <v>0</v>
      </c>
      <c r="W35" s="542">
        <v>-3746342</v>
      </c>
      <c r="X35" s="542">
        <v>5908086</v>
      </c>
      <c r="Y35" s="542">
        <v>0</v>
      </c>
      <c r="Z35" s="542">
        <v>5908086</v>
      </c>
      <c r="AA35" s="542">
        <v>-8934538</v>
      </c>
      <c r="AB35" s="542">
        <v>0</v>
      </c>
      <c r="AC35" s="542">
        <v>-8934538</v>
      </c>
      <c r="AD35" s="542">
        <v>132335345</v>
      </c>
      <c r="AE35" s="542">
        <v>0</v>
      </c>
      <c r="AF35" s="542">
        <v>132335345</v>
      </c>
      <c r="AG35" s="542">
        <v>0</v>
      </c>
      <c r="AH35" s="542">
        <v>0</v>
      </c>
      <c r="AI35" s="542">
        <v>0</v>
      </c>
      <c r="AJ35" s="542">
        <v>0</v>
      </c>
      <c r="AK35" s="542">
        <v>0</v>
      </c>
      <c r="AL35" s="542">
        <v>0</v>
      </c>
      <c r="AM35" s="542">
        <v>0</v>
      </c>
      <c r="AN35" s="542">
        <v>0</v>
      </c>
      <c r="AO35" s="542">
        <v>0</v>
      </c>
      <c r="AP35" s="542">
        <v>0</v>
      </c>
      <c r="AQ35" s="542">
        <v>0</v>
      </c>
      <c r="AR35" s="542">
        <v>0</v>
      </c>
      <c r="AS35" s="542">
        <v>0</v>
      </c>
      <c r="AT35" s="542">
        <v>0</v>
      </c>
      <c r="AU35" s="542">
        <v>0</v>
      </c>
      <c r="AV35" s="542">
        <v>11381524</v>
      </c>
      <c r="AW35" s="542">
        <v>-739397</v>
      </c>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c r="CA35" s="136"/>
      <c r="CB35" s="136"/>
      <c r="CC35" s="136"/>
      <c r="CD35" s="136"/>
      <c r="CE35" s="136"/>
      <c r="CF35" s="136"/>
      <c r="CG35" s="136"/>
      <c r="CH35" s="136"/>
      <c r="CI35" s="136"/>
      <c r="CJ35" s="136"/>
      <c r="CK35" s="136"/>
      <c r="CL35" s="136"/>
      <c r="CM35" s="136"/>
      <c r="CN35" s="136"/>
      <c r="CO35" s="136"/>
      <c r="CP35" s="136"/>
      <c r="CQ35" s="136"/>
      <c r="CR35" s="136"/>
      <c r="CS35" s="136"/>
      <c r="CT35" s="136"/>
      <c r="CU35" s="136"/>
      <c r="CV35" s="136"/>
      <c r="CW35" s="136"/>
      <c r="CX35" s="136"/>
      <c r="CY35" s="136"/>
      <c r="CZ35" s="136"/>
      <c r="DA35" s="136"/>
      <c r="DB35" s="136"/>
      <c r="DC35" s="136"/>
      <c r="DD35" s="136"/>
      <c r="DE35" s="136"/>
      <c r="DF35" s="136"/>
      <c r="DG35" s="136"/>
      <c r="DH35" s="136"/>
      <c r="DI35" s="136"/>
      <c r="DJ35" s="136"/>
      <c r="DK35" s="136"/>
      <c r="DL35" s="136"/>
      <c r="DM35" s="136"/>
      <c r="DN35" s="136"/>
      <c r="DO35" s="136"/>
      <c r="DP35" s="136"/>
      <c r="DQ35" s="136"/>
      <c r="DR35" s="136"/>
      <c r="DS35" s="136"/>
      <c r="DT35" s="136"/>
      <c r="DU35" s="136"/>
      <c r="DV35" s="136"/>
      <c r="DW35" s="136"/>
      <c r="DX35" s="136"/>
      <c r="DY35" s="136"/>
      <c r="DZ35" s="136"/>
      <c r="EA35" s="136"/>
      <c r="EB35" s="136"/>
      <c r="EC35" s="136"/>
      <c r="ED35" s="136"/>
      <c r="EE35" s="136"/>
      <c r="EF35" s="136"/>
      <c r="EG35" s="136"/>
      <c r="EH35" s="136"/>
      <c r="EI35" s="136"/>
      <c r="EJ35" s="136"/>
      <c r="EK35" s="136"/>
      <c r="EL35" s="136"/>
      <c r="EM35" s="136"/>
      <c r="EN35" s="136"/>
      <c r="EO35" s="136"/>
      <c r="EP35" s="136"/>
      <c r="EQ35" s="136"/>
      <c r="ER35" s="136"/>
      <c r="ES35" s="136"/>
      <c r="ET35" s="136"/>
      <c r="EU35" s="136"/>
      <c r="EV35" s="136"/>
      <c r="EW35" s="136"/>
      <c r="EX35" s="136"/>
      <c r="EY35" s="136"/>
      <c r="EZ35" s="136"/>
      <c r="FA35" s="136"/>
      <c r="FB35" s="136"/>
      <c r="FC35" s="136"/>
      <c r="FD35" s="136"/>
      <c r="FE35" s="137"/>
      <c r="FF35" s="138"/>
    </row>
    <row r="36" spans="1:162" ht="12.75" x14ac:dyDescent="0.2">
      <c r="A36" s="93">
        <v>30</v>
      </c>
      <c r="B36" s="145" t="s">
        <v>619</v>
      </c>
      <c r="C36" s="141" t="s">
        <v>866</v>
      </c>
      <c r="D36" s="142" t="s">
        <v>870</v>
      </c>
      <c r="E36" s="149" t="s">
        <v>618</v>
      </c>
      <c r="F36" s="542">
        <v>40959797</v>
      </c>
      <c r="G36" s="542">
        <v>0</v>
      </c>
      <c r="H36" s="542">
        <v>40959797</v>
      </c>
      <c r="I36" s="542">
        <v>0</v>
      </c>
      <c r="J36" s="542">
        <v>0</v>
      </c>
      <c r="K36" s="542">
        <v>0</v>
      </c>
      <c r="L36" s="542">
        <v>5461</v>
      </c>
      <c r="M36" s="542">
        <v>0</v>
      </c>
      <c r="N36" s="542">
        <v>5461</v>
      </c>
      <c r="O36" s="542">
        <v>-403880</v>
      </c>
      <c r="P36" s="542">
        <v>0</v>
      </c>
      <c r="Q36" s="542">
        <v>-403880</v>
      </c>
      <c r="R36" s="542">
        <v>-54594</v>
      </c>
      <c r="S36" s="542">
        <v>0</v>
      </c>
      <c r="T36" s="542">
        <v>-54594</v>
      </c>
      <c r="U36" s="542">
        <v>-284920</v>
      </c>
      <c r="V36" s="542">
        <v>0</v>
      </c>
      <c r="W36" s="542">
        <v>-284920</v>
      </c>
      <c r="X36" s="542">
        <v>578613</v>
      </c>
      <c r="Y36" s="542">
        <v>0</v>
      </c>
      <c r="Z36" s="542">
        <v>578613</v>
      </c>
      <c r="AA36" s="542">
        <v>-2828613</v>
      </c>
      <c r="AB36" s="542">
        <v>0</v>
      </c>
      <c r="AC36" s="542">
        <v>-2828613</v>
      </c>
      <c r="AD36" s="542">
        <v>38375744</v>
      </c>
      <c r="AE36" s="542">
        <v>0</v>
      </c>
      <c r="AF36" s="542">
        <v>38375744</v>
      </c>
      <c r="AG36" s="542">
        <v>0</v>
      </c>
      <c r="AH36" s="542">
        <v>0</v>
      </c>
      <c r="AI36" s="542">
        <v>0</v>
      </c>
      <c r="AJ36" s="542">
        <v>0</v>
      </c>
      <c r="AK36" s="542">
        <v>0</v>
      </c>
      <c r="AL36" s="542">
        <v>0</v>
      </c>
      <c r="AM36" s="542">
        <v>0</v>
      </c>
      <c r="AN36" s="542">
        <v>0</v>
      </c>
      <c r="AO36" s="542">
        <v>0</v>
      </c>
      <c r="AP36" s="542">
        <v>0</v>
      </c>
      <c r="AQ36" s="542">
        <v>0</v>
      </c>
      <c r="AR36" s="542">
        <v>0</v>
      </c>
      <c r="AS36" s="542">
        <v>0</v>
      </c>
      <c r="AT36" s="542">
        <v>0</v>
      </c>
      <c r="AU36" s="542">
        <v>0</v>
      </c>
      <c r="AV36" s="542">
        <v>1219362</v>
      </c>
      <c r="AW36" s="542">
        <v>-420406</v>
      </c>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c r="CA36" s="136"/>
      <c r="CB36" s="136"/>
      <c r="CC36" s="136"/>
      <c r="CD36" s="136"/>
      <c r="CE36" s="136"/>
      <c r="CF36" s="136"/>
      <c r="CG36" s="136"/>
      <c r="CH36" s="136"/>
      <c r="CI36" s="136"/>
      <c r="CJ36" s="136"/>
      <c r="CK36" s="136"/>
      <c r="CL36" s="136"/>
      <c r="CM36" s="136"/>
      <c r="CN36" s="136"/>
      <c r="CO36" s="136"/>
      <c r="CP36" s="136"/>
      <c r="CQ36" s="136"/>
      <c r="CR36" s="136"/>
      <c r="CS36" s="136"/>
      <c r="CT36" s="136"/>
      <c r="CU36" s="136"/>
      <c r="CV36" s="136"/>
      <c r="CW36" s="136"/>
      <c r="CX36" s="136"/>
      <c r="CY36" s="136"/>
      <c r="CZ36" s="136"/>
      <c r="DA36" s="136"/>
      <c r="DB36" s="136"/>
      <c r="DC36" s="136"/>
      <c r="DD36" s="136"/>
      <c r="DE36" s="136"/>
      <c r="DF36" s="136"/>
      <c r="DG36" s="136"/>
      <c r="DH36" s="136"/>
      <c r="DI36" s="136"/>
      <c r="DJ36" s="136"/>
      <c r="DK36" s="136"/>
      <c r="DL36" s="136"/>
      <c r="DM36" s="136"/>
      <c r="DN36" s="136"/>
      <c r="DO36" s="136"/>
      <c r="DP36" s="136"/>
      <c r="DQ36" s="136"/>
      <c r="DR36" s="136"/>
      <c r="DS36" s="136"/>
      <c r="DT36" s="136"/>
      <c r="DU36" s="136"/>
      <c r="DV36" s="136"/>
      <c r="DW36" s="136"/>
      <c r="DX36" s="136"/>
      <c r="DY36" s="136"/>
      <c r="DZ36" s="136"/>
      <c r="EA36" s="136"/>
      <c r="EB36" s="136"/>
      <c r="EC36" s="136"/>
      <c r="ED36" s="136"/>
      <c r="EE36" s="136"/>
      <c r="EF36" s="136"/>
      <c r="EG36" s="136"/>
      <c r="EH36" s="136"/>
      <c r="EI36" s="136"/>
      <c r="EJ36" s="136"/>
      <c r="EK36" s="136"/>
      <c r="EL36" s="136"/>
      <c r="EM36" s="136"/>
      <c r="EN36" s="136"/>
      <c r="EO36" s="136"/>
      <c r="EP36" s="136"/>
      <c r="EQ36" s="136"/>
      <c r="ER36" s="136"/>
      <c r="ES36" s="136"/>
      <c r="ET36" s="136"/>
      <c r="EU36" s="136"/>
      <c r="EV36" s="136"/>
      <c r="EW36" s="136"/>
      <c r="EX36" s="136"/>
      <c r="EY36" s="136"/>
      <c r="EZ36" s="136"/>
      <c r="FA36" s="136"/>
      <c r="FB36" s="136"/>
      <c r="FC36" s="136"/>
      <c r="FD36" s="136"/>
      <c r="FE36" s="137"/>
      <c r="FF36" s="138"/>
    </row>
    <row r="37" spans="1:162" ht="12.75" x14ac:dyDescent="0.2">
      <c r="A37" s="93">
        <v>31</v>
      </c>
      <c r="B37" s="145" t="s">
        <v>621</v>
      </c>
      <c r="C37" s="141" t="s">
        <v>866</v>
      </c>
      <c r="D37" s="142" t="s">
        <v>870</v>
      </c>
      <c r="E37" s="149" t="s">
        <v>620</v>
      </c>
      <c r="F37" s="542">
        <v>29080931</v>
      </c>
      <c r="G37" s="542">
        <v>0</v>
      </c>
      <c r="H37" s="542">
        <v>29080931</v>
      </c>
      <c r="I37" s="542">
        <v>0</v>
      </c>
      <c r="J37" s="542">
        <v>0</v>
      </c>
      <c r="K37" s="542">
        <v>0</v>
      </c>
      <c r="L37" s="542">
        <v>151622</v>
      </c>
      <c r="M37" s="542">
        <v>0</v>
      </c>
      <c r="N37" s="542">
        <v>151622</v>
      </c>
      <c r="O37" s="542">
        <v>-1821</v>
      </c>
      <c r="P37" s="542">
        <v>0</v>
      </c>
      <c r="Q37" s="542">
        <v>-1821</v>
      </c>
      <c r="R37" s="542">
        <v>0</v>
      </c>
      <c r="S37" s="542">
        <v>0</v>
      </c>
      <c r="T37" s="542">
        <v>0</v>
      </c>
      <c r="U37" s="542">
        <v>-86246</v>
      </c>
      <c r="V37" s="542">
        <v>0</v>
      </c>
      <c r="W37" s="542">
        <v>-86246</v>
      </c>
      <c r="X37" s="542">
        <v>1418322</v>
      </c>
      <c r="Y37" s="542">
        <v>0</v>
      </c>
      <c r="Z37" s="542">
        <v>1418322</v>
      </c>
      <c r="AA37" s="542">
        <v>-1177809</v>
      </c>
      <c r="AB37" s="542">
        <v>0</v>
      </c>
      <c r="AC37" s="542">
        <v>-1177809</v>
      </c>
      <c r="AD37" s="542">
        <v>29386820</v>
      </c>
      <c r="AE37" s="542">
        <v>0</v>
      </c>
      <c r="AF37" s="542">
        <v>29386820</v>
      </c>
      <c r="AG37" s="542">
        <v>0</v>
      </c>
      <c r="AH37" s="542">
        <v>0</v>
      </c>
      <c r="AI37" s="542">
        <v>0</v>
      </c>
      <c r="AJ37" s="542">
        <v>151964</v>
      </c>
      <c r="AK37" s="542">
        <v>0</v>
      </c>
      <c r="AL37" s="542">
        <v>0</v>
      </c>
      <c r="AM37" s="542">
        <v>151964</v>
      </c>
      <c r="AN37" s="542">
        <v>0</v>
      </c>
      <c r="AO37" s="542">
        <v>0</v>
      </c>
      <c r="AP37" s="542">
        <v>0</v>
      </c>
      <c r="AQ37" s="542">
        <v>0</v>
      </c>
      <c r="AR37" s="542">
        <v>0</v>
      </c>
      <c r="AS37" s="542">
        <v>0</v>
      </c>
      <c r="AT37" s="542">
        <v>0</v>
      </c>
      <c r="AU37" s="542">
        <v>0</v>
      </c>
      <c r="AV37" s="542">
        <v>1026475</v>
      </c>
      <c r="AW37" s="542">
        <v>-99360</v>
      </c>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DA37" s="136"/>
      <c r="DB37" s="136"/>
      <c r="DC37" s="136"/>
      <c r="DD37" s="136"/>
      <c r="DE37" s="136"/>
      <c r="DF37" s="136"/>
      <c r="DG37" s="136"/>
      <c r="DH37" s="136"/>
      <c r="DI37" s="136"/>
      <c r="DJ37" s="136"/>
      <c r="DK37" s="136"/>
      <c r="DL37" s="136"/>
      <c r="DM37" s="136"/>
      <c r="DN37" s="136"/>
      <c r="DO37" s="136"/>
      <c r="DP37" s="136"/>
      <c r="DQ37" s="136"/>
      <c r="DR37" s="136"/>
      <c r="DS37" s="136"/>
      <c r="DT37" s="136"/>
      <c r="DU37" s="136"/>
      <c r="DV37" s="136"/>
      <c r="DW37" s="136"/>
      <c r="DX37" s="136"/>
      <c r="DY37" s="136"/>
      <c r="DZ37" s="136"/>
      <c r="EA37" s="136"/>
      <c r="EB37" s="136"/>
      <c r="EC37" s="136"/>
      <c r="ED37" s="136"/>
      <c r="EE37" s="136"/>
      <c r="EF37" s="136"/>
      <c r="EG37" s="136"/>
      <c r="EH37" s="136"/>
      <c r="EI37" s="136"/>
      <c r="EJ37" s="136"/>
      <c r="EK37" s="136"/>
      <c r="EL37" s="136"/>
      <c r="EM37" s="136"/>
      <c r="EN37" s="136"/>
      <c r="EO37" s="136"/>
      <c r="EP37" s="136"/>
      <c r="EQ37" s="136"/>
      <c r="ER37" s="136"/>
      <c r="ES37" s="136"/>
      <c r="ET37" s="136"/>
      <c r="EU37" s="136"/>
      <c r="EV37" s="136"/>
      <c r="EW37" s="136"/>
      <c r="EX37" s="136"/>
      <c r="EY37" s="136"/>
      <c r="EZ37" s="136"/>
      <c r="FA37" s="136"/>
      <c r="FB37" s="136"/>
      <c r="FC37" s="136"/>
      <c r="FD37" s="136"/>
      <c r="FE37" s="137"/>
      <c r="FF37" s="138"/>
    </row>
    <row r="38" spans="1:162" ht="12.75" x14ac:dyDescent="0.2">
      <c r="A38" s="93">
        <v>32</v>
      </c>
      <c r="B38" s="145" t="s">
        <v>623</v>
      </c>
      <c r="C38" s="141" t="s">
        <v>871</v>
      </c>
      <c r="D38" s="142" t="s">
        <v>872</v>
      </c>
      <c r="E38" s="149" t="s">
        <v>622</v>
      </c>
      <c r="F38" s="542">
        <v>113598418</v>
      </c>
      <c r="G38" s="542">
        <v>0</v>
      </c>
      <c r="H38" s="542">
        <v>113598418</v>
      </c>
      <c r="I38" s="542">
        <v>-11624</v>
      </c>
      <c r="J38" s="542">
        <v>0</v>
      </c>
      <c r="K38" s="542">
        <v>-11624</v>
      </c>
      <c r="L38" s="542">
        <v>234660</v>
      </c>
      <c r="M38" s="542">
        <v>0</v>
      </c>
      <c r="N38" s="542">
        <v>234660</v>
      </c>
      <c r="O38" s="542">
        <v>0</v>
      </c>
      <c r="P38" s="542">
        <v>0</v>
      </c>
      <c r="Q38" s="542">
        <v>0</v>
      </c>
      <c r="R38" s="542">
        <v>-328495</v>
      </c>
      <c r="S38" s="542">
        <v>0</v>
      </c>
      <c r="T38" s="542">
        <v>-328495</v>
      </c>
      <c r="U38" s="542">
        <v>-2484639</v>
      </c>
      <c r="V38" s="542">
        <v>0</v>
      </c>
      <c r="W38" s="542">
        <v>-2484639</v>
      </c>
      <c r="X38" s="542">
        <v>3896009</v>
      </c>
      <c r="Y38" s="542">
        <v>0</v>
      </c>
      <c r="Z38" s="542">
        <v>3896009</v>
      </c>
      <c r="AA38" s="542">
        <v>-4229761</v>
      </c>
      <c r="AB38" s="542">
        <v>0</v>
      </c>
      <c r="AC38" s="542">
        <v>-4229761</v>
      </c>
      <c r="AD38" s="542">
        <v>110674568</v>
      </c>
      <c r="AE38" s="542">
        <v>0</v>
      </c>
      <c r="AF38" s="542">
        <v>110674568</v>
      </c>
      <c r="AG38" s="542">
        <v>0</v>
      </c>
      <c r="AH38" s="542">
        <v>0</v>
      </c>
      <c r="AI38" s="542">
        <v>0</v>
      </c>
      <c r="AJ38" s="542">
        <v>0</v>
      </c>
      <c r="AK38" s="542">
        <v>0</v>
      </c>
      <c r="AL38" s="542">
        <v>0</v>
      </c>
      <c r="AM38" s="542">
        <v>0</v>
      </c>
      <c r="AN38" s="542">
        <v>0</v>
      </c>
      <c r="AO38" s="542">
        <v>0</v>
      </c>
      <c r="AP38" s="542">
        <v>0</v>
      </c>
      <c r="AQ38" s="542">
        <v>0</v>
      </c>
      <c r="AR38" s="542">
        <v>0</v>
      </c>
      <c r="AS38" s="542">
        <v>0</v>
      </c>
      <c r="AT38" s="542">
        <v>0</v>
      </c>
      <c r="AU38" s="542">
        <v>0</v>
      </c>
      <c r="AV38" s="542">
        <v>5405641</v>
      </c>
      <c r="AW38" s="542">
        <v>-3256427</v>
      </c>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c r="CC38" s="136"/>
      <c r="CD38" s="136"/>
      <c r="CE38" s="136"/>
      <c r="CF38" s="136"/>
      <c r="CG38" s="136"/>
      <c r="CH38" s="136"/>
      <c r="CI38" s="136"/>
      <c r="CJ38" s="136"/>
      <c r="CK38" s="136"/>
      <c r="CL38" s="136"/>
      <c r="CM38" s="136"/>
      <c r="CN38" s="136"/>
      <c r="CO38" s="136"/>
      <c r="CP38" s="136"/>
      <c r="CQ38" s="136"/>
      <c r="CR38" s="136"/>
      <c r="CS38" s="136"/>
      <c r="CT38" s="136"/>
      <c r="CU38" s="136"/>
      <c r="CV38" s="136"/>
      <c r="CW38" s="136"/>
      <c r="CX38" s="136"/>
      <c r="CY38" s="136"/>
      <c r="CZ38" s="136"/>
      <c r="DA38" s="136"/>
      <c r="DB38" s="136"/>
      <c r="DC38" s="136"/>
      <c r="DD38" s="136"/>
      <c r="DE38" s="136"/>
      <c r="DF38" s="136"/>
      <c r="DG38" s="136"/>
      <c r="DH38" s="136"/>
      <c r="DI38" s="136"/>
      <c r="DJ38" s="136"/>
      <c r="DK38" s="136"/>
      <c r="DL38" s="136"/>
      <c r="DM38" s="136"/>
      <c r="DN38" s="136"/>
      <c r="DO38" s="136"/>
      <c r="DP38" s="136"/>
      <c r="DQ38" s="136"/>
      <c r="DR38" s="136"/>
      <c r="DS38" s="136"/>
      <c r="DT38" s="136"/>
      <c r="DU38" s="136"/>
      <c r="DV38" s="136"/>
      <c r="DW38" s="136"/>
      <c r="DX38" s="136"/>
      <c r="DY38" s="136"/>
      <c r="DZ38" s="136"/>
      <c r="EA38" s="136"/>
      <c r="EB38" s="136"/>
      <c r="EC38" s="136"/>
      <c r="ED38" s="136"/>
      <c r="EE38" s="136"/>
      <c r="EF38" s="136"/>
      <c r="EG38" s="136"/>
      <c r="EH38" s="136"/>
      <c r="EI38" s="136"/>
      <c r="EJ38" s="136"/>
      <c r="EK38" s="136"/>
      <c r="EL38" s="136"/>
      <c r="EM38" s="136"/>
      <c r="EN38" s="136"/>
      <c r="EO38" s="136"/>
      <c r="EP38" s="136"/>
      <c r="EQ38" s="136"/>
      <c r="ER38" s="136"/>
      <c r="ES38" s="136"/>
      <c r="ET38" s="136"/>
      <c r="EU38" s="136"/>
      <c r="EV38" s="136"/>
      <c r="EW38" s="136"/>
      <c r="EX38" s="136"/>
      <c r="EY38" s="136"/>
      <c r="EZ38" s="136"/>
      <c r="FA38" s="136"/>
      <c r="FB38" s="136"/>
      <c r="FC38" s="136"/>
      <c r="FD38" s="136"/>
      <c r="FE38" s="137"/>
      <c r="FF38" s="138"/>
    </row>
    <row r="39" spans="1:162" ht="12.75" x14ac:dyDescent="0.2">
      <c r="A39" s="93">
        <v>33</v>
      </c>
      <c r="B39" s="145" t="s">
        <v>625</v>
      </c>
      <c r="C39" s="141" t="s">
        <v>866</v>
      </c>
      <c r="D39" s="142" t="s">
        <v>870</v>
      </c>
      <c r="E39" s="149" t="s">
        <v>624</v>
      </c>
      <c r="F39" s="542">
        <v>30775927</v>
      </c>
      <c r="G39" s="542">
        <v>0</v>
      </c>
      <c r="H39" s="542">
        <v>30775927</v>
      </c>
      <c r="I39" s="542">
        <v>-98</v>
      </c>
      <c r="J39" s="542">
        <v>0</v>
      </c>
      <c r="K39" s="542">
        <v>-98</v>
      </c>
      <c r="L39" s="542">
        <v>61434</v>
      </c>
      <c r="M39" s="542">
        <v>0</v>
      </c>
      <c r="N39" s="542">
        <v>61434</v>
      </c>
      <c r="O39" s="542">
        <v>-547918</v>
      </c>
      <c r="P39" s="542">
        <v>0</v>
      </c>
      <c r="Q39" s="542">
        <v>-547918</v>
      </c>
      <c r="R39" s="542">
        <v>0</v>
      </c>
      <c r="S39" s="542">
        <v>0</v>
      </c>
      <c r="T39" s="542">
        <v>0</v>
      </c>
      <c r="U39" s="542">
        <v>-586792</v>
      </c>
      <c r="V39" s="542">
        <v>0</v>
      </c>
      <c r="W39" s="542">
        <v>-586792</v>
      </c>
      <c r="X39" s="542">
        <v>0</v>
      </c>
      <c r="Y39" s="542">
        <v>0</v>
      </c>
      <c r="Z39" s="542">
        <v>0</v>
      </c>
      <c r="AA39" s="542">
        <v>-209220</v>
      </c>
      <c r="AB39" s="542">
        <v>0</v>
      </c>
      <c r="AC39" s="542">
        <v>-209220</v>
      </c>
      <c r="AD39" s="542">
        <v>30041251</v>
      </c>
      <c r="AE39" s="542">
        <v>0</v>
      </c>
      <c r="AF39" s="542">
        <v>30041251</v>
      </c>
      <c r="AG39" s="542">
        <v>0</v>
      </c>
      <c r="AH39" s="542">
        <v>0</v>
      </c>
      <c r="AI39" s="542">
        <v>0</v>
      </c>
      <c r="AJ39" s="542">
        <v>0</v>
      </c>
      <c r="AK39" s="542">
        <v>0</v>
      </c>
      <c r="AL39" s="542">
        <v>0</v>
      </c>
      <c r="AM39" s="542">
        <v>0</v>
      </c>
      <c r="AN39" s="542">
        <v>0</v>
      </c>
      <c r="AO39" s="542">
        <v>0</v>
      </c>
      <c r="AP39" s="542">
        <v>0</v>
      </c>
      <c r="AQ39" s="542">
        <v>0</v>
      </c>
      <c r="AR39" s="542">
        <v>0</v>
      </c>
      <c r="AS39" s="542">
        <v>0</v>
      </c>
      <c r="AT39" s="542">
        <v>0</v>
      </c>
      <c r="AU39" s="542">
        <v>0</v>
      </c>
      <c r="AV39" s="542">
        <v>2279485</v>
      </c>
      <c r="AW39" s="542">
        <v>-582943</v>
      </c>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DA39" s="136"/>
      <c r="DB39" s="136"/>
      <c r="DC39" s="136"/>
      <c r="DD39" s="136"/>
      <c r="DE39" s="136"/>
      <c r="DF39" s="136"/>
      <c r="DG39" s="136"/>
      <c r="DH39" s="136"/>
      <c r="DI39" s="136"/>
      <c r="DJ39" s="136"/>
      <c r="DK39" s="136"/>
      <c r="DL39" s="136"/>
      <c r="DM39" s="136"/>
      <c r="DN39" s="136"/>
      <c r="DO39" s="136"/>
      <c r="DP39" s="136"/>
      <c r="DQ39" s="136"/>
      <c r="DR39" s="136"/>
      <c r="DS39" s="136"/>
      <c r="DT39" s="136"/>
      <c r="DU39" s="136"/>
      <c r="DV39" s="136"/>
      <c r="DW39" s="136"/>
      <c r="DX39" s="136"/>
      <c r="DY39" s="136"/>
      <c r="DZ39" s="136"/>
      <c r="EA39" s="136"/>
      <c r="EB39" s="136"/>
      <c r="EC39" s="136"/>
      <c r="ED39" s="136"/>
      <c r="EE39" s="136"/>
      <c r="EF39" s="136"/>
      <c r="EG39" s="136"/>
      <c r="EH39" s="136"/>
      <c r="EI39" s="136"/>
      <c r="EJ39" s="136"/>
      <c r="EK39" s="136"/>
      <c r="EL39" s="136"/>
      <c r="EM39" s="136"/>
      <c r="EN39" s="136"/>
      <c r="EO39" s="136"/>
      <c r="EP39" s="136"/>
      <c r="EQ39" s="136"/>
      <c r="ER39" s="136"/>
      <c r="ES39" s="136"/>
      <c r="ET39" s="136"/>
      <c r="EU39" s="136"/>
      <c r="EV39" s="136"/>
      <c r="EW39" s="136"/>
      <c r="EX39" s="136"/>
      <c r="EY39" s="136"/>
      <c r="EZ39" s="136"/>
      <c r="FA39" s="136"/>
      <c r="FB39" s="136"/>
      <c r="FC39" s="136"/>
      <c r="FD39" s="136"/>
      <c r="FE39" s="137"/>
      <c r="FF39" s="138"/>
    </row>
    <row r="40" spans="1:162" ht="12.75" x14ac:dyDescent="0.2">
      <c r="A40" s="93">
        <v>34</v>
      </c>
      <c r="B40" s="145" t="s">
        <v>627</v>
      </c>
      <c r="C40" s="141" t="s">
        <v>770</v>
      </c>
      <c r="D40" s="142" t="s">
        <v>867</v>
      </c>
      <c r="E40" s="149" t="s">
        <v>879</v>
      </c>
      <c r="F40" s="542">
        <v>103806319</v>
      </c>
      <c r="G40" s="542">
        <v>0</v>
      </c>
      <c r="H40" s="542">
        <v>103806319</v>
      </c>
      <c r="I40" s="542">
        <v>-38415</v>
      </c>
      <c r="J40" s="542">
        <v>0</v>
      </c>
      <c r="K40" s="542">
        <v>-38415</v>
      </c>
      <c r="L40" s="542">
        <v>374656</v>
      </c>
      <c r="M40" s="542">
        <v>0</v>
      </c>
      <c r="N40" s="542">
        <v>374656</v>
      </c>
      <c r="O40" s="542">
        <v>-281728</v>
      </c>
      <c r="P40" s="542">
        <v>0</v>
      </c>
      <c r="Q40" s="542">
        <v>-281728</v>
      </c>
      <c r="R40" s="542">
        <v>-82699</v>
      </c>
      <c r="S40" s="542">
        <v>0</v>
      </c>
      <c r="T40" s="542">
        <v>-82699</v>
      </c>
      <c r="U40" s="542">
        <v>-667363</v>
      </c>
      <c r="V40" s="542">
        <v>0</v>
      </c>
      <c r="W40" s="542">
        <v>-667363</v>
      </c>
      <c r="X40" s="542">
        <v>4018885</v>
      </c>
      <c r="Y40" s="542">
        <v>0</v>
      </c>
      <c r="Z40" s="542">
        <v>4018885</v>
      </c>
      <c r="AA40" s="542">
        <v>-954337</v>
      </c>
      <c r="AB40" s="542">
        <v>0</v>
      </c>
      <c r="AC40" s="542">
        <v>-954337</v>
      </c>
      <c r="AD40" s="542">
        <v>106457046</v>
      </c>
      <c r="AE40" s="542">
        <v>0</v>
      </c>
      <c r="AF40" s="542">
        <v>106457046</v>
      </c>
      <c r="AG40" s="542">
        <v>0</v>
      </c>
      <c r="AH40" s="542">
        <v>0</v>
      </c>
      <c r="AI40" s="542">
        <v>0</v>
      </c>
      <c r="AJ40" s="542">
        <v>0</v>
      </c>
      <c r="AK40" s="542">
        <v>0</v>
      </c>
      <c r="AL40" s="542">
        <v>0</v>
      </c>
      <c r="AM40" s="542">
        <v>0</v>
      </c>
      <c r="AN40" s="542">
        <v>0</v>
      </c>
      <c r="AO40" s="542">
        <v>0</v>
      </c>
      <c r="AP40" s="542">
        <v>0</v>
      </c>
      <c r="AQ40" s="542">
        <v>0</v>
      </c>
      <c r="AR40" s="542">
        <v>0</v>
      </c>
      <c r="AS40" s="542">
        <v>0</v>
      </c>
      <c r="AT40" s="542">
        <v>0</v>
      </c>
      <c r="AU40" s="542">
        <v>0</v>
      </c>
      <c r="AV40" s="542">
        <v>5316429</v>
      </c>
      <c r="AW40" s="542">
        <v>-2694875</v>
      </c>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136"/>
      <c r="CD40" s="136"/>
      <c r="CE40" s="136"/>
      <c r="CF40" s="136"/>
      <c r="CG40" s="136"/>
      <c r="CH40" s="136"/>
      <c r="CI40" s="136"/>
      <c r="CJ40" s="136"/>
      <c r="CK40" s="136"/>
      <c r="CL40" s="136"/>
      <c r="CM40" s="136"/>
      <c r="CN40" s="136"/>
      <c r="CO40" s="136"/>
      <c r="CP40" s="136"/>
      <c r="CQ40" s="136"/>
      <c r="CR40" s="136"/>
      <c r="CS40" s="136"/>
      <c r="CT40" s="136"/>
      <c r="CU40" s="136"/>
      <c r="CV40" s="136"/>
      <c r="CW40" s="136"/>
      <c r="CX40" s="136"/>
      <c r="CY40" s="136"/>
      <c r="CZ40" s="136"/>
      <c r="DA40" s="136"/>
      <c r="DB40" s="136"/>
      <c r="DC40" s="136"/>
      <c r="DD40" s="136"/>
      <c r="DE40" s="136"/>
      <c r="DF40" s="136"/>
      <c r="DG40" s="136"/>
      <c r="DH40" s="136"/>
      <c r="DI40" s="136"/>
      <c r="DJ40" s="136"/>
      <c r="DK40" s="136"/>
      <c r="DL40" s="136"/>
      <c r="DM40" s="136"/>
      <c r="DN40" s="136"/>
      <c r="DO40" s="136"/>
      <c r="DP40" s="136"/>
      <c r="DQ40" s="136"/>
      <c r="DR40" s="136"/>
      <c r="DS40" s="136"/>
      <c r="DT40" s="136"/>
      <c r="DU40" s="136"/>
      <c r="DV40" s="136"/>
      <c r="DW40" s="136"/>
      <c r="DX40" s="136"/>
      <c r="DY40" s="136"/>
      <c r="DZ40" s="136"/>
      <c r="EA40" s="136"/>
      <c r="EB40" s="136"/>
      <c r="EC40" s="136"/>
      <c r="ED40" s="136"/>
      <c r="EE40" s="136"/>
      <c r="EF40" s="136"/>
      <c r="EG40" s="136"/>
      <c r="EH40" s="136"/>
      <c r="EI40" s="136"/>
      <c r="EJ40" s="136"/>
      <c r="EK40" s="136"/>
      <c r="EL40" s="136"/>
      <c r="EM40" s="136"/>
      <c r="EN40" s="136"/>
      <c r="EO40" s="136"/>
      <c r="EP40" s="136"/>
      <c r="EQ40" s="136"/>
      <c r="ER40" s="136"/>
      <c r="ES40" s="136"/>
      <c r="ET40" s="136"/>
      <c r="EU40" s="136"/>
      <c r="EV40" s="136"/>
      <c r="EW40" s="136"/>
      <c r="EX40" s="136"/>
      <c r="EY40" s="136"/>
      <c r="EZ40" s="136"/>
      <c r="FA40" s="136"/>
      <c r="FB40" s="136"/>
      <c r="FC40" s="136"/>
      <c r="FD40" s="136"/>
      <c r="FE40" s="137"/>
      <c r="FF40" s="138"/>
    </row>
    <row r="41" spans="1:162" ht="12.75" x14ac:dyDescent="0.2">
      <c r="A41" s="93">
        <v>35</v>
      </c>
      <c r="B41" s="145" t="s">
        <v>629</v>
      </c>
      <c r="C41" s="141" t="s">
        <v>770</v>
      </c>
      <c r="D41" s="142" t="s">
        <v>875</v>
      </c>
      <c r="E41" s="149" t="s">
        <v>628</v>
      </c>
      <c r="F41" s="542">
        <v>183936055</v>
      </c>
      <c r="G41" s="542">
        <v>25235750</v>
      </c>
      <c r="H41" s="542">
        <v>209171805</v>
      </c>
      <c r="I41" s="542">
        <v>-53520</v>
      </c>
      <c r="J41" s="542">
        <v>-387</v>
      </c>
      <c r="K41" s="542">
        <v>-53907</v>
      </c>
      <c r="L41" s="542">
        <v>885918</v>
      </c>
      <c r="M41" s="542">
        <v>9849</v>
      </c>
      <c r="N41" s="542">
        <v>895767</v>
      </c>
      <c r="O41" s="542">
        <v>-2200791</v>
      </c>
      <c r="P41" s="542">
        <v>-3209</v>
      </c>
      <c r="Q41" s="542">
        <v>-2204000</v>
      </c>
      <c r="R41" s="542">
        <v>-317474</v>
      </c>
      <c r="S41" s="542">
        <v>0</v>
      </c>
      <c r="T41" s="542">
        <v>-317474</v>
      </c>
      <c r="U41" s="542">
        <v>-1536268</v>
      </c>
      <c r="V41" s="542">
        <v>-8732</v>
      </c>
      <c r="W41" s="542">
        <v>-1545000</v>
      </c>
      <c r="X41" s="542">
        <v>2643748</v>
      </c>
      <c r="Y41" s="542">
        <v>937685</v>
      </c>
      <c r="Z41" s="542">
        <v>3581433</v>
      </c>
      <c r="AA41" s="542">
        <v>-5668567</v>
      </c>
      <c r="AB41" s="542">
        <v>-1426474</v>
      </c>
      <c r="AC41" s="542">
        <v>-7095041</v>
      </c>
      <c r="AD41" s="542">
        <v>179889892</v>
      </c>
      <c r="AE41" s="542">
        <v>24747691</v>
      </c>
      <c r="AF41" s="542">
        <v>204637583</v>
      </c>
      <c r="AG41" s="542">
        <v>13586809</v>
      </c>
      <c r="AH41" s="542">
        <v>11160882</v>
      </c>
      <c r="AI41" s="542">
        <v>24747691</v>
      </c>
      <c r="AJ41" s="542">
        <v>258</v>
      </c>
      <c r="AK41" s="542">
        <v>0</v>
      </c>
      <c r="AL41" s="542">
        <v>0</v>
      </c>
      <c r="AM41" s="542">
        <v>258</v>
      </c>
      <c r="AN41" s="542">
        <v>34466</v>
      </c>
      <c r="AO41" s="542">
        <v>2279</v>
      </c>
      <c r="AP41" s="542">
        <v>36745</v>
      </c>
      <c r="AQ41" s="542">
        <v>12992674</v>
      </c>
      <c r="AR41" s="542">
        <v>6460675</v>
      </c>
      <c r="AS41" s="542">
        <v>628601</v>
      </c>
      <c r="AT41" s="542">
        <v>4702486</v>
      </c>
      <c r="AU41" s="542">
        <v>5331087</v>
      </c>
      <c r="AV41" s="542">
        <v>4434530</v>
      </c>
      <c r="AW41" s="542">
        <v>-2560660</v>
      </c>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136"/>
      <c r="CE41" s="136"/>
      <c r="CF41" s="136"/>
      <c r="CG41" s="136"/>
      <c r="CH41" s="136"/>
      <c r="CI41" s="136"/>
      <c r="CJ41" s="136"/>
      <c r="CK41" s="136"/>
      <c r="CL41" s="136"/>
      <c r="CM41" s="136"/>
      <c r="CN41" s="136"/>
      <c r="CO41" s="136"/>
      <c r="CP41" s="136"/>
      <c r="CQ41" s="136"/>
      <c r="CR41" s="136"/>
      <c r="CS41" s="136"/>
      <c r="CT41" s="136"/>
      <c r="CU41" s="136"/>
      <c r="CV41" s="136"/>
      <c r="CW41" s="136"/>
      <c r="CX41" s="136"/>
      <c r="CY41" s="136"/>
      <c r="CZ41" s="136"/>
      <c r="DA41" s="136"/>
      <c r="DB41" s="136"/>
      <c r="DC41" s="136"/>
      <c r="DD41" s="136"/>
      <c r="DE41" s="136"/>
      <c r="DF41" s="136"/>
      <c r="DG41" s="136"/>
      <c r="DH41" s="136"/>
      <c r="DI41" s="136"/>
      <c r="DJ41" s="136"/>
      <c r="DK41" s="136"/>
      <c r="DL41" s="136"/>
      <c r="DM41" s="136"/>
      <c r="DN41" s="136"/>
      <c r="DO41" s="136"/>
      <c r="DP41" s="136"/>
      <c r="DQ41" s="136"/>
      <c r="DR41" s="136"/>
      <c r="DS41" s="136"/>
      <c r="DT41" s="136"/>
      <c r="DU41" s="136"/>
      <c r="DV41" s="136"/>
      <c r="DW41" s="136"/>
      <c r="DX41" s="136"/>
      <c r="DY41" s="136"/>
      <c r="DZ41" s="136"/>
      <c r="EA41" s="136"/>
      <c r="EB41" s="136"/>
      <c r="EC41" s="136"/>
      <c r="ED41" s="136"/>
      <c r="EE41" s="136"/>
      <c r="EF41" s="136"/>
      <c r="EG41" s="136"/>
      <c r="EH41" s="136"/>
      <c r="EI41" s="136"/>
      <c r="EJ41" s="136"/>
      <c r="EK41" s="136"/>
      <c r="EL41" s="136"/>
      <c r="EM41" s="136"/>
      <c r="EN41" s="136"/>
      <c r="EO41" s="136"/>
      <c r="EP41" s="136"/>
      <c r="EQ41" s="136"/>
      <c r="ER41" s="136"/>
      <c r="ES41" s="136"/>
      <c r="ET41" s="136"/>
      <c r="EU41" s="136"/>
      <c r="EV41" s="136"/>
      <c r="EW41" s="136"/>
      <c r="EX41" s="136"/>
      <c r="EY41" s="136"/>
      <c r="EZ41" s="136"/>
      <c r="FA41" s="136"/>
      <c r="FB41" s="136"/>
      <c r="FC41" s="136"/>
      <c r="FD41" s="136"/>
      <c r="FE41" s="137"/>
      <c r="FF41" s="138"/>
    </row>
    <row r="42" spans="1:162" ht="12.75" x14ac:dyDescent="0.2">
      <c r="A42" s="93">
        <v>36</v>
      </c>
      <c r="B42" s="145" t="s">
        <v>631</v>
      </c>
      <c r="C42" s="141" t="s">
        <v>866</v>
      </c>
      <c r="D42" s="142" t="s">
        <v>870</v>
      </c>
      <c r="E42" s="149" t="s">
        <v>630</v>
      </c>
      <c r="F42" s="542">
        <v>29439415</v>
      </c>
      <c r="G42" s="542">
        <v>0</v>
      </c>
      <c r="H42" s="542">
        <v>29439415</v>
      </c>
      <c r="I42" s="542">
        <v>-1360</v>
      </c>
      <c r="J42" s="542">
        <v>0</v>
      </c>
      <c r="K42" s="542">
        <v>-1360</v>
      </c>
      <c r="L42" s="542">
        <v>130544</v>
      </c>
      <c r="M42" s="542">
        <v>0</v>
      </c>
      <c r="N42" s="542">
        <v>130544</v>
      </c>
      <c r="O42" s="542">
        <v>-81758</v>
      </c>
      <c r="P42" s="542">
        <v>0</v>
      </c>
      <c r="Q42" s="542">
        <v>-81758</v>
      </c>
      <c r="R42" s="542">
        <v>0</v>
      </c>
      <c r="S42" s="542">
        <v>0</v>
      </c>
      <c r="T42" s="542">
        <v>0</v>
      </c>
      <c r="U42" s="542">
        <v>-122406</v>
      </c>
      <c r="V42" s="542">
        <v>0</v>
      </c>
      <c r="W42" s="542">
        <v>-122406</v>
      </c>
      <c r="X42" s="542">
        <v>709483</v>
      </c>
      <c r="Y42" s="542">
        <v>0</v>
      </c>
      <c r="Z42" s="542">
        <v>709483</v>
      </c>
      <c r="AA42" s="542">
        <v>-1965741</v>
      </c>
      <c r="AB42" s="542">
        <v>0</v>
      </c>
      <c r="AC42" s="542">
        <v>-1965741</v>
      </c>
      <c r="AD42" s="542">
        <v>28189935</v>
      </c>
      <c r="AE42" s="542">
        <v>0</v>
      </c>
      <c r="AF42" s="542">
        <v>28189935</v>
      </c>
      <c r="AG42" s="542">
        <v>0</v>
      </c>
      <c r="AH42" s="542">
        <v>0</v>
      </c>
      <c r="AI42" s="542">
        <v>0</v>
      </c>
      <c r="AJ42" s="542">
        <v>93990</v>
      </c>
      <c r="AK42" s="542">
        <v>0</v>
      </c>
      <c r="AL42" s="542">
        <v>0</v>
      </c>
      <c r="AM42" s="542">
        <v>93990</v>
      </c>
      <c r="AN42" s="542">
        <v>0</v>
      </c>
      <c r="AO42" s="542">
        <v>0</v>
      </c>
      <c r="AP42" s="542">
        <v>0</v>
      </c>
      <c r="AQ42" s="542">
        <v>0</v>
      </c>
      <c r="AR42" s="542">
        <v>0</v>
      </c>
      <c r="AS42" s="542">
        <v>0</v>
      </c>
      <c r="AT42" s="542">
        <v>0</v>
      </c>
      <c r="AU42" s="542">
        <v>0</v>
      </c>
      <c r="AV42" s="542">
        <v>325256</v>
      </c>
      <c r="AW42" s="542">
        <v>-810492</v>
      </c>
      <c r="AX42" s="136"/>
      <c r="AY42" s="136"/>
      <c r="AZ42" s="136"/>
      <c r="BA42" s="136"/>
      <c r="BB42" s="136"/>
      <c r="BC42" s="136"/>
      <c r="BD42" s="136"/>
      <c r="BE42" s="136"/>
      <c r="BF42" s="136"/>
      <c r="BG42" s="136"/>
      <c r="BH42" s="136"/>
      <c r="BI42" s="136"/>
      <c r="BJ42" s="136"/>
      <c r="BK42" s="136"/>
      <c r="BL42" s="136"/>
      <c r="BM42" s="136"/>
      <c r="BN42" s="136"/>
      <c r="BO42" s="136"/>
      <c r="BP42" s="136"/>
      <c r="BQ42" s="136"/>
      <c r="BR42" s="136"/>
      <c r="BS42" s="136"/>
      <c r="BT42" s="136"/>
      <c r="BU42" s="136"/>
      <c r="BV42" s="136"/>
      <c r="BW42" s="136"/>
      <c r="BX42" s="136"/>
      <c r="BY42" s="136"/>
      <c r="BZ42" s="136"/>
      <c r="CA42" s="136"/>
      <c r="CB42" s="136"/>
      <c r="CC42" s="136"/>
      <c r="CD42" s="136"/>
      <c r="CE42" s="136"/>
      <c r="CF42" s="136"/>
      <c r="CG42" s="136"/>
      <c r="CH42" s="136"/>
      <c r="CI42" s="136"/>
      <c r="CJ42" s="136"/>
      <c r="CK42" s="136"/>
      <c r="CL42" s="136"/>
      <c r="CM42" s="136"/>
      <c r="CN42" s="136"/>
      <c r="CO42" s="136"/>
      <c r="CP42" s="136"/>
      <c r="CQ42" s="136"/>
      <c r="CR42" s="136"/>
      <c r="CS42" s="136"/>
      <c r="CT42" s="136"/>
      <c r="CU42" s="136"/>
      <c r="CV42" s="136"/>
      <c r="CW42" s="136"/>
      <c r="CX42" s="136"/>
      <c r="CY42" s="136"/>
      <c r="CZ42" s="136"/>
      <c r="DA42" s="136"/>
      <c r="DB42" s="136"/>
      <c r="DC42" s="136"/>
      <c r="DD42" s="136"/>
      <c r="DE42" s="136"/>
      <c r="DF42" s="136"/>
      <c r="DG42" s="136"/>
      <c r="DH42" s="136"/>
      <c r="DI42" s="136"/>
      <c r="DJ42" s="136"/>
      <c r="DK42" s="136"/>
      <c r="DL42" s="136"/>
      <c r="DM42" s="136"/>
      <c r="DN42" s="136"/>
      <c r="DO42" s="136"/>
      <c r="DP42" s="136"/>
      <c r="DQ42" s="136"/>
      <c r="DR42" s="136"/>
      <c r="DS42" s="136"/>
      <c r="DT42" s="136"/>
      <c r="DU42" s="136"/>
      <c r="DV42" s="136"/>
      <c r="DW42" s="136"/>
      <c r="DX42" s="136"/>
      <c r="DY42" s="136"/>
      <c r="DZ42" s="136"/>
      <c r="EA42" s="136"/>
      <c r="EB42" s="136"/>
      <c r="EC42" s="136"/>
      <c r="ED42" s="136"/>
      <c r="EE42" s="136"/>
      <c r="EF42" s="136"/>
      <c r="EG42" s="136"/>
      <c r="EH42" s="136"/>
      <c r="EI42" s="136"/>
      <c r="EJ42" s="136"/>
      <c r="EK42" s="136"/>
      <c r="EL42" s="136"/>
      <c r="EM42" s="136"/>
      <c r="EN42" s="136"/>
      <c r="EO42" s="136"/>
      <c r="EP42" s="136"/>
      <c r="EQ42" s="136"/>
      <c r="ER42" s="136"/>
      <c r="ES42" s="136"/>
      <c r="ET42" s="136"/>
      <c r="EU42" s="136"/>
      <c r="EV42" s="136"/>
      <c r="EW42" s="136"/>
      <c r="EX42" s="136"/>
      <c r="EY42" s="136"/>
      <c r="EZ42" s="136"/>
      <c r="FA42" s="136"/>
      <c r="FB42" s="136"/>
      <c r="FC42" s="136"/>
      <c r="FD42" s="136"/>
      <c r="FE42" s="137"/>
      <c r="FF42" s="138"/>
    </row>
    <row r="43" spans="1:162" ht="12.75" x14ac:dyDescent="0.2">
      <c r="A43" s="93">
        <v>37</v>
      </c>
      <c r="B43" s="145" t="s">
        <v>633</v>
      </c>
      <c r="C43" s="141" t="s">
        <v>871</v>
      </c>
      <c r="D43" s="142" t="s">
        <v>872</v>
      </c>
      <c r="E43" s="149" t="s">
        <v>632</v>
      </c>
      <c r="F43" s="542">
        <v>84469414</v>
      </c>
      <c r="G43" s="542">
        <v>0</v>
      </c>
      <c r="H43" s="542">
        <v>84469414</v>
      </c>
      <c r="I43" s="542">
        <v>-3732</v>
      </c>
      <c r="J43" s="542">
        <v>0</v>
      </c>
      <c r="K43" s="542">
        <v>-3732</v>
      </c>
      <c r="L43" s="542">
        <v>498076</v>
      </c>
      <c r="M43" s="542">
        <v>0</v>
      </c>
      <c r="N43" s="542">
        <v>498076</v>
      </c>
      <c r="O43" s="542">
        <v>-478670</v>
      </c>
      <c r="P43" s="542">
        <v>0</v>
      </c>
      <c r="Q43" s="542">
        <v>-478670</v>
      </c>
      <c r="R43" s="542">
        <v>0</v>
      </c>
      <c r="S43" s="542">
        <v>0</v>
      </c>
      <c r="T43" s="542">
        <v>0</v>
      </c>
      <c r="U43" s="542">
        <v>-478670</v>
      </c>
      <c r="V43" s="542">
        <v>0</v>
      </c>
      <c r="W43" s="542">
        <v>-478670</v>
      </c>
      <c r="X43" s="542">
        <v>449855</v>
      </c>
      <c r="Y43" s="542">
        <v>0</v>
      </c>
      <c r="Z43" s="542">
        <v>449855</v>
      </c>
      <c r="AA43" s="542">
        <v>-5844966</v>
      </c>
      <c r="AB43" s="542">
        <v>0</v>
      </c>
      <c r="AC43" s="542">
        <v>-5844966</v>
      </c>
      <c r="AD43" s="542">
        <v>79089977</v>
      </c>
      <c r="AE43" s="542">
        <v>0</v>
      </c>
      <c r="AF43" s="542">
        <v>79089977</v>
      </c>
      <c r="AG43" s="542">
        <v>0</v>
      </c>
      <c r="AH43" s="542">
        <v>0</v>
      </c>
      <c r="AI43" s="542">
        <v>0</v>
      </c>
      <c r="AJ43" s="542">
        <v>0</v>
      </c>
      <c r="AK43" s="542">
        <v>0</v>
      </c>
      <c r="AL43" s="542">
        <v>0</v>
      </c>
      <c r="AM43" s="542">
        <v>0</v>
      </c>
      <c r="AN43" s="542">
        <v>0</v>
      </c>
      <c r="AO43" s="542">
        <v>0</v>
      </c>
      <c r="AP43" s="542">
        <v>0</v>
      </c>
      <c r="AQ43" s="542">
        <v>0</v>
      </c>
      <c r="AR43" s="542">
        <v>0</v>
      </c>
      <c r="AS43" s="542">
        <v>0</v>
      </c>
      <c r="AT43" s="542">
        <v>0</v>
      </c>
      <c r="AU43" s="542">
        <v>0</v>
      </c>
      <c r="AV43" s="542">
        <v>1560132</v>
      </c>
      <c r="AW43" s="542">
        <v>-3598991</v>
      </c>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c r="EF43" s="136"/>
      <c r="EG43" s="136"/>
      <c r="EH43" s="136"/>
      <c r="EI43" s="136"/>
      <c r="EJ43" s="136"/>
      <c r="EK43" s="136"/>
      <c r="EL43" s="136"/>
      <c r="EM43" s="136"/>
      <c r="EN43" s="136"/>
      <c r="EO43" s="136"/>
      <c r="EP43" s="136"/>
      <c r="EQ43" s="136"/>
      <c r="ER43" s="136"/>
      <c r="ES43" s="136"/>
      <c r="ET43" s="136"/>
      <c r="EU43" s="136"/>
      <c r="EV43" s="136"/>
      <c r="EW43" s="136"/>
      <c r="EX43" s="136"/>
      <c r="EY43" s="136"/>
      <c r="EZ43" s="136"/>
      <c r="FA43" s="136"/>
      <c r="FB43" s="136"/>
      <c r="FC43" s="136"/>
      <c r="FD43" s="136"/>
      <c r="FE43" s="137"/>
      <c r="FF43" s="138"/>
    </row>
    <row r="44" spans="1:162" ht="12.75" x14ac:dyDescent="0.2">
      <c r="A44" s="93">
        <v>38</v>
      </c>
      <c r="B44" s="145" t="s">
        <v>635</v>
      </c>
      <c r="C44" s="141" t="s">
        <v>866</v>
      </c>
      <c r="D44" s="142" t="s">
        <v>876</v>
      </c>
      <c r="E44" s="149" t="s">
        <v>634</v>
      </c>
      <c r="F44" s="542">
        <v>27054419</v>
      </c>
      <c r="G44" s="542">
        <v>0</v>
      </c>
      <c r="H44" s="542">
        <v>27054419</v>
      </c>
      <c r="I44" s="542">
        <v>0</v>
      </c>
      <c r="J44" s="542">
        <v>0</v>
      </c>
      <c r="K44" s="542">
        <v>0</v>
      </c>
      <c r="L44" s="542">
        <v>6420</v>
      </c>
      <c r="M44" s="542">
        <v>0</v>
      </c>
      <c r="N44" s="542">
        <v>6420</v>
      </c>
      <c r="O44" s="542">
        <v>-143547</v>
      </c>
      <c r="P44" s="542">
        <v>0</v>
      </c>
      <c r="Q44" s="542">
        <v>-143547</v>
      </c>
      <c r="R44" s="542">
        <v>0</v>
      </c>
      <c r="S44" s="542">
        <v>0</v>
      </c>
      <c r="T44" s="542">
        <v>0</v>
      </c>
      <c r="U44" s="542">
        <v>-332840</v>
      </c>
      <c r="V44" s="542">
        <v>0</v>
      </c>
      <c r="W44" s="542">
        <v>-332840</v>
      </c>
      <c r="X44" s="542">
        <v>0</v>
      </c>
      <c r="Y44" s="542">
        <v>0</v>
      </c>
      <c r="Z44" s="542">
        <v>0</v>
      </c>
      <c r="AA44" s="542">
        <v>-1898307</v>
      </c>
      <c r="AB44" s="542">
        <v>0</v>
      </c>
      <c r="AC44" s="542">
        <v>-1898307</v>
      </c>
      <c r="AD44" s="542">
        <v>24829692</v>
      </c>
      <c r="AE44" s="542">
        <v>0</v>
      </c>
      <c r="AF44" s="542">
        <v>24829692</v>
      </c>
      <c r="AG44" s="542">
        <v>0</v>
      </c>
      <c r="AH44" s="542">
        <v>0</v>
      </c>
      <c r="AI44" s="542">
        <v>0</v>
      </c>
      <c r="AJ44" s="542">
        <v>0</v>
      </c>
      <c r="AK44" s="542">
        <v>0</v>
      </c>
      <c r="AL44" s="542">
        <v>0</v>
      </c>
      <c r="AM44" s="542">
        <v>0</v>
      </c>
      <c r="AN44" s="542">
        <v>0</v>
      </c>
      <c r="AO44" s="542">
        <v>0</v>
      </c>
      <c r="AP44" s="542">
        <v>0</v>
      </c>
      <c r="AQ44" s="542">
        <v>0</v>
      </c>
      <c r="AR44" s="542">
        <v>0</v>
      </c>
      <c r="AS44" s="542">
        <v>0</v>
      </c>
      <c r="AT44" s="542">
        <v>0</v>
      </c>
      <c r="AU44" s="542">
        <v>0</v>
      </c>
      <c r="AV44" s="542">
        <v>1795525</v>
      </c>
      <c r="AW44" s="542">
        <v>-662142</v>
      </c>
      <c r="AX44" s="136"/>
      <c r="AY44" s="136"/>
      <c r="AZ44" s="136"/>
      <c r="BA44" s="136"/>
      <c r="BB44" s="136"/>
      <c r="BC44" s="136"/>
      <c r="BD44" s="136"/>
      <c r="BE44" s="136"/>
      <c r="BF44" s="136"/>
      <c r="BG44" s="136"/>
      <c r="BH44" s="136"/>
      <c r="BI44" s="136"/>
      <c r="BJ44" s="136"/>
      <c r="BK44" s="136"/>
      <c r="BL44" s="136"/>
      <c r="BM44" s="136"/>
      <c r="BN44" s="136"/>
      <c r="BO44" s="136"/>
      <c r="BP44" s="136"/>
      <c r="BQ44" s="136"/>
      <c r="BR44" s="136"/>
      <c r="BS44" s="136"/>
      <c r="BT44" s="136"/>
      <c r="BU44" s="136"/>
      <c r="BV44" s="136"/>
      <c r="BW44" s="136"/>
      <c r="BX44" s="136"/>
      <c r="BY44" s="136"/>
      <c r="BZ44" s="136"/>
      <c r="CA44" s="136"/>
      <c r="CB44" s="136"/>
      <c r="CC44" s="136"/>
      <c r="CD44" s="136"/>
      <c r="CE44" s="136"/>
      <c r="CF44" s="136"/>
      <c r="CG44" s="136"/>
      <c r="CH44" s="136"/>
      <c r="CI44" s="136"/>
      <c r="CJ44" s="136"/>
      <c r="CK44" s="136"/>
      <c r="CL44" s="136"/>
      <c r="CM44" s="136"/>
      <c r="CN44" s="136"/>
      <c r="CO44" s="136"/>
      <c r="CP44" s="136"/>
      <c r="CQ44" s="136"/>
      <c r="CR44" s="136"/>
      <c r="CS44" s="136"/>
      <c r="CT44" s="136"/>
      <c r="CU44" s="136"/>
      <c r="CV44" s="136"/>
      <c r="CW44" s="136"/>
      <c r="CX44" s="136"/>
      <c r="CY44" s="136"/>
      <c r="CZ44" s="136"/>
      <c r="DA44" s="136"/>
      <c r="DB44" s="136"/>
      <c r="DC44" s="136"/>
      <c r="DD44" s="136"/>
      <c r="DE44" s="136"/>
      <c r="DF44" s="136"/>
      <c r="DG44" s="136"/>
      <c r="DH44" s="136"/>
      <c r="DI44" s="136"/>
      <c r="DJ44" s="136"/>
      <c r="DK44" s="136"/>
      <c r="DL44" s="136"/>
      <c r="DM44" s="136"/>
      <c r="DN44" s="136"/>
      <c r="DO44" s="136"/>
      <c r="DP44" s="136"/>
      <c r="DQ44" s="136"/>
      <c r="DR44" s="136"/>
      <c r="DS44" s="136"/>
      <c r="DT44" s="136"/>
      <c r="DU44" s="136"/>
      <c r="DV44" s="136"/>
      <c r="DW44" s="136"/>
      <c r="DX44" s="136"/>
      <c r="DY44" s="136"/>
      <c r="DZ44" s="136"/>
      <c r="EA44" s="136"/>
      <c r="EB44" s="136"/>
      <c r="EC44" s="136"/>
      <c r="ED44" s="136"/>
      <c r="EE44" s="136"/>
      <c r="EF44" s="136"/>
      <c r="EG44" s="136"/>
      <c r="EH44" s="136"/>
      <c r="EI44" s="136"/>
      <c r="EJ44" s="136"/>
      <c r="EK44" s="136"/>
      <c r="EL44" s="136"/>
      <c r="EM44" s="136"/>
      <c r="EN44" s="136"/>
      <c r="EO44" s="136"/>
      <c r="EP44" s="136"/>
      <c r="EQ44" s="136"/>
      <c r="ER44" s="136"/>
      <c r="ES44" s="136"/>
      <c r="ET44" s="136"/>
      <c r="EU44" s="136"/>
      <c r="EV44" s="136"/>
      <c r="EW44" s="136"/>
      <c r="EX44" s="136"/>
      <c r="EY44" s="136"/>
      <c r="EZ44" s="136"/>
      <c r="FA44" s="136"/>
      <c r="FB44" s="136"/>
      <c r="FC44" s="136"/>
      <c r="FD44" s="136"/>
      <c r="FE44" s="137"/>
      <c r="FF44" s="138"/>
    </row>
    <row r="45" spans="1:162" ht="12.75" x14ac:dyDescent="0.2">
      <c r="A45" s="93">
        <v>39</v>
      </c>
      <c r="B45" s="145" t="s">
        <v>637</v>
      </c>
      <c r="C45" s="141" t="s">
        <v>866</v>
      </c>
      <c r="D45" s="142" t="s">
        <v>870</v>
      </c>
      <c r="E45" s="149" t="s">
        <v>636</v>
      </c>
      <c r="F45" s="542">
        <v>41219009</v>
      </c>
      <c r="G45" s="542">
        <v>0</v>
      </c>
      <c r="H45" s="542">
        <v>41219009</v>
      </c>
      <c r="I45" s="542">
        <v>0</v>
      </c>
      <c r="J45" s="542">
        <v>0</v>
      </c>
      <c r="K45" s="542">
        <v>0</v>
      </c>
      <c r="L45" s="542">
        <v>59410</v>
      </c>
      <c r="M45" s="542">
        <v>0</v>
      </c>
      <c r="N45" s="542">
        <v>59410</v>
      </c>
      <c r="O45" s="542">
        <v>-299602</v>
      </c>
      <c r="P45" s="542">
        <v>0</v>
      </c>
      <c r="Q45" s="542">
        <v>-299602</v>
      </c>
      <c r="R45" s="542">
        <v>0</v>
      </c>
      <c r="S45" s="542">
        <v>0</v>
      </c>
      <c r="T45" s="542">
        <v>0</v>
      </c>
      <c r="U45" s="542">
        <v>-295666</v>
      </c>
      <c r="V45" s="542">
        <v>0</v>
      </c>
      <c r="W45" s="542">
        <v>-295666</v>
      </c>
      <c r="X45" s="542">
        <v>666283</v>
      </c>
      <c r="Y45" s="542">
        <v>0</v>
      </c>
      <c r="Z45" s="542">
        <v>666283</v>
      </c>
      <c r="AA45" s="542">
        <v>-3845944</v>
      </c>
      <c r="AB45" s="542">
        <v>0</v>
      </c>
      <c r="AC45" s="542">
        <v>-3845944</v>
      </c>
      <c r="AD45" s="542">
        <v>37803092</v>
      </c>
      <c r="AE45" s="542">
        <v>0</v>
      </c>
      <c r="AF45" s="542">
        <v>37803092</v>
      </c>
      <c r="AG45" s="542">
        <v>0</v>
      </c>
      <c r="AH45" s="542">
        <v>0</v>
      </c>
      <c r="AI45" s="542">
        <v>0</v>
      </c>
      <c r="AJ45" s="542">
        <v>0</v>
      </c>
      <c r="AK45" s="542">
        <v>0</v>
      </c>
      <c r="AL45" s="542">
        <v>0</v>
      </c>
      <c r="AM45" s="542">
        <v>0</v>
      </c>
      <c r="AN45" s="542">
        <v>0</v>
      </c>
      <c r="AO45" s="542">
        <v>0</v>
      </c>
      <c r="AP45" s="542">
        <v>0</v>
      </c>
      <c r="AQ45" s="542">
        <v>0</v>
      </c>
      <c r="AR45" s="542">
        <v>0</v>
      </c>
      <c r="AS45" s="542">
        <v>0</v>
      </c>
      <c r="AT45" s="542">
        <v>0</v>
      </c>
      <c r="AU45" s="542">
        <v>0</v>
      </c>
      <c r="AV45" s="542">
        <v>2280704</v>
      </c>
      <c r="AW45" s="542">
        <v>-529757</v>
      </c>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c r="CY45" s="136"/>
      <c r="CZ45" s="136"/>
      <c r="DA45" s="136"/>
      <c r="DB45" s="136"/>
      <c r="DC45" s="136"/>
      <c r="DD45" s="136"/>
      <c r="DE45" s="136"/>
      <c r="DF45" s="136"/>
      <c r="DG45" s="136"/>
      <c r="DH45" s="136"/>
      <c r="DI45" s="136"/>
      <c r="DJ45" s="136"/>
      <c r="DK45" s="136"/>
      <c r="DL45" s="136"/>
      <c r="DM45" s="136"/>
      <c r="DN45" s="136"/>
      <c r="DO45" s="136"/>
      <c r="DP45" s="136"/>
      <c r="DQ45" s="136"/>
      <c r="DR45" s="136"/>
      <c r="DS45" s="136"/>
      <c r="DT45" s="136"/>
      <c r="DU45" s="136"/>
      <c r="DV45" s="136"/>
      <c r="DW45" s="136"/>
      <c r="DX45" s="136"/>
      <c r="DY45" s="136"/>
      <c r="DZ45" s="136"/>
      <c r="EA45" s="136"/>
      <c r="EB45" s="136"/>
      <c r="EC45" s="136"/>
      <c r="ED45" s="136"/>
      <c r="EE45" s="136"/>
      <c r="EF45" s="136"/>
      <c r="EG45" s="136"/>
      <c r="EH45" s="136"/>
      <c r="EI45" s="136"/>
      <c r="EJ45" s="136"/>
      <c r="EK45" s="136"/>
      <c r="EL45" s="136"/>
      <c r="EM45" s="136"/>
      <c r="EN45" s="136"/>
      <c r="EO45" s="136"/>
      <c r="EP45" s="136"/>
      <c r="EQ45" s="136"/>
      <c r="ER45" s="136"/>
      <c r="ES45" s="136"/>
      <c r="ET45" s="136"/>
      <c r="EU45" s="136"/>
      <c r="EV45" s="136"/>
      <c r="EW45" s="136"/>
      <c r="EX45" s="136"/>
      <c r="EY45" s="136"/>
      <c r="EZ45" s="136"/>
      <c r="FA45" s="136"/>
      <c r="FB45" s="136"/>
      <c r="FC45" s="136"/>
      <c r="FD45" s="136"/>
      <c r="FE45" s="137"/>
      <c r="FF45" s="138"/>
    </row>
    <row r="46" spans="1:162" ht="12.75" x14ac:dyDescent="0.2">
      <c r="A46" s="93">
        <v>40</v>
      </c>
      <c r="B46" s="145" t="s">
        <v>639</v>
      </c>
      <c r="C46" s="141" t="s">
        <v>866</v>
      </c>
      <c r="D46" s="142" t="s">
        <v>869</v>
      </c>
      <c r="E46" s="149" t="s">
        <v>638</v>
      </c>
      <c r="F46" s="542">
        <v>23112558</v>
      </c>
      <c r="G46" s="542">
        <v>570763</v>
      </c>
      <c r="H46" s="542">
        <v>23683321</v>
      </c>
      <c r="I46" s="542">
        <v>0</v>
      </c>
      <c r="J46" s="542">
        <v>0</v>
      </c>
      <c r="K46" s="542">
        <v>0</v>
      </c>
      <c r="L46" s="542">
        <v>17</v>
      </c>
      <c r="M46" s="542">
        <v>0</v>
      </c>
      <c r="N46" s="542">
        <v>17</v>
      </c>
      <c r="O46" s="542">
        <v>-251659</v>
      </c>
      <c r="P46" s="542">
        <v>-24632</v>
      </c>
      <c r="Q46" s="542">
        <v>-276291</v>
      </c>
      <c r="R46" s="542">
        <v>0</v>
      </c>
      <c r="S46" s="542">
        <v>0</v>
      </c>
      <c r="T46" s="542">
        <v>0</v>
      </c>
      <c r="U46" s="542">
        <v>-145400</v>
      </c>
      <c r="V46" s="542">
        <v>-326883</v>
      </c>
      <c r="W46" s="542">
        <v>-472283</v>
      </c>
      <c r="X46" s="542">
        <v>1103357</v>
      </c>
      <c r="Y46" s="542">
        <v>0</v>
      </c>
      <c r="Z46" s="542">
        <v>1103357</v>
      </c>
      <c r="AA46" s="542">
        <v>-1374544</v>
      </c>
      <c r="AB46" s="542">
        <v>0</v>
      </c>
      <c r="AC46" s="542">
        <v>-1374544</v>
      </c>
      <c r="AD46" s="542">
        <v>22695988</v>
      </c>
      <c r="AE46" s="542">
        <v>243880</v>
      </c>
      <c r="AF46" s="542">
        <v>22939868</v>
      </c>
      <c r="AG46" s="542">
        <v>243880</v>
      </c>
      <c r="AH46" s="542">
        <v>0</v>
      </c>
      <c r="AI46" s="542">
        <v>243880</v>
      </c>
      <c r="AJ46" s="542">
        <v>0</v>
      </c>
      <c r="AK46" s="542">
        <v>0</v>
      </c>
      <c r="AL46" s="542">
        <v>0</v>
      </c>
      <c r="AM46" s="542">
        <v>0</v>
      </c>
      <c r="AN46" s="542">
        <v>26</v>
      </c>
      <c r="AO46" s="542">
        <v>0</v>
      </c>
      <c r="AP46" s="542">
        <v>26</v>
      </c>
      <c r="AQ46" s="542">
        <v>1099687</v>
      </c>
      <c r="AR46" s="542">
        <v>0</v>
      </c>
      <c r="AS46" s="542">
        <v>0</v>
      </c>
      <c r="AT46" s="542">
        <v>0</v>
      </c>
      <c r="AU46" s="542">
        <v>0</v>
      </c>
      <c r="AV46" s="542">
        <v>1425987</v>
      </c>
      <c r="AW46" s="542">
        <v>-170367</v>
      </c>
      <c r="AX46" s="136"/>
      <c r="AY46" s="136"/>
      <c r="AZ46" s="136"/>
      <c r="BA46" s="136"/>
      <c r="BB46" s="136"/>
      <c r="BC46" s="136"/>
      <c r="BD46" s="136"/>
      <c r="BE46" s="136"/>
      <c r="BF46" s="136"/>
      <c r="BG46" s="136"/>
      <c r="BH46" s="136"/>
      <c r="BI46" s="136"/>
      <c r="BJ46" s="136"/>
      <c r="BK46" s="136"/>
      <c r="BL46" s="136"/>
      <c r="BM46" s="136"/>
      <c r="BN46" s="136"/>
      <c r="BO46" s="136"/>
      <c r="BP46" s="136"/>
      <c r="BQ46" s="136"/>
      <c r="BR46" s="136"/>
      <c r="BS46" s="136"/>
      <c r="BT46" s="136"/>
      <c r="BU46" s="136"/>
      <c r="BV46" s="136"/>
      <c r="BW46" s="136"/>
      <c r="BX46" s="136"/>
      <c r="BY46" s="136"/>
      <c r="BZ46" s="136"/>
      <c r="CA46" s="136"/>
      <c r="CB46" s="136"/>
      <c r="CC46" s="136"/>
      <c r="CD46" s="136"/>
      <c r="CE46" s="136"/>
      <c r="CF46" s="136"/>
      <c r="CG46" s="136"/>
      <c r="CH46" s="136"/>
      <c r="CI46" s="136"/>
      <c r="CJ46" s="136"/>
      <c r="CK46" s="136"/>
      <c r="CL46" s="136"/>
      <c r="CM46" s="136"/>
      <c r="CN46" s="136"/>
      <c r="CO46" s="136"/>
      <c r="CP46" s="136"/>
      <c r="CQ46" s="136"/>
      <c r="CR46" s="136"/>
      <c r="CS46" s="136"/>
      <c r="CT46" s="136"/>
      <c r="CU46" s="136"/>
      <c r="CV46" s="136"/>
      <c r="CW46" s="136"/>
      <c r="CX46" s="136"/>
      <c r="CY46" s="136"/>
      <c r="CZ46" s="136"/>
      <c r="DA46" s="136"/>
      <c r="DB46" s="136"/>
      <c r="DC46" s="136"/>
      <c r="DD46" s="136"/>
      <c r="DE46" s="136"/>
      <c r="DF46" s="136"/>
      <c r="DG46" s="136"/>
      <c r="DH46" s="136"/>
      <c r="DI46" s="136"/>
      <c r="DJ46" s="136"/>
      <c r="DK46" s="136"/>
      <c r="DL46" s="136"/>
      <c r="DM46" s="136"/>
      <c r="DN46" s="136"/>
      <c r="DO46" s="136"/>
      <c r="DP46" s="136"/>
      <c r="DQ46" s="136"/>
      <c r="DR46" s="136"/>
      <c r="DS46" s="136"/>
      <c r="DT46" s="136"/>
      <c r="DU46" s="136"/>
      <c r="DV46" s="136"/>
      <c r="DW46" s="136"/>
      <c r="DX46" s="136"/>
      <c r="DY46" s="136"/>
      <c r="DZ46" s="136"/>
      <c r="EA46" s="136"/>
      <c r="EB46" s="136"/>
      <c r="EC46" s="136"/>
      <c r="ED46" s="136"/>
      <c r="EE46" s="136"/>
      <c r="EF46" s="136"/>
      <c r="EG46" s="136"/>
      <c r="EH46" s="136"/>
      <c r="EI46" s="136"/>
      <c r="EJ46" s="136"/>
      <c r="EK46" s="136"/>
      <c r="EL46" s="136"/>
      <c r="EM46" s="136"/>
      <c r="EN46" s="136"/>
      <c r="EO46" s="136"/>
      <c r="EP46" s="136"/>
      <c r="EQ46" s="136"/>
      <c r="ER46" s="136"/>
      <c r="ES46" s="136"/>
      <c r="ET46" s="136"/>
      <c r="EU46" s="136"/>
      <c r="EV46" s="136"/>
      <c r="EW46" s="136"/>
      <c r="EX46" s="136"/>
      <c r="EY46" s="136"/>
      <c r="EZ46" s="136"/>
      <c r="FA46" s="136"/>
      <c r="FB46" s="136"/>
      <c r="FC46" s="136"/>
      <c r="FD46" s="136"/>
      <c r="FE46" s="137"/>
      <c r="FF46" s="138"/>
    </row>
    <row r="47" spans="1:162" ht="12.75" x14ac:dyDescent="0.2">
      <c r="A47" s="93">
        <v>41</v>
      </c>
      <c r="B47" s="145" t="s">
        <v>641</v>
      </c>
      <c r="C47" s="141" t="s">
        <v>866</v>
      </c>
      <c r="D47" s="142" t="s">
        <v>868</v>
      </c>
      <c r="E47" s="149" t="s">
        <v>640</v>
      </c>
      <c r="F47" s="542">
        <v>26666744</v>
      </c>
      <c r="G47" s="542">
        <v>0</v>
      </c>
      <c r="H47" s="542">
        <v>26666744</v>
      </c>
      <c r="I47" s="542">
        <v>-543</v>
      </c>
      <c r="J47" s="542">
        <v>0</v>
      </c>
      <c r="K47" s="542">
        <v>-543</v>
      </c>
      <c r="L47" s="542">
        <v>43686</v>
      </c>
      <c r="M47" s="542">
        <v>0</v>
      </c>
      <c r="N47" s="542">
        <v>43686</v>
      </c>
      <c r="O47" s="542">
        <v>-458619</v>
      </c>
      <c r="P47" s="542">
        <v>0</v>
      </c>
      <c r="Q47" s="542">
        <v>-458619</v>
      </c>
      <c r="R47" s="542">
        <v>0</v>
      </c>
      <c r="S47" s="542">
        <v>0</v>
      </c>
      <c r="T47" s="542">
        <v>0</v>
      </c>
      <c r="U47" s="542">
        <v>-428882</v>
      </c>
      <c r="V47" s="542">
        <v>0</v>
      </c>
      <c r="W47" s="542">
        <v>-428882</v>
      </c>
      <c r="X47" s="542">
        <v>0</v>
      </c>
      <c r="Y47" s="542">
        <v>0</v>
      </c>
      <c r="Z47" s="542">
        <v>0</v>
      </c>
      <c r="AA47" s="542">
        <v>-3758966</v>
      </c>
      <c r="AB47" s="542">
        <v>0</v>
      </c>
      <c r="AC47" s="542">
        <v>-3758966</v>
      </c>
      <c r="AD47" s="542">
        <v>22522039</v>
      </c>
      <c r="AE47" s="542">
        <v>0</v>
      </c>
      <c r="AF47" s="542">
        <v>22522039</v>
      </c>
      <c r="AG47" s="542">
        <v>0</v>
      </c>
      <c r="AH47" s="542">
        <v>0</v>
      </c>
      <c r="AI47" s="542">
        <v>0</v>
      </c>
      <c r="AJ47" s="542">
        <v>134573</v>
      </c>
      <c r="AK47" s="542">
        <v>0</v>
      </c>
      <c r="AL47" s="542">
        <v>0</v>
      </c>
      <c r="AM47" s="542">
        <v>134573</v>
      </c>
      <c r="AN47" s="542">
        <v>0</v>
      </c>
      <c r="AO47" s="542">
        <v>0</v>
      </c>
      <c r="AP47" s="542">
        <v>0</v>
      </c>
      <c r="AQ47" s="542">
        <v>0</v>
      </c>
      <c r="AR47" s="542">
        <v>0</v>
      </c>
      <c r="AS47" s="542">
        <v>0</v>
      </c>
      <c r="AT47" s="542">
        <v>0</v>
      </c>
      <c r="AU47" s="542">
        <v>0</v>
      </c>
      <c r="AV47" s="542">
        <v>1359762</v>
      </c>
      <c r="AW47" s="542">
        <v>-473851</v>
      </c>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136"/>
      <c r="CB47" s="136"/>
      <c r="CC47" s="136"/>
      <c r="CD47" s="136"/>
      <c r="CE47" s="136"/>
      <c r="CF47" s="136"/>
      <c r="CG47" s="136"/>
      <c r="CH47" s="136"/>
      <c r="CI47" s="136"/>
      <c r="CJ47" s="136"/>
      <c r="CK47" s="136"/>
      <c r="CL47" s="136"/>
      <c r="CM47" s="136"/>
      <c r="CN47" s="136"/>
      <c r="CO47" s="136"/>
      <c r="CP47" s="136"/>
      <c r="CQ47" s="136"/>
      <c r="CR47" s="136"/>
      <c r="CS47" s="136"/>
      <c r="CT47" s="136"/>
      <c r="CU47" s="136"/>
      <c r="CV47" s="136"/>
      <c r="CW47" s="136"/>
      <c r="CX47" s="136"/>
      <c r="CY47" s="136"/>
      <c r="CZ47" s="136"/>
      <c r="DA47" s="136"/>
      <c r="DB47" s="136"/>
      <c r="DC47" s="136"/>
      <c r="DD47" s="136"/>
      <c r="DE47" s="136"/>
      <c r="DF47" s="136"/>
      <c r="DG47" s="136"/>
      <c r="DH47" s="136"/>
      <c r="DI47" s="136"/>
      <c r="DJ47" s="136"/>
      <c r="DK47" s="136"/>
      <c r="DL47" s="136"/>
      <c r="DM47" s="136"/>
      <c r="DN47" s="136"/>
      <c r="DO47" s="136"/>
      <c r="DP47" s="136"/>
      <c r="DQ47" s="136"/>
      <c r="DR47" s="136"/>
      <c r="DS47" s="136"/>
      <c r="DT47" s="136"/>
      <c r="DU47" s="136"/>
      <c r="DV47" s="136"/>
      <c r="DW47" s="136"/>
      <c r="DX47" s="136"/>
      <c r="DY47" s="136"/>
      <c r="DZ47" s="136"/>
      <c r="EA47" s="136"/>
      <c r="EB47" s="136"/>
      <c r="EC47" s="136"/>
      <c r="ED47" s="136"/>
      <c r="EE47" s="136"/>
      <c r="EF47" s="136"/>
      <c r="EG47" s="136"/>
      <c r="EH47" s="136"/>
      <c r="EI47" s="136"/>
      <c r="EJ47" s="136"/>
      <c r="EK47" s="136"/>
      <c r="EL47" s="136"/>
      <c r="EM47" s="136"/>
      <c r="EN47" s="136"/>
      <c r="EO47" s="136"/>
      <c r="EP47" s="136"/>
      <c r="EQ47" s="136"/>
      <c r="ER47" s="136"/>
      <c r="ES47" s="136"/>
      <c r="ET47" s="136"/>
      <c r="EU47" s="136"/>
      <c r="EV47" s="136"/>
      <c r="EW47" s="136"/>
      <c r="EX47" s="136"/>
      <c r="EY47" s="136"/>
      <c r="EZ47" s="136"/>
      <c r="FA47" s="136"/>
      <c r="FB47" s="136"/>
      <c r="FC47" s="136"/>
      <c r="FD47" s="136"/>
      <c r="FE47" s="137"/>
      <c r="FF47" s="138"/>
    </row>
    <row r="48" spans="1:162" ht="12.75" x14ac:dyDescent="0.2">
      <c r="A48" s="93">
        <v>42</v>
      </c>
      <c r="B48" s="145" t="s">
        <v>643</v>
      </c>
      <c r="C48" s="141" t="s">
        <v>873</v>
      </c>
      <c r="D48" s="142" t="s">
        <v>868</v>
      </c>
      <c r="E48" s="149" t="s">
        <v>642</v>
      </c>
      <c r="F48" s="542">
        <v>48748216</v>
      </c>
      <c r="G48" s="542">
        <v>0</v>
      </c>
      <c r="H48" s="542">
        <v>48748216</v>
      </c>
      <c r="I48" s="542">
        <v>0</v>
      </c>
      <c r="J48" s="542">
        <v>0</v>
      </c>
      <c r="K48" s="542">
        <v>0</v>
      </c>
      <c r="L48" s="542">
        <v>1877</v>
      </c>
      <c r="M48" s="542">
        <v>0</v>
      </c>
      <c r="N48" s="542">
        <v>1877</v>
      </c>
      <c r="O48" s="542">
        <v>0</v>
      </c>
      <c r="P48" s="542">
        <v>0</v>
      </c>
      <c r="Q48" s="542">
        <v>0</v>
      </c>
      <c r="R48" s="542">
        <v>0</v>
      </c>
      <c r="S48" s="542">
        <v>0</v>
      </c>
      <c r="T48" s="542">
        <v>0</v>
      </c>
      <c r="U48" s="542">
        <v>-831147</v>
      </c>
      <c r="V48" s="542">
        <v>0</v>
      </c>
      <c r="W48" s="542">
        <v>-831147</v>
      </c>
      <c r="X48" s="542">
        <v>818325</v>
      </c>
      <c r="Y48" s="542">
        <v>0</v>
      </c>
      <c r="Z48" s="542">
        <v>818325</v>
      </c>
      <c r="AA48" s="542">
        <v>-3647000</v>
      </c>
      <c r="AB48" s="542">
        <v>0</v>
      </c>
      <c r="AC48" s="542">
        <v>-3647000</v>
      </c>
      <c r="AD48" s="542">
        <v>45090271</v>
      </c>
      <c r="AE48" s="542">
        <v>0</v>
      </c>
      <c r="AF48" s="542">
        <v>45090271</v>
      </c>
      <c r="AG48" s="542">
        <v>0</v>
      </c>
      <c r="AH48" s="542">
        <v>0</v>
      </c>
      <c r="AI48" s="542">
        <v>0</v>
      </c>
      <c r="AJ48" s="542">
        <v>0</v>
      </c>
      <c r="AK48" s="542">
        <v>0</v>
      </c>
      <c r="AL48" s="542">
        <v>0</v>
      </c>
      <c r="AM48" s="542">
        <v>0</v>
      </c>
      <c r="AN48" s="542">
        <v>0</v>
      </c>
      <c r="AO48" s="542">
        <v>0</v>
      </c>
      <c r="AP48" s="542">
        <v>0</v>
      </c>
      <c r="AQ48" s="542">
        <v>0</v>
      </c>
      <c r="AR48" s="542">
        <v>0</v>
      </c>
      <c r="AS48" s="542">
        <v>0</v>
      </c>
      <c r="AT48" s="542">
        <v>0</v>
      </c>
      <c r="AU48" s="542">
        <v>0</v>
      </c>
      <c r="AV48" s="542">
        <v>0</v>
      </c>
      <c r="AW48" s="542">
        <v>0</v>
      </c>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136"/>
      <c r="CC48" s="136"/>
      <c r="CD48" s="136"/>
      <c r="CE48" s="136"/>
      <c r="CF48" s="136"/>
      <c r="CG48" s="136"/>
      <c r="CH48" s="136"/>
      <c r="CI48" s="136"/>
      <c r="CJ48" s="136"/>
      <c r="CK48" s="136"/>
      <c r="CL48" s="136"/>
      <c r="CM48" s="136"/>
      <c r="CN48" s="136"/>
      <c r="CO48" s="136"/>
      <c r="CP48" s="136"/>
      <c r="CQ48" s="136"/>
      <c r="CR48" s="136"/>
      <c r="CS48" s="136"/>
      <c r="CT48" s="136"/>
      <c r="CU48" s="136"/>
      <c r="CV48" s="136"/>
      <c r="CW48" s="136"/>
      <c r="CX48" s="136"/>
      <c r="CY48" s="136"/>
      <c r="CZ48" s="136"/>
      <c r="DA48" s="136"/>
      <c r="DB48" s="136"/>
      <c r="DC48" s="136"/>
      <c r="DD48" s="136"/>
      <c r="DE48" s="136"/>
      <c r="DF48" s="136"/>
      <c r="DG48" s="136"/>
      <c r="DH48" s="136"/>
      <c r="DI48" s="136"/>
      <c r="DJ48" s="136"/>
      <c r="DK48" s="136"/>
      <c r="DL48" s="136"/>
      <c r="DM48" s="136"/>
      <c r="DN48" s="136"/>
      <c r="DO48" s="136"/>
      <c r="DP48" s="136"/>
      <c r="DQ48" s="136"/>
      <c r="DR48" s="136"/>
      <c r="DS48" s="136"/>
      <c r="DT48" s="136"/>
      <c r="DU48" s="136"/>
      <c r="DV48" s="136"/>
      <c r="DW48" s="136"/>
      <c r="DX48" s="136"/>
      <c r="DY48" s="136"/>
      <c r="DZ48" s="136"/>
      <c r="EA48" s="136"/>
      <c r="EB48" s="136"/>
      <c r="EC48" s="136"/>
      <c r="ED48" s="136"/>
      <c r="EE48" s="136"/>
      <c r="EF48" s="136"/>
      <c r="EG48" s="136"/>
      <c r="EH48" s="136"/>
      <c r="EI48" s="136"/>
      <c r="EJ48" s="136"/>
      <c r="EK48" s="136"/>
      <c r="EL48" s="136"/>
      <c r="EM48" s="136"/>
      <c r="EN48" s="136"/>
      <c r="EO48" s="136"/>
      <c r="EP48" s="136"/>
      <c r="EQ48" s="136"/>
      <c r="ER48" s="136"/>
      <c r="ES48" s="136"/>
      <c r="ET48" s="136"/>
      <c r="EU48" s="136"/>
      <c r="EV48" s="136"/>
      <c r="EW48" s="136"/>
      <c r="EX48" s="136"/>
      <c r="EY48" s="136"/>
      <c r="EZ48" s="136"/>
      <c r="FA48" s="136"/>
      <c r="FB48" s="136"/>
      <c r="FC48" s="136"/>
      <c r="FD48" s="136"/>
      <c r="FE48" s="137"/>
      <c r="FF48" s="138"/>
    </row>
    <row r="49" spans="1:162" ht="12.75" x14ac:dyDescent="0.2">
      <c r="A49" s="93">
        <v>43</v>
      </c>
      <c r="B49" s="145" t="s">
        <v>645</v>
      </c>
      <c r="C49" s="141" t="s">
        <v>873</v>
      </c>
      <c r="D49" s="142" t="s">
        <v>874</v>
      </c>
      <c r="E49" s="149" t="s">
        <v>644</v>
      </c>
      <c r="F49" s="542">
        <v>60478088</v>
      </c>
      <c r="G49" s="542">
        <v>0</v>
      </c>
      <c r="H49" s="542">
        <v>60478088</v>
      </c>
      <c r="I49" s="542">
        <v>-5095</v>
      </c>
      <c r="J49" s="542">
        <v>0</v>
      </c>
      <c r="K49" s="542">
        <v>-5095</v>
      </c>
      <c r="L49" s="542">
        <v>217087</v>
      </c>
      <c r="M49" s="542">
        <v>0</v>
      </c>
      <c r="N49" s="542">
        <v>217087</v>
      </c>
      <c r="O49" s="542">
        <v>-2141676</v>
      </c>
      <c r="P49" s="542">
        <v>0</v>
      </c>
      <c r="Q49" s="542">
        <v>-2141676</v>
      </c>
      <c r="R49" s="542">
        <v>0</v>
      </c>
      <c r="S49" s="542">
        <v>0</v>
      </c>
      <c r="T49" s="542">
        <v>0</v>
      </c>
      <c r="U49" s="542">
        <v>-1670309</v>
      </c>
      <c r="V49" s="542">
        <v>0</v>
      </c>
      <c r="W49" s="542">
        <v>-1670309</v>
      </c>
      <c r="X49" s="542">
        <v>387512</v>
      </c>
      <c r="Y49" s="542">
        <v>0</v>
      </c>
      <c r="Z49" s="542">
        <v>387512</v>
      </c>
      <c r="AA49" s="542">
        <v>-1797749</v>
      </c>
      <c r="AB49" s="542">
        <v>0</v>
      </c>
      <c r="AC49" s="542">
        <v>-1797749</v>
      </c>
      <c r="AD49" s="542">
        <v>57609534</v>
      </c>
      <c r="AE49" s="542">
        <v>0</v>
      </c>
      <c r="AF49" s="542">
        <v>57609534</v>
      </c>
      <c r="AG49" s="542">
        <v>0</v>
      </c>
      <c r="AH49" s="542">
        <v>0</v>
      </c>
      <c r="AI49" s="542">
        <v>0</v>
      </c>
      <c r="AJ49" s="542">
        <v>0</v>
      </c>
      <c r="AK49" s="542">
        <v>0</v>
      </c>
      <c r="AL49" s="542">
        <v>0</v>
      </c>
      <c r="AM49" s="542">
        <v>0</v>
      </c>
      <c r="AN49" s="542">
        <v>0</v>
      </c>
      <c r="AO49" s="542">
        <v>0</v>
      </c>
      <c r="AP49" s="542">
        <v>0</v>
      </c>
      <c r="AQ49" s="542">
        <v>0</v>
      </c>
      <c r="AR49" s="542">
        <v>0</v>
      </c>
      <c r="AS49" s="542">
        <v>0</v>
      </c>
      <c r="AT49" s="542">
        <v>0</v>
      </c>
      <c r="AU49" s="542">
        <v>0</v>
      </c>
      <c r="AV49" s="542">
        <v>5477164</v>
      </c>
      <c r="AW49" s="542">
        <v>-1498924</v>
      </c>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c r="BZ49" s="136"/>
      <c r="CA49" s="136"/>
      <c r="CB49" s="136"/>
      <c r="CC49" s="136"/>
      <c r="CD49" s="136"/>
      <c r="CE49" s="136"/>
      <c r="CF49" s="136"/>
      <c r="CG49" s="136"/>
      <c r="CH49" s="136"/>
      <c r="CI49" s="136"/>
      <c r="CJ49" s="136"/>
      <c r="CK49" s="136"/>
      <c r="CL49" s="136"/>
      <c r="CM49" s="136"/>
      <c r="CN49" s="136"/>
      <c r="CO49" s="136"/>
      <c r="CP49" s="136"/>
      <c r="CQ49" s="136"/>
      <c r="CR49" s="136"/>
      <c r="CS49" s="136"/>
      <c r="CT49" s="136"/>
      <c r="CU49" s="136"/>
      <c r="CV49" s="136"/>
      <c r="CW49" s="136"/>
      <c r="CX49" s="136"/>
      <c r="CY49" s="136"/>
      <c r="CZ49" s="136"/>
      <c r="DA49" s="136"/>
      <c r="DB49" s="136"/>
      <c r="DC49" s="136"/>
      <c r="DD49" s="136"/>
      <c r="DE49" s="136"/>
      <c r="DF49" s="136"/>
      <c r="DG49" s="136"/>
      <c r="DH49" s="136"/>
      <c r="DI49" s="136"/>
      <c r="DJ49" s="136"/>
      <c r="DK49" s="136"/>
      <c r="DL49" s="136"/>
      <c r="DM49" s="136"/>
      <c r="DN49" s="136"/>
      <c r="DO49" s="136"/>
      <c r="DP49" s="136"/>
      <c r="DQ49" s="136"/>
      <c r="DR49" s="136"/>
      <c r="DS49" s="136"/>
      <c r="DT49" s="136"/>
      <c r="DU49" s="136"/>
      <c r="DV49" s="136"/>
      <c r="DW49" s="136"/>
      <c r="DX49" s="136"/>
      <c r="DY49" s="136"/>
      <c r="DZ49" s="136"/>
      <c r="EA49" s="136"/>
      <c r="EB49" s="136"/>
      <c r="EC49" s="136"/>
      <c r="ED49" s="136"/>
      <c r="EE49" s="136"/>
      <c r="EF49" s="136"/>
      <c r="EG49" s="136"/>
      <c r="EH49" s="136"/>
      <c r="EI49" s="136"/>
      <c r="EJ49" s="136"/>
      <c r="EK49" s="136"/>
      <c r="EL49" s="136"/>
      <c r="EM49" s="136"/>
      <c r="EN49" s="136"/>
      <c r="EO49" s="136"/>
      <c r="EP49" s="136"/>
      <c r="EQ49" s="136"/>
      <c r="ER49" s="136"/>
      <c r="ES49" s="136"/>
      <c r="ET49" s="136"/>
      <c r="EU49" s="136"/>
      <c r="EV49" s="136"/>
      <c r="EW49" s="136"/>
      <c r="EX49" s="136"/>
      <c r="EY49" s="136"/>
      <c r="EZ49" s="136"/>
      <c r="FA49" s="136"/>
      <c r="FB49" s="136"/>
      <c r="FC49" s="136"/>
      <c r="FD49" s="136"/>
      <c r="FE49" s="137"/>
      <c r="FF49" s="138"/>
    </row>
    <row r="50" spans="1:162" ht="12.75" x14ac:dyDescent="0.2">
      <c r="A50" s="93">
        <v>44</v>
      </c>
      <c r="B50" s="145" t="s">
        <v>647</v>
      </c>
      <c r="C50" s="141" t="s">
        <v>866</v>
      </c>
      <c r="D50" s="142" t="s">
        <v>870</v>
      </c>
      <c r="E50" s="149" t="s">
        <v>646</v>
      </c>
      <c r="F50" s="542">
        <v>92988652</v>
      </c>
      <c r="G50" s="542">
        <v>0</v>
      </c>
      <c r="H50" s="542">
        <v>92988652</v>
      </c>
      <c r="I50" s="542">
        <v>-2449</v>
      </c>
      <c r="J50" s="542">
        <v>0</v>
      </c>
      <c r="K50" s="542">
        <v>-2449</v>
      </c>
      <c r="L50" s="542">
        <v>399758</v>
      </c>
      <c r="M50" s="542">
        <v>0</v>
      </c>
      <c r="N50" s="542">
        <v>399758</v>
      </c>
      <c r="O50" s="542">
        <v>-61620</v>
      </c>
      <c r="P50" s="542">
        <v>0</v>
      </c>
      <c r="Q50" s="542">
        <v>-61620</v>
      </c>
      <c r="R50" s="542">
        <v>-40360</v>
      </c>
      <c r="S50" s="542">
        <v>0</v>
      </c>
      <c r="T50" s="542">
        <v>-40360</v>
      </c>
      <c r="U50" s="542">
        <v>-281146</v>
      </c>
      <c r="V50" s="542">
        <v>0</v>
      </c>
      <c r="W50" s="542">
        <v>-281146</v>
      </c>
      <c r="X50" s="542">
        <v>3032360</v>
      </c>
      <c r="Y50" s="542">
        <v>0</v>
      </c>
      <c r="Z50" s="542">
        <v>3032360</v>
      </c>
      <c r="AA50" s="542">
        <v>-3796951</v>
      </c>
      <c r="AB50" s="542">
        <v>0</v>
      </c>
      <c r="AC50" s="542">
        <v>-3796951</v>
      </c>
      <c r="AD50" s="542">
        <v>92299864</v>
      </c>
      <c r="AE50" s="542">
        <v>0</v>
      </c>
      <c r="AF50" s="542">
        <v>92299864</v>
      </c>
      <c r="AG50" s="542">
        <v>0</v>
      </c>
      <c r="AH50" s="542">
        <v>0</v>
      </c>
      <c r="AI50" s="542">
        <v>0</v>
      </c>
      <c r="AJ50" s="542">
        <v>0</v>
      </c>
      <c r="AK50" s="542">
        <v>0</v>
      </c>
      <c r="AL50" s="542">
        <v>0</v>
      </c>
      <c r="AM50" s="542">
        <v>0</v>
      </c>
      <c r="AN50" s="542">
        <v>0</v>
      </c>
      <c r="AO50" s="542">
        <v>0</v>
      </c>
      <c r="AP50" s="542">
        <v>0</v>
      </c>
      <c r="AQ50" s="542">
        <v>0</v>
      </c>
      <c r="AR50" s="542">
        <v>0</v>
      </c>
      <c r="AS50" s="542">
        <v>0</v>
      </c>
      <c r="AT50" s="542">
        <v>0</v>
      </c>
      <c r="AU50" s="542">
        <v>0</v>
      </c>
      <c r="AV50" s="542">
        <v>1167892</v>
      </c>
      <c r="AW50" s="542">
        <v>-1610656</v>
      </c>
      <c r="AX50" s="136"/>
      <c r="AY50" s="136"/>
      <c r="AZ50" s="136"/>
      <c r="BA50" s="136"/>
      <c r="BB50" s="136"/>
      <c r="BC50" s="136"/>
      <c r="BD50" s="136"/>
      <c r="BE50" s="136"/>
      <c r="BF50" s="136"/>
      <c r="BG50" s="136"/>
      <c r="BH50" s="136"/>
      <c r="BI50" s="136"/>
      <c r="BJ50" s="136"/>
      <c r="BK50" s="136"/>
      <c r="BL50" s="136"/>
      <c r="BM50" s="136"/>
      <c r="BN50" s="136"/>
      <c r="BO50" s="136"/>
      <c r="BP50" s="136"/>
      <c r="BQ50" s="136"/>
      <c r="BR50" s="136"/>
      <c r="BS50" s="136"/>
      <c r="BT50" s="136"/>
      <c r="BU50" s="136"/>
      <c r="BV50" s="136"/>
      <c r="BW50" s="136"/>
      <c r="BX50" s="136"/>
      <c r="BY50" s="136"/>
      <c r="BZ50" s="136"/>
      <c r="CA50" s="136"/>
      <c r="CB50" s="136"/>
      <c r="CC50" s="136"/>
      <c r="CD50" s="136"/>
      <c r="CE50" s="136"/>
      <c r="CF50" s="136"/>
      <c r="CG50" s="136"/>
      <c r="CH50" s="136"/>
      <c r="CI50" s="136"/>
      <c r="CJ50" s="136"/>
      <c r="CK50" s="136"/>
      <c r="CL50" s="136"/>
      <c r="CM50" s="136"/>
      <c r="CN50" s="136"/>
      <c r="CO50" s="136"/>
      <c r="CP50" s="136"/>
      <c r="CQ50" s="136"/>
      <c r="CR50" s="136"/>
      <c r="CS50" s="136"/>
      <c r="CT50" s="136"/>
      <c r="CU50" s="136"/>
      <c r="CV50" s="136"/>
      <c r="CW50" s="136"/>
      <c r="CX50" s="136"/>
      <c r="CY50" s="136"/>
      <c r="CZ50" s="136"/>
      <c r="DA50" s="136"/>
      <c r="DB50" s="136"/>
      <c r="DC50" s="136"/>
      <c r="DD50" s="136"/>
      <c r="DE50" s="136"/>
      <c r="DF50" s="136"/>
      <c r="DG50" s="136"/>
      <c r="DH50" s="136"/>
      <c r="DI50" s="136"/>
      <c r="DJ50" s="136"/>
      <c r="DK50" s="136"/>
      <c r="DL50" s="136"/>
      <c r="DM50" s="136"/>
      <c r="DN50" s="136"/>
      <c r="DO50" s="136"/>
      <c r="DP50" s="136"/>
      <c r="DQ50" s="136"/>
      <c r="DR50" s="136"/>
      <c r="DS50" s="136"/>
      <c r="DT50" s="136"/>
      <c r="DU50" s="136"/>
      <c r="DV50" s="136"/>
      <c r="DW50" s="136"/>
      <c r="DX50" s="136"/>
      <c r="DY50" s="136"/>
      <c r="DZ50" s="136"/>
      <c r="EA50" s="136"/>
      <c r="EB50" s="136"/>
      <c r="EC50" s="136"/>
      <c r="ED50" s="136"/>
      <c r="EE50" s="136"/>
      <c r="EF50" s="136"/>
      <c r="EG50" s="136"/>
      <c r="EH50" s="136"/>
      <c r="EI50" s="136"/>
      <c r="EJ50" s="136"/>
      <c r="EK50" s="136"/>
      <c r="EL50" s="136"/>
      <c r="EM50" s="136"/>
      <c r="EN50" s="136"/>
      <c r="EO50" s="136"/>
      <c r="EP50" s="136"/>
      <c r="EQ50" s="136"/>
      <c r="ER50" s="136"/>
      <c r="ES50" s="136"/>
      <c r="ET50" s="136"/>
      <c r="EU50" s="136"/>
      <c r="EV50" s="136"/>
      <c r="EW50" s="136"/>
      <c r="EX50" s="136"/>
      <c r="EY50" s="136"/>
      <c r="EZ50" s="136"/>
      <c r="FA50" s="136"/>
      <c r="FB50" s="136"/>
      <c r="FC50" s="136"/>
      <c r="FD50" s="136"/>
      <c r="FE50" s="137"/>
      <c r="FF50" s="138"/>
    </row>
    <row r="51" spans="1:162" ht="12.75" x14ac:dyDescent="0.2">
      <c r="A51" s="93">
        <v>45</v>
      </c>
      <c r="B51" s="145" t="s">
        <v>649</v>
      </c>
      <c r="C51" s="141" t="s">
        <v>877</v>
      </c>
      <c r="D51" s="142" t="s">
        <v>872</v>
      </c>
      <c r="E51" s="149" t="s">
        <v>648</v>
      </c>
      <c r="F51" s="542">
        <v>482453337</v>
      </c>
      <c r="G51" s="542">
        <v>0</v>
      </c>
      <c r="H51" s="542">
        <v>482453337</v>
      </c>
      <c r="I51" s="542">
        <v>-18936</v>
      </c>
      <c r="J51" s="542">
        <v>0</v>
      </c>
      <c r="K51" s="542">
        <v>-18936</v>
      </c>
      <c r="L51" s="542">
        <v>471223</v>
      </c>
      <c r="M51" s="542">
        <v>0</v>
      </c>
      <c r="N51" s="542">
        <v>471223</v>
      </c>
      <c r="O51" s="542">
        <v>-2644479</v>
      </c>
      <c r="P51" s="542">
        <v>0</v>
      </c>
      <c r="Q51" s="542">
        <v>-2644479</v>
      </c>
      <c r="R51" s="542">
        <v>0</v>
      </c>
      <c r="S51" s="542">
        <v>0</v>
      </c>
      <c r="T51" s="542">
        <v>0</v>
      </c>
      <c r="U51" s="542">
        <v>-635468</v>
      </c>
      <c r="V51" s="542">
        <v>0</v>
      </c>
      <c r="W51" s="542">
        <v>-635468</v>
      </c>
      <c r="X51" s="542">
        <v>35544097</v>
      </c>
      <c r="Y51" s="542">
        <v>0</v>
      </c>
      <c r="Z51" s="542">
        <v>35544097</v>
      </c>
      <c r="AA51" s="542">
        <v>-72262498</v>
      </c>
      <c r="AB51" s="542">
        <v>0</v>
      </c>
      <c r="AC51" s="542">
        <v>-72262498</v>
      </c>
      <c r="AD51" s="542">
        <v>445551755</v>
      </c>
      <c r="AE51" s="542">
        <v>0</v>
      </c>
      <c r="AF51" s="542">
        <v>445551755</v>
      </c>
      <c r="AG51" s="542">
        <v>0</v>
      </c>
      <c r="AH51" s="542">
        <v>0</v>
      </c>
      <c r="AI51" s="542">
        <v>0</v>
      </c>
      <c r="AJ51" s="542">
        <v>0</v>
      </c>
      <c r="AK51" s="542">
        <v>0</v>
      </c>
      <c r="AL51" s="542">
        <v>0</v>
      </c>
      <c r="AM51" s="542">
        <v>0</v>
      </c>
      <c r="AN51" s="542">
        <v>0</v>
      </c>
      <c r="AO51" s="542">
        <v>0</v>
      </c>
      <c r="AP51" s="542">
        <v>0</v>
      </c>
      <c r="AQ51" s="542">
        <v>0</v>
      </c>
      <c r="AR51" s="542">
        <v>0</v>
      </c>
      <c r="AS51" s="542">
        <v>0</v>
      </c>
      <c r="AT51" s="542">
        <v>0</v>
      </c>
      <c r="AU51" s="542">
        <v>0</v>
      </c>
      <c r="AV51" s="542">
        <v>5083365</v>
      </c>
      <c r="AW51" s="542">
        <v>-7758146</v>
      </c>
      <c r="AX51" s="136"/>
      <c r="AY51" s="136"/>
      <c r="AZ51" s="136"/>
      <c r="BA51" s="136"/>
      <c r="BB51" s="136"/>
      <c r="BC51" s="136"/>
      <c r="BD51" s="136"/>
      <c r="BE51" s="136"/>
      <c r="BF51" s="136"/>
      <c r="BG51" s="136"/>
      <c r="BH51" s="136"/>
      <c r="BI51" s="136"/>
      <c r="BJ51" s="136"/>
      <c r="BK51" s="136"/>
      <c r="BL51" s="136"/>
      <c r="BM51" s="136"/>
      <c r="BN51" s="136"/>
      <c r="BO51" s="136"/>
      <c r="BP51" s="136"/>
      <c r="BQ51" s="136"/>
      <c r="BR51" s="136"/>
      <c r="BS51" s="136"/>
      <c r="BT51" s="136"/>
      <c r="BU51" s="136"/>
      <c r="BV51" s="136"/>
      <c r="BW51" s="136"/>
      <c r="BX51" s="136"/>
      <c r="BY51" s="136"/>
      <c r="BZ51" s="136"/>
      <c r="CA51" s="136"/>
      <c r="CB51" s="136"/>
      <c r="CC51" s="136"/>
      <c r="CD51" s="136"/>
      <c r="CE51" s="136"/>
      <c r="CF51" s="136"/>
      <c r="CG51" s="136"/>
      <c r="CH51" s="136"/>
      <c r="CI51" s="136"/>
      <c r="CJ51" s="136"/>
      <c r="CK51" s="136"/>
      <c r="CL51" s="136"/>
      <c r="CM51" s="136"/>
      <c r="CN51" s="136"/>
      <c r="CO51" s="136"/>
      <c r="CP51" s="136"/>
      <c r="CQ51" s="136"/>
      <c r="CR51" s="136"/>
      <c r="CS51" s="136"/>
      <c r="CT51" s="136"/>
      <c r="CU51" s="136"/>
      <c r="CV51" s="136"/>
      <c r="CW51" s="136"/>
      <c r="CX51" s="136"/>
      <c r="CY51" s="136"/>
      <c r="CZ51" s="136"/>
      <c r="DA51" s="136"/>
      <c r="DB51" s="136"/>
      <c r="DC51" s="136"/>
      <c r="DD51" s="136"/>
      <c r="DE51" s="136"/>
      <c r="DF51" s="136"/>
      <c r="DG51" s="136"/>
      <c r="DH51" s="136"/>
      <c r="DI51" s="136"/>
      <c r="DJ51" s="136"/>
      <c r="DK51" s="136"/>
      <c r="DL51" s="136"/>
      <c r="DM51" s="136"/>
      <c r="DN51" s="136"/>
      <c r="DO51" s="136"/>
      <c r="DP51" s="136"/>
      <c r="DQ51" s="136"/>
      <c r="DR51" s="136"/>
      <c r="DS51" s="136"/>
      <c r="DT51" s="136"/>
      <c r="DU51" s="136"/>
      <c r="DV51" s="136"/>
      <c r="DW51" s="136"/>
      <c r="DX51" s="136"/>
      <c r="DY51" s="136"/>
      <c r="DZ51" s="136"/>
      <c r="EA51" s="136"/>
      <c r="EB51" s="136"/>
      <c r="EC51" s="136"/>
      <c r="ED51" s="136"/>
      <c r="EE51" s="136"/>
      <c r="EF51" s="136"/>
      <c r="EG51" s="136"/>
      <c r="EH51" s="136"/>
      <c r="EI51" s="136"/>
      <c r="EJ51" s="136"/>
      <c r="EK51" s="136"/>
      <c r="EL51" s="136"/>
      <c r="EM51" s="136"/>
      <c r="EN51" s="136"/>
      <c r="EO51" s="136"/>
      <c r="EP51" s="136"/>
      <c r="EQ51" s="136"/>
      <c r="ER51" s="136"/>
      <c r="ES51" s="136"/>
      <c r="ET51" s="136"/>
      <c r="EU51" s="136"/>
      <c r="EV51" s="136"/>
      <c r="EW51" s="136"/>
      <c r="EX51" s="136"/>
      <c r="EY51" s="136"/>
      <c r="EZ51" s="136"/>
      <c r="FA51" s="136"/>
      <c r="FB51" s="136"/>
      <c r="FC51" s="136"/>
      <c r="FD51" s="136"/>
      <c r="FE51" s="137"/>
      <c r="FF51" s="138"/>
    </row>
    <row r="52" spans="1:162" ht="12.75" x14ac:dyDescent="0.2">
      <c r="A52" s="93">
        <v>46</v>
      </c>
      <c r="B52" s="145" t="s">
        <v>651</v>
      </c>
      <c r="C52" s="141" t="s">
        <v>866</v>
      </c>
      <c r="D52" s="142" t="s">
        <v>876</v>
      </c>
      <c r="E52" s="149" t="s">
        <v>650</v>
      </c>
      <c r="F52" s="542">
        <v>35697576</v>
      </c>
      <c r="G52" s="542">
        <v>0</v>
      </c>
      <c r="H52" s="542">
        <v>35697576</v>
      </c>
      <c r="I52" s="542">
        <v>0</v>
      </c>
      <c r="J52" s="542">
        <v>0</v>
      </c>
      <c r="K52" s="542">
        <v>0</v>
      </c>
      <c r="L52" s="542">
        <v>209</v>
      </c>
      <c r="M52" s="542">
        <v>0</v>
      </c>
      <c r="N52" s="542">
        <v>209</v>
      </c>
      <c r="O52" s="542">
        <v>-331476</v>
      </c>
      <c r="P52" s="542">
        <v>0</v>
      </c>
      <c r="Q52" s="542">
        <v>-331476</v>
      </c>
      <c r="R52" s="542">
        <v>0</v>
      </c>
      <c r="S52" s="542">
        <v>0</v>
      </c>
      <c r="T52" s="542">
        <v>0</v>
      </c>
      <c r="U52" s="542">
        <v>-590163</v>
      </c>
      <c r="V52" s="542">
        <v>0</v>
      </c>
      <c r="W52" s="542">
        <v>-590163</v>
      </c>
      <c r="X52" s="542">
        <v>491675</v>
      </c>
      <c r="Y52" s="542">
        <v>0</v>
      </c>
      <c r="Z52" s="542">
        <v>491675</v>
      </c>
      <c r="AA52" s="542">
        <v>-4122107</v>
      </c>
      <c r="AB52" s="542">
        <v>0</v>
      </c>
      <c r="AC52" s="542">
        <v>-4122107</v>
      </c>
      <c r="AD52" s="542">
        <v>31477190</v>
      </c>
      <c r="AE52" s="542">
        <v>0</v>
      </c>
      <c r="AF52" s="542">
        <v>31477190</v>
      </c>
      <c r="AG52" s="542">
        <v>0</v>
      </c>
      <c r="AH52" s="542">
        <v>0</v>
      </c>
      <c r="AI52" s="542">
        <v>0</v>
      </c>
      <c r="AJ52" s="542">
        <v>0</v>
      </c>
      <c r="AK52" s="542">
        <v>0</v>
      </c>
      <c r="AL52" s="542">
        <v>0</v>
      </c>
      <c r="AM52" s="542">
        <v>0</v>
      </c>
      <c r="AN52" s="542">
        <v>0</v>
      </c>
      <c r="AO52" s="542">
        <v>0</v>
      </c>
      <c r="AP52" s="542">
        <v>0</v>
      </c>
      <c r="AQ52" s="542">
        <v>0</v>
      </c>
      <c r="AR52" s="542">
        <v>0</v>
      </c>
      <c r="AS52" s="542">
        <v>0</v>
      </c>
      <c r="AT52" s="542">
        <v>0</v>
      </c>
      <c r="AU52" s="542">
        <v>0</v>
      </c>
      <c r="AV52" s="542">
        <v>2722955</v>
      </c>
      <c r="AW52" s="542">
        <v>-286722</v>
      </c>
      <c r="AX52" s="136"/>
      <c r="AY52" s="136"/>
      <c r="AZ52" s="136"/>
      <c r="BA52" s="136"/>
      <c r="BB52" s="136"/>
      <c r="BC52" s="136"/>
      <c r="BD52" s="136"/>
      <c r="BE52" s="136"/>
      <c r="BF52" s="136"/>
      <c r="BG52" s="136"/>
      <c r="BH52" s="136"/>
      <c r="BI52" s="136"/>
      <c r="BJ52" s="136"/>
      <c r="BK52" s="136"/>
      <c r="BL52" s="136"/>
      <c r="BM52" s="136"/>
      <c r="BN52" s="136"/>
      <c r="BO52" s="136"/>
      <c r="BP52" s="136"/>
      <c r="BQ52" s="136"/>
      <c r="BR52" s="136"/>
      <c r="BS52" s="136"/>
      <c r="BT52" s="136"/>
      <c r="BU52" s="136"/>
      <c r="BV52" s="136"/>
      <c r="BW52" s="136"/>
      <c r="BX52" s="136"/>
      <c r="BY52" s="136"/>
      <c r="BZ52" s="136"/>
      <c r="CA52" s="136"/>
      <c r="CB52" s="136"/>
      <c r="CC52" s="136"/>
      <c r="CD52" s="136"/>
      <c r="CE52" s="136"/>
      <c r="CF52" s="136"/>
      <c r="CG52" s="136"/>
      <c r="CH52" s="136"/>
      <c r="CI52" s="136"/>
      <c r="CJ52" s="136"/>
      <c r="CK52" s="136"/>
      <c r="CL52" s="136"/>
      <c r="CM52" s="136"/>
      <c r="CN52" s="136"/>
      <c r="CO52" s="136"/>
      <c r="CP52" s="136"/>
      <c r="CQ52" s="136"/>
      <c r="CR52" s="136"/>
      <c r="CS52" s="136"/>
      <c r="CT52" s="136"/>
      <c r="CU52" s="136"/>
      <c r="CV52" s="136"/>
      <c r="CW52" s="136"/>
      <c r="CX52" s="136"/>
      <c r="CY52" s="136"/>
      <c r="CZ52" s="136"/>
      <c r="DA52" s="136"/>
      <c r="DB52" s="136"/>
      <c r="DC52" s="136"/>
      <c r="DD52" s="136"/>
      <c r="DE52" s="136"/>
      <c r="DF52" s="136"/>
      <c r="DG52" s="136"/>
      <c r="DH52" s="136"/>
      <c r="DI52" s="136"/>
      <c r="DJ52" s="136"/>
      <c r="DK52" s="136"/>
      <c r="DL52" s="136"/>
      <c r="DM52" s="136"/>
      <c r="DN52" s="136"/>
      <c r="DO52" s="136"/>
      <c r="DP52" s="136"/>
      <c r="DQ52" s="136"/>
      <c r="DR52" s="136"/>
      <c r="DS52" s="136"/>
      <c r="DT52" s="136"/>
      <c r="DU52" s="136"/>
      <c r="DV52" s="136"/>
      <c r="DW52" s="136"/>
      <c r="DX52" s="136"/>
      <c r="DY52" s="136"/>
      <c r="DZ52" s="136"/>
      <c r="EA52" s="136"/>
      <c r="EB52" s="136"/>
      <c r="EC52" s="136"/>
      <c r="ED52" s="136"/>
      <c r="EE52" s="136"/>
      <c r="EF52" s="136"/>
      <c r="EG52" s="136"/>
      <c r="EH52" s="136"/>
      <c r="EI52" s="136"/>
      <c r="EJ52" s="136"/>
      <c r="EK52" s="136"/>
      <c r="EL52" s="136"/>
      <c r="EM52" s="136"/>
      <c r="EN52" s="136"/>
      <c r="EO52" s="136"/>
      <c r="EP52" s="136"/>
      <c r="EQ52" s="136"/>
      <c r="ER52" s="136"/>
      <c r="ES52" s="136"/>
      <c r="ET52" s="136"/>
      <c r="EU52" s="136"/>
      <c r="EV52" s="136"/>
      <c r="EW52" s="136"/>
      <c r="EX52" s="136"/>
      <c r="EY52" s="136"/>
      <c r="EZ52" s="136"/>
      <c r="FA52" s="136"/>
      <c r="FB52" s="136"/>
      <c r="FC52" s="136"/>
      <c r="FD52" s="136"/>
      <c r="FE52" s="137"/>
      <c r="FF52" s="138"/>
    </row>
    <row r="53" spans="1:162" ht="12.75" x14ac:dyDescent="0.2">
      <c r="A53" s="93">
        <v>47</v>
      </c>
      <c r="B53" s="145" t="s">
        <v>653</v>
      </c>
      <c r="C53" s="141" t="s">
        <v>866</v>
      </c>
      <c r="D53" s="142" t="s">
        <v>867</v>
      </c>
      <c r="E53" s="149" t="s">
        <v>652</v>
      </c>
      <c r="F53" s="542">
        <v>51381835</v>
      </c>
      <c r="G53" s="542">
        <v>0</v>
      </c>
      <c r="H53" s="542">
        <v>51381835</v>
      </c>
      <c r="I53" s="542">
        <v>0</v>
      </c>
      <c r="J53" s="542">
        <v>0</v>
      </c>
      <c r="K53" s="542">
        <v>0</v>
      </c>
      <c r="L53" s="542">
        <v>49575</v>
      </c>
      <c r="M53" s="542">
        <v>0</v>
      </c>
      <c r="N53" s="542">
        <v>49575</v>
      </c>
      <c r="O53" s="542">
        <v>-314275</v>
      </c>
      <c r="P53" s="542">
        <v>0</v>
      </c>
      <c r="Q53" s="542">
        <v>-314275</v>
      </c>
      <c r="R53" s="542">
        <v>0</v>
      </c>
      <c r="S53" s="542">
        <v>0</v>
      </c>
      <c r="T53" s="542">
        <v>0</v>
      </c>
      <c r="U53" s="542">
        <v>-334419</v>
      </c>
      <c r="V53" s="542">
        <v>0</v>
      </c>
      <c r="W53" s="542">
        <v>-334419</v>
      </c>
      <c r="X53" s="542">
        <v>403897</v>
      </c>
      <c r="Y53" s="542">
        <v>0</v>
      </c>
      <c r="Z53" s="542">
        <v>403897</v>
      </c>
      <c r="AA53" s="542">
        <v>-5004788</v>
      </c>
      <c r="AB53" s="542">
        <v>0</v>
      </c>
      <c r="AC53" s="542">
        <v>-5004788</v>
      </c>
      <c r="AD53" s="542">
        <v>46496100</v>
      </c>
      <c r="AE53" s="542">
        <v>0</v>
      </c>
      <c r="AF53" s="542">
        <v>46496100</v>
      </c>
      <c r="AG53" s="542">
        <v>0</v>
      </c>
      <c r="AH53" s="542">
        <v>0</v>
      </c>
      <c r="AI53" s="542">
        <v>0</v>
      </c>
      <c r="AJ53" s="542">
        <v>0</v>
      </c>
      <c r="AK53" s="542">
        <v>0</v>
      </c>
      <c r="AL53" s="542">
        <v>0</v>
      </c>
      <c r="AM53" s="542">
        <v>0</v>
      </c>
      <c r="AN53" s="542">
        <v>0</v>
      </c>
      <c r="AO53" s="542">
        <v>0</v>
      </c>
      <c r="AP53" s="542">
        <v>0</v>
      </c>
      <c r="AQ53" s="542">
        <v>0</v>
      </c>
      <c r="AR53" s="542">
        <v>0</v>
      </c>
      <c r="AS53" s="542">
        <v>0</v>
      </c>
      <c r="AT53" s="542">
        <v>0</v>
      </c>
      <c r="AU53" s="542">
        <v>0</v>
      </c>
      <c r="AV53" s="542">
        <v>1400247</v>
      </c>
      <c r="AW53" s="542">
        <v>-1273530</v>
      </c>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136"/>
      <c r="CB53" s="136"/>
      <c r="CC53" s="136"/>
      <c r="CD53" s="136"/>
      <c r="CE53" s="136"/>
      <c r="CF53" s="136"/>
      <c r="CG53" s="136"/>
      <c r="CH53" s="136"/>
      <c r="CI53" s="136"/>
      <c r="CJ53" s="136"/>
      <c r="CK53" s="136"/>
      <c r="CL53" s="136"/>
      <c r="CM53" s="136"/>
      <c r="CN53" s="136"/>
      <c r="CO53" s="136"/>
      <c r="CP53" s="136"/>
      <c r="CQ53" s="136"/>
      <c r="CR53" s="136"/>
      <c r="CS53" s="136"/>
      <c r="CT53" s="136"/>
      <c r="CU53" s="136"/>
      <c r="CV53" s="136"/>
      <c r="CW53" s="136"/>
      <c r="CX53" s="136"/>
      <c r="CY53" s="136"/>
      <c r="CZ53" s="136"/>
      <c r="DA53" s="136"/>
      <c r="DB53" s="136"/>
      <c r="DC53" s="136"/>
      <c r="DD53" s="136"/>
      <c r="DE53" s="136"/>
      <c r="DF53" s="136"/>
      <c r="DG53" s="136"/>
      <c r="DH53" s="136"/>
      <c r="DI53" s="136"/>
      <c r="DJ53" s="136"/>
      <c r="DK53" s="136"/>
      <c r="DL53" s="136"/>
      <c r="DM53" s="136"/>
      <c r="DN53" s="136"/>
      <c r="DO53" s="136"/>
      <c r="DP53" s="136"/>
      <c r="DQ53" s="136"/>
      <c r="DR53" s="136"/>
      <c r="DS53" s="136"/>
      <c r="DT53" s="136"/>
      <c r="DU53" s="136"/>
      <c r="DV53" s="136"/>
      <c r="DW53" s="136"/>
      <c r="DX53" s="136"/>
      <c r="DY53" s="136"/>
      <c r="DZ53" s="136"/>
      <c r="EA53" s="136"/>
      <c r="EB53" s="136"/>
      <c r="EC53" s="136"/>
      <c r="ED53" s="136"/>
      <c r="EE53" s="136"/>
      <c r="EF53" s="136"/>
      <c r="EG53" s="136"/>
      <c r="EH53" s="136"/>
      <c r="EI53" s="136"/>
      <c r="EJ53" s="136"/>
      <c r="EK53" s="136"/>
      <c r="EL53" s="136"/>
      <c r="EM53" s="136"/>
      <c r="EN53" s="136"/>
      <c r="EO53" s="136"/>
      <c r="EP53" s="136"/>
      <c r="EQ53" s="136"/>
      <c r="ER53" s="136"/>
      <c r="ES53" s="136"/>
      <c r="ET53" s="136"/>
      <c r="EU53" s="136"/>
      <c r="EV53" s="136"/>
      <c r="EW53" s="136"/>
      <c r="EX53" s="136"/>
      <c r="EY53" s="136"/>
      <c r="EZ53" s="136"/>
      <c r="FA53" s="136"/>
      <c r="FB53" s="136"/>
      <c r="FC53" s="136"/>
      <c r="FD53" s="136"/>
      <c r="FE53" s="137"/>
      <c r="FF53" s="138"/>
    </row>
    <row r="54" spans="1:162" ht="12.75" x14ac:dyDescent="0.2">
      <c r="A54" s="93">
        <v>48</v>
      </c>
      <c r="B54" s="145" t="s">
        <v>655</v>
      </c>
      <c r="C54" s="141" t="s">
        <v>866</v>
      </c>
      <c r="D54" s="142" t="s">
        <v>868</v>
      </c>
      <c r="E54" s="149" t="s">
        <v>654</v>
      </c>
      <c r="F54" s="542">
        <v>40944993</v>
      </c>
      <c r="G54" s="542">
        <v>0</v>
      </c>
      <c r="H54" s="542">
        <v>40944993</v>
      </c>
      <c r="I54" s="542">
        <v>0</v>
      </c>
      <c r="J54" s="542">
        <v>0</v>
      </c>
      <c r="K54" s="542">
        <v>0</v>
      </c>
      <c r="L54" s="542">
        <v>196139</v>
      </c>
      <c r="M54" s="542">
        <v>0</v>
      </c>
      <c r="N54" s="542">
        <v>196139</v>
      </c>
      <c r="O54" s="542">
        <v>-273875</v>
      </c>
      <c r="P54" s="542">
        <v>0</v>
      </c>
      <c r="Q54" s="542">
        <v>-273875</v>
      </c>
      <c r="R54" s="542">
        <v>-43006</v>
      </c>
      <c r="S54" s="542">
        <v>0</v>
      </c>
      <c r="T54" s="542">
        <v>-43006</v>
      </c>
      <c r="U54" s="542">
        <v>-299098</v>
      </c>
      <c r="V54" s="542">
        <v>0</v>
      </c>
      <c r="W54" s="542">
        <v>-299098</v>
      </c>
      <c r="X54" s="542">
        <v>1402387</v>
      </c>
      <c r="Y54" s="542">
        <v>0</v>
      </c>
      <c r="Z54" s="542">
        <v>1402387</v>
      </c>
      <c r="AA54" s="542">
        <v>-1405653</v>
      </c>
      <c r="AB54" s="542">
        <v>0</v>
      </c>
      <c r="AC54" s="542">
        <v>-1405653</v>
      </c>
      <c r="AD54" s="542">
        <v>40795762</v>
      </c>
      <c r="AE54" s="542">
        <v>0</v>
      </c>
      <c r="AF54" s="542">
        <v>40795762</v>
      </c>
      <c r="AG54" s="542">
        <v>0</v>
      </c>
      <c r="AH54" s="542">
        <v>0</v>
      </c>
      <c r="AI54" s="542">
        <v>0</v>
      </c>
      <c r="AJ54" s="542">
        <v>16524</v>
      </c>
      <c r="AK54" s="542">
        <v>0</v>
      </c>
      <c r="AL54" s="542">
        <v>0</v>
      </c>
      <c r="AM54" s="542">
        <v>16524</v>
      </c>
      <c r="AN54" s="542">
        <v>0</v>
      </c>
      <c r="AO54" s="542">
        <v>0</v>
      </c>
      <c r="AP54" s="542">
        <v>0</v>
      </c>
      <c r="AQ54" s="542">
        <v>0</v>
      </c>
      <c r="AR54" s="542">
        <v>0</v>
      </c>
      <c r="AS54" s="542">
        <v>0</v>
      </c>
      <c r="AT54" s="542">
        <v>0</v>
      </c>
      <c r="AU54" s="542">
        <v>0</v>
      </c>
      <c r="AV54" s="542">
        <v>820964</v>
      </c>
      <c r="AW54" s="542">
        <v>-555485</v>
      </c>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c r="BZ54" s="136"/>
      <c r="CA54" s="136"/>
      <c r="CB54" s="136"/>
      <c r="CC54" s="136"/>
      <c r="CD54" s="136"/>
      <c r="CE54" s="136"/>
      <c r="CF54" s="136"/>
      <c r="CG54" s="136"/>
      <c r="CH54" s="136"/>
      <c r="CI54" s="136"/>
      <c r="CJ54" s="136"/>
      <c r="CK54" s="136"/>
      <c r="CL54" s="136"/>
      <c r="CM54" s="136"/>
      <c r="CN54" s="136"/>
      <c r="CO54" s="136"/>
      <c r="CP54" s="136"/>
      <c r="CQ54" s="136"/>
      <c r="CR54" s="136"/>
      <c r="CS54" s="136"/>
      <c r="CT54" s="136"/>
      <c r="CU54" s="136"/>
      <c r="CV54" s="136"/>
      <c r="CW54" s="136"/>
      <c r="CX54" s="136"/>
      <c r="CY54" s="136"/>
      <c r="CZ54" s="136"/>
      <c r="DA54" s="136"/>
      <c r="DB54" s="136"/>
      <c r="DC54" s="136"/>
      <c r="DD54" s="136"/>
      <c r="DE54" s="136"/>
      <c r="DF54" s="136"/>
      <c r="DG54" s="136"/>
      <c r="DH54" s="136"/>
      <c r="DI54" s="136"/>
      <c r="DJ54" s="136"/>
      <c r="DK54" s="136"/>
      <c r="DL54" s="136"/>
      <c r="DM54" s="136"/>
      <c r="DN54" s="136"/>
      <c r="DO54" s="136"/>
      <c r="DP54" s="136"/>
      <c r="DQ54" s="136"/>
      <c r="DR54" s="136"/>
      <c r="DS54" s="136"/>
      <c r="DT54" s="136"/>
      <c r="DU54" s="136"/>
      <c r="DV54" s="136"/>
      <c r="DW54" s="136"/>
      <c r="DX54" s="136"/>
      <c r="DY54" s="136"/>
      <c r="DZ54" s="136"/>
      <c r="EA54" s="136"/>
      <c r="EB54" s="136"/>
      <c r="EC54" s="136"/>
      <c r="ED54" s="136"/>
      <c r="EE54" s="136"/>
      <c r="EF54" s="136"/>
      <c r="EG54" s="136"/>
      <c r="EH54" s="136"/>
      <c r="EI54" s="136"/>
      <c r="EJ54" s="136"/>
      <c r="EK54" s="136"/>
      <c r="EL54" s="136"/>
      <c r="EM54" s="136"/>
      <c r="EN54" s="136"/>
      <c r="EO54" s="136"/>
      <c r="EP54" s="136"/>
      <c r="EQ54" s="136"/>
      <c r="ER54" s="136"/>
      <c r="ES54" s="136"/>
      <c r="ET54" s="136"/>
      <c r="EU54" s="136"/>
      <c r="EV54" s="136"/>
      <c r="EW54" s="136"/>
      <c r="EX54" s="136"/>
      <c r="EY54" s="136"/>
      <c r="EZ54" s="136"/>
      <c r="FA54" s="136"/>
      <c r="FB54" s="136"/>
      <c r="FC54" s="136"/>
      <c r="FD54" s="136"/>
      <c r="FE54" s="137"/>
      <c r="FF54" s="138"/>
    </row>
    <row r="55" spans="1:162" ht="12.75" x14ac:dyDescent="0.2">
      <c r="A55" s="93">
        <v>49</v>
      </c>
      <c r="B55" s="145" t="s">
        <v>657</v>
      </c>
      <c r="C55" s="141" t="s">
        <v>866</v>
      </c>
      <c r="D55" s="142" t="s">
        <v>870</v>
      </c>
      <c r="E55" s="149" t="s">
        <v>656</v>
      </c>
      <c r="F55" s="542">
        <v>14822186</v>
      </c>
      <c r="G55" s="542">
        <v>0</v>
      </c>
      <c r="H55" s="542">
        <v>14822186</v>
      </c>
      <c r="I55" s="542">
        <v>0</v>
      </c>
      <c r="J55" s="542">
        <v>0</v>
      </c>
      <c r="K55" s="542">
        <v>0</v>
      </c>
      <c r="L55" s="542">
        <v>106925</v>
      </c>
      <c r="M55" s="542">
        <v>0</v>
      </c>
      <c r="N55" s="542">
        <v>106925</v>
      </c>
      <c r="O55" s="542">
        <v>-75768</v>
      </c>
      <c r="P55" s="542">
        <v>0</v>
      </c>
      <c r="Q55" s="542">
        <v>-75768</v>
      </c>
      <c r="R55" s="542">
        <v>0</v>
      </c>
      <c r="S55" s="542">
        <v>0</v>
      </c>
      <c r="T55" s="542">
        <v>0</v>
      </c>
      <c r="U55" s="542">
        <v>-79907</v>
      </c>
      <c r="V55" s="542">
        <v>0</v>
      </c>
      <c r="W55" s="542">
        <v>-79907</v>
      </c>
      <c r="X55" s="542">
        <v>103917</v>
      </c>
      <c r="Y55" s="542">
        <v>0</v>
      </c>
      <c r="Z55" s="542">
        <v>103917</v>
      </c>
      <c r="AA55" s="542">
        <v>-2190817</v>
      </c>
      <c r="AB55" s="542">
        <v>0</v>
      </c>
      <c r="AC55" s="542">
        <v>-2190817</v>
      </c>
      <c r="AD55" s="542">
        <v>12762304</v>
      </c>
      <c r="AE55" s="542">
        <v>0</v>
      </c>
      <c r="AF55" s="542">
        <v>12762304</v>
      </c>
      <c r="AG55" s="542">
        <v>0</v>
      </c>
      <c r="AH55" s="542">
        <v>0</v>
      </c>
      <c r="AI55" s="542">
        <v>0</v>
      </c>
      <c r="AJ55" s="542">
        <v>0</v>
      </c>
      <c r="AK55" s="542">
        <v>0</v>
      </c>
      <c r="AL55" s="542">
        <v>0</v>
      </c>
      <c r="AM55" s="542">
        <v>0</v>
      </c>
      <c r="AN55" s="542">
        <v>0</v>
      </c>
      <c r="AO55" s="542">
        <v>0</v>
      </c>
      <c r="AP55" s="542">
        <v>0</v>
      </c>
      <c r="AQ55" s="542">
        <v>0</v>
      </c>
      <c r="AR55" s="542">
        <v>0</v>
      </c>
      <c r="AS55" s="542">
        <v>0</v>
      </c>
      <c r="AT55" s="542">
        <v>0</v>
      </c>
      <c r="AU55" s="542">
        <v>0</v>
      </c>
      <c r="AV55" s="542">
        <v>247595</v>
      </c>
      <c r="AW55" s="542">
        <v>-75173</v>
      </c>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136"/>
      <c r="CA55" s="136"/>
      <c r="CB55" s="136"/>
      <c r="CC55" s="136"/>
      <c r="CD55" s="136"/>
      <c r="CE55" s="136"/>
      <c r="CF55" s="136"/>
      <c r="CG55" s="136"/>
      <c r="CH55" s="136"/>
      <c r="CI55" s="136"/>
      <c r="CJ55" s="136"/>
      <c r="CK55" s="136"/>
      <c r="CL55" s="136"/>
      <c r="CM55" s="136"/>
      <c r="CN55" s="136"/>
      <c r="CO55" s="136"/>
      <c r="CP55" s="136"/>
      <c r="CQ55" s="136"/>
      <c r="CR55" s="136"/>
      <c r="CS55" s="136"/>
      <c r="CT55" s="136"/>
      <c r="CU55" s="136"/>
      <c r="CV55" s="136"/>
      <c r="CW55" s="136"/>
      <c r="CX55" s="136"/>
      <c r="CY55" s="136"/>
      <c r="CZ55" s="136"/>
      <c r="DA55" s="136"/>
      <c r="DB55" s="136"/>
      <c r="DC55" s="136"/>
      <c r="DD55" s="136"/>
      <c r="DE55" s="136"/>
      <c r="DF55" s="136"/>
      <c r="DG55" s="136"/>
      <c r="DH55" s="136"/>
      <c r="DI55" s="136"/>
      <c r="DJ55" s="136"/>
      <c r="DK55" s="136"/>
      <c r="DL55" s="136"/>
      <c r="DM55" s="136"/>
      <c r="DN55" s="136"/>
      <c r="DO55" s="136"/>
      <c r="DP55" s="136"/>
      <c r="DQ55" s="136"/>
      <c r="DR55" s="136"/>
      <c r="DS55" s="136"/>
      <c r="DT55" s="136"/>
      <c r="DU55" s="136"/>
      <c r="DV55" s="136"/>
      <c r="DW55" s="136"/>
      <c r="DX55" s="136"/>
      <c r="DY55" s="136"/>
      <c r="DZ55" s="136"/>
      <c r="EA55" s="136"/>
      <c r="EB55" s="136"/>
      <c r="EC55" s="136"/>
      <c r="ED55" s="136"/>
      <c r="EE55" s="136"/>
      <c r="EF55" s="136"/>
      <c r="EG55" s="136"/>
      <c r="EH55" s="136"/>
      <c r="EI55" s="136"/>
      <c r="EJ55" s="136"/>
      <c r="EK55" s="136"/>
      <c r="EL55" s="136"/>
      <c r="EM55" s="136"/>
      <c r="EN55" s="136"/>
      <c r="EO55" s="136"/>
      <c r="EP55" s="136"/>
      <c r="EQ55" s="136"/>
      <c r="ER55" s="136"/>
      <c r="ES55" s="136"/>
      <c r="ET55" s="136"/>
      <c r="EU55" s="136"/>
      <c r="EV55" s="136"/>
      <c r="EW55" s="136"/>
      <c r="EX55" s="136"/>
      <c r="EY55" s="136"/>
      <c r="EZ55" s="136"/>
      <c r="FA55" s="136"/>
      <c r="FB55" s="136"/>
      <c r="FC55" s="136"/>
      <c r="FD55" s="136"/>
      <c r="FE55" s="137"/>
      <c r="FF55" s="138"/>
    </row>
    <row r="56" spans="1:162" ht="12.75" x14ac:dyDescent="0.2">
      <c r="A56" s="93">
        <v>50</v>
      </c>
      <c r="B56" s="145" t="s">
        <v>659</v>
      </c>
      <c r="C56" s="141" t="s">
        <v>770</v>
      </c>
      <c r="D56" s="142" t="s">
        <v>870</v>
      </c>
      <c r="E56" s="149" t="s">
        <v>658</v>
      </c>
      <c r="F56" s="542">
        <v>78778482</v>
      </c>
      <c r="G56" s="542">
        <v>0</v>
      </c>
      <c r="H56" s="542">
        <v>78778482</v>
      </c>
      <c r="I56" s="542">
        <v>-13402</v>
      </c>
      <c r="J56" s="542">
        <v>0</v>
      </c>
      <c r="K56" s="542">
        <v>-13402</v>
      </c>
      <c r="L56" s="542">
        <v>2412</v>
      </c>
      <c r="M56" s="542">
        <v>0</v>
      </c>
      <c r="N56" s="542">
        <v>2412</v>
      </c>
      <c r="O56" s="542">
        <v>-618958</v>
      </c>
      <c r="P56" s="542">
        <v>0</v>
      </c>
      <c r="Q56" s="542">
        <v>-618958</v>
      </c>
      <c r="R56" s="542">
        <v>-162730</v>
      </c>
      <c r="S56" s="542">
        <v>0</v>
      </c>
      <c r="T56" s="542">
        <v>-162730</v>
      </c>
      <c r="U56" s="542">
        <v>-606383</v>
      </c>
      <c r="V56" s="542">
        <v>0</v>
      </c>
      <c r="W56" s="542">
        <v>-606383</v>
      </c>
      <c r="X56" s="542">
        <v>3815554</v>
      </c>
      <c r="Y56" s="542">
        <v>0</v>
      </c>
      <c r="Z56" s="542">
        <v>3815554</v>
      </c>
      <c r="AA56" s="542">
        <v>-4443443</v>
      </c>
      <c r="AB56" s="542">
        <v>0</v>
      </c>
      <c r="AC56" s="542">
        <v>-4443443</v>
      </c>
      <c r="AD56" s="542">
        <v>77370490</v>
      </c>
      <c r="AE56" s="542">
        <v>0</v>
      </c>
      <c r="AF56" s="542">
        <v>77370490</v>
      </c>
      <c r="AG56" s="542">
        <v>0</v>
      </c>
      <c r="AH56" s="542">
        <v>0</v>
      </c>
      <c r="AI56" s="542">
        <v>0</v>
      </c>
      <c r="AJ56" s="542">
        <v>348150</v>
      </c>
      <c r="AK56" s="542">
        <v>0</v>
      </c>
      <c r="AL56" s="542">
        <v>0</v>
      </c>
      <c r="AM56" s="542">
        <v>348150</v>
      </c>
      <c r="AN56" s="542">
        <v>0</v>
      </c>
      <c r="AO56" s="542">
        <v>0</v>
      </c>
      <c r="AP56" s="542">
        <v>0</v>
      </c>
      <c r="AQ56" s="542">
        <v>0</v>
      </c>
      <c r="AR56" s="542">
        <v>0</v>
      </c>
      <c r="AS56" s="542">
        <v>0</v>
      </c>
      <c r="AT56" s="542">
        <v>0</v>
      </c>
      <c r="AU56" s="542">
        <v>0</v>
      </c>
      <c r="AV56" s="542">
        <v>4282727</v>
      </c>
      <c r="AW56" s="542">
        <v>-666676</v>
      </c>
      <c r="AX56" s="136"/>
      <c r="AY56" s="136"/>
      <c r="AZ56" s="136"/>
      <c r="BA56" s="136"/>
      <c r="BB56" s="136"/>
      <c r="BC56" s="136"/>
      <c r="BD56" s="136"/>
      <c r="BE56" s="136"/>
      <c r="BF56" s="136"/>
      <c r="BG56" s="136"/>
      <c r="BH56" s="136"/>
      <c r="BI56" s="136"/>
      <c r="BJ56" s="136"/>
      <c r="BK56" s="136"/>
      <c r="BL56" s="136"/>
      <c r="BM56" s="136"/>
      <c r="BN56" s="136"/>
      <c r="BO56" s="136"/>
      <c r="BP56" s="136"/>
      <c r="BQ56" s="136"/>
      <c r="BR56" s="136"/>
      <c r="BS56" s="136"/>
      <c r="BT56" s="136"/>
      <c r="BU56" s="136"/>
      <c r="BV56" s="136"/>
      <c r="BW56" s="136"/>
      <c r="BX56" s="136"/>
      <c r="BY56" s="136"/>
      <c r="BZ56" s="136"/>
      <c r="CA56" s="136"/>
      <c r="CB56" s="136"/>
      <c r="CC56" s="136"/>
      <c r="CD56" s="136"/>
      <c r="CE56" s="136"/>
      <c r="CF56" s="136"/>
      <c r="CG56" s="136"/>
      <c r="CH56" s="136"/>
      <c r="CI56" s="136"/>
      <c r="CJ56" s="136"/>
      <c r="CK56" s="136"/>
      <c r="CL56" s="136"/>
      <c r="CM56" s="136"/>
      <c r="CN56" s="136"/>
      <c r="CO56" s="136"/>
      <c r="CP56" s="136"/>
      <c r="CQ56" s="136"/>
      <c r="CR56" s="136"/>
      <c r="CS56" s="136"/>
      <c r="CT56" s="136"/>
      <c r="CU56" s="136"/>
      <c r="CV56" s="136"/>
      <c r="CW56" s="136"/>
      <c r="CX56" s="136"/>
      <c r="CY56" s="136"/>
      <c r="CZ56" s="136"/>
      <c r="DA56" s="136"/>
      <c r="DB56" s="136"/>
      <c r="DC56" s="136"/>
      <c r="DD56" s="136"/>
      <c r="DE56" s="136"/>
      <c r="DF56" s="136"/>
      <c r="DG56" s="136"/>
      <c r="DH56" s="136"/>
      <c r="DI56" s="136"/>
      <c r="DJ56" s="136"/>
      <c r="DK56" s="136"/>
      <c r="DL56" s="136"/>
      <c r="DM56" s="136"/>
      <c r="DN56" s="136"/>
      <c r="DO56" s="136"/>
      <c r="DP56" s="136"/>
      <c r="DQ56" s="136"/>
      <c r="DR56" s="136"/>
      <c r="DS56" s="136"/>
      <c r="DT56" s="136"/>
      <c r="DU56" s="136"/>
      <c r="DV56" s="136"/>
      <c r="DW56" s="136"/>
      <c r="DX56" s="136"/>
      <c r="DY56" s="136"/>
      <c r="DZ56" s="136"/>
      <c r="EA56" s="136"/>
      <c r="EB56" s="136"/>
      <c r="EC56" s="136"/>
      <c r="ED56" s="136"/>
      <c r="EE56" s="136"/>
      <c r="EF56" s="136"/>
      <c r="EG56" s="136"/>
      <c r="EH56" s="136"/>
      <c r="EI56" s="136"/>
      <c r="EJ56" s="136"/>
      <c r="EK56" s="136"/>
      <c r="EL56" s="136"/>
      <c r="EM56" s="136"/>
      <c r="EN56" s="136"/>
      <c r="EO56" s="136"/>
      <c r="EP56" s="136"/>
      <c r="EQ56" s="136"/>
      <c r="ER56" s="136"/>
      <c r="ES56" s="136"/>
      <c r="ET56" s="136"/>
      <c r="EU56" s="136"/>
      <c r="EV56" s="136"/>
      <c r="EW56" s="136"/>
      <c r="EX56" s="136"/>
      <c r="EY56" s="136"/>
      <c r="EZ56" s="136"/>
      <c r="FA56" s="136"/>
      <c r="FB56" s="136"/>
      <c r="FC56" s="136"/>
      <c r="FD56" s="136"/>
      <c r="FE56" s="137"/>
      <c r="FF56" s="138"/>
    </row>
    <row r="57" spans="1:162" ht="12.75" x14ac:dyDescent="0.2">
      <c r="A57" s="93">
        <v>51</v>
      </c>
      <c r="B57" s="145" t="s">
        <v>661</v>
      </c>
      <c r="C57" s="141" t="s">
        <v>866</v>
      </c>
      <c r="D57" s="142" t="s">
        <v>869</v>
      </c>
      <c r="E57" s="149" t="s">
        <v>660</v>
      </c>
      <c r="F57" s="542">
        <v>42845410</v>
      </c>
      <c r="G57" s="542">
        <v>0</v>
      </c>
      <c r="H57" s="542">
        <v>42845410</v>
      </c>
      <c r="I57" s="542">
        <v>-366</v>
      </c>
      <c r="J57" s="542">
        <v>0</v>
      </c>
      <c r="K57" s="542">
        <v>-366</v>
      </c>
      <c r="L57" s="542">
        <v>133336</v>
      </c>
      <c r="M57" s="542">
        <v>0</v>
      </c>
      <c r="N57" s="542">
        <v>133336</v>
      </c>
      <c r="O57" s="542">
        <v>0</v>
      </c>
      <c r="P57" s="542">
        <v>0</v>
      </c>
      <c r="Q57" s="542">
        <v>0</v>
      </c>
      <c r="R57" s="542">
        <v>-261546</v>
      </c>
      <c r="S57" s="542">
        <v>0</v>
      </c>
      <c r="T57" s="542">
        <v>-261546</v>
      </c>
      <c r="U57" s="542">
        <v>-218099</v>
      </c>
      <c r="V57" s="542">
        <v>0</v>
      </c>
      <c r="W57" s="542">
        <v>-218099</v>
      </c>
      <c r="X57" s="542">
        <v>0</v>
      </c>
      <c r="Y57" s="542">
        <v>0</v>
      </c>
      <c r="Z57" s="542">
        <v>0</v>
      </c>
      <c r="AA57" s="542">
        <v>1047288</v>
      </c>
      <c r="AB57" s="542">
        <v>0</v>
      </c>
      <c r="AC57" s="542">
        <v>1047288</v>
      </c>
      <c r="AD57" s="542">
        <v>43546023</v>
      </c>
      <c r="AE57" s="542">
        <v>0</v>
      </c>
      <c r="AF57" s="542">
        <v>43546023</v>
      </c>
      <c r="AG57" s="542">
        <v>0</v>
      </c>
      <c r="AH57" s="542">
        <v>0</v>
      </c>
      <c r="AI57" s="542">
        <v>0</v>
      </c>
      <c r="AJ57" s="542">
        <v>150473</v>
      </c>
      <c r="AK57" s="542">
        <v>0</v>
      </c>
      <c r="AL57" s="542">
        <v>0</v>
      </c>
      <c r="AM57" s="542">
        <v>150473</v>
      </c>
      <c r="AN57" s="542">
        <v>0</v>
      </c>
      <c r="AO57" s="542">
        <v>0</v>
      </c>
      <c r="AP57" s="542">
        <v>0</v>
      </c>
      <c r="AQ57" s="542">
        <v>0</v>
      </c>
      <c r="AR57" s="542">
        <v>0</v>
      </c>
      <c r="AS57" s="542">
        <v>0</v>
      </c>
      <c r="AT57" s="542">
        <v>0</v>
      </c>
      <c r="AU57" s="542">
        <v>0</v>
      </c>
      <c r="AV57" s="542">
        <v>1195490</v>
      </c>
      <c r="AW57" s="542">
        <v>-687084</v>
      </c>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c r="CI57" s="136"/>
      <c r="CJ57" s="136"/>
      <c r="CK57" s="136"/>
      <c r="CL57" s="136"/>
      <c r="CM57" s="136"/>
      <c r="CN57" s="136"/>
      <c r="CO57" s="136"/>
      <c r="CP57" s="136"/>
      <c r="CQ57" s="136"/>
      <c r="CR57" s="136"/>
      <c r="CS57" s="136"/>
      <c r="CT57" s="136"/>
      <c r="CU57" s="136"/>
      <c r="CV57" s="136"/>
      <c r="CW57" s="136"/>
      <c r="CX57" s="136"/>
      <c r="CY57" s="136"/>
      <c r="CZ57" s="136"/>
      <c r="DA57" s="136"/>
      <c r="DB57" s="136"/>
      <c r="DC57" s="136"/>
      <c r="DD57" s="136"/>
      <c r="DE57" s="136"/>
      <c r="DF57" s="136"/>
      <c r="DG57" s="136"/>
      <c r="DH57" s="136"/>
      <c r="DI57" s="136"/>
      <c r="DJ57" s="136"/>
      <c r="DK57" s="136"/>
      <c r="DL57" s="136"/>
      <c r="DM57" s="136"/>
      <c r="DN57" s="136"/>
      <c r="DO57" s="136"/>
      <c r="DP57" s="136"/>
      <c r="DQ57" s="136"/>
      <c r="DR57" s="136"/>
      <c r="DS57" s="136"/>
      <c r="DT57" s="136"/>
      <c r="DU57" s="136"/>
      <c r="DV57" s="136"/>
      <c r="DW57" s="136"/>
      <c r="DX57" s="136"/>
      <c r="DY57" s="136"/>
      <c r="DZ57" s="136"/>
      <c r="EA57" s="136"/>
      <c r="EB57" s="136"/>
      <c r="EC57" s="136"/>
      <c r="ED57" s="136"/>
      <c r="EE57" s="136"/>
      <c r="EF57" s="136"/>
      <c r="EG57" s="136"/>
      <c r="EH57" s="136"/>
      <c r="EI57" s="136"/>
      <c r="EJ57" s="136"/>
      <c r="EK57" s="136"/>
      <c r="EL57" s="136"/>
      <c r="EM57" s="136"/>
      <c r="EN57" s="136"/>
      <c r="EO57" s="136"/>
      <c r="EP57" s="136"/>
      <c r="EQ57" s="136"/>
      <c r="ER57" s="136"/>
      <c r="ES57" s="136"/>
      <c r="ET57" s="136"/>
      <c r="EU57" s="136"/>
      <c r="EV57" s="136"/>
      <c r="EW57" s="136"/>
      <c r="EX57" s="136"/>
      <c r="EY57" s="136"/>
      <c r="EZ57" s="136"/>
      <c r="FA57" s="136"/>
      <c r="FB57" s="136"/>
      <c r="FC57" s="136"/>
      <c r="FD57" s="136"/>
      <c r="FE57" s="137"/>
      <c r="FF57" s="138"/>
    </row>
    <row r="58" spans="1:162" ht="12.75" x14ac:dyDescent="0.2">
      <c r="A58" s="93">
        <v>52</v>
      </c>
      <c r="B58" s="145" t="s">
        <v>663</v>
      </c>
      <c r="C58" s="141" t="s">
        <v>866</v>
      </c>
      <c r="D58" s="142" t="s">
        <v>870</v>
      </c>
      <c r="E58" s="149" t="s">
        <v>662</v>
      </c>
      <c r="F58" s="542">
        <v>76230353</v>
      </c>
      <c r="G58" s="542">
        <v>0</v>
      </c>
      <c r="H58" s="542">
        <v>76230353</v>
      </c>
      <c r="I58" s="542">
        <v>0</v>
      </c>
      <c r="J58" s="542">
        <v>0</v>
      </c>
      <c r="K58" s="542">
        <v>0</v>
      </c>
      <c r="L58" s="542">
        <v>236876</v>
      </c>
      <c r="M58" s="542">
        <v>0</v>
      </c>
      <c r="N58" s="542">
        <v>236876</v>
      </c>
      <c r="O58" s="542">
        <v>0</v>
      </c>
      <c r="P58" s="542">
        <v>0</v>
      </c>
      <c r="Q58" s="542">
        <v>0</v>
      </c>
      <c r="R58" s="542">
        <v>-697827</v>
      </c>
      <c r="S58" s="542">
        <v>0</v>
      </c>
      <c r="T58" s="542">
        <v>-697827</v>
      </c>
      <c r="U58" s="542">
        <v>89519</v>
      </c>
      <c r="V58" s="542">
        <v>0</v>
      </c>
      <c r="W58" s="542">
        <v>89519</v>
      </c>
      <c r="X58" s="542">
        <v>4297657</v>
      </c>
      <c r="Y58" s="542">
        <v>0</v>
      </c>
      <c r="Z58" s="542">
        <v>4297657</v>
      </c>
      <c r="AA58" s="542">
        <v>-12677967</v>
      </c>
      <c r="AB58" s="542">
        <v>0</v>
      </c>
      <c r="AC58" s="542">
        <v>-12677967</v>
      </c>
      <c r="AD58" s="542">
        <v>67478611</v>
      </c>
      <c r="AE58" s="542">
        <v>0</v>
      </c>
      <c r="AF58" s="542">
        <v>67478611</v>
      </c>
      <c r="AG58" s="542">
        <v>0</v>
      </c>
      <c r="AH58" s="542">
        <v>0</v>
      </c>
      <c r="AI58" s="542">
        <v>0</v>
      </c>
      <c r="AJ58" s="542">
        <v>0</v>
      </c>
      <c r="AK58" s="542">
        <v>0</v>
      </c>
      <c r="AL58" s="542">
        <v>0</v>
      </c>
      <c r="AM58" s="542">
        <v>0</v>
      </c>
      <c r="AN58" s="542">
        <v>0</v>
      </c>
      <c r="AO58" s="542">
        <v>0</v>
      </c>
      <c r="AP58" s="542">
        <v>0</v>
      </c>
      <c r="AQ58" s="542">
        <v>0</v>
      </c>
      <c r="AR58" s="542">
        <v>0</v>
      </c>
      <c r="AS58" s="542">
        <v>0</v>
      </c>
      <c r="AT58" s="542">
        <v>0</v>
      </c>
      <c r="AU58" s="542">
        <v>0</v>
      </c>
      <c r="AV58" s="542">
        <v>3206876</v>
      </c>
      <c r="AW58" s="542">
        <v>-1768668</v>
      </c>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c r="CJ58" s="136"/>
      <c r="CK58" s="136"/>
      <c r="CL58" s="136"/>
      <c r="CM58" s="136"/>
      <c r="CN58" s="136"/>
      <c r="CO58" s="136"/>
      <c r="CP58" s="136"/>
      <c r="CQ58" s="136"/>
      <c r="CR58" s="136"/>
      <c r="CS58" s="136"/>
      <c r="CT58" s="136"/>
      <c r="CU58" s="136"/>
      <c r="CV58" s="136"/>
      <c r="CW58" s="136"/>
      <c r="CX58" s="136"/>
      <c r="CY58" s="136"/>
      <c r="CZ58" s="136"/>
      <c r="DA58" s="136"/>
      <c r="DB58" s="136"/>
      <c r="DC58" s="136"/>
      <c r="DD58" s="136"/>
      <c r="DE58" s="136"/>
      <c r="DF58" s="136"/>
      <c r="DG58" s="136"/>
      <c r="DH58" s="136"/>
      <c r="DI58" s="136"/>
      <c r="DJ58" s="136"/>
      <c r="DK58" s="136"/>
      <c r="DL58" s="136"/>
      <c r="DM58" s="136"/>
      <c r="DN58" s="136"/>
      <c r="DO58" s="136"/>
      <c r="DP58" s="136"/>
      <c r="DQ58" s="136"/>
      <c r="DR58" s="136"/>
      <c r="DS58" s="136"/>
      <c r="DT58" s="136"/>
      <c r="DU58" s="136"/>
      <c r="DV58" s="136"/>
      <c r="DW58" s="136"/>
      <c r="DX58" s="136"/>
      <c r="DY58" s="136"/>
      <c r="DZ58" s="136"/>
      <c r="EA58" s="136"/>
      <c r="EB58" s="136"/>
      <c r="EC58" s="136"/>
      <c r="ED58" s="136"/>
      <c r="EE58" s="136"/>
      <c r="EF58" s="136"/>
      <c r="EG58" s="136"/>
      <c r="EH58" s="136"/>
      <c r="EI58" s="136"/>
      <c r="EJ58" s="136"/>
      <c r="EK58" s="136"/>
      <c r="EL58" s="136"/>
      <c r="EM58" s="136"/>
      <c r="EN58" s="136"/>
      <c r="EO58" s="136"/>
      <c r="EP58" s="136"/>
      <c r="EQ58" s="136"/>
      <c r="ER58" s="136"/>
      <c r="ES58" s="136"/>
      <c r="ET58" s="136"/>
      <c r="EU58" s="136"/>
      <c r="EV58" s="136"/>
      <c r="EW58" s="136"/>
      <c r="EX58" s="136"/>
      <c r="EY58" s="136"/>
      <c r="EZ58" s="136"/>
      <c r="FA58" s="136"/>
      <c r="FB58" s="136"/>
      <c r="FC58" s="136"/>
      <c r="FD58" s="136"/>
      <c r="FE58" s="137"/>
      <c r="FF58" s="138"/>
    </row>
    <row r="59" spans="1:162" ht="12.75" x14ac:dyDescent="0.2">
      <c r="A59" s="93">
        <v>53</v>
      </c>
      <c r="B59" s="145" t="s">
        <v>665</v>
      </c>
      <c r="C59" s="141" t="s">
        <v>866</v>
      </c>
      <c r="D59" s="142" t="s">
        <v>875</v>
      </c>
      <c r="E59" s="149" t="s">
        <v>664</v>
      </c>
      <c r="F59" s="542">
        <v>55162275</v>
      </c>
      <c r="G59" s="542">
        <v>0</v>
      </c>
      <c r="H59" s="542">
        <v>55162275</v>
      </c>
      <c r="I59" s="542">
        <v>-1742</v>
      </c>
      <c r="J59" s="542">
        <v>0</v>
      </c>
      <c r="K59" s="542">
        <v>-1742</v>
      </c>
      <c r="L59" s="542">
        <v>310733</v>
      </c>
      <c r="M59" s="542">
        <v>0</v>
      </c>
      <c r="N59" s="542">
        <v>310733</v>
      </c>
      <c r="O59" s="542">
        <v>-283615</v>
      </c>
      <c r="P59" s="542">
        <v>0</v>
      </c>
      <c r="Q59" s="542">
        <v>-283615</v>
      </c>
      <c r="R59" s="542">
        <v>0</v>
      </c>
      <c r="S59" s="542">
        <v>0</v>
      </c>
      <c r="T59" s="542">
        <v>0</v>
      </c>
      <c r="U59" s="542">
        <v>-284849</v>
      </c>
      <c r="V59" s="542">
        <v>0</v>
      </c>
      <c r="W59" s="542">
        <v>-284849</v>
      </c>
      <c r="X59" s="542">
        <v>673094</v>
      </c>
      <c r="Y59" s="542">
        <v>0</v>
      </c>
      <c r="Z59" s="542">
        <v>673094</v>
      </c>
      <c r="AA59" s="542">
        <v>-1322256</v>
      </c>
      <c r="AB59" s="542">
        <v>0</v>
      </c>
      <c r="AC59" s="542">
        <v>-1322256</v>
      </c>
      <c r="AD59" s="542">
        <v>54537255</v>
      </c>
      <c r="AE59" s="542">
        <v>0</v>
      </c>
      <c r="AF59" s="542">
        <v>54537255</v>
      </c>
      <c r="AG59" s="542">
        <v>0</v>
      </c>
      <c r="AH59" s="542">
        <v>0</v>
      </c>
      <c r="AI59" s="542">
        <v>0</v>
      </c>
      <c r="AJ59" s="542">
        <v>0</v>
      </c>
      <c r="AK59" s="542">
        <v>0</v>
      </c>
      <c r="AL59" s="542">
        <v>0</v>
      </c>
      <c r="AM59" s="542">
        <v>0</v>
      </c>
      <c r="AN59" s="542">
        <v>0</v>
      </c>
      <c r="AO59" s="542">
        <v>0</v>
      </c>
      <c r="AP59" s="542">
        <v>0</v>
      </c>
      <c r="AQ59" s="542">
        <v>0</v>
      </c>
      <c r="AR59" s="542">
        <v>0</v>
      </c>
      <c r="AS59" s="542">
        <v>0</v>
      </c>
      <c r="AT59" s="542">
        <v>0</v>
      </c>
      <c r="AU59" s="542">
        <v>0</v>
      </c>
      <c r="AV59" s="542">
        <v>1725946</v>
      </c>
      <c r="AW59" s="542">
        <v>-4299363</v>
      </c>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136"/>
      <c r="CF59" s="136"/>
      <c r="CG59" s="136"/>
      <c r="CH59" s="136"/>
      <c r="CI59" s="136"/>
      <c r="CJ59" s="136"/>
      <c r="CK59" s="136"/>
      <c r="CL59" s="136"/>
      <c r="CM59" s="136"/>
      <c r="CN59" s="136"/>
      <c r="CO59" s="136"/>
      <c r="CP59" s="136"/>
      <c r="CQ59" s="136"/>
      <c r="CR59" s="136"/>
      <c r="CS59" s="136"/>
      <c r="CT59" s="136"/>
      <c r="CU59" s="136"/>
      <c r="CV59" s="136"/>
      <c r="CW59" s="136"/>
      <c r="CX59" s="136"/>
      <c r="CY59" s="136"/>
      <c r="CZ59" s="136"/>
      <c r="DA59" s="136"/>
      <c r="DB59" s="136"/>
      <c r="DC59" s="136"/>
      <c r="DD59" s="136"/>
      <c r="DE59" s="136"/>
      <c r="DF59" s="136"/>
      <c r="DG59" s="136"/>
      <c r="DH59" s="136"/>
      <c r="DI59" s="136"/>
      <c r="DJ59" s="136"/>
      <c r="DK59" s="136"/>
      <c r="DL59" s="136"/>
      <c r="DM59" s="136"/>
      <c r="DN59" s="136"/>
      <c r="DO59" s="136"/>
      <c r="DP59" s="136"/>
      <c r="DQ59" s="136"/>
      <c r="DR59" s="136"/>
      <c r="DS59" s="136"/>
      <c r="DT59" s="136"/>
      <c r="DU59" s="136"/>
      <c r="DV59" s="136"/>
      <c r="DW59" s="136"/>
      <c r="DX59" s="136"/>
      <c r="DY59" s="136"/>
      <c r="DZ59" s="136"/>
      <c r="EA59" s="136"/>
      <c r="EB59" s="136"/>
      <c r="EC59" s="136"/>
      <c r="ED59" s="136"/>
      <c r="EE59" s="136"/>
      <c r="EF59" s="136"/>
      <c r="EG59" s="136"/>
      <c r="EH59" s="136"/>
      <c r="EI59" s="136"/>
      <c r="EJ59" s="136"/>
      <c r="EK59" s="136"/>
      <c r="EL59" s="136"/>
      <c r="EM59" s="136"/>
      <c r="EN59" s="136"/>
      <c r="EO59" s="136"/>
      <c r="EP59" s="136"/>
      <c r="EQ59" s="136"/>
      <c r="ER59" s="136"/>
      <c r="ES59" s="136"/>
      <c r="ET59" s="136"/>
      <c r="EU59" s="136"/>
      <c r="EV59" s="136"/>
      <c r="EW59" s="136"/>
      <c r="EX59" s="136"/>
      <c r="EY59" s="136"/>
      <c r="EZ59" s="136"/>
      <c r="FA59" s="136"/>
      <c r="FB59" s="136"/>
      <c r="FC59" s="136"/>
      <c r="FD59" s="136"/>
      <c r="FE59" s="137"/>
      <c r="FF59" s="138"/>
    </row>
    <row r="60" spans="1:162" ht="12.75" x14ac:dyDescent="0.2">
      <c r="A60" s="93">
        <v>54</v>
      </c>
      <c r="B60" s="145" t="s">
        <v>667</v>
      </c>
      <c r="C60" s="141" t="s">
        <v>866</v>
      </c>
      <c r="D60" s="142" t="s">
        <v>867</v>
      </c>
      <c r="E60" s="149" t="s">
        <v>666</v>
      </c>
      <c r="F60" s="542">
        <v>70267218</v>
      </c>
      <c r="G60" s="542">
        <v>0</v>
      </c>
      <c r="H60" s="542">
        <v>70267218</v>
      </c>
      <c r="I60" s="542">
        <v>0</v>
      </c>
      <c r="J60" s="542">
        <v>0</v>
      </c>
      <c r="K60" s="542">
        <v>0</v>
      </c>
      <c r="L60" s="542">
        <v>363954</v>
      </c>
      <c r="M60" s="542">
        <v>0</v>
      </c>
      <c r="N60" s="542">
        <v>363954</v>
      </c>
      <c r="O60" s="542">
        <v>0</v>
      </c>
      <c r="P60" s="542">
        <v>0</v>
      </c>
      <c r="Q60" s="542">
        <v>0</v>
      </c>
      <c r="R60" s="542">
        <v>-367389</v>
      </c>
      <c r="S60" s="542">
        <v>0</v>
      </c>
      <c r="T60" s="542">
        <v>-367389</v>
      </c>
      <c r="U60" s="542">
        <v>81671</v>
      </c>
      <c r="V60" s="542">
        <v>0</v>
      </c>
      <c r="W60" s="542">
        <v>81671</v>
      </c>
      <c r="X60" s="542">
        <v>0</v>
      </c>
      <c r="Y60" s="542">
        <v>0</v>
      </c>
      <c r="Z60" s="542">
        <v>0</v>
      </c>
      <c r="AA60" s="542">
        <v>-3351586</v>
      </c>
      <c r="AB60" s="542">
        <v>0</v>
      </c>
      <c r="AC60" s="542">
        <v>-3351586</v>
      </c>
      <c r="AD60" s="542">
        <v>66993868</v>
      </c>
      <c r="AE60" s="542">
        <v>0</v>
      </c>
      <c r="AF60" s="542">
        <v>66993868</v>
      </c>
      <c r="AG60" s="542">
        <v>0</v>
      </c>
      <c r="AH60" s="542">
        <v>0</v>
      </c>
      <c r="AI60" s="542">
        <v>0</v>
      </c>
      <c r="AJ60" s="542">
        <v>178347</v>
      </c>
      <c r="AK60" s="542">
        <v>0</v>
      </c>
      <c r="AL60" s="542">
        <v>0</v>
      </c>
      <c r="AM60" s="542">
        <v>178347</v>
      </c>
      <c r="AN60" s="542">
        <v>0</v>
      </c>
      <c r="AO60" s="542">
        <v>0</v>
      </c>
      <c r="AP60" s="542">
        <v>0</v>
      </c>
      <c r="AQ60" s="542">
        <v>0</v>
      </c>
      <c r="AR60" s="542">
        <v>0</v>
      </c>
      <c r="AS60" s="542">
        <v>0</v>
      </c>
      <c r="AT60" s="542">
        <v>0</v>
      </c>
      <c r="AU60" s="542">
        <v>0</v>
      </c>
      <c r="AV60" s="542">
        <v>908793</v>
      </c>
      <c r="AW60" s="542">
        <v>-1449465</v>
      </c>
      <c r="AX60" s="136"/>
      <c r="AY60" s="136"/>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c r="BZ60" s="136"/>
      <c r="CA60" s="136"/>
      <c r="CB60" s="136"/>
      <c r="CC60" s="136"/>
      <c r="CD60" s="136"/>
      <c r="CE60" s="136"/>
      <c r="CF60" s="136"/>
      <c r="CG60" s="136"/>
      <c r="CH60" s="136"/>
      <c r="CI60" s="136"/>
      <c r="CJ60" s="136"/>
      <c r="CK60" s="136"/>
      <c r="CL60" s="136"/>
      <c r="CM60" s="136"/>
      <c r="CN60" s="136"/>
      <c r="CO60" s="136"/>
      <c r="CP60" s="136"/>
      <c r="CQ60" s="136"/>
      <c r="CR60" s="136"/>
      <c r="CS60" s="136"/>
      <c r="CT60" s="136"/>
      <c r="CU60" s="136"/>
      <c r="CV60" s="136"/>
      <c r="CW60" s="136"/>
      <c r="CX60" s="136"/>
      <c r="CY60" s="136"/>
      <c r="CZ60" s="136"/>
      <c r="DA60" s="136"/>
      <c r="DB60" s="136"/>
      <c r="DC60" s="136"/>
      <c r="DD60" s="136"/>
      <c r="DE60" s="136"/>
      <c r="DF60" s="136"/>
      <c r="DG60" s="136"/>
      <c r="DH60" s="136"/>
      <c r="DI60" s="136"/>
      <c r="DJ60" s="136"/>
      <c r="DK60" s="136"/>
      <c r="DL60" s="136"/>
      <c r="DM60" s="136"/>
      <c r="DN60" s="136"/>
      <c r="DO60" s="136"/>
      <c r="DP60" s="136"/>
      <c r="DQ60" s="136"/>
      <c r="DR60" s="136"/>
      <c r="DS60" s="136"/>
      <c r="DT60" s="136"/>
      <c r="DU60" s="136"/>
      <c r="DV60" s="136"/>
      <c r="DW60" s="136"/>
      <c r="DX60" s="136"/>
      <c r="DY60" s="136"/>
      <c r="DZ60" s="136"/>
      <c r="EA60" s="136"/>
      <c r="EB60" s="136"/>
      <c r="EC60" s="136"/>
      <c r="ED60" s="136"/>
      <c r="EE60" s="136"/>
      <c r="EF60" s="136"/>
      <c r="EG60" s="136"/>
      <c r="EH60" s="136"/>
      <c r="EI60" s="136"/>
      <c r="EJ60" s="136"/>
      <c r="EK60" s="136"/>
      <c r="EL60" s="136"/>
      <c r="EM60" s="136"/>
      <c r="EN60" s="136"/>
      <c r="EO60" s="136"/>
      <c r="EP60" s="136"/>
      <c r="EQ60" s="136"/>
      <c r="ER60" s="136"/>
      <c r="ES60" s="136"/>
      <c r="ET60" s="136"/>
      <c r="EU60" s="136"/>
      <c r="EV60" s="136"/>
      <c r="EW60" s="136"/>
      <c r="EX60" s="136"/>
      <c r="EY60" s="136"/>
      <c r="EZ60" s="136"/>
      <c r="FA60" s="136"/>
      <c r="FB60" s="136"/>
      <c r="FC60" s="136"/>
      <c r="FD60" s="136"/>
      <c r="FE60" s="137"/>
      <c r="FF60" s="138"/>
    </row>
    <row r="61" spans="1:162" ht="12.75" x14ac:dyDescent="0.2">
      <c r="A61" s="93">
        <v>55</v>
      </c>
      <c r="B61" s="145" t="s">
        <v>669</v>
      </c>
      <c r="C61" s="141" t="s">
        <v>770</v>
      </c>
      <c r="D61" s="142" t="s">
        <v>868</v>
      </c>
      <c r="E61" s="149" t="s">
        <v>668</v>
      </c>
      <c r="F61" s="542">
        <v>138085452</v>
      </c>
      <c r="G61" s="542">
        <v>0</v>
      </c>
      <c r="H61" s="542">
        <v>138085452</v>
      </c>
      <c r="I61" s="542">
        <v>-4751</v>
      </c>
      <c r="J61" s="542">
        <v>0</v>
      </c>
      <c r="K61" s="542">
        <v>-4751</v>
      </c>
      <c r="L61" s="542">
        <v>0</v>
      </c>
      <c r="M61" s="542">
        <v>0</v>
      </c>
      <c r="N61" s="542">
        <v>0</v>
      </c>
      <c r="O61" s="542">
        <v>-1367574</v>
      </c>
      <c r="P61" s="542">
        <v>0</v>
      </c>
      <c r="Q61" s="542">
        <v>-1367574</v>
      </c>
      <c r="R61" s="542">
        <v>-105159</v>
      </c>
      <c r="S61" s="542">
        <v>0</v>
      </c>
      <c r="T61" s="542">
        <v>-105159</v>
      </c>
      <c r="U61" s="542">
        <v>-1620061</v>
      </c>
      <c r="V61" s="542">
        <v>0</v>
      </c>
      <c r="W61" s="542">
        <v>-1620061</v>
      </c>
      <c r="X61" s="542">
        <v>1900838</v>
      </c>
      <c r="Y61" s="542">
        <v>0</v>
      </c>
      <c r="Z61" s="542">
        <v>1900838</v>
      </c>
      <c r="AA61" s="542">
        <v>-7301687</v>
      </c>
      <c r="AB61" s="542">
        <v>0</v>
      </c>
      <c r="AC61" s="542">
        <v>-7301687</v>
      </c>
      <c r="AD61" s="542">
        <v>130954632</v>
      </c>
      <c r="AE61" s="542">
        <v>0</v>
      </c>
      <c r="AF61" s="542">
        <v>130954632</v>
      </c>
      <c r="AG61" s="542">
        <v>0</v>
      </c>
      <c r="AH61" s="542">
        <v>0</v>
      </c>
      <c r="AI61" s="542">
        <v>0</v>
      </c>
      <c r="AJ61" s="542">
        <v>3137</v>
      </c>
      <c r="AK61" s="542">
        <v>0</v>
      </c>
      <c r="AL61" s="542">
        <v>0</v>
      </c>
      <c r="AM61" s="542">
        <v>3137</v>
      </c>
      <c r="AN61" s="542">
        <v>0</v>
      </c>
      <c r="AO61" s="542">
        <v>0</v>
      </c>
      <c r="AP61" s="542">
        <v>0</v>
      </c>
      <c r="AQ61" s="542">
        <v>0</v>
      </c>
      <c r="AR61" s="542">
        <v>0</v>
      </c>
      <c r="AS61" s="542">
        <v>0</v>
      </c>
      <c r="AT61" s="542">
        <v>0</v>
      </c>
      <c r="AU61" s="542">
        <v>0</v>
      </c>
      <c r="AV61" s="542">
        <v>5980635</v>
      </c>
      <c r="AW61" s="542">
        <v>-696484</v>
      </c>
      <c r="AX61" s="136"/>
      <c r="AY61" s="136"/>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A61" s="136"/>
      <c r="CB61" s="136"/>
      <c r="CC61" s="136"/>
      <c r="CD61" s="136"/>
      <c r="CE61" s="136"/>
      <c r="CF61" s="136"/>
      <c r="CG61" s="136"/>
      <c r="CH61" s="136"/>
      <c r="CI61" s="136"/>
      <c r="CJ61" s="136"/>
      <c r="CK61" s="136"/>
      <c r="CL61" s="136"/>
      <c r="CM61" s="136"/>
      <c r="CN61" s="136"/>
      <c r="CO61" s="136"/>
      <c r="CP61" s="136"/>
      <c r="CQ61" s="136"/>
      <c r="CR61" s="136"/>
      <c r="CS61" s="136"/>
      <c r="CT61" s="136"/>
      <c r="CU61" s="136"/>
      <c r="CV61" s="136"/>
      <c r="CW61" s="136"/>
      <c r="CX61" s="136"/>
      <c r="CY61" s="136"/>
      <c r="CZ61" s="136"/>
      <c r="DA61" s="136"/>
      <c r="DB61" s="136"/>
      <c r="DC61" s="136"/>
      <c r="DD61" s="136"/>
      <c r="DE61" s="136"/>
      <c r="DF61" s="136"/>
      <c r="DG61" s="136"/>
      <c r="DH61" s="136"/>
      <c r="DI61" s="136"/>
      <c r="DJ61" s="136"/>
      <c r="DK61" s="136"/>
      <c r="DL61" s="136"/>
      <c r="DM61" s="136"/>
      <c r="DN61" s="136"/>
      <c r="DO61" s="136"/>
      <c r="DP61" s="136"/>
      <c r="DQ61" s="136"/>
      <c r="DR61" s="136"/>
      <c r="DS61" s="136"/>
      <c r="DT61" s="136"/>
      <c r="DU61" s="136"/>
      <c r="DV61" s="136"/>
      <c r="DW61" s="136"/>
      <c r="DX61" s="136"/>
      <c r="DY61" s="136"/>
      <c r="DZ61" s="136"/>
      <c r="EA61" s="136"/>
      <c r="EB61" s="136"/>
      <c r="EC61" s="136"/>
      <c r="ED61" s="136"/>
      <c r="EE61" s="136"/>
      <c r="EF61" s="136"/>
      <c r="EG61" s="136"/>
      <c r="EH61" s="136"/>
      <c r="EI61" s="136"/>
      <c r="EJ61" s="136"/>
      <c r="EK61" s="136"/>
      <c r="EL61" s="136"/>
      <c r="EM61" s="136"/>
      <c r="EN61" s="136"/>
      <c r="EO61" s="136"/>
      <c r="EP61" s="136"/>
      <c r="EQ61" s="136"/>
      <c r="ER61" s="136"/>
      <c r="ES61" s="136"/>
      <c r="ET61" s="136"/>
      <c r="EU61" s="136"/>
      <c r="EV61" s="136"/>
      <c r="EW61" s="136"/>
      <c r="EX61" s="136"/>
      <c r="EY61" s="136"/>
      <c r="EZ61" s="136"/>
      <c r="FA61" s="136"/>
      <c r="FB61" s="136"/>
      <c r="FC61" s="136"/>
      <c r="FD61" s="136"/>
      <c r="FE61" s="137"/>
      <c r="FF61" s="138"/>
    </row>
    <row r="62" spans="1:162" ht="12.75" x14ac:dyDescent="0.2">
      <c r="A62" s="93">
        <v>56</v>
      </c>
      <c r="B62" s="145" t="s">
        <v>671</v>
      </c>
      <c r="C62" s="141" t="s">
        <v>770</v>
      </c>
      <c r="D62" s="142" t="s">
        <v>868</v>
      </c>
      <c r="E62" s="149" t="s">
        <v>693</v>
      </c>
      <c r="F62" s="542">
        <v>161233663</v>
      </c>
      <c r="G62" s="542">
        <v>0</v>
      </c>
      <c r="H62" s="542">
        <v>161233663</v>
      </c>
      <c r="I62" s="542">
        <v>-3742</v>
      </c>
      <c r="J62" s="542">
        <v>0</v>
      </c>
      <c r="K62" s="542">
        <v>-3742</v>
      </c>
      <c r="L62" s="542">
        <v>865759</v>
      </c>
      <c r="M62" s="542">
        <v>0</v>
      </c>
      <c r="N62" s="542">
        <v>865759</v>
      </c>
      <c r="O62" s="542">
        <v>-1059572</v>
      </c>
      <c r="P62" s="542">
        <v>0</v>
      </c>
      <c r="Q62" s="542">
        <v>-1059572</v>
      </c>
      <c r="R62" s="542">
        <v>0</v>
      </c>
      <c r="S62" s="542">
        <v>0</v>
      </c>
      <c r="T62" s="542">
        <v>0</v>
      </c>
      <c r="U62" s="542">
        <v>-1304988</v>
      </c>
      <c r="V62" s="542">
        <v>0</v>
      </c>
      <c r="W62" s="542">
        <v>-1304988</v>
      </c>
      <c r="X62" s="542">
        <v>4456943</v>
      </c>
      <c r="Y62" s="542">
        <v>0</v>
      </c>
      <c r="Z62" s="542">
        <v>4456943</v>
      </c>
      <c r="AA62" s="542">
        <v>-6697591</v>
      </c>
      <c r="AB62" s="542">
        <v>0</v>
      </c>
      <c r="AC62" s="542">
        <v>-6697591</v>
      </c>
      <c r="AD62" s="542">
        <v>158550044</v>
      </c>
      <c r="AE62" s="542">
        <v>0</v>
      </c>
      <c r="AF62" s="542">
        <v>158550044</v>
      </c>
      <c r="AG62" s="542">
        <v>0</v>
      </c>
      <c r="AH62" s="542">
        <v>0</v>
      </c>
      <c r="AI62" s="542">
        <v>0</v>
      </c>
      <c r="AJ62" s="542">
        <v>0</v>
      </c>
      <c r="AK62" s="542">
        <v>0</v>
      </c>
      <c r="AL62" s="542">
        <v>0</v>
      </c>
      <c r="AM62" s="542">
        <v>0</v>
      </c>
      <c r="AN62" s="542">
        <v>0</v>
      </c>
      <c r="AO62" s="542">
        <v>0</v>
      </c>
      <c r="AP62" s="542">
        <v>0</v>
      </c>
      <c r="AQ62" s="542">
        <v>0</v>
      </c>
      <c r="AR62" s="542">
        <v>0</v>
      </c>
      <c r="AS62" s="542">
        <v>0</v>
      </c>
      <c r="AT62" s="542">
        <v>0</v>
      </c>
      <c r="AU62" s="542">
        <v>0</v>
      </c>
      <c r="AV62" s="542">
        <v>6089435</v>
      </c>
      <c r="AW62" s="542">
        <v>-3665344</v>
      </c>
      <c r="AX62" s="136"/>
      <c r="AY62" s="136"/>
      <c r="AZ62" s="136"/>
      <c r="BA62" s="136"/>
      <c r="BB62" s="136"/>
      <c r="BC62" s="136"/>
      <c r="BD62" s="136"/>
      <c r="BE62" s="136"/>
      <c r="BF62" s="136"/>
      <c r="BG62" s="136"/>
      <c r="BH62" s="136"/>
      <c r="BI62" s="136"/>
      <c r="BJ62" s="136"/>
      <c r="BK62" s="136"/>
      <c r="BL62" s="136"/>
      <c r="BM62" s="136"/>
      <c r="BN62" s="136"/>
      <c r="BO62" s="136"/>
      <c r="BP62" s="136"/>
      <c r="BQ62" s="136"/>
      <c r="BR62" s="136"/>
      <c r="BS62" s="136"/>
      <c r="BT62" s="136"/>
      <c r="BU62" s="136"/>
      <c r="BV62" s="136"/>
      <c r="BW62" s="136"/>
      <c r="BX62" s="136"/>
      <c r="BY62" s="136"/>
      <c r="BZ62" s="136"/>
      <c r="CA62" s="136"/>
      <c r="CB62" s="136"/>
      <c r="CC62" s="136"/>
      <c r="CD62" s="136"/>
      <c r="CE62" s="136"/>
      <c r="CF62" s="136"/>
      <c r="CG62" s="136"/>
      <c r="CH62" s="136"/>
      <c r="CI62" s="136"/>
      <c r="CJ62" s="136"/>
      <c r="CK62" s="136"/>
      <c r="CL62" s="136"/>
      <c r="CM62" s="136"/>
      <c r="CN62" s="136"/>
      <c r="CO62" s="136"/>
      <c r="CP62" s="136"/>
      <c r="CQ62" s="136"/>
      <c r="CR62" s="136"/>
      <c r="CS62" s="136"/>
      <c r="CT62" s="136"/>
      <c r="CU62" s="136"/>
      <c r="CV62" s="136"/>
      <c r="CW62" s="136"/>
      <c r="CX62" s="136"/>
      <c r="CY62" s="136"/>
      <c r="CZ62" s="136"/>
      <c r="DA62" s="136"/>
      <c r="DB62" s="136"/>
      <c r="DC62" s="136"/>
      <c r="DD62" s="136"/>
      <c r="DE62" s="136"/>
      <c r="DF62" s="136"/>
      <c r="DG62" s="136"/>
      <c r="DH62" s="136"/>
      <c r="DI62" s="136"/>
      <c r="DJ62" s="136"/>
      <c r="DK62" s="136"/>
      <c r="DL62" s="136"/>
      <c r="DM62" s="136"/>
      <c r="DN62" s="136"/>
      <c r="DO62" s="136"/>
      <c r="DP62" s="136"/>
      <c r="DQ62" s="136"/>
      <c r="DR62" s="136"/>
      <c r="DS62" s="136"/>
      <c r="DT62" s="136"/>
      <c r="DU62" s="136"/>
      <c r="DV62" s="136"/>
      <c r="DW62" s="136"/>
      <c r="DX62" s="136"/>
      <c r="DY62" s="136"/>
      <c r="DZ62" s="136"/>
      <c r="EA62" s="136"/>
      <c r="EB62" s="136"/>
      <c r="EC62" s="136"/>
      <c r="ED62" s="136"/>
      <c r="EE62" s="136"/>
      <c r="EF62" s="136"/>
      <c r="EG62" s="136"/>
      <c r="EH62" s="136"/>
      <c r="EI62" s="136"/>
      <c r="EJ62" s="136"/>
      <c r="EK62" s="136"/>
      <c r="EL62" s="136"/>
      <c r="EM62" s="136"/>
      <c r="EN62" s="136"/>
      <c r="EO62" s="136"/>
      <c r="EP62" s="136"/>
      <c r="EQ62" s="136"/>
      <c r="ER62" s="136"/>
      <c r="ES62" s="136"/>
      <c r="ET62" s="136"/>
      <c r="EU62" s="136"/>
      <c r="EV62" s="136"/>
      <c r="EW62" s="136"/>
      <c r="EX62" s="136"/>
      <c r="EY62" s="136"/>
      <c r="EZ62" s="136"/>
      <c r="FA62" s="136"/>
      <c r="FB62" s="136"/>
      <c r="FC62" s="136"/>
      <c r="FD62" s="136"/>
      <c r="FE62" s="137"/>
      <c r="FF62" s="138"/>
    </row>
    <row r="63" spans="1:162" ht="12.75" x14ac:dyDescent="0.2">
      <c r="A63" s="93">
        <v>57</v>
      </c>
      <c r="B63" s="145" t="s">
        <v>673</v>
      </c>
      <c r="C63" s="141" t="s">
        <v>866</v>
      </c>
      <c r="D63" s="142" t="s">
        <v>869</v>
      </c>
      <c r="E63" s="149" t="s">
        <v>672</v>
      </c>
      <c r="F63" s="542">
        <v>35216611</v>
      </c>
      <c r="G63" s="542">
        <v>125218</v>
      </c>
      <c r="H63" s="542">
        <v>35341829</v>
      </c>
      <c r="I63" s="542">
        <v>-7055</v>
      </c>
      <c r="J63" s="542">
        <v>0</v>
      </c>
      <c r="K63" s="542">
        <v>-7055</v>
      </c>
      <c r="L63" s="542">
        <v>156192</v>
      </c>
      <c r="M63" s="542">
        <v>0</v>
      </c>
      <c r="N63" s="542">
        <v>156192</v>
      </c>
      <c r="O63" s="542">
        <v>-309173</v>
      </c>
      <c r="P63" s="542">
        <v>0</v>
      </c>
      <c r="Q63" s="542">
        <v>-309173</v>
      </c>
      <c r="R63" s="542">
        <v>0</v>
      </c>
      <c r="S63" s="542">
        <v>0</v>
      </c>
      <c r="T63" s="542">
        <v>0</v>
      </c>
      <c r="U63" s="542">
        <v>-393609</v>
      </c>
      <c r="V63" s="542">
        <v>0</v>
      </c>
      <c r="W63" s="542">
        <v>-393609</v>
      </c>
      <c r="X63" s="542">
        <v>520123</v>
      </c>
      <c r="Y63" s="542">
        <v>0</v>
      </c>
      <c r="Z63" s="542">
        <v>520123</v>
      </c>
      <c r="AA63" s="542">
        <v>-3323966</v>
      </c>
      <c r="AB63" s="542">
        <v>0</v>
      </c>
      <c r="AC63" s="542">
        <v>-3323966</v>
      </c>
      <c r="AD63" s="542">
        <v>32168296</v>
      </c>
      <c r="AE63" s="542">
        <v>125218</v>
      </c>
      <c r="AF63" s="542">
        <v>32293514</v>
      </c>
      <c r="AG63" s="542">
        <v>125218</v>
      </c>
      <c r="AH63" s="542">
        <v>0</v>
      </c>
      <c r="AI63" s="542">
        <v>125218</v>
      </c>
      <c r="AJ63" s="542">
        <v>0</v>
      </c>
      <c r="AK63" s="542">
        <v>0</v>
      </c>
      <c r="AL63" s="542">
        <v>0</v>
      </c>
      <c r="AM63" s="542">
        <v>0</v>
      </c>
      <c r="AN63" s="542">
        <v>0</v>
      </c>
      <c r="AO63" s="542">
        <v>0</v>
      </c>
      <c r="AP63" s="542">
        <v>0</v>
      </c>
      <c r="AQ63" s="542">
        <v>0</v>
      </c>
      <c r="AR63" s="542">
        <v>0</v>
      </c>
      <c r="AS63" s="542">
        <v>125218</v>
      </c>
      <c r="AT63" s="542">
        <v>0</v>
      </c>
      <c r="AU63" s="542">
        <v>125218</v>
      </c>
      <c r="AV63" s="542">
        <v>1473112</v>
      </c>
      <c r="AW63" s="542">
        <v>-155677</v>
      </c>
      <c r="AX63" s="136"/>
      <c r="AY63" s="136"/>
      <c r="AZ63" s="136"/>
      <c r="BA63" s="136"/>
      <c r="BB63" s="136"/>
      <c r="BC63" s="136"/>
      <c r="BD63" s="136"/>
      <c r="BE63" s="136"/>
      <c r="BF63" s="136"/>
      <c r="BG63" s="136"/>
      <c r="BH63" s="136"/>
      <c r="BI63" s="136"/>
      <c r="BJ63" s="136"/>
      <c r="BK63" s="136"/>
      <c r="BL63" s="136"/>
      <c r="BM63" s="136"/>
      <c r="BN63" s="136"/>
      <c r="BO63" s="136"/>
      <c r="BP63" s="136"/>
      <c r="BQ63" s="136"/>
      <c r="BR63" s="136"/>
      <c r="BS63" s="136"/>
      <c r="BT63" s="136"/>
      <c r="BU63" s="136"/>
      <c r="BV63" s="136"/>
      <c r="BW63" s="136"/>
      <c r="BX63" s="136"/>
      <c r="BY63" s="136"/>
      <c r="BZ63" s="136"/>
      <c r="CA63" s="136"/>
      <c r="CB63" s="136"/>
      <c r="CC63" s="136"/>
      <c r="CD63" s="136"/>
      <c r="CE63" s="136"/>
      <c r="CF63" s="136"/>
      <c r="CG63" s="136"/>
      <c r="CH63" s="136"/>
      <c r="CI63" s="136"/>
      <c r="CJ63" s="136"/>
      <c r="CK63" s="136"/>
      <c r="CL63" s="136"/>
      <c r="CM63" s="136"/>
      <c r="CN63" s="136"/>
      <c r="CO63" s="136"/>
      <c r="CP63" s="136"/>
      <c r="CQ63" s="136"/>
      <c r="CR63" s="136"/>
      <c r="CS63" s="136"/>
      <c r="CT63" s="136"/>
      <c r="CU63" s="136"/>
      <c r="CV63" s="136"/>
      <c r="CW63" s="136"/>
      <c r="CX63" s="136"/>
      <c r="CY63" s="136"/>
      <c r="CZ63" s="136"/>
      <c r="DA63" s="136"/>
      <c r="DB63" s="136"/>
      <c r="DC63" s="136"/>
      <c r="DD63" s="136"/>
      <c r="DE63" s="136"/>
      <c r="DF63" s="136"/>
      <c r="DG63" s="136"/>
      <c r="DH63" s="136"/>
      <c r="DI63" s="136"/>
      <c r="DJ63" s="136"/>
      <c r="DK63" s="136"/>
      <c r="DL63" s="136"/>
      <c r="DM63" s="136"/>
      <c r="DN63" s="136"/>
      <c r="DO63" s="136"/>
      <c r="DP63" s="136"/>
      <c r="DQ63" s="136"/>
      <c r="DR63" s="136"/>
      <c r="DS63" s="136"/>
      <c r="DT63" s="136"/>
      <c r="DU63" s="136"/>
      <c r="DV63" s="136"/>
      <c r="DW63" s="136"/>
      <c r="DX63" s="136"/>
      <c r="DY63" s="136"/>
      <c r="DZ63" s="136"/>
      <c r="EA63" s="136"/>
      <c r="EB63" s="136"/>
      <c r="EC63" s="136"/>
      <c r="ED63" s="136"/>
      <c r="EE63" s="136"/>
      <c r="EF63" s="136"/>
      <c r="EG63" s="136"/>
      <c r="EH63" s="136"/>
      <c r="EI63" s="136"/>
      <c r="EJ63" s="136"/>
      <c r="EK63" s="136"/>
      <c r="EL63" s="136"/>
      <c r="EM63" s="136"/>
      <c r="EN63" s="136"/>
      <c r="EO63" s="136"/>
      <c r="EP63" s="136"/>
      <c r="EQ63" s="136"/>
      <c r="ER63" s="136"/>
      <c r="ES63" s="136"/>
      <c r="ET63" s="136"/>
      <c r="EU63" s="136"/>
      <c r="EV63" s="136"/>
      <c r="EW63" s="136"/>
      <c r="EX63" s="136"/>
      <c r="EY63" s="136"/>
      <c r="EZ63" s="136"/>
      <c r="FA63" s="136"/>
      <c r="FB63" s="136"/>
      <c r="FC63" s="136"/>
      <c r="FD63" s="136"/>
      <c r="FE63" s="137"/>
      <c r="FF63" s="138"/>
    </row>
    <row r="64" spans="1:162" ht="12.75" x14ac:dyDescent="0.2">
      <c r="A64" s="93">
        <v>58</v>
      </c>
      <c r="B64" s="145" t="s">
        <v>675</v>
      </c>
      <c r="C64" s="141" t="s">
        <v>866</v>
      </c>
      <c r="D64" s="142" t="s">
        <v>867</v>
      </c>
      <c r="E64" s="149" t="s">
        <v>674</v>
      </c>
      <c r="F64" s="542">
        <v>43051402</v>
      </c>
      <c r="G64" s="542">
        <v>0</v>
      </c>
      <c r="H64" s="542">
        <v>43051402</v>
      </c>
      <c r="I64" s="542">
        <v>0</v>
      </c>
      <c r="J64" s="542">
        <v>0</v>
      </c>
      <c r="K64" s="542">
        <v>0</v>
      </c>
      <c r="L64" s="542">
        <v>256540</v>
      </c>
      <c r="M64" s="542">
        <v>0</v>
      </c>
      <c r="N64" s="542">
        <v>256540</v>
      </c>
      <c r="O64" s="542">
        <v>-393747</v>
      </c>
      <c r="P64" s="542">
        <v>0</v>
      </c>
      <c r="Q64" s="542">
        <v>-393747</v>
      </c>
      <c r="R64" s="542">
        <v>0</v>
      </c>
      <c r="S64" s="542">
        <v>0</v>
      </c>
      <c r="T64" s="542">
        <v>0</v>
      </c>
      <c r="U64" s="542">
        <v>-280000</v>
      </c>
      <c r="V64" s="542">
        <v>0</v>
      </c>
      <c r="W64" s="542">
        <v>-280000</v>
      </c>
      <c r="X64" s="542">
        <v>604818</v>
      </c>
      <c r="Y64" s="542">
        <v>0</v>
      </c>
      <c r="Z64" s="542">
        <v>604818</v>
      </c>
      <c r="AA64" s="542">
        <v>-1670000</v>
      </c>
      <c r="AB64" s="542">
        <v>0</v>
      </c>
      <c r="AC64" s="542">
        <v>-1670000</v>
      </c>
      <c r="AD64" s="542">
        <v>41962760</v>
      </c>
      <c r="AE64" s="542">
        <v>0</v>
      </c>
      <c r="AF64" s="542">
        <v>41962760</v>
      </c>
      <c r="AG64" s="542">
        <v>0</v>
      </c>
      <c r="AH64" s="542">
        <v>0</v>
      </c>
      <c r="AI64" s="542">
        <v>0</v>
      </c>
      <c r="AJ64" s="542">
        <v>45165</v>
      </c>
      <c r="AK64" s="542">
        <v>0</v>
      </c>
      <c r="AL64" s="542">
        <v>0</v>
      </c>
      <c r="AM64" s="542">
        <v>45165</v>
      </c>
      <c r="AN64" s="542">
        <v>0</v>
      </c>
      <c r="AO64" s="542">
        <v>0</v>
      </c>
      <c r="AP64" s="542">
        <v>0</v>
      </c>
      <c r="AQ64" s="542">
        <v>0</v>
      </c>
      <c r="AR64" s="542">
        <v>0</v>
      </c>
      <c r="AS64" s="542">
        <v>0</v>
      </c>
      <c r="AT64" s="542">
        <v>0</v>
      </c>
      <c r="AU64" s="542">
        <v>0</v>
      </c>
      <c r="AV64" s="542">
        <v>1349513</v>
      </c>
      <c r="AW64" s="542">
        <v>-629352</v>
      </c>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6"/>
      <c r="BY64" s="136"/>
      <c r="BZ64" s="136"/>
      <c r="CA64" s="136"/>
      <c r="CB64" s="136"/>
      <c r="CC64" s="136"/>
      <c r="CD64" s="136"/>
      <c r="CE64" s="136"/>
      <c r="CF64" s="136"/>
      <c r="CG64" s="136"/>
      <c r="CH64" s="136"/>
      <c r="CI64" s="136"/>
      <c r="CJ64" s="136"/>
      <c r="CK64" s="136"/>
      <c r="CL64" s="136"/>
      <c r="CM64" s="136"/>
      <c r="CN64" s="136"/>
      <c r="CO64" s="136"/>
      <c r="CP64" s="136"/>
      <c r="CQ64" s="136"/>
      <c r="CR64" s="136"/>
      <c r="CS64" s="136"/>
      <c r="CT64" s="136"/>
      <c r="CU64" s="136"/>
      <c r="CV64" s="136"/>
      <c r="CW64" s="136"/>
      <c r="CX64" s="136"/>
      <c r="CY64" s="136"/>
      <c r="CZ64" s="136"/>
      <c r="DA64" s="136"/>
      <c r="DB64" s="136"/>
      <c r="DC64" s="136"/>
      <c r="DD64" s="136"/>
      <c r="DE64" s="136"/>
      <c r="DF64" s="136"/>
      <c r="DG64" s="136"/>
      <c r="DH64" s="136"/>
      <c r="DI64" s="136"/>
      <c r="DJ64" s="136"/>
      <c r="DK64" s="136"/>
      <c r="DL64" s="136"/>
      <c r="DM64" s="136"/>
      <c r="DN64" s="136"/>
      <c r="DO64" s="136"/>
      <c r="DP64" s="136"/>
      <c r="DQ64" s="136"/>
      <c r="DR64" s="136"/>
      <c r="DS64" s="136"/>
      <c r="DT64" s="136"/>
      <c r="DU64" s="136"/>
      <c r="DV64" s="136"/>
      <c r="DW64" s="136"/>
      <c r="DX64" s="136"/>
      <c r="DY64" s="136"/>
      <c r="DZ64" s="136"/>
      <c r="EA64" s="136"/>
      <c r="EB64" s="136"/>
      <c r="EC64" s="136"/>
      <c r="ED64" s="136"/>
      <c r="EE64" s="136"/>
      <c r="EF64" s="136"/>
      <c r="EG64" s="136"/>
      <c r="EH64" s="136"/>
      <c r="EI64" s="136"/>
      <c r="EJ64" s="136"/>
      <c r="EK64" s="136"/>
      <c r="EL64" s="136"/>
      <c r="EM64" s="136"/>
      <c r="EN64" s="136"/>
      <c r="EO64" s="136"/>
      <c r="EP64" s="136"/>
      <c r="EQ64" s="136"/>
      <c r="ER64" s="136"/>
      <c r="ES64" s="136"/>
      <c r="ET64" s="136"/>
      <c r="EU64" s="136"/>
      <c r="EV64" s="136"/>
      <c r="EW64" s="136"/>
      <c r="EX64" s="136"/>
      <c r="EY64" s="136"/>
      <c r="EZ64" s="136"/>
      <c r="FA64" s="136"/>
      <c r="FB64" s="136"/>
      <c r="FC64" s="136"/>
      <c r="FD64" s="136"/>
      <c r="FE64" s="137"/>
      <c r="FF64" s="138"/>
    </row>
    <row r="65" spans="1:162" ht="12.75" x14ac:dyDescent="0.2">
      <c r="A65" s="93">
        <v>59</v>
      </c>
      <c r="B65" s="145" t="s">
        <v>677</v>
      </c>
      <c r="C65" s="141" t="s">
        <v>866</v>
      </c>
      <c r="D65" s="142" t="s">
        <v>867</v>
      </c>
      <c r="E65" s="149" t="s">
        <v>676</v>
      </c>
      <c r="F65" s="542">
        <v>20328663</v>
      </c>
      <c r="G65" s="542">
        <v>0</v>
      </c>
      <c r="H65" s="542">
        <v>20328663</v>
      </c>
      <c r="I65" s="542">
        <v>-1</v>
      </c>
      <c r="J65" s="542">
        <v>0</v>
      </c>
      <c r="K65" s="542">
        <v>-1</v>
      </c>
      <c r="L65" s="542">
        <v>66463</v>
      </c>
      <c r="M65" s="542">
        <v>0</v>
      </c>
      <c r="N65" s="542">
        <v>66463</v>
      </c>
      <c r="O65" s="542">
        <v>-75454</v>
      </c>
      <c r="P65" s="542">
        <v>0</v>
      </c>
      <c r="Q65" s="542">
        <v>-75454</v>
      </c>
      <c r="R65" s="542">
        <v>0</v>
      </c>
      <c r="S65" s="542">
        <v>0</v>
      </c>
      <c r="T65" s="542">
        <v>0</v>
      </c>
      <c r="U65" s="542">
        <v>-331618</v>
      </c>
      <c r="V65" s="542">
        <v>0</v>
      </c>
      <c r="W65" s="542">
        <v>-331618</v>
      </c>
      <c r="X65" s="542">
        <v>1370523</v>
      </c>
      <c r="Y65" s="542">
        <v>0</v>
      </c>
      <c r="Z65" s="542">
        <v>1370523</v>
      </c>
      <c r="AA65" s="542">
        <v>-1759661</v>
      </c>
      <c r="AB65" s="542">
        <v>0</v>
      </c>
      <c r="AC65" s="542">
        <v>-1759661</v>
      </c>
      <c r="AD65" s="542">
        <v>19674369</v>
      </c>
      <c r="AE65" s="542">
        <v>0</v>
      </c>
      <c r="AF65" s="542">
        <v>19674369</v>
      </c>
      <c r="AG65" s="542">
        <v>0</v>
      </c>
      <c r="AH65" s="542">
        <v>0</v>
      </c>
      <c r="AI65" s="542">
        <v>0</v>
      </c>
      <c r="AJ65" s="542">
        <v>0</v>
      </c>
      <c r="AK65" s="542">
        <v>0</v>
      </c>
      <c r="AL65" s="542">
        <v>0</v>
      </c>
      <c r="AM65" s="542">
        <v>0</v>
      </c>
      <c r="AN65" s="542">
        <v>0</v>
      </c>
      <c r="AO65" s="542">
        <v>0</v>
      </c>
      <c r="AP65" s="542">
        <v>0</v>
      </c>
      <c r="AQ65" s="542">
        <v>0</v>
      </c>
      <c r="AR65" s="542">
        <v>0</v>
      </c>
      <c r="AS65" s="542">
        <v>0</v>
      </c>
      <c r="AT65" s="542">
        <v>0</v>
      </c>
      <c r="AU65" s="542">
        <v>0</v>
      </c>
      <c r="AV65" s="542">
        <v>643447</v>
      </c>
      <c r="AW65" s="542">
        <v>-283740</v>
      </c>
      <c r="AX65" s="136"/>
      <c r="AY65" s="136"/>
      <c r="AZ65" s="136"/>
      <c r="BA65" s="136"/>
      <c r="BB65" s="136"/>
      <c r="BC65" s="136"/>
      <c r="BD65" s="136"/>
      <c r="BE65" s="136"/>
      <c r="BF65" s="136"/>
      <c r="BG65" s="136"/>
      <c r="BH65" s="136"/>
      <c r="BI65" s="136"/>
      <c r="BJ65" s="136"/>
      <c r="BK65" s="136"/>
      <c r="BL65" s="136"/>
      <c r="BM65" s="136"/>
      <c r="BN65" s="136"/>
      <c r="BO65" s="136"/>
      <c r="BP65" s="136"/>
      <c r="BQ65" s="136"/>
      <c r="BR65" s="136"/>
      <c r="BS65" s="136"/>
      <c r="BT65" s="136"/>
      <c r="BU65" s="136"/>
      <c r="BV65" s="136"/>
      <c r="BW65" s="136"/>
      <c r="BX65" s="136"/>
      <c r="BY65" s="136"/>
      <c r="BZ65" s="136"/>
      <c r="CA65" s="136"/>
      <c r="CB65" s="136"/>
      <c r="CC65" s="136"/>
      <c r="CD65" s="136"/>
      <c r="CE65" s="136"/>
      <c r="CF65" s="136"/>
      <c r="CG65" s="136"/>
      <c r="CH65" s="136"/>
      <c r="CI65" s="136"/>
      <c r="CJ65" s="136"/>
      <c r="CK65" s="136"/>
      <c r="CL65" s="136"/>
      <c r="CM65" s="136"/>
      <c r="CN65" s="136"/>
      <c r="CO65" s="136"/>
      <c r="CP65" s="136"/>
      <c r="CQ65" s="136"/>
      <c r="CR65" s="136"/>
      <c r="CS65" s="136"/>
      <c r="CT65" s="136"/>
      <c r="CU65" s="136"/>
      <c r="CV65" s="136"/>
      <c r="CW65" s="136"/>
      <c r="CX65" s="136"/>
      <c r="CY65" s="136"/>
      <c r="CZ65" s="136"/>
      <c r="DA65" s="136"/>
      <c r="DB65" s="136"/>
      <c r="DC65" s="136"/>
      <c r="DD65" s="136"/>
      <c r="DE65" s="136"/>
      <c r="DF65" s="136"/>
      <c r="DG65" s="136"/>
      <c r="DH65" s="136"/>
      <c r="DI65" s="136"/>
      <c r="DJ65" s="136"/>
      <c r="DK65" s="136"/>
      <c r="DL65" s="136"/>
      <c r="DM65" s="136"/>
      <c r="DN65" s="136"/>
      <c r="DO65" s="136"/>
      <c r="DP65" s="136"/>
      <c r="DQ65" s="136"/>
      <c r="DR65" s="136"/>
      <c r="DS65" s="136"/>
      <c r="DT65" s="136"/>
      <c r="DU65" s="136"/>
      <c r="DV65" s="136"/>
      <c r="DW65" s="136"/>
      <c r="DX65" s="136"/>
      <c r="DY65" s="136"/>
      <c r="DZ65" s="136"/>
      <c r="EA65" s="136"/>
      <c r="EB65" s="136"/>
      <c r="EC65" s="136"/>
      <c r="ED65" s="136"/>
      <c r="EE65" s="136"/>
      <c r="EF65" s="136"/>
      <c r="EG65" s="136"/>
      <c r="EH65" s="136"/>
      <c r="EI65" s="136"/>
      <c r="EJ65" s="136"/>
      <c r="EK65" s="136"/>
      <c r="EL65" s="136"/>
      <c r="EM65" s="136"/>
      <c r="EN65" s="136"/>
      <c r="EO65" s="136"/>
      <c r="EP65" s="136"/>
      <c r="EQ65" s="136"/>
      <c r="ER65" s="136"/>
      <c r="ES65" s="136"/>
      <c r="ET65" s="136"/>
      <c r="EU65" s="136"/>
      <c r="EV65" s="136"/>
      <c r="EW65" s="136"/>
      <c r="EX65" s="136"/>
      <c r="EY65" s="136"/>
      <c r="EZ65" s="136"/>
      <c r="FA65" s="136"/>
      <c r="FB65" s="136"/>
      <c r="FC65" s="136"/>
      <c r="FD65" s="136"/>
      <c r="FE65" s="137"/>
      <c r="FF65" s="138"/>
    </row>
    <row r="66" spans="1:162" ht="12.75" x14ac:dyDescent="0.2">
      <c r="A66" s="93">
        <v>60</v>
      </c>
      <c r="B66" s="145" t="s">
        <v>679</v>
      </c>
      <c r="C66" s="141" t="s">
        <v>866</v>
      </c>
      <c r="D66" s="142" t="s">
        <v>868</v>
      </c>
      <c r="E66" s="149" t="s">
        <v>678</v>
      </c>
      <c r="F66" s="542">
        <v>27927736</v>
      </c>
      <c r="G66" s="542">
        <v>0</v>
      </c>
      <c r="H66" s="542">
        <v>27927736</v>
      </c>
      <c r="I66" s="542">
        <v>-1135</v>
      </c>
      <c r="J66" s="542">
        <v>0</v>
      </c>
      <c r="K66" s="542">
        <v>-1135</v>
      </c>
      <c r="L66" s="542">
        <v>91185</v>
      </c>
      <c r="M66" s="542">
        <v>0</v>
      </c>
      <c r="N66" s="542">
        <v>91185</v>
      </c>
      <c r="O66" s="542">
        <v>-204846</v>
      </c>
      <c r="P66" s="542">
        <v>0</v>
      </c>
      <c r="Q66" s="542">
        <v>-204846</v>
      </c>
      <c r="R66" s="542">
        <v>0</v>
      </c>
      <c r="S66" s="542">
        <v>0</v>
      </c>
      <c r="T66" s="542">
        <v>0</v>
      </c>
      <c r="U66" s="542">
        <v>-168846</v>
      </c>
      <c r="V66" s="542">
        <v>0</v>
      </c>
      <c r="W66" s="542">
        <v>-168846</v>
      </c>
      <c r="X66" s="542">
        <v>741343</v>
      </c>
      <c r="Y66" s="542">
        <v>0</v>
      </c>
      <c r="Z66" s="542">
        <v>741343</v>
      </c>
      <c r="AA66" s="542">
        <v>-891343</v>
      </c>
      <c r="AB66" s="542">
        <v>0</v>
      </c>
      <c r="AC66" s="542">
        <v>-891343</v>
      </c>
      <c r="AD66" s="542">
        <v>27698940</v>
      </c>
      <c r="AE66" s="542">
        <v>0</v>
      </c>
      <c r="AF66" s="542">
        <v>27698940</v>
      </c>
      <c r="AG66" s="542">
        <v>0</v>
      </c>
      <c r="AH66" s="542">
        <v>0</v>
      </c>
      <c r="AI66" s="542">
        <v>0</v>
      </c>
      <c r="AJ66" s="542">
        <v>0</v>
      </c>
      <c r="AK66" s="542">
        <v>0</v>
      </c>
      <c r="AL66" s="542">
        <v>0</v>
      </c>
      <c r="AM66" s="542">
        <v>0</v>
      </c>
      <c r="AN66" s="542">
        <v>0</v>
      </c>
      <c r="AO66" s="542">
        <v>0</v>
      </c>
      <c r="AP66" s="542">
        <v>0</v>
      </c>
      <c r="AQ66" s="542">
        <v>0</v>
      </c>
      <c r="AR66" s="542">
        <v>0</v>
      </c>
      <c r="AS66" s="542">
        <v>0</v>
      </c>
      <c r="AT66" s="542">
        <v>0</v>
      </c>
      <c r="AU66" s="542">
        <v>0</v>
      </c>
      <c r="AV66" s="542">
        <v>999888</v>
      </c>
      <c r="AW66" s="542">
        <v>-330613</v>
      </c>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7"/>
      <c r="FF66" s="138"/>
    </row>
    <row r="67" spans="1:162" ht="12.75" x14ac:dyDescent="0.2">
      <c r="A67" s="93">
        <v>61</v>
      </c>
      <c r="B67" s="145" t="s">
        <v>681</v>
      </c>
      <c r="C67" s="141" t="s">
        <v>866</v>
      </c>
      <c r="D67" s="142" t="s">
        <v>875</v>
      </c>
      <c r="E67" s="149" t="s">
        <v>680</v>
      </c>
      <c r="F67" s="542">
        <v>18476819</v>
      </c>
      <c r="G67" s="542">
        <v>0</v>
      </c>
      <c r="H67" s="542">
        <v>18476819</v>
      </c>
      <c r="I67" s="542">
        <v>0</v>
      </c>
      <c r="J67" s="542">
        <v>0</v>
      </c>
      <c r="K67" s="542">
        <v>0</v>
      </c>
      <c r="L67" s="542">
        <v>89556</v>
      </c>
      <c r="M67" s="542">
        <v>0</v>
      </c>
      <c r="N67" s="542">
        <v>89556</v>
      </c>
      <c r="O67" s="542">
        <v>-289469</v>
      </c>
      <c r="P67" s="542">
        <v>0</v>
      </c>
      <c r="Q67" s="542">
        <v>-289469</v>
      </c>
      <c r="R67" s="542">
        <v>0</v>
      </c>
      <c r="S67" s="542">
        <v>0</v>
      </c>
      <c r="T67" s="542">
        <v>0</v>
      </c>
      <c r="U67" s="542">
        <v>-251253.49</v>
      </c>
      <c r="V67" s="542">
        <v>0</v>
      </c>
      <c r="W67" s="542">
        <v>-251253.49</v>
      </c>
      <c r="X67" s="542">
        <v>482676</v>
      </c>
      <c r="Y67" s="542">
        <v>0</v>
      </c>
      <c r="Z67" s="542">
        <v>482676</v>
      </c>
      <c r="AA67" s="542">
        <v>-774715</v>
      </c>
      <c r="AB67" s="542">
        <v>0</v>
      </c>
      <c r="AC67" s="542">
        <v>-774715</v>
      </c>
      <c r="AD67" s="542">
        <v>18023082.5</v>
      </c>
      <c r="AE67" s="542">
        <v>0</v>
      </c>
      <c r="AF67" s="542">
        <v>18023082.5</v>
      </c>
      <c r="AG67" s="542">
        <v>0</v>
      </c>
      <c r="AH67" s="542">
        <v>0</v>
      </c>
      <c r="AI67" s="542">
        <v>0</v>
      </c>
      <c r="AJ67" s="542">
        <v>146460</v>
      </c>
      <c r="AK67" s="542">
        <v>0</v>
      </c>
      <c r="AL67" s="542">
        <v>0</v>
      </c>
      <c r="AM67" s="542">
        <v>146460</v>
      </c>
      <c r="AN67" s="542">
        <v>0</v>
      </c>
      <c r="AO67" s="542">
        <v>0</v>
      </c>
      <c r="AP67" s="542">
        <v>0</v>
      </c>
      <c r="AQ67" s="542">
        <v>0</v>
      </c>
      <c r="AR67" s="542">
        <v>0</v>
      </c>
      <c r="AS67" s="542">
        <v>0</v>
      </c>
      <c r="AT67" s="542">
        <v>0</v>
      </c>
      <c r="AU67" s="542">
        <v>0</v>
      </c>
      <c r="AV67" s="542">
        <v>633949</v>
      </c>
      <c r="AW67" s="542">
        <v>-147817</v>
      </c>
      <c r="AX67" s="136"/>
      <c r="AY67" s="136"/>
      <c r="AZ67" s="136"/>
      <c r="BA67" s="136"/>
      <c r="BB67" s="136"/>
      <c r="BC67" s="136"/>
      <c r="BD67" s="136"/>
      <c r="BE67" s="136"/>
      <c r="BF67" s="136"/>
      <c r="BG67" s="136"/>
      <c r="BH67" s="136"/>
      <c r="BI67" s="136"/>
      <c r="BJ67" s="136"/>
      <c r="BK67" s="136"/>
      <c r="BL67" s="136"/>
      <c r="BM67" s="136"/>
      <c r="BN67" s="136"/>
      <c r="BO67" s="136"/>
      <c r="BP67" s="136"/>
      <c r="BQ67" s="136"/>
      <c r="BR67" s="136"/>
      <c r="BS67" s="136"/>
      <c r="BT67" s="136"/>
      <c r="BU67" s="136"/>
      <c r="BV67" s="136"/>
      <c r="BW67" s="136"/>
      <c r="BX67" s="136"/>
      <c r="BY67" s="136"/>
      <c r="BZ67" s="136"/>
      <c r="CA67" s="136"/>
      <c r="CB67" s="136"/>
      <c r="CC67" s="136"/>
      <c r="CD67" s="136"/>
      <c r="CE67" s="136"/>
      <c r="CF67" s="136"/>
      <c r="CG67" s="136"/>
      <c r="CH67" s="136"/>
      <c r="CI67" s="136"/>
      <c r="CJ67" s="136"/>
      <c r="CK67" s="136"/>
      <c r="CL67" s="136"/>
      <c r="CM67" s="136"/>
      <c r="CN67" s="136"/>
      <c r="CO67" s="136"/>
      <c r="CP67" s="136"/>
      <c r="CQ67" s="136"/>
      <c r="CR67" s="136"/>
      <c r="CS67" s="136"/>
      <c r="CT67" s="136"/>
      <c r="CU67" s="136"/>
      <c r="CV67" s="136"/>
      <c r="CW67" s="136"/>
      <c r="CX67" s="136"/>
      <c r="CY67" s="136"/>
      <c r="CZ67" s="136"/>
      <c r="DA67" s="136"/>
      <c r="DB67" s="136"/>
      <c r="DC67" s="136"/>
      <c r="DD67" s="136"/>
      <c r="DE67" s="136"/>
      <c r="DF67" s="136"/>
      <c r="DG67" s="136"/>
      <c r="DH67" s="136"/>
      <c r="DI67" s="136"/>
      <c r="DJ67" s="136"/>
      <c r="DK67" s="136"/>
      <c r="DL67" s="136"/>
      <c r="DM67" s="136"/>
      <c r="DN67" s="136"/>
      <c r="DO67" s="136"/>
      <c r="DP67" s="136"/>
      <c r="DQ67" s="136"/>
      <c r="DR67" s="136"/>
      <c r="DS67" s="136"/>
      <c r="DT67" s="136"/>
      <c r="DU67" s="136"/>
      <c r="DV67" s="136"/>
      <c r="DW67" s="136"/>
      <c r="DX67" s="136"/>
      <c r="DY67" s="136"/>
      <c r="DZ67" s="136"/>
      <c r="EA67" s="136"/>
      <c r="EB67" s="136"/>
      <c r="EC67" s="136"/>
      <c r="ED67" s="136"/>
      <c r="EE67" s="136"/>
      <c r="EF67" s="136"/>
      <c r="EG67" s="136"/>
      <c r="EH67" s="136"/>
      <c r="EI67" s="136"/>
      <c r="EJ67" s="136"/>
      <c r="EK67" s="136"/>
      <c r="EL67" s="136"/>
      <c r="EM67" s="136"/>
      <c r="EN67" s="136"/>
      <c r="EO67" s="136"/>
      <c r="EP67" s="136"/>
      <c r="EQ67" s="136"/>
      <c r="ER67" s="136"/>
      <c r="ES67" s="136"/>
      <c r="ET67" s="136"/>
      <c r="EU67" s="136"/>
      <c r="EV67" s="136"/>
      <c r="EW67" s="136"/>
      <c r="EX67" s="136"/>
      <c r="EY67" s="136"/>
      <c r="EZ67" s="136"/>
      <c r="FA67" s="136"/>
      <c r="FB67" s="136"/>
      <c r="FC67" s="136"/>
      <c r="FD67" s="136"/>
      <c r="FE67" s="137"/>
      <c r="FF67" s="138"/>
    </row>
    <row r="68" spans="1:162" ht="12.75" x14ac:dyDescent="0.2">
      <c r="A68" s="93">
        <v>62</v>
      </c>
      <c r="B68" s="145" t="s">
        <v>0</v>
      </c>
      <c r="C68" s="141" t="s">
        <v>877</v>
      </c>
      <c r="D68" s="142" t="s">
        <v>872</v>
      </c>
      <c r="E68" s="149" t="s">
        <v>682</v>
      </c>
      <c r="F68" s="542">
        <v>803376855</v>
      </c>
      <c r="G68" s="542">
        <v>0</v>
      </c>
      <c r="H68" s="542">
        <v>803376855</v>
      </c>
      <c r="I68" s="542">
        <v>-3342</v>
      </c>
      <c r="J68" s="542">
        <v>0</v>
      </c>
      <c r="K68" s="542">
        <v>-3342</v>
      </c>
      <c r="L68" s="542">
        <v>766074</v>
      </c>
      <c r="M68" s="542">
        <v>0</v>
      </c>
      <c r="N68" s="542">
        <v>766074</v>
      </c>
      <c r="O68" s="542">
        <v>-902838</v>
      </c>
      <c r="P68" s="542">
        <v>0</v>
      </c>
      <c r="Q68" s="542">
        <v>-902838</v>
      </c>
      <c r="R68" s="542">
        <v>0</v>
      </c>
      <c r="S68" s="542">
        <v>0</v>
      </c>
      <c r="T68" s="542">
        <v>0</v>
      </c>
      <c r="U68" s="542">
        <v>-1820609</v>
      </c>
      <c r="V68" s="542">
        <v>0</v>
      </c>
      <c r="W68" s="542">
        <v>-1820609</v>
      </c>
      <c r="X68" s="542">
        <v>57742604</v>
      </c>
      <c r="Y68" s="542">
        <v>0</v>
      </c>
      <c r="Z68" s="542">
        <v>57742604</v>
      </c>
      <c r="AA68" s="542">
        <v>-86751195</v>
      </c>
      <c r="AB68" s="542">
        <v>0</v>
      </c>
      <c r="AC68" s="542">
        <v>-86751195</v>
      </c>
      <c r="AD68" s="542">
        <v>773310387</v>
      </c>
      <c r="AE68" s="542">
        <v>0</v>
      </c>
      <c r="AF68" s="542">
        <v>773310387</v>
      </c>
      <c r="AG68" s="542">
        <v>0</v>
      </c>
      <c r="AH68" s="542">
        <v>0</v>
      </c>
      <c r="AI68" s="542">
        <v>0</v>
      </c>
      <c r="AJ68" s="542">
        <v>0</v>
      </c>
      <c r="AK68" s="542">
        <v>0</v>
      </c>
      <c r="AL68" s="542">
        <v>0</v>
      </c>
      <c r="AM68" s="542">
        <v>0</v>
      </c>
      <c r="AN68" s="542">
        <v>0</v>
      </c>
      <c r="AO68" s="542">
        <v>0</v>
      </c>
      <c r="AP68" s="542">
        <v>0</v>
      </c>
      <c r="AQ68" s="542">
        <v>0</v>
      </c>
      <c r="AR68" s="542">
        <v>0</v>
      </c>
      <c r="AS68" s="542">
        <v>0</v>
      </c>
      <c r="AT68" s="542">
        <v>0</v>
      </c>
      <c r="AU68" s="542">
        <v>0</v>
      </c>
      <c r="AV68" s="542">
        <v>20437581</v>
      </c>
      <c r="AW68" s="542">
        <v>-55281949</v>
      </c>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136"/>
      <c r="CJ68" s="136"/>
      <c r="CK68" s="136"/>
      <c r="CL68" s="136"/>
      <c r="CM68" s="136"/>
      <c r="CN68" s="136"/>
      <c r="CO68" s="136"/>
      <c r="CP68" s="136"/>
      <c r="CQ68" s="136"/>
      <c r="CR68" s="136"/>
      <c r="CS68" s="136"/>
      <c r="CT68" s="136"/>
      <c r="CU68" s="136"/>
      <c r="CV68" s="136"/>
      <c r="CW68" s="136"/>
      <c r="CX68" s="136"/>
      <c r="CY68" s="136"/>
      <c r="CZ68" s="136"/>
      <c r="DA68" s="136"/>
      <c r="DB68" s="136"/>
      <c r="DC68" s="136"/>
      <c r="DD68" s="136"/>
      <c r="DE68" s="136"/>
      <c r="DF68" s="136"/>
      <c r="DG68" s="136"/>
      <c r="DH68" s="136"/>
      <c r="DI68" s="136"/>
      <c r="DJ68" s="136"/>
      <c r="DK68" s="136"/>
      <c r="DL68" s="136"/>
      <c r="DM68" s="136"/>
      <c r="DN68" s="136"/>
      <c r="DO68" s="136"/>
      <c r="DP68" s="136"/>
      <c r="DQ68" s="136"/>
      <c r="DR68" s="136"/>
      <c r="DS68" s="136"/>
      <c r="DT68" s="136"/>
      <c r="DU68" s="136"/>
      <c r="DV68" s="136"/>
      <c r="DW68" s="136"/>
      <c r="DX68" s="136"/>
      <c r="DY68" s="136"/>
      <c r="DZ68" s="136"/>
      <c r="EA68" s="136"/>
      <c r="EB68" s="136"/>
      <c r="EC68" s="136"/>
      <c r="ED68" s="136"/>
      <c r="EE68" s="136"/>
      <c r="EF68" s="136"/>
      <c r="EG68" s="136"/>
      <c r="EH68" s="136"/>
      <c r="EI68" s="136"/>
      <c r="EJ68" s="136"/>
      <c r="EK68" s="136"/>
      <c r="EL68" s="136"/>
      <c r="EM68" s="136"/>
      <c r="EN68" s="136"/>
      <c r="EO68" s="136"/>
      <c r="EP68" s="136"/>
      <c r="EQ68" s="136"/>
      <c r="ER68" s="136"/>
      <c r="ES68" s="136"/>
      <c r="ET68" s="136"/>
      <c r="EU68" s="136"/>
      <c r="EV68" s="136"/>
      <c r="EW68" s="136"/>
      <c r="EX68" s="136"/>
      <c r="EY68" s="136"/>
      <c r="EZ68" s="136"/>
      <c r="FA68" s="136"/>
      <c r="FB68" s="136"/>
      <c r="FC68" s="136"/>
      <c r="FD68" s="136"/>
      <c r="FE68" s="137"/>
      <c r="FF68" s="138"/>
    </row>
    <row r="69" spans="1:162" ht="12.75" x14ac:dyDescent="0.2">
      <c r="A69" s="93">
        <v>63</v>
      </c>
      <c r="B69" s="145" t="s">
        <v>2</v>
      </c>
      <c r="C69" s="141" t="s">
        <v>866</v>
      </c>
      <c r="D69" s="142" t="s">
        <v>870</v>
      </c>
      <c r="E69" s="149" t="s">
        <v>1</v>
      </c>
      <c r="F69" s="542">
        <v>61039729</v>
      </c>
      <c r="G69" s="542">
        <v>0</v>
      </c>
      <c r="H69" s="542">
        <v>61039729</v>
      </c>
      <c r="I69" s="542">
        <v>0</v>
      </c>
      <c r="J69" s="542">
        <v>0</v>
      </c>
      <c r="K69" s="542">
        <v>0</v>
      </c>
      <c r="L69" s="542">
        <v>192650</v>
      </c>
      <c r="M69" s="542">
        <v>0</v>
      </c>
      <c r="N69" s="542">
        <v>192650</v>
      </c>
      <c r="O69" s="542">
        <v>-127687</v>
      </c>
      <c r="P69" s="542">
        <v>0</v>
      </c>
      <c r="Q69" s="542">
        <v>-127687</v>
      </c>
      <c r="R69" s="542">
        <v>0</v>
      </c>
      <c r="S69" s="542">
        <v>0</v>
      </c>
      <c r="T69" s="542">
        <v>0</v>
      </c>
      <c r="U69" s="542">
        <v>-175000</v>
      </c>
      <c r="V69" s="542">
        <v>0</v>
      </c>
      <c r="W69" s="542">
        <v>-175000</v>
      </c>
      <c r="X69" s="542">
        <v>2688726</v>
      </c>
      <c r="Y69" s="542">
        <v>0</v>
      </c>
      <c r="Z69" s="542">
        <v>2688726</v>
      </c>
      <c r="AA69" s="542">
        <v>-6680739</v>
      </c>
      <c r="AB69" s="542">
        <v>0</v>
      </c>
      <c r="AC69" s="542">
        <v>-6680739</v>
      </c>
      <c r="AD69" s="542">
        <v>57065366</v>
      </c>
      <c r="AE69" s="542">
        <v>0</v>
      </c>
      <c r="AF69" s="542">
        <v>57065366</v>
      </c>
      <c r="AG69" s="542">
        <v>0</v>
      </c>
      <c r="AH69" s="542">
        <v>0</v>
      </c>
      <c r="AI69" s="542">
        <v>0</v>
      </c>
      <c r="AJ69" s="542">
        <v>0</v>
      </c>
      <c r="AK69" s="542">
        <v>0</v>
      </c>
      <c r="AL69" s="542">
        <v>0</v>
      </c>
      <c r="AM69" s="542">
        <v>0</v>
      </c>
      <c r="AN69" s="542">
        <v>0</v>
      </c>
      <c r="AO69" s="542">
        <v>0</v>
      </c>
      <c r="AP69" s="542">
        <v>0</v>
      </c>
      <c r="AQ69" s="542">
        <v>0</v>
      </c>
      <c r="AR69" s="542">
        <v>0</v>
      </c>
      <c r="AS69" s="542">
        <v>0</v>
      </c>
      <c r="AT69" s="542">
        <v>0</v>
      </c>
      <c r="AU69" s="542">
        <v>0</v>
      </c>
      <c r="AV69" s="542">
        <v>3349447</v>
      </c>
      <c r="AW69" s="542">
        <v>-756560</v>
      </c>
      <c r="AX69" s="136"/>
      <c r="AY69" s="136"/>
      <c r="AZ69" s="136"/>
      <c r="BA69" s="136"/>
      <c r="BB69" s="136"/>
      <c r="BC69" s="136"/>
      <c r="BD69" s="136"/>
      <c r="BE69" s="136"/>
      <c r="BF69" s="136"/>
      <c r="BG69" s="136"/>
      <c r="BH69" s="136"/>
      <c r="BI69" s="136"/>
      <c r="BJ69" s="136"/>
      <c r="BK69" s="136"/>
      <c r="BL69" s="136"/>
      <c r="BM69" s="136"/>
      <c r="BN69" s="136"/>
      <c r="BO69" s="136"/>
      <c r="BP69" s="136"/>
      <c r="BQ69" s="136"/>
      <c r="BR69" s="136"/>
      <c r="BS69" s="136"/>
      <c r="BT69" s="136"/>
      <c r="BU69" s="136"/>
      <c r="BV69" s="136"/>
      <c r="BW69" s="136"/>
      <c r="BX69" s="136"/>
      <c r="BY69" s="136"/>
      <c r="BZ69" s="136"/>
      <c r="CA69" s="136"/>
      <c r="CB69" s="136"/>
      <c r="CC69" s="136"/>
      <c r="CD69" s="136"/>
      <c r="CE69" s="136"/>
      <c r="CF69" s="136"/>
      <c r="CG69" s="136"/>
      <c r="CH69" s="136"/>
      <c r="CI69" s="136"/>
      <c r="CJ69" s="136"/>
      <c r="CK69" s="136"/>
      <c r="CL69" s="136"/>
      <c r="CM69" s="136"/>
      <c r="CN69" s="136"/>
      <c r="CO69" s="136"/>
      <c r="CP69" s="136"/>
      <c r="CQ69" s="136"/>
      <c r="CR69" s="136"/>
      <c r="CS69" s="136"/>
      <c r="CT69" s="136"/>
      <c r="CU69" s="136"/>
      <c r="CV69" s="136"/>
      <c r="CW69" s="136"/>
      <c r="CX69" s="136"/>
      <c r="CY69" s="136"/>
      <c r="CZ69" s="136"/>
      <c r="DA69" s="136"/>
      <c r="DB69" s="136"/>
      <c r="DC69" s="136"/>
      <c r="DD69" s="136"/>
      <c r="DE69" s="136"/>
      <c r="DF69" s="136"/>
      <c r="DG69" s="136"/>
      <c r="DH69" s="136"/>
      <c r="DI69" s="136"/>
      <c r="DJ69" s="136"/>
      <c r="DK69" s="136"/>
      <c r="DL69" s="136"/>
      <c r="DM69" s="136"/>
      <c r="DN69" s="136"/>
      <c r="DO69" s="136"/>
      <c r="DP69" s="136"/>
      <c r="DQ69" s="136"/>
      <c r="DR69" s="136"/>
      <c r="DS69" s="136"/>
      <c r="DT69" s="136"/>
      <c r="DU69" s="136"/>
      <c r="DV69" s="136"/>
      <c r="DW69" s="136"/>
      <c r="DX69" s="136"/>
      <c r="DY69" s="136"/>
      <c r="DZ69" s="136"/>
      <c r="EA69" s="136"/>
      <c r="EB69" s="136"/>
      <c r="EC69" s="136"/>
      <c r="ED69" s="136"/>
      <c r="EE69" s="136"/>
      <c r="EF69" s="136"/>
      <c r="EG69" s="136"/>
      <c r="EH69" s="136"/>
      <c r="EI69" s="136"/>
      <c r="EJ69" s="136"/>
      <c r="EK69" s="136"/>
      <c r="EL69" s="136"/>
      <c r="EM69" s="136"/>
      <c r="EN69" s="136"/>
      <c r="EO69" s="136"/>
      <c r="EP69" s="136"/>
      <c r="EQ69" s="136"/>
      <c r="ER69" s="136"/>
      <c r="ES69" s="136"/>
      <c r="ET69" s="136"/>
      <c r="EU69" s="136"/>
      <c r="EV69" s="136"/>
      <c r="EW69" s="136"/>
      <c r="EX69" s="136"/>
      <c r="EY69" s="136"/>
      <c r="EZ69" s="136"/>
      <c r="FA69" s="136"/>
      <c r="FB69" s="136"/>
      <c r="FC69" s="136"/>
      <c r="FD69" s="136"/>
      <c r="FE69" s="137"/>
      <c r="FF69" s="138"/>
    </row>
    <row r="70" spans="1:162" ht="12.75" x14ac:dyDescent="0.2">
      <c r="A70" s="93">
        <v>64</v>
      </c>
      <c r="B70" s="145" t="s">
        <v>4</v>
      </c>
      <c r="C70" s="141" t="s">
        <v>866</v>
      </c>
      <c r="D70" s="142" t="s">
        <v>868</v>
      </c>
      <c r="E70" s="149" t="s">
        <v>3</v>
      </c>
      <c r="F70" s="542">
        <v>43601402</v>
      </c>
      <c r="G70" s="542">
        <v>0</v>
      </c>
      <c r="H70" s="542">
        <v>43601402</v>
      </c>
      <c r="I70" s="542">
        <v>-34</v>
      </c>
      <c r="J70" s="542">
        <v>0</v>
      </c>
      <c r="K70" s="542">
        <v>-34</v>
      </c>
      <c r="L70" s="542">
        <v>41405</v>
      </c>
      <c r="M70" s="542">
        <v>0</v>
      </c>
      <c r="N70" s="542">
        <v>41405</v>
      </c>
      <c r="O70" s="542">
        <v>-192726</v>
      </c>
      <c r="P70" s="542">
        <v>0</v>
      </c>
      <c r="Q70" s="542">
        <v>-192726</v>
      </c>
      <c r="R70" s="542">
        <v>0</v>
      </c>
      <c r="S70" s="542">
        <v>0</v>
      </c>
      <c r="T70" s="542">
        <v>0</v>
      </c>
      <c r="U70" s="542">
        <v>-191110</v>
      </c>
      <c r="V70" s="542">
        <v>0</v>
      </c>
      <c r="W70" s="542">
        <v>-191110</v>
      </c>
      <c r="X70" s="542">
        <v>278027</v>
      </c>
      <c r="Y70" s="542">
        <v>0</v>
      </c>
      <c r="Z70" s="542">
        <v>278027</v>
      </c>
      <c r="AA70" s="542">
        <v>-11565726</v>
      </c>
      <c r="AB70" s="542">
        <v>0</v>
      </c>
      <c r="AC70" s="542">
        <v>-11565726</v>
      </c>
      <c r="AD70" s="542">
        <v>32163964</v>
      </c>
      <c r="AE70" s="542">
        <v>0</v>
      </c>
      <c r="AF70" s="542">
        <v>32163964</v>
      </c>
      <c r="AG70" s="542">
        <v>0</v>
      </c>
      <c r="AH70" s="542">
        <v>0</v>
      </c>
      <c r="AI70" s="542">
        <v>0</v>
      </c>
      <c r="AJ70" s="542">
        <v>12545</v>
      </c>
      <c r="AK70" s="542">
        <v>0</v>
      </c>
      <c r="AL70" s="542">
        <v>0</v>
      </c>
      <c r="AM70" s="542">
        <v>12545</v>
      </c>
      <c r="AN70" s="542">
        <v>0</v>
      </c>
      <c r="AO70" s="542">
        <v>0</v>
      </c>
      <c r="AP70" s="542">
        <v>0</v>
      </c>
      <c r="AQ70" s="542">
        <v>0</v>
      </c>
      <c r="AR70" s="542">
        <v>0</v>
      </c>
      <c r="AS70" s="542">
        <v>0</v>
      </c>
      <c r="AT70" s="542">
        <v>0</v>
      </c>
      <c r="AU70" s="542">
        <v>0</v>
      </c>
      <c r="AV70" s="542">
        <v>821101</v>
      </c>
      <c r="AW70" s="542">
        <v>-189441</v>
      </c>
      <c r="AX70" s="136"/>
      <c r="AY70" s="136"/>
      <c r="AZ70" s="136"/>
      <c r="BA70" s="136"/>
      <c r="BB70" s="136"/>
      <c r="BC70" s="136"/>
      <c r="BD70" s="136"/>
      <c r="BE70" s="136"/>
      <c r="BF70" s="136"/>
      <c r="BG70" s="136"/>
      <c r="BH70" s="136"/>
      <c r="BI70" s="136"/>
      <c r="BJ70" s="136"/>
      <c r="BK70" s="136"/>
      <c r="BL70" s="136"/>
      <c r="BM70" s="136"/>
      <c r="BN70" s="136"/>
      <c r="BO70" s="136"/>
      <c r="BP70" s="136"/>
      <c r="BQ70" s="136"/>
      <c r="BR70" s="136"/>
      <c r="BS70" s="136"/>
      <c r="BT70" s="136"/>
      <c r="BU70" s="136"/>
      <c r="BV70" s="136"/>
      <c r="BW70" s="136"/>
      <c r="BX70" s="136"/>
      <c r="BY70" s="136"/>
      <c r="BZ70" s="136"/>
      <c r="CA70" s="136"/>
      <c r="CB70" s="136"/>
      <c r="CC70" s="136"/>
      <c r="CD70" s="136"/>
      <c r="CE70" s="136"/>
      <c r="CF70" s="136"/>
      <c r="CG70" s="136"/>
      <c r="CH70" s="136"/>
      <c r="CI70" s="136"/>
      <c r="CJ70" s="136"/>
      <c r="CK70" s="136"/>
      <c r="CL70" s="136"/>
      <c r="CM70" s="136"/>
      <c r="CN70" s="136"/>
      <c r="CO70" s="136"/>
      <c r="CP70" s="136"/>
      <c r="CQ70" s="136"/>
      <c r="CR70" s="136"/>
      <c r="CS70" s="136"/>
      <c r="CT70" s="136"/>
      <c r="CU70" s="136"/>
      <c r="CV70" s="136"/>
      <c r="CW70" s="136"/>
      <c r="CX70" s="136"/>
      <c r="CY70" s="136"/>
      <c r="CZ70" s="136"/>
      <c r="DA70" s="136"/>
      <c r="DB70" s="136"/>
      <c r="DC70" s="136"/>
      <c r="DD70" s="136"/>
      <c r="DE70" s="136"/>
      <c r="DF70" s="136"/>
      <c r="DG70" s="136"/>
      <c r="DH70" s="136"/>
      <c r="DI70" s="136"/>
      <c r="DJ70" s="136"/>
      <c r="DK70" s="136"/>
      <c r="DL70" s="136"/>
      <c r="DM70" s="136"/>
      <c r="DN70" s="136"/>
      <c r="DO70" s="136"/>
      <c r="DP70" s="136"/>
      <c r="DQ70" s="136"/>
      <c r="DR70" s="136"/>
      <c r="DS70" s="136"/>
      <c r="DT70" s="136"/>
      <c r="DU70" s="136"/>
      <c r="DV70" s="136"/>
      <c r="DW70" s="136"/>
      <c r="DX70" s="136"/>
      <c r="DY70" s="136"/>
      <c r="DZ70" s="136"/>
      <c r="EA70" s="136"/>
      <c r="EB70" s="136"/>
      <c r="EC70" s="136"/>
      <c r="ED70" s="136"/>
      <c r="EE70" s="136"/>
      <c r="EF70" s="136"/>
      <c r="EG70" s="136"/>
      <c r="EH70" s="136"/>
      <c r="EI70" s="136"/>
      <c r="EJ70" s="136"/>
      <c r="EK70" s="136"/>
      <c r="EL70" s="136"/>
      <c r="EM70" s="136"/>
      <c r="EN70" s="136"/>
      <c r="EO70" s="136"/>
      <c r="EP70" s="136"/>
      <c r="EQ70" s="136"/>
      <c r="ER70" s="136"/>
      <c r="ES70" s="136"/>
      <c r="ET70" s="136"/>
      <c r="EU70" s="136"/>
      <c r="EV70" s="136"/>
      <c r="EW70" s="136"/>
      <c r="EX70" s="136"/>
      <c r="EY70" s="136"/>
      <c r="EZ70" s="136"/>
      <c r="FA70" s="136"/>
      <c r="FB70" s="136"/>
      <c r="FC70" s="136"/>
      <c r="FD70" s="136"/>
      <c r="FE70" s="137"/>
      <c r="FF70" s="138"/>
    </row>
    <row r="71" spans="1:162" ht="12.75" x14ac:dyDescent="0.2">
      <c r="A71" s="93">
        <v>65</v>
      </c>
      <c r="B71" s="145" t="s">
        <v>6</v>
      </c>
      <c r="C71" s="141" t="s">
        <v>866</v>
      </c>
      <c r="D71" s="142" t="s">
        <v>869</v>
      </c>
      <c r="E71" s="149" t="s">
        <v>5</v>
      </c>
      <c r="F71" s="542">
        <v>33029409</v>
      </c>
      <c r="G71" s="542">
        <v>0</v>
      </c>
      <c r="H71" s="542">
        <v>33029409</v>
      </c>
      <c r="I71" s="542">
        <v>0</v>
      </c>
      <c r="J71" s="542">
        <v>0</v>
      </c>
      <c r="K71" s="542">
        <v>0</v>
      </c>
      <c r="L71" s="542">
        <v>10352</v>
      </c>
      <c r="M71" s="542">
        <v>0</v>
      </c>
      <c r="N71" s="542">
        <v>10352</v>
      </c>
      <c r="O71" s="542">
        <v>-276985</v>
      </c>
      <c r="P71" s="542">
        <v>0</v>
      </c>
      <c r="Q71" s="542">
        <v>-276985</v>
      </c>
      <c r="R71" s="542">
        <v>0</v>
      </c>
      <c r="S71" s="542">
        <v>0</v>
      </c>
      <c r="T71" s="542">
        <v>0</v>
      </c>
      <c r="U71" s="542">
        <v>-396180</v>
      </c>
      <c r="V71" s="542">
        <v>0</v>
      </c>
      <c r="W71" s="542">
        <v>-396180</v>
      </c>
      <c r="X71" s="542">
        <v>394596</v>
      </c>
      <c r="Y71" s="542">
        <v>0</v>
      </c>
      <c r="Z71" s="542">
        <v>394596</v>
      </c>
      <c r="AA71" s="542">
        <v>-1094307</v>
      </c>
      <c r="AB71" s="542">
        <v>0</v>
      </c>
      <c r="AC71" s="542">
        <v>-1094307</v>
      </c>
      <c r="AD71" s="542">
        <v>31943870</v>
      </c>
      <c r="AE71" s="542">
        <v>0</v>
      </c>
      <c r="AF71" s="542">
        <v>31943870</v>
      </c>
      <c r="AG71" s="542">
        <v>0</v>
      </c>
      <c r="AH71" s="542">
        <v>0</v>
      </c>
      <c r="AI71" s="542">
        <v>0</v>
      </c>
      <c r="AJ71" s="542">
        <v>0</v>
      </c>
      <c r="AK71" s="542">
        <v>0</v>
      </c>
      <c r="AL71" s="542">
        <v>0</v>
      </c>
      <c r="AM71" s="542">
        <v>0</v>
      </c>
      <c r="AN71" s="542">
        <v>0</v>
      </c>
      <c r="AO71" s="542">
        <v>0</v>
      </c>
      <c r="AP71" s="542">
        <v>0</v>
      </c>
      <c r="AQ71" s="542">
        <v>0</v>
      </c>
      <c r="AR71" s="542">
        <v>0</v>
      </c>
      <c r="AS71" s="542">
        <v>0</v>
      </c>
      <c r="AT71" s="542">
        <v>0</v>
      </c>
      <c r="AU71" s="542">
        <v>0</v>
      </c>
      <c r="AV71" s="542">
        <v>2840541</v>
      </c>
      <c r="AW71" s="542">
        <v>-672317</v>
      </c>
      <c r="AX71" s="136"/>
      <c r="AY71" s="136"/>
      <c r="AZ71" s="136"/>
      <c r="BA71" s="136"/>
      <c r="BB71" s="136"/>
      <c r="BC71" s="136"/>
      <c r="BD71" s="136"/>
      <c r="BE71" s="136"/>
      <c r="BF71" s="136"/>
      <c r="BG71" s="136"/>
      <c r="BH71" s="136"/>
      <c r="BI71" s="136"/>
      <c r="BJ71" s="136"/>
      <c r="BK71" s="136"/>
      <c r="BL71" s="136"/>
      <c r="BM71" s="136"/>
      <c r="BN71" s="136"/>
      <c r="BO71" s="136"/>
      <c r="BP71" s="136"/>
      <c r="BQ71" s="136"/>
      <c r="BR71" s="136"/>
      <c r="BS71" s="136"/>
      <c r="BT71" s="136"/>
      <c r="BU71" s="136"/>
      <c r="BV71" s="136"/>
      <c r="BW71" s="136"/>
      <c r="BX71" s="136"/>
      <c r="BY71" s="136"/>
      <c r="BZ71" s="136"/>
      <c r="CA71" s="136"/>
      <c r="CB71" s="136"/>
      <c r="CC71" s="136"/>
      <c r="CD71" s="136"/>
      <c r="CE71" s="136"/>
      <c r="CF71" s="136"/>
      <c r="CG71" s="136"/>
      <c r="CH71" s="136"/>
      <c r="CI71" s="136"/>
      <c r="CJ71" s="136"/>
      <c r="CK71" s="136"/>
      <c r="CL71" s="136"/>
      <c r="CM71" s="136"/>
      <c r="CN71" s="136"/>
      <c r="CO71" s="136"/>
      <c r="CP71" s="136"/>
      <c r="CQ71" s="136"/>
      <c r="CR71" s="136"/>
      <c r="CS71" s="136"/>
      <c r="CT71" s="136"/>
      <c r="CU71" s="136"/>
      <c r="CV71" s="136"/>
      <c r="CW71" s="136"/>
      <c r="CX71" s="136"/>
      <c r="CY71" s="136"/>
      <c r="CZ71" s="136"/>
      <c r="DA71" s="136"/>
      <c r="DB71" s="136"/>
      <c r="DC71" s="136"/>
      <c r="DD71" s="136"/>
      <c r="DE71" s="136"/>
      <c r="DF71" s="136"/>
      <c r="DG71" s="136"/>
      <c r="DH71" s="136"/>
      <c r="DI71" s="136"/>
      <c r="DJ71" s="136"/>
      <c r="DK71" s="136"/>
      <c r="DL71" s="136"/>
      <c r="DM71" s="136"/>
      <c r="DN71" s="136"/>
      <c r="DO71" s="136"/>
      <c r="DP71" s="136"/>
      <c r="DQ71" s="136"/>
      <c r="DR71" s="136"/>
      <c r="DS71" s="136"/>
      <c r="DT71" s="136"/>
      <c r="DU71" s="136"/>
      <c r="DV71" s="136"/>
      <c r="DW71" s="136"/>
      <c r="DX71" s="136"/>
      <c r="DY71" s="136"/>
      <c r="DZ71" s="136"/>
      <c r="EA71" s="136"/>
      <c r="EB71" s="136"/>
      <c r="EC71" s="136"/>
      <c r="ED71" s="136"/>
      <c r="EE71" s="136"/>
      <c r="EF71" s="136"/>
      <c r="EG71" s="136"/>
      <c r="EH71" s="136"/>
      <c r="EI71" s="136"/>
      <c r="EJ71" s="136"/>
      <c r="EK71" s="136"/>
      <c r="EL71" s="136"/>
      <c r="EM71" s="136"/>
      <c r="EN71" s="136"/>
      <c r="EO71" s="136"/>
      <c r="EP71" s="136"/>
      <c r="EQ71" s="136"/>
      <c r="ER71" s="136"/>
      <c r="ES71" s="136"/>
      <c r="ET71" s="136"/>
      <c r="EU71" s="136"/>
      <c r="EV71" s="136"/>
      <c r="EW71" s="136"/>
      <c r="EX71" s="136"/>
      <c r="EY71" s="136"/>
      <c r="EZ71" s="136"/>
      <c r="FA71" s="136"/>
      <c r="FB71" s="136"/>
      <c r="FC71" s="136"/>
      <c r="FD71" s="136"/>
      <c r="FE71" s="137"/>
      <c r="FF71" s="138"/>
    </row>
    <row r="72" spans="1:162" ht="12.75" x14ac:dyDescent="0.2">
      <c r="A72" s="93">
        <v>66</v>
      </c>
      <c r="B72" s="145" t="s">
        <v>8</v>
      </c>
      <c r="C72" s="141" t="s">
        <v>770</v>
      </c>
      <c r="D72" s="142" t="s">
        <v>875</v>
      </c>
      <c r="E72" s="149" t="s">
        <v>7</v>
      </c>
      <c r="F72" s="542">
        <v>151677877</v>
      </c>
      <c r="G72" s="542">
        <v>373175</v>
      </c>
      <c r="H72" s="542">
        <v>152051052</v>
      </c>
      <c r="I72" s="542">
        <v>-32054</v>
      </c>
      <c r="J72" s="542">
        <v>0</v>
      </c>
      <c r="K72" s="542">
        <v>-32054</v>
      </c>
      <c r="L72" s="542">
        <v>564489</v>
      </c>
      <c r="M72" s="542">
        <v>0</v>
      </c>
      <c r="N72" s="542">
        <v>564489</v>
      </c>
      <c r="O72" s="542">
        <v>-1263242</v>
      </c>
      <c r="P72" s="542">
        <v>0</v>
      </c>
      <c r="Q72" s="542">
        <v>-1263242</v>
      </c>
      <c r="R72" s="542">
        <v>0</v>
      </c>
      <c r="S72" s="542">
        <v>0</v>
      </c>
      <c r="T72" s="542">
        <v>0</v>
      </c>
      <c r="U72" s="542">
        <v>287304</v>
      </c>
      <c r="V72" s="542">
        <v>0</v>
      </c>
      <c r="W72" s="542">
        <v>287304</v>
      </c>
      <c r="X72" s="542">
        <v>0</v>
      </c>
      <c r="Y72" s="542">
        <v>0</v>
      </c>
      <c r="Z72" s="542">
        <v>0</v>
      </c>
      <c r="AA72" s="542">
        <v>-7786000</v>
      </c>
      <c r="AB72" s="542">
        <v>0</v>
      </c>
      <c r="AC72" s="542">
        <v>-7786000</v>
      </c>
      <c r="AD72" s="542">
        <v>144711616</v>
      </c>
      <c r="AE72" s="542">
        <v>373175</v>
      </c>
      <c r="AF72" s="542">
        <v>145084791</v>
      </c>
      <c r="AG72" s="542">
        <v>373175</v>
      </c>
      <c r="AH72" s="542">
        <v>0</v>
      </c>
      <c r="AI72" s="542">
        <v>373175</v>
      </c>
      <c r="AJ72" s="542">
        <v>519623</v>
      </c>
      <c r="AK72" s="542">
        <v>0</v>
      </c>
      <c r="AL72" s="542">
        <v>0</v>
      </c>
      <c r="AM72" s="542">
        <v>519623</v>
      </c>
      <c r="AN72" s="542">
        <v>0</v>
      </c>
      <c r="AO72" s="542">
        <v>0</v>
      </c>
      <c r="AP72" s="542">
        <v>0</v>
      </c>
      <c r="AQ72" s="542">
        <v>421337</v>
      </c>
      <c r="AR72" s="542">
        <v>0</v>
      </c>
      <c r="AS72" s="542">
        <v>0</v>
      </c>
      <c r="AT72" s="542">
        <v>0</v>
      </c>
      <c r="AU72" s="542">
        <v>0</v>
      </c>
      <c r="AV72" s="542">
        <v>8342118</v>
      </c>
      <c r="AW72" s="542">
        <v>-5088747</v>
      </c>
      <c r="AX72" s="136"/>
      <c r="AY72" s="136"/>
      <c r="AZ72" s="136"/>
      <c r="BA72" s="136"/>
      <c r="BB72" s="136"/>
      <c r="BC72" s="136"/>
      <c r="BD72" s="136"/>
      <c r="BE72" s="136"/>
      <c r="BF72" s="136"/>
      <c r="BG72" s="136"/>
      <c r="BH72" s="136"/>
      <c r="BI72" s="136"/>
      <c r="BJ72" s="136"/>
      <c r="BK72" s="136"/>
      <c r="BL72" s="136"/>
      <c r="BM72" s="136"/>
      <c r="BN72" s="136"/>
      <c r="BO72" s="136"/>
      <c r="BP72" s="136"/>
      <c r="BQ72" s="136"/>
      <c r="BR72" s="136"/>
      <c r="BS72" s="136"/>
      <c r="BT72" s="136"/>
      <c r="BU72" s="136"/>
      <c r="BV72" s="136"/>
      <c r="BW72" s="136"/>
      <c r="BX72" s="136"/>
      <c r="BY72" s="136"/>
      <c r="BZ72" s="136"/>
      <c r="CA72" s="136"/>
      <c r="CB72" s="136"/>
      <c r="CC72" s="136"/>
      <c r="CD72" s="136"/>
      <c r="CE72" s="136"/>
      <c r="CF72" s="136"/>
      <c r="CG72" s="136"/>
      <c r="CH72" s="136"/>
      <c r="CI72" s="136"/>
      <c r="CJ72" s="136"/>
      <c r="CK72" s="136"/>
      <c r="CL72" s="136"/>
      <c r="CM72" s="136"/>
      <c r="CN72" s="136"/>
      <c r="CO72" s="136"/>
      <c r="CP72" s="136"/>
      <c r="CQ72" s="136"/>
      <c r="CR72" s="136"/>
      <c r="CS72" s="136"/>
      <c r="CT72" s="136"/>
      <c r="CU72" s="136"/>
      <c r="CV72" s="136"/>
      <c r="CW72" s="136"/>
      <c r="CX72" s="136"/>
      <c r="CY72" s="136"/>
      <c r="CZ72" s="136"/>
      <c r="DA72" s="136"/>
      <c r="DB72" s="136"/>
      <c r="DC72" s="136"/>
      <c r="DD72" s="136"/>
      <c r="DE72" s="136"/>
      <c r="DF72" s="136"/>
      <c r="DG72" s="136"/>
      <c r="DH72" s="136"/>
      <c r="DI72" s="136"/>
      <c r="DJ72" s="136"/>
      <c r="DK72" s="136"/>
      <c r="DL72" s="136"/>
      <c r="DM72" s="136"/>
      <c r="DN72" s="136"/>
      <c r="DO72" s="136"/>
      <c r="DP72" s="136"/>
      <c r="DQ72" s="136"/>
      <c r="DR72" s="136"/>
      <c r="DS72" s="136"/>
      <c r="DT72" s="136"/>
      <c r="DU72" s="136"/>
      <c r="DV72" s="136"/>
      <c r="DW72" s="136"/>
      <c r="DX72" s="136"/>
      <c r="DY72" s="136"/>
      <c r="DZ72" s="136"/>
      <c r="EA72" s="136"/>
      <c r="EB72" s="136"/>
      <c r="EC72" s="136"/>
      <c r="ED72" s="136"/>
      <c r="EE72" s="136"/>
      <c r="EF72" s="136"/>
      <c r="EG72" s="136"/>
      <c r="EH72" s="136"/>
      <c r="EI72" s="136"/>
      <c r="EJ72" s="136"/>
      <c r="EK72" s="136"/>
      <c r="EL72" s="136"/>
      <c r="EM72" s="136"/>
      <c r="EN72" s="136"/>
      <c r="EO72" s="136"/>
      <c r="EP72" s="136"/>
      <c r="EQ72" s="136"/>
      <c r="ER72" s="136"/>
      <c r="ES72" s="136"/>
      <c r="ET72" s="136"/>
      <c r="EU72" s="136"/>
      <c r="EV72" s="136"/>
      <c r="EW72" s="136"/>
      <c r="EX72" s="136"/>
      <c r="EY72" s="136"/>
      <c r="EZ72" s="136"/>
      <c r="FA72" s="136"/>
      <c r="FB72" s="136"/>
      <c r="FC72" s="136"/>
      <c r="FD72" s="136"/>
      <c r="FE72" s="137"/>
      <c r="FF72" s="138"/>
    </row>
    <row r="73" spans="1:162" ht="12.75" x14ac:dyDescent="0.2">
      <c r="A73" s="93">
        <v>67</v>
      </c>
      <c r="B73" s="145" t="s">
        <v>10</v>
      </c>
      <c r="C73" s="141" t="s">
        <v>866</v>
      </c>
      <c r="D73" s="142" t="s">
        <v>875</v>
      </c>
      <c r="E73" s="149" t="s">
        <v>9</v>
      </c>
      <c r="F73" s="542">
        <v>28949605</v>
      </c>
      <c r="G73" s="542">
        <v>0</v>
      </c>
      <c r="H73" s="542">
        <v>28949605</v>
      </c>
      <c r="I73" s="542">
        <v>0</v>
      </c>
      <c r="J73" s="542">
        <v>0</v>
      </c>
      <c r="K73" s="542">
        <v>0</v>
      </c>
      <c r="L73" s="542">
        <v>21552</v>
      </c>
      <c r="M73" s="542">
        <v>0</v>
      </c>
      <c r="N73" s="542">
        <v>21552</v>
      </c>
      <c r="O73" s="542">
        <v>-144040</v>
      </c>
      <c r="P73" s="542">
        <v>0</v>
      </c>
      <c r="Q73" s="542">
        <v>-144040</v>
      </c>
      <c r="R73" s="542">
        <v>0</v>
      </c>
      <c r="S73" s="542">
        <v>0</v>
      </c>
      <c r="T73" s="542">
        <v>0</v>
      </c>
      <c r="U73" s="542">
        <v>-466478</v>
      </c>
      <c r="V73" s="542">
        <v>0</v>
      </c>
      <c r="W73" s="542">
        <v>-466478</v>
      </c>
      <c r="X73" s="542">
        <v>362428</v>
      </c>
      <c r="Y73" s="542">
        <v>0</v>
      </c>
      <c r="Z73" s="542">
        <v>362428</v>
      </c>
      <c r="AA73" s="542">
        <v>-1272487</v>
      </c>
      <c r="AB73" s="542">
        <v>0</v>
      </c>
      <c r="AC73" s="542">
        <v>-1272487</v>
      </c>
      <c r="AD73" s="542">
        <v>27594620</v>
      </c>
      <c r="AE73" s="542">
        <v>0</v>
      </c>
      <c r="AF73" s="542">
        <v>27594620</v>
      </c>
      <c r="AG73" s="542">
        <v>0</v>
      </c>
      <c r="AH73" s="542">
        <v>0</v>
      </c>
      <c r="AI73" s="542">
        <v>0</v>
      </c>
      <c r="AJ73" s="542">
        <v>67176</v>
      </c>
      <c r="AK73" s="542">
        <v>0</v>
      </c>
      <c r="AL73" s="542">
        <v>0</v>
      </c>
      <c r="AM73" s="542">
        <v>67176</v>
      </c>
      <c r="AN73" s="542">
        <v>0</v>
      </c>
      <c r="AO73" s="542">
        <v>0</v>
      </c>
      <c r="AP73" s="542">
        <v>0</v>
      </c>
      <c r="AQ73" s="542">
        <v>0</v>
      </c>
      <c r="AR73" s="542">
        <v>0</v>
      </c>
      <c r="AS73" s="542">
        <v>0</v>
      </c>
      <c r="AT73" s="542">
        <v>0</v>
      </c>
      <c r="AU73" s="542">
        <v>0</v>
      </c>
      <c r="AV73" s="542">
        <v>1009225</v>
      </c>
      <c r="AW73" s="542">
        <v>-282954</v>
      </c>
      <c r="AX73" s="136"/>
      <c r="AY73" s="136"/>
      <c r="AZ73" s="136"/>
      <c r="BA73" s="136"/>
      <c r="BB73" s="136"/>
      <c r="BC73" s="136"/>
      <c r="BD73" s="136"/>
      <c r="BE73" s="136"/>
      <c r="BF73" s="136"/>
      <c r="BG73" s="136"/>
      <c r="BH73" s="136"/>
      <c r="BI73" s="136"/>
      <c r="BJ73" s="136"/>
      <c r="BK73" s="136"/>
      <c r="BL73" s="136"/>
      <c r="BM73" s="136"/>
      <c r="BN73" s="136"/>
      <c r="BO73" s="136"/>
      <c r="BP73" s="136"/>
      <c r="BQ73" s="136"/>
      <c r="BR73" s="136"/>
      <c r="BS73" s="136"/>
      <c r="BT73" s="136"/>
      <c r="BU73" s="136"/>
      <c r="BV73" s="136"/>
      <c r="BW73" s="136"/>
      <c r="BX73" s="136"/>
      <c r="BY73" s="136"/>
      <c r="BZ73" s="136"/>
      <c r="CA73" s="136"/>
      <c r="CB73" s="136"/>
      <c r="CC73" s="136"/>
      <c r="CD73" s="136"/>
      <c r="CE73" s="136"/>
      <c r="CF73" s="136"/>
      <c r="CG73" s="136"/>
      <c r="CH73" s="136"/>
      <c r="CI73" s="136"/>
      <c r="CJ73" s="136"/>
      <c r="CK73" s="136"/>
      <c r="CL73" s="136"/>
      <c r="CM73" s="136"/>
      <c r="CN73" s="136"/>
      <c r="CO73" s="136"/>
      <c r="CP73" s="136"/>
      <c r="CQ73" s="136"/>
      <c r="CR73" s="136"/>
      <c r="CS73" s="136"/>
      <c r="CT73" s="136"/>
      <c r="CU73" s="136"/>
      <c r="CV73" s="136"/>
      <c r="CW73" s="136"/>
      <c r="CX73" s="136"/>
      <c r="CY73" s="136"/>
      <c r="CZ73" s="136"/>
      <c r="DA73" s="136"/>
      <c r="DB73" s="136"/>
      <c r="DC73" s="136"/>
      <c r="DD73" s="136"/>
      <c r="DE73" s="136"/>
      <c r="DF73" s="136"/>
      <c r="DG73" s="136"/>
      <c r="DH73" s="136"/>
      <c r="DI73" s="136"/>
      <c r="DJ73" s="136"/>
      <c r="DK73" s="136"/>
      <c r="DL73" s="136"/>
      <c r="DM73" s="136"/>
      <c r="DN73" s="136"/>
      <c r="DO73" s="136"/>
      <c r="DP73" s="136"/>
      <c r="DQ73" s="136"/>
      <c r="DR73" s="136"/>
      <c r="DS73" s="136"/>
      <c r="DT73" s="136"/>
      <c r="DU73" s="136"/>
      <c r="DV73" s="136"/>
      <c r="DW73" s="136"/>
      <c r="DX73" s="136"/>
      <c r="DY73" s="136"/>
      <c r="DZ73" s="136"/>
      <c r="EA73" s="136"/>
      <c r="EB73" s="136"/>
      <c r="EC73" s="136"/>
      <c r="ED73" s="136"/>
      <c r="EE73" s="136"/>
      <c r="EF73" s="136"/>
      <c r="EG73" s="136"/>
      <c r="EH73" s="136"/>
      <c r="EI73" s="136"/>
      <c r="EJ73" s="136"/>
      <c r="EK73" s="136"/>
      <c r="EL73" s="136"/>
      <c r="EM73" s="136"/>
      <c r="EN73" s="136"/>
      <c r="EO73" s="136"/>
      <c r="EP73" s="136"/>
      <c r="EQ73" s="136"/>
      <c r="ER73" s="136"/>
      <c r="ES73" s="136"/>
      <c r="ET73" s="136"/>
      <c r="EU73" s="136"/>
      <c r="EV73" s="136"/>
      <c r="EW73" s="136"/>
      <c r="EX73" s="136"/>
      <c r="EY73" s="136"/>
      <c r="EZ73" s="136"/>
      <c r="FA73" s="136"/>
      <c r="FB73" s="136"/>
      <c r="FC73" s="136"/>
      <c r="FD73" s="136"/>
      <c r="FE73" s="137"/>
      <c r="FF73" s="138"/>
    </row>
    <row r="74" spans="1:162" ht="12.75" x14ac:dyDescent="0.2">
      <c r="A74" s="93">
        <v>68</v>
      </c>
      <c r="B74" s="145" t="s">
        <v>12</v>
      </c>
      <c r="C74" s="141" t="s">
        <v>873</v>
      </c>
      <c r="D74" s="142" t="s">
        <v>876</v>
      </c>
      <c r="E74" s="149" t="s">
        <v>11</v>
      </c>
      <c r="F74" s="542">
        <v>118462075</v>
      </c>
      <c r="G74" s="542">
        <v>0</v>
      </c>
      <c r="H74" s="542">
        <v>118462075</v>
      </c>
      <c r="I74" s="542">
        <v>-4588</v>
      </c>
      <c r="J74" s="542">
        <v>0</v>
      </c>
      <c r="K74" s="542">
        <v>-4588</v>
      </c>
      <c r="L74" s="542">
        <v>409858</v>
      </c>
      <c r="M74" s="542">
        <v>0</v>
      </c>
      <c r="N74" s="542">
        <v>409858</v>
      </c>
      <c r="O74" s="542">
        <v>-477126</v>
      </c>
      <c r="P74" s="542">
        <v>0</v>
      </c>
      <c r="Q74" s="542">
        <v>-477126</v>
      </c>
      <c r="R74" s="542">
        <v>0</v>
      </c>
      <c r="S74" s="542">
        <v>0</v>
      </c>
      <c r="T74" s="542">
        <v>0</v>
      </c>
      <c r="U74" s="542">
        <v>-481877</v>
      </c>
      <c r="V74" s="542">
        <v>0</v>
      </c>
      <c r="W74" s="542">
        <v>-481877</v>
      </c>
      <c r="X74" s="542">
        <v>1928479</v>
      </c>
      <c r="Y74" s="542">
        <v>0</v>
      </c>
      <c r="Z74" s="542">
        <v>1928479</v>
      </c>
      <c r="AA74" s="542">
        <v>308980</v>
      </c>
      <c r="AB74" s="542">
        <v>0</v>
      </c>
      <c r="AC74" s="542">
        <v>308980</v>
      </c>
      <c r="AD74" s="542">
        <v>120622927</v>
      </c>
      <c r="AE74" s="542">
        <v>0</v>
      </c>
      <c r="AF74" s="542">
        <v>120622927</v>
      </c>
      <c r="AG74" s="542">
        <v>0</v>
      </c>
      <c r="AH74" s="542">
        <v>0</v>
      </c>
      <c r="AI74" s="542">
        <v>0</v>
      </c>
      <c r="AJ74" s="542">
        <v>0</v>
      </c>
      <c r="AK74" s="542">
        <v>0</v>
      </c>
      <c r="AL74" s="542">
        <v>0</v>
      </c>
      <c r="AM74" s="542">
        <v>0</v>
      </c>
      <c r="AN74" s="542">
        <v>0</v>
      </c>
      <c r="AO74" s="542">
        <v>0</v>
      </c>
      <c r="AP74" s="542">
        <v>0</v>
      </c>
      <c r="AQ74" s="542">
        <v>0</v>
      </c>
      <c r="AR74" s="542">
        <v>0</v>
      </c>
      <c r="AS74" s="542">
        <v>0</v>
      </c>
      <c r="AT74" s="542">
        <v>0</v>
      </c>
      <c r="AU74" s="542">
        <v>0</v>
      </c>
      <c r="AV74" s="542">
        <v>8221998</v>
      </c>
      <c r="AW74" s="542">
        <v>-1810782</v>
      </c>
      <c r="AX74" s="136"/>
      <c r="AY74" s="136"/>
      <c r="AZ74" s="136"/>
      <c r="BA74" s="136"/>
      <c r="BB74" s="136"/>
      <c r="BC74" s="136"/>
      <c r="BD74" s="136"/>
      <c r="BE74" s="136"/>
      <c r="BF74" s="136"/>
      <c r="BG74" s="136"/>
      <c r="BH74" s="136"/>
      <c r="BI74" s="136"/>
      <c r="BJ74" s="136"/>
      <c r="BK74" s="136"/>
      <c r="BL74" s="136"/>
      <c r="BM74" s="136"/>
      <c r="BN74" s="136"/>
      <c r="BO74" s="136"/>
      <c r="BP74" s="136"/>
      <c r="BQ74" s="136"/>
      <c r="BR74" s="136"/>
      <c r="BS74" s="136"/>
      <c r="BT74" s="136"/>
      <c r="BU74" s="136"/>
      <c r="BV74" s="136"/>
      <c r="BW74" s="136"/>
      <c r="BX74" s="136"/>
      <c r="BY74" s="136"/>
      <c r="BZ74" s="136"/>
      <c r="CA74" s="136"/>
      <c r="CB74" s="136"/>
      <c r="CC74" s="136"/>
      <c r="CD74" s="136"/>
      <c r="CE74" s="136"/>
      <c r="CF74" s="136"/>
      <c r="CG74" s="136"/>
      <c r="CH74" s="136"/>
      <c r="CI74" s="136"/>
      <c r="CJ74" s="136"/>
      <c r="CK74" s="136"/>
      <c r="CL74" s="136"/>
      <c r="CM74" s="136"/>
      <c r="CN74" s="136"/>
      <c r="CO74" s="136"/>
      <c r="CP74" s="136"/>
      <c r="CQ74" s="136"/>
      <c r="CR74" s="136"/>
      <c r="CS74" s="136"/>
      <c r="CT74" s="136"/>
      <c r="CU74" s="136"/>
      <c r="CV74" s="136"/>
      <c r="CW74" s="136"/>
      <c r="CX74" s="136"/>
      <c r="CY74" s="136"/>
      <c r="CZ74" s="136"/>
      <c r="DA74" s="136"/>
      <c r="DB74" s="136"/>
      <c r="DC74" s="136"/>
      <c r="DD74" s="136"/>
      <c r="DE74" s="136"/>
      <c r="DF74" s="136"/>
      <c r="DG74" s="136"/>
      <c r="DH74" s="136"/>
      <c r="DI74" s="136"/>
      <c r="DJ74" s="136"/>
      <c r="DK74" s="136"/>
      <c r="DL74" s="136"/>
      <c r="DM74" s="136"/>
      <c r="DN74" s="136"/>
      <c r="DO74" s="136"/>
      <c r="DP74" s="136"/>
      <c r="DQ74" s="136"/>
      <c r="DR74" s="136"/>
      <c r="DS74" s="136"/>
      <c r="DT74" s="136"/>
      <c r="DU74" s="136"/>
      <c r="DV74" s="136"/>
      <c r="DW74" s="136"/>
      <c r="DX74" s="136"/>
      <c r="DY74" s="136"/>
      <c r="DZ74" s="136"/>
      <c r="EA74" s="136"/>
      <c r="EB74" s="136"/>
      <c r="EC74" s="136"/>
      <c r="ED74" s="136"/>
      <c r="EE74" s="136"/>
      <c r="EF74" s="136"/>
      <c r="EG74" s="136"/>
      <c r="EH74" s="136"/>
      <c r="EI74" s="136"/>
      <c r="EJ74" s="136"/>
      <c r="EK74" s="136"/>
      <c r="EL74" s="136"/>
      <c r="EM74" s="136"/>
      <c r="EN74" s="136"/>
      <c r="EO74" s="136"/>
      <c r="EP74" s="136"/>
      <c r="EQ74" s="136"/>
      <c r="ER74" s="136"/>
      <c r="ES74" s="136"/>
      <c r="ET74" s="136"/>
      <c r="EU74" s="136"/>
      <c r="EV74" s="136"/>
      <c r="EW74" s="136"/>
      <c r="EX74" s="136"/>
      <c r="EY74" s="136"/>
      <c r="EZ74" s="136"/>
      <c r="FA74" s="136"/>
      <c r="FB74" s="136"/>
      <c r="FC74" s="136"/>
      <c r="FD74" s="136"/>
      <c r="FE74" s="137"/>
      <c r="FF74" s="138"/>
    </row>
    <row r="75" spans="1:162" ht="12.75" x14ac:dyDescent="0.2">
      <c r="A75" s="93">
        <v>69</v>
      </c>
      <c r="B75" s="145" t="s">
        <v>14</v>
      </c>
      <c r="C75" s="141" t="s">
        <v>866</v>
      </c>
      <c r="D75" s="142" t="s">
        <v>874</v>
      </c>
      <c r="E75" s="149" t="s">
        <v>13</v>
      </c>
      <c r="F75" s="542">
        <v>17310356</v>
      </c>
      <c r="G75" s="542">
        <v>0</v>
      </c>
      <c r="H75" s="542">
        <v>17310356</v>
      </c>
      <c r="I75" s="542">
        <v>-1225</v>
      </c>
      <c r="J75" s="542">
        <v>0</v>
      </c>
      <c r="K75" s="542">
        <v>-1225</v>
      </c>
      <c r="L75" s="542">
        <v>23343</v>
      </c>
      <c r="M75" s="542">
        <v>0</v>
      </c>
      <c r="N75" s="542">
        <v>23343</v>
      </c>
      <c r="O75" s="542">
        <v>-98053</v>
      </c>
      <c r="P75" s="542">
        <v>0</v>
      </c>
      <c r="Q75" s="542">
        <v>-98053</v>
      </c>
      <c r="R75" s="542">
        <v>0</v>
      </c>
      <c r="S75" s="542">
        <v>0</v>
      </c>
      <c r="T75" s="542">
        <v>0</v>
      </c>
      <c r="U75" s="542">
        <v>-106203</v>
      </c>
      <c r="V75" s="542">
        <v>0</v>
      </c>
      <c r="W75" s="542">
        <v>-106203</v>
      </c>
      <c r="X75" s="542">
        <v>1777428</v>
      </c>
      <c r="Y75" s="542">
        <v>0</v>
      </c>
      <c r="Z75" s="542">
        <v>1777428</v>
      </c>
      <c r="AA75" s="542">
        <v>-1500000</v>
      </c>
      <c r="AB75" s="542">
        <v>0</v>
      </c>
      <c r="AC75" s="542">
        <v>-1500000</v>
      </c>
      <c r="AD75" s="542">
        <v>17503699</v>
      </c>
      <c r="AE75" s="542">
        <v>0</v>
      </c>
      <c r="AF75" s="542">
        <v>17503699</v>
      </c>
      <c r="AG75" s="542">
        <v>0</v>
      </c>
      <c r="AH75" s="542">
        <v>0</v>
      </c>
      <c r="AI75" s="542">
        <v>0</v>
      </c>
      <c r="AJ75" s="542">
        <v>0</v>
      </c>
      <c r="AK75" s="542">
        <v>0</v>
      </c>
      <c r="AL75" s="542">
        <v>0</v>
      </c>
      <c r="AM75" s="542">
        <v>0</v>
      </c>
      <c r="AN75" s="542">
        <v>0</v>
      </c>
      <c r="AO75" s="542">
        <v>0</v>
      </c>
      <c r="AP75" s="542">
        <v>0</v>
      </c>
      <c r="AQ75" s="542">
        <v>0</v>
      </c>
      <c r="AR75" s="542">
        <v>0</v>
      </c>
      <c r="AS75" s="542">
        <v>0</v>
      </c>
      <c r="AT75" s="542">
        <v>0</v>
      </c>
      <c r="AU75" s="542">
        <v>0</v>
      </c>
      <c r="AV75" s="542">
        <v>473454</v>
      </c>
      <c r="AW75" s="542">
        <v>-113218</v>
      </c>
      <c r="AX75" s="136"/>
      <c r="AY75" s="136"/>
      <c r="AZ75" s="136"/>
      <c r="BA75" s="136"/>
      <c r="BB75" s="136"/>
      <c r="BC75" s="136"/>
      <c r="BD75" s="136"/>
      <c r="BE75" s="136"/>
      <c r="BF75" s="136"/>
      <c r="BG75" s="136"/>
      <c r="BH75" s="136"/>
      <c r="BI75" s="136"/>
      <c r="BJ75" s="136"/>
      <c r="BK75" s="136"/>
      <c r="BL75" s="136"/>
      <c r="BM75" s="136"/>
      <c r="BN75" s="136"/>
      <c r="BO75" s="136"/>
      <c r="BP75" s="136"/>
      <c r="BQ75" s="136"/>
      <c r="BR75" s="136"/>
      <c r="BS75" s="136"/>
      <c r="BT75" s="136"/>
      <c r="BU75" s="136"/>
      <c r="BV75" s="136"/>
      <c r="BW75" s="136"/>
      <c r="BX75" s="136"/>
      <c r="BY75" s="136"/>
      <c r="BZ75" s="136"/>
      <c r="CA75" s="136"/>
      <c r="CB75" s="136"/>
      <c r="CC75" s="136"/>
      <c r="CD75" s="136"/>
      <c r="CE75" s="136"/>
      <c r="CF75" s="136"/>
      <c r="CG75" s="136"/>
      <c r="CH75" s="136"/>
      <c r="CI75" s="136"/>
      <c r="CJ75" s="136"/>
      <c r="CK75" s="136"/>
      <c r="CL75" s="136"/>
      <c r="CM75" s="136"/>
      <c r="CN75" s="136"/>
      <c r="CO75" s="136"/>
      <c r="CP75" s="136"/>
      <c r="CQ75" s="136"/>
      <c r="CR75" s="136"/>
      <c r="CS75" s="136"/>
      <c r="CT75" s="136"/>
      <c r="CU75" s="136"/>
      <c r="CV75" s="136"/>
      <c r="CW75" s="136"/>
      <c r="CX75" s="136"/>
      <c r="CY75" s="136"/>
      <c r="CZ75" s="136"/>
      <c r="DA75" s="136"/>
      <c r="DB75" s="136"/>
      <c r="DC75" s="136"/>
      <c r="DD75" s="136"/>
      <c r="DE75" s="136"/>
      <c r="DF75" s="136"/>
      <c r="DG75" s="136"/>
      <c r="DH75" s="136"/>
      <c r="DI75" s="136"/>
      <c r="DJ75" s="136"/>
      <c r="DK75" s="136"/>
      <c r="DL75" s="136"/>
      <c r="DM75" s="136"/>
      <c r="DN75" s="136"/>
      <c r="DO75" s="136"/>
      <c r="DP75" s="136"/>
      <c r="DQ75" s="136"/>
      <c r="DR75" s="136"/>
      <c r="DS75" s="136"/>
      <c r="DT75" s="136"/>
      <c r="DU75" s="136"/>
      <c r="DV75" s="136"/>
      <c r="DW75" s="136"/>
      <c r="DX75" s="136"/>
      <c r="DY75" s="136"/>
      <c r="DZ75" s="136"/>
      <c r="EA75" s="136"/>
      <c r="EB75" s="136"/>
      <c r="EC75" s="136"/>
      <c r="ED75" s="136"/>
      <c r="EE75" s="136"/>
      <c r="EF75" s="136"/>
      <c r="EG75" s="136"/>
      <c r="EH75" s="136"/>
      <c r="EI75" s="136"/>
      <c r="EJ75" s="136"/>
      <c r="EK75" s="136"/>
      <c r="EL75" s="136"/>
      <c r="EM75" s="136"/>
      <c r="EN75" s="136"/>
      <c r="EO75" s="136"/>
      <c r="EP75" s="136"/>
      <c r="EQ75" s="136"/>
      <c r="ER75" s="136"/>
      <c r="ES75" s="136"/>
      <c r="ET75" s="136"/>
      <c r="EU75" s="136"/>
      <c r="EV75" s="136"/>
      <c r="EW75" s="136"/>
      <c r="EX75" s="136"/>
      <c r="EY75" s="136"/>
      <c r="EZ75" s="136"/>
      <c r="FA75" s="136"/>
      <c r="FB75" s="136"/>
      <c r="FC75" s="136"/>
      <c r="FD75" s="136"/>
      <c r="FE75" s="137"/>
      <c r="FF75" s="138"/>
    </row>
    <row r="76" spans="1:162" ht="12.75" x14ac:dyDescent="0.2">
      <c r="A76" s="93">
        <v>70</v>
      </c>
      <c r="B76" s="145" t="s">
        <v>16</v>
      </c>
      <c r="C76" s="141" t="s">
        <v>866</v>
      </c>
      <c r="D76" s="142" t="s">
        <v>867</v>
      </c>
      <c r="E76" s="149" t="s">
        <v>15</v>
      </c>
      <c r="F76" s="542">
        <v>113861271</v>
      </c>
      <c r="G76" s="542">
        <v>0</v>
      </c>
      <c r="H76" s="542">
        <v>113861271</v>
      </c>
      <c r="I76" s="542">
        <v>-2663</v>
      </c>
      <c r="J76" s="542">
        <v>0</v>
      </c>
      <c r="K76" s="542">
        <v>-2663</v>
      </c>
      <c r="L76" s="542">
        <v>0</v>
      </c>
      <c r="M76" s="542">
        <v>0</v>
      </c>
      <c r="N76" s="542">
        <v>0</v>
      </c>
      <c r="O76" s="542">
        <v>-868607</v>
      </c>
      <c r="P76" s="542">
        <v>0</v>
      </c>
      <c r="Q76" s="542">
        <v>-868607</v>
      </c>
      <c r="R76" s="542">
        <v>-2612</v>
      </c>
      <c r="S76" s="542">
        <v>0</v>
      </c>
      <c r="T76" s="542">
        <v>-2612</v>
      </c>
      <c r="U76" s="542">
        <v>-716283</v>
      </c>
      <c r="V76" s="542">
        <v>0</v>
      </c>
      <c r="W76" s="542">
        <v>-716283</v>
      </c>
      <c r="X76" s="542">
        <v>2331547</v>
      </c>
      <c r="Y76" s="542">
        <v>0</v>
      </c>
      <c r="Z76" s="542">
        <v>2331547</v>
      </c>
      <c r="AA76" s="542">
        <v>-3495193</v>
      </c>
      <c r="AB76" s="542">
        <v>0</v>
      </c>
      <c r="AC76" s="542">
        <v>-3495193</v>
      </c>
      <c r="AD76" s="542">
        <v>111976067</v>
      </c>
      <c r="AE76" s="542">
        <v>0</v>
      </c>
      <c r="AF76" s="542">
        <v>111976067</v>
      </c>
      <c r="AG76" s="542">
        <v>0</v>
      </c>
      <c r="AH76" s="542">
        <v>0</v>
      </c>
      <c r="AI76" s="542">
        <v>0</v>
      </c>
      <c r="AJ76" s="542">
        <v>0</v>
      </c>
      <c r="AK76" s="542">
        <v>0</v>
      </c>
      <c r="AL76" s="542">
        <v>0</v>
      </c>
      <c r="AM76" s="542">
        <v>0</v>
      </c>
      <c r="AN76" s="542">
        <v>0</v>
      </c>
      <c r="AO76" s="542">
        <v>0</v>
      </c>
      <c r="AP76" s="542">
        <v>0</v>
      </c>
      <c r="AQ76" s="542">
        <v>0</v>
      </c>
      <c r="AR76" s="542">
        <v>0</v>
      </c>
      <c r="AS76" s="542">
        <v>0</v>
      </c>
      <c r="AT76" s="542">
        <v>0</v>
      </c>
      <c r="AU76" s="542">
        <v>0</v>
      </c>
      <c r="AV76" s="542">
        <v>1385605</v>
      </c>
      <c r="AW76" s="542">
        <v>-2604473</v>
      </c>
      <c r="AX76" s="136"/>
      <c r="AY76" s="136"/>
      <c r="AZ76" s="136"/>
      <c r="BA76" s="136"/>
      <c r="BB76" s="136"/>
      <c r="BC76" s="136"/>
      <c r="BD76" s="136"/>
      <c r="BE76" s="136"/>
      <c r="BF76" s="136"/>
      <c r="BG76" s="136"/>
      <c r="BH76" s="136"/>
      <c r="BI76" s="136"/>
      <c r="BJ76" s="136"/>
      <c r="BK76" s="136"/>
      <c r="BL76" s="136"/>
      <c r="BM76" s="136"/>
      <c r="BN76" s="136"/>
      <c r="BO76" s="136"/>
      <c r="BP76" s="136"/>
      <c r="BQ76" s="136"/>
      <c r="BR76" s="136"/>
      <c r="BS76" s="136"/>
      <c r="BT76" s="136"/>
      <c r="BU76" s="136"/>
      <c r="BV76" s="136"/>
      <c r="BW76" s="136"/>
      <c r="BX76" s="136"/>
      <c r="BY76" s="136"/>
      <c r="BZ76" s="136"/>
      <c r="CA76" s="136"/>
      <c r="CB76" s="136"/>
      <c r="CC76" s="136"/>
      <c r="CD76" s="136"/>
      <c r="CE76" s="136"/>
      <c r="CF76" s="136"/>
      <c r="CG76" s="136"/>
      <c r="CH76" s="136"/>
      <c r="CI76" s="136"/>
      <c r="CJ76" s="136"/>
      <c r="CK76" s="136"/>
      <c r="CL76" s="136"/>
      <c r="CM76" s="136"/>
      <c r="CN76" s="136"/>
      <c r="CO76" s="136"/>
      <c r="CP76" s="136"/>
      <c r="CQ76" s="136"/>
      <c r="CR76" s="136"/>
      <c r="CS76" s="136"/>
      <c r="CT76" s="136"/>
      <c r="CU76" s="136"/>
      <c r="CV76" s="136"/>
      <c r="CW76" s="136"/>
      <c r="CX76" s="136"/>
      <c r="CY76" s="136"/>
      <c r="CZ76" s="136"/>
      <c r="DA76" s="136"/>
      <c r="DB76" s="136"/>
      <c r="DC76" s="136"/>
      <c r="DD76" s="136"/>
      <c r="DE76" s="136"/>
      <c r="DF76" s="136"/>
      <c r="DG76" s="136"/>
      <c r="DH76" s="136"/>
      <c r="DI76" s="136"/>
      <c r="DJ76" s="136"/>
      <c r="DK76" s="136"/>
      <c r="DL76" s="136"/>
      <c r="DM76" s="136"/>
      <c r="DN76" s="136"/>
      <c r="DO76" s="136"/>
      <c r="DP76" s="136"/>
      <c r="DQ76" s="136"/>
      <c r="DR76" s="136"/>
      <c r="DS76" s="136"/>
      <c r="DT76" s="136"/>
      <c r="DU76" s="136"/>
      <c r="DV76" s="136"/>
      <c r="DW76" s="136"/>
      <c r="DX76" s="136"/>
      <c r="DY76" s="136"/>
      <c r="DZ76" s="136"/>
      <c r="EA76" s="136"/>
      <c r="EB76" s="136"/>
      <c r="EC76" s="136"/>
      <c r="ED76" s="136"/>
      <c r="EE76" s="136"/>
      <c r="EF76" s="136"/>
      <c r="EG76" s="136"/>
      <c r="EH76" s="136"/>
      <c r="EI76" s="136"/>
      <c r="EJ76" s="136"/>
      <c r="EK76" s="136"/>
      <c r="EL76" s="136"/>
      <c r="EM76" s="136"/>
      <c r="EN76" s="136"/>
      <c r="EO76" s="136"/>
      <c r="EP76" s="136"/>
      <c r="EQ76" s="136"/>
      <c r="ER76" s="136"/>
      <c r="ES76" s="136"/>
      <c r="ET76" s="136"/>
      <c r="EU76" s="136"/>
      <c r="EV76" s="136"/>
      <c r="EW76" s="136"/>
      <c r="EX76" s="136"/>
      <c r="EY76" s="136"/>
      <c r="EZ76" s="136"/>
      <c r="FA76" s="136"/>
      <c r="FB76" s="136"/>
      <c r="FC76" s="136"/>
      <c r="FD76" s="136"/>
      <c r="FE76" s="137"/>
      <c r="FF76" s="138"/>
    </row>
    <row r="77" spans="1:162" ht="12.75" x14ac:dyDescent="0.2">
      <c r="A77" s="93">
        <v>71</v>
      </c>
      <c r="B77" s="145" t="s">
        <v>18</v>
      </c>
      <c r="C77" s="141" t="s">
        <v>871</v>
      </c>
      <c r="D77" s="142" t="s">
        <v>872</v>
      </c>
      <c r="E77" s="149" t="s">
        <v>17</v>
      </c>
      <c r="F77" s="542">
        <v>110972900</v>
      </c>
      <c r="G77" s="542">
        <v>0</v>
      </c>
      <c r="H77" s="542">
        <v>110972900</v>
      </c>
      <c r="I77" s="542">
        <v>0</v>
      </c>
      <c r="J77" s="542">
        <v>0</v>
      </c>
      <c r="K77" s="542">
        <v>0</v>
      </c>
      <c r="L77" s="542">
        <v>0</v>
      </c>
      <c r="M77" s="542">
        <v>0</v>
      </c>
      <c r="N77" s="542">
        <v>0</v>
      </c>
      <c r="O77" s="542">
        <v>-4499377</v>
      </c>
      <c r="P77" s="542">
        <v>0</v>
      </c>
      <c r="Q77" s="542">
        <v>-4499377</v>
      </c>
      <c r="R77" s="542">
        <v>0</v>
      </c>
      <c r="S77" s="542">
        <v>0</v>
      </c>
      <c r="T77" s="542">
        <v>0</v>
      </c>
      <c r="U77" s="542">
        <v>-5086257</v>
      </c>
      <c r="V77" s="542">
        <v>0</v>
      </c>
      <c r="W77" s="542">
        <v>-5086257</v>
      </c>
      <c r="X77" s="542">
        <v>6899570</v>
      </c>
      <c r="Y77" s="542">
        <v>0</v>
      </c>
      <c r="Z77" s="542">
        <v>6899570</v>
      </c>
      <c r="AA77" s="542">
        <v>-7903570</v>
      </c>
      <c r="AB77" s="542">
        <v>0</v>
      </c>
      <c r="AC77" s="542">
        <v>-7903570</v>
      </c>
      <c r="AD77" s="542">
        <v>104882643</v>
      </c>
      <c r="AE77" s="542">
        <v>0</v>
      </c>
      <c r="AF77" s="542">
        <v>104882643</v>
      </c>
      <c r="AG77" s="542">
        <v>0</v>
      </c>
      <c r="AH77" s="542">
        <v>0</v>
      </c>
      <c r="AI77" s="542">
        <v>0</v>
      </c>
      <c r="AJ77" s="542">
        <v>0</v>
      </c>
      <c r="AK77" s="542">
        <v>0</v>
      </c>
      <c r="AL77" s="542">
        <v>0</v>
      </c>
      <c r="AM77" s="542">
        <v>0</v>
      </c>
      <c r="AN77" s="542">
        <v>0</v>
      </c>
      <c r="AO77" s="542">
        <v>0</v>
      </c>
      <c r="AP77" s="542">
        <v>0</v>
      </c>
      <c r="AQ77" s="542">
        <v>0</v>
      </c>
      <c r="AR77" s="542">
        <v>0</v>
      </c>
      <c r="AS77" s="542">
        <v>0</v>
      </c>
      <c r="AT77" s="542">
        <v>0</v>
      </c>
      <c r="AU77" s="542">
        <v>0</v>
      </c>
      <c r="AV77" s="542">
        <v>11097760</v>
      </c>
      <c r="AW77" s="542">
        <v>-3519290</v>
      </c>
      <c r="AX77" s="136"/>
      <c r="AY77" s="136"/>
      <c r="AZ77" s="136"/>
      <c r="BA77" s="136"/>
      <c r="BB77" s="136"/>
      <c r="BC77" s="136"/>
      <c r="BD77" s="136"/>
      <c r="BE77" s="136"/>
      <c r="BF77" s="136"/>
      <c r="BG77" s="136"/>
      <c r="BH77" s="136"/>
      <c r="BI77" s="136"/>
      <c r="BJ77" s="136"/>
      <c r="BK77" s="136"/>
      <c r="BL77" s="136"/>
      <c r="BM77" s="136"/>
      <c r="BN77" s="136"/>
      <c r="BO77" s="136"/>
      <c r="BP77" s="136"/>
      <c r="BQ77" s="136"/>
      <c r="BR77" s="136"/>
      <c r="BS77" s="136"/>
      <c r="BT77" s="136"/>
      <c r="BU77" s="136"/>
      <c r="BV77" s="136"/>
      <c r="BW77" s="136"/>
      <c r="BX77" s="136"/>
      <c r="BY77" s="136"/>
      <c r="BZ77" s="136"/>
      <c r="CA77" s="136"/>
      <c r="CB77" s="136"/>
      <c r="CC77" s="136"/>
      <c r="CD77" s="136"/>
      <c r="CE77" s="136"/>
      <c r="CF77" s="136"/>
      <c r="CG77" s="136"/>
      <c r="CH77" s="136"/>
      <c r="CI77" s="136"/>
      <c r="CJ77" s="136"/>
      <c r="CK77" s="136"/>
      <c r="CL77" s="136"/>
      <c r="CM77" s="136"/>
      <c r="CN77" s="136"/>
      <c r="CO77" s="136"/>
      <c r="CP77" s="136"/>
      <c r="CQ77" s="136"/>
      <c r="CR77" s="136"/>
      <c r="CS77" s="136"/>
      <c r="CT77" s="136"/>
      <c r="CU77" s="136"/>
      <c r="CV77" s="136"/>
      <c r="CW77" s="136"/>
      <c r="CX77" s="136"/>
      <c r="CY77" s="136"/>
      <c r="CZ77" s="136"/>
      <c r="DA77" s="136"/>
      <c r="DB77" s="136"/>
      <c r="DC77" s="136"/>
      <c r="DD77" s="136"/>
      <c r="DE77" s="136"/>
      <c r="DF77" s="136"/>
      <c r="DG77" s="136"/>
      <c r="DH77" s="136"/>
      <c r="DI77" s="136"/>
      <c r="DJ77" s="136"/>
      <c r="DK77" s="136"/>
      <c r="DL77" s="136"/>
      <c r="DM77" s="136"/>
      <c r="DN77" s="136"/>
      <c r="DO77" s="136"/>
      <c r="DP77" s="136"/>
      <c r="DQ77" s="136"/>
      <c r="DR77" s="136"/>
      <c r="DS77" s="136"/>
      <c r="DT77" s="136"/>
      <c r="DU77" s="136"/>
      <c r="DV77" s="136"/>
      <c r="DW77" s="136"/>
      <c r="DX77" s="136"/>
      <c r="DY77" s="136"/>
      <c r="DZ77" s="136"/>
      <c r="EA77" s="136"/>
      <c r="EB77" s="136"/>
      <c r="EC77" s="136"/>
      <c r="ED77" s="136"/>
      <c r="EE77" s="136"/>
      <c r="EF77" s="136"/>
      <c r="EG77" s="136"/>
      <c r="EH77" s="136"/>
      <c r="EI77" s="136"/>
      <c r="EJ77" s="136"/>
      <c r="EK77" s="136"/>
      <c r="EL77" s="136"/>
      <c r="EM77" s="136"/>
      <c r="EN77" s="136"/>
      <c r="EO77" s="136"/>
      <c r="EP77" s="136"/>
      <c r="EQ77" s="136"/>
      <c r="ER77" s="136"/>
      <c r="ES77" s="136"/>
      <c r="ET77" s="136"/>
      <c r="EU77" s="136"/>
      <c r="EV77" s="136"/>
      <c r="EW77" s="136"/>
      <c r="EX77" s="136"/>
      <c r="EY77" s="136"/>
      <c r="EZ77" s="136"/>
      <c r="FA77" s="136"/>
      <c r="FB77" s="136"/>
      <c r="FC77" s="136"/>
      <c r="FD77" s="136"/>
      <c r="FE77" s="137"/>
      <c r="FF77" s="138"/>
    </row>
    <row r="78" spans="1:162" ht="12.75" x14ac:dyDescent="0.2">
      <c r="A78" s="93">
        <v>72</v>
      </c>
      <c r="B78" s="145" t="s">
        <v>20</v>
      </c>
      <c r="C78" s="141" t="s">
        <v>866</v>
      </c>
      <c r="D78" s="142" t="s">
        <v>870</v>
      </c>
      <c r="E78" s="149" t="s">
        <v>19</v>
      </c>
      <c r="F78" s="542">
        <v>61975923</v>
      </c>
      <c r="G78" s="542">
        <v>0</v>
      </c>
      <c r="H78" s="542">
        <v>61975923</v>
      </c>
      <c r="I78" s="542">
        <v>-382</v>
      </c>
      <c r="J78" s="542">
        <v>0</v>
      </c>
      <c r="K78" s="542">
        <v>-382</v>
      </c>
      <c r="L78" s="542">
        <v>113857</v>
      </c>
      <c r="M78" s="542">
        <v>0</v>
      </c>
      <c r="N78" s="542">
        <v>113857</v>
      </c>
      <c r="O78" s="542">
        <v>-171753</v>
      </c>
      <c r="P78" s="542">
        <v>0</v>
      </c>
      <c r="Q78" s="542">
        <v>-171753</v>
      </c>
      <c r="R78" s="542">
        <v>0</v>
      </c>
      <c r="S78" s="542">
        <v>0</v>
      </c>
      <c r="T78" s="542">
        <v>0</v>
      </c>
      <c r="U78" s="542">
        <v>-480942</v>
      </c>
      <c r="V78" s="542">
        <v>0</v>
      </c>
      <c r="W78" s="542">
        <v>-480942</v>
      </c>
      <c r="X78" s="542">
        <v>659617</v>
      </c>
      <c r="Y78" s="542">
        <v>0</v>
      </c>
      <c r="Z78" s="542">
        <v>659617</v>
      </c>
      <c r="AA78" s="542">
        <v>-6661905</v>
      </c>
      <c r="AB78" s="542">
        <v>0</v>
      </c>
      <c r="AC78" s="542">
        <v>-6661905</v>
      </c>
      <c r="AD78" s="542">
        <v>55606168</v>
      </c>
      <c r="AE78" s="542">
        <v>0</v>
      </c>
      <c r="AF78" s="542">
        <v>55606168</v>
      </c>
      <c r="AG78" s="542">
        <v>0</v>
      </c>
      <c r="AH78" s="542">
        <v>0</v>
      </c>
      <c r="AI78" s="542">
        <v>0</v>
      </c>
      <c r="AJ78" s="542">
        <v>0</v>
      </c>
      <c r="AK78" s="542">
        <v>0</v>
      </c>
      <c r="AL78" s="542">
        <v>0</v>
      </c>
      <c r="AM78" s="542">
        <v>0</v>
      </c>
      <c r="AN78" s="542">
        <v>0</v>
      </c>
      <c r="AO78" s="542">
        <v>0</v>
      </c>
      <c r="AP78" s="542">
        <v>0</v>
      </c>
      <c r="AQ78" s="542">
        <v>0</v>
      </c>
      <c r="AR78" s="542">
        <v>0</v>
      </c>
      <c r="AS78" s="542">
        <v>0</v>
      </c>
      <c r="AT78" s="542">
        <v>0</v>
      </c>
      <c r="AU78" s="542">
        <v>0</v>
      </c>
      <c r="AV78" s="542">
        <v>3455355</v>
      </c>
      <c r="AW78" s="542">
        <v>-1496260</v>
      </c>
      <c r="AX78" s="136"/>
      <c r="AY78" s="136"/>
      <c r="AZ78" s="136"/>
      <c r="BA78" s="136"/>
      <c r="BB78" s="136"/>
      <c r="BC78" s="136"/>
      <c r="BD78" s="136"/>
      <c r="BE78" s="136"/>
      <c r="BF78" s="136"/>
      <c r="BG78" s="136"/>
      <c r="BH78" s="136"/>
      <c r="BI78" s="136"/>
      <c r="BJ78" s="136"/>
      <c r="BK78" s="136"/>
      <c r="BL78" s="136"/>
      <c r="BM78" s="136"/>
      <c r="BN78" s="136"/>
      <c r="BO78" s="136"/>
      <c r="BP78" s="136"/>
      <c r="BQ78" s="136"/>
      <c r="BR78" s="136"/>
      <c r="BS78" s="136"/>
      <c r="BT78" s="136"/>
      <c r="BU78" s="136"/>
      <c r="BV78" s="136"/>
      <c r="BW78" s="136"/>
      <c r="BX78" s="136"/>
      <c r="BY78" s="136"/>
      <c r="BZ78" s="136"/>
      <c r="CA78" s="136"/>
      <c r="CB78" s="136"/>
      <c r="CC78" s="136"/>
      <c r="CD78" s="136"/>
      <c r="CE78" s="136"/>
      <c r="CF78" s="136"/>
      <c r="CG78" s="136"/>
      <c r="CH78" s="136"/>
      <c r="CI78" s="136"/>
      <c r="CJ78" s="136"/>
      <c r="CK78" s="136"/>
      <c r="CL78" s="136"/>
      <c r="CM78" s="136"/>
      <c r="CN78" s="136"/>
      <c r="CO78" s="136"/>
      <c r="CP78" s="136"/>
      <c r="CQ78" s="136"/>
      <c r="CR78" s="136"/>
      <c r="CS78" s="136"/>
      <c r="CT78" s="136"/>
      <c r="CU78" s="136"/>
      <c r="CV78" s="136"/>
      <c r="CW78" s="136"/>
      <c r="CX78" s="136"/>
      <c r="CY78" s="136"/>
      <c r="CZ78" s="136"/>
      <c r="DA78" s="136"/>
      <c r="DB78" s="136"/>
      <c r="DC78" s="136"/>
      <c r="DD78" s="136"/>
      <c r="DE78" s="136"/>
      <c r="DF78" s="136"/>
      <c r="DG78" s="136"/>
      <c r="DH78" s="136"/>
      <c r="DI78" s="136"/>
      <c r="DJ78" s="136"/>
      <c r="DK78" s="136"/>
      <c r="DL78" s="136"/>
      <c r="DM78" s="136"/>
      <c r="DN78" s="136"/>
      <c r="DO78" s="136"/>
      <c r="DP78" s="136"/>
      <c r="DQ78" s="136"/>
      <c r="DR78" s="136"/>
      <c r="DS78" s="136"/>
      <c r="DT78" s="136"/>
      <c r="DU78" s="136"/>
      <c r="DV78" s="136"/>
      <c r="DW78" s="136"/>
      <c r="DX78" s="136"/>
      <c r="DY78" s="136"/>
      <c r="DZ78" s="136"/>
      <c r="EA78" s="136"/>
      <c r="EB78" s="136"/>
      <c r="EC78" s="136"/>
      <c r="ED78" s="136"/>
      <c r="EE78" s="136"/>
      <c r="EF78" s="136"/>
      <c r="EG78" s="136"/>
      <c r="EH78" s="136"/>
      <c r="EI78" s="136"/>
      <c r="EJ78" s="136"/>
      <c r="EK78" s="136"/>
      <c r="EL78" s="136"/>
      <c r="EM78" s="136"/>
      <c r="EN78" s="136"/>
      <c r="EO78" s="136"/>
      <c r="EP78" s="136"/>
      <c r="EQ78" s="136"/>
      <c r="ER78" s="136"/>
      <c r="ES78" s="136"/>
      <c r="ET78" s="136"/>
      <c r="EU78" s="136"/>
      <c r="EV78" s="136"/>
      <c r="EW78" s="136"/>
      <c r="EX78" s="136"/>
      <c r="EY78" s="136"/>
      <c r="EZ78" s="136"/>
      <c r="FA78" s="136"/>
      <c r="FB78" s="136"/>
      <c r="FC78" s="136"/>
      <c r="FD78" s="136"/>
      <c r="FE78" s="137"/>
      <c r="FF78" s="138"/>
    </row>
    <row r="79" spans="1:162" ht="12.75" x14ac:dyDescent="0.2">
      <c r="A79" s="93">
        <v>73</v>
      </c>
      <c r="B79" s="145" t="s">
        <v>22</v>
      </c>
      <c r="C79" s="141" t="s">
        <v>770</v>
      </c>
      <c r="D79" s="142" t="s">
        <v>878</v>
      </c>
      <c r="E79" s="149" t="s">
        <v>694</v>
      </c>
      <c r="F79" s="542">
        <v>34400399</v>
      </c>
      <c r="G79" s="542">
        <v>0</v>
      </c>
      <c r="H79" s="542">
        <v>34400399</v>
      </c>
      <c r="I79" s="542">
        <v>0</v>
      </c>
      <c r="J79" s="542">
        <v>0</v>
      </c>
      <c r="K79" s="542">
        <v>0</v>
      </c>
      <c r="L79" s="542">
        <v>0</v>
      </c>
      <c r="M79" s="542">
        <v>0</v>
      </c>
      <c r="N79" s="542">
        <v>0</v>
      </c>
      <c r="O79" s="542">
        <v>-551262</v>
      </c>
      <c r="P79" s="542">
        <v>0</v>
      </c>
      <c r="Q79" s="542">
        <v>-551262</v>
      </c>
      <c r="R79" s="542">
        <v>0</v>
      </c>
      <c r="S79" s="542">
        <v>0</v>
      </c>
      <c r="T79" s="542">
        <v>0</v>
      </c>
      <c r="U79" s="542">
        <v>-561752</v>
      </c>
      <c r="V79" s="542">
        <v>0</v>
      </c>
      <c r="W79" s="542">
        <v>-561752</v>
      </c>
      <c r="X79" s="542">
        <v>1833424</v>
      </c>
      <c r="Y79" s="542">
        <v>0</v>
      </c>
      <c r="Z79" s="542">
        <v>1833424</v>
      </c>
      <c r="AA79" s="542">
        <v>-1173251</v>
      </c>
      <c r="AB79" s="542">
        <v>0</v>
      </c>
      <c r="AC79" s="542">
        <v>-1173251</v>
      </c>
      <c r="AD79" s="542">
        <v>34498820</v>
      </c>
      <c r="AE79" s="542">
        <v>0</v>
      </c>
      <c r="AF79" s="542">
        <v>34498820</v>
      </c>
      <c r="AG79" s="542">
        <v>0</v>
      </c>
      <c r="AH79" s="542">
        <v>0</v>
      </c>
      <c r="AI79" s="542">
        <v>0</v>
      </c>
      <c r="AJ79" s="542">
        <v>0</v>
      </c>
      <c r="AK79" s="542">
        <v>0</v>
      </c>
      <c r="AL79" s="542">
        <v>0</v>
      </c>
      <c r="AM79" s="542">
        <v>0</v>
      </c>
      <c r="AN79" s="542">
        <v>0</v>
      </c>
      <c r="AO79" s="542">
        <v>0</v>
      </c>
      <c r="AP79" s="542">
        <v>0</v>
      </c>
      <c r="AQ79" s="542">
        <v>0</v>
      </c>
      <c r="AR79" s="542">
        <v>0</v>
      </c>
      <c r="AS79" s="542">
        <v>0</v>
      </c>
      <c r="AT79" s="542">
        <v>0</v>
      </c>
      <c r="AU79" s="542">
        <v>0</v>
      </c>
      <c r="AV79" s="542">
        <v>2063084</v>
      </c>
      <c r="AW79" s="542">
        <v>-694681</v>
      </c>
      <c r="AX79" s="136"/>
      <c r="AY79" s="136"/>
      <c r="AZ79" s="136"/>
      <c r="BA79" s="136"/>
      <c r="BB79" s="136"/>
      <c r="BC79" s="136"/>
      <c r="BD79" s="136"/>
      <c r="BE79" s="136"/>
      <c r="BF79" s="136"/>
      <c r="BG79" s="136"/>
      <c r="BH79" s="136"/>
      <c r="BI79" s="136"/>
      <c r="BJ79" s="136"/>
      <c r="BK79" s="136"/>
      <c r="BL79" s="136"/>
      <c r="BM79" s="136"/>
      <c r="BN79" s="136"/>
      <c r="BO79" s="136"/>
      <c r="BP79" s="136"/>
      <c r="BQ79" s="136"/>
      <c r="BR79" s="136"/>
      <c r="BS79" s="136"/>
      <c r="BT79" s="136"/>
      <c r="BU79" s="136"/>
      <c r="BV79" s="136"/>
      <c r="BW79" s="136"/>
      <c r="BX79" s="136"/>
      <c r="BY79" s="136"/>
      <c r="BZ79" s="136"/>
      <c r="CA79" s="136"/>
      <c r="CB79" s="136"/>
      <c r="CC79" s="136"/>
      <c r="CD79" s="136"/>
      <c r="CE79" s="136"/>
      <c r="CF79" s="136"/>
      <c r="CG79" s="136"/>
      <c r="CH79" s="136"/>
      <c r="CI79" s="136"/>
      <c r="CJ79" s="136"/>
      <c r="CK79" s="136"/>
      <c r="CL79" s="136"/>
      <c r="CM79" s="136"/>
      <c r="CN79" s="136"/>
      <c r="CO79" s="136"/>
      <c r="CP79" s="136"/>
      <c r="CQ79" s="136"/>
      <c r="CR79" s="136"/>
      <c r="CS79" s="136"/>
      <c r="CT79" s="136"/>
      <c r="CU79" s="136"/>
      <c r="CV79" s="136"/>
      <c r="CW79" s="136"/>
      <c r="CX79" s="136"/>
      <c r="CY79" s="136"/>
      <c r="CZ79" s="136"/>
      <c r="DA79" s="136"/>
      <c r="DB79" s="136"/>
      <c r="DC79" s="136"/>
      <c r="DD79" s="136"/>
      <c r="DE79" s="136"/>
      <c r="DF79" s="136"/>
      <c r="DG79" s="136"/>
      <c r="DH79" s="136"/>
      <c r="DI79" s="136"/>
      <c r="DJ79" s="136"/>
      <c r="DK79" s="136"/>
      <c r="DL79" s="136"/>
      <c r="DM79" s="136"/>
      <c r="DN79" s="136"/>
      <c r="DO79" s="136"/>
      <c r="DP79" s="136"/>
      <c r="DQ79" s="136"/>
      <c r="DR79" s="136"/>
      <c r="DS79" s="136"/>
      <c r="DT79" s="136"/>
      <c r="DU79" s="136"/>
      <c r="DV79" s="136"/>
      <c r="DW79" s="136"/>
      <c r="DX79" s="136"/>
      <c r="DY79" s="136"/>
      <c r="DZ79" s="136"/>
      <c r="EA79" s="136"/>
      <c r="EB79" s="136"/>
      <c r="EC79" s="136"/>
      <c r="ED79" s="136"/>
      <c r="EE79" s="136"/>
      <c r="EF79" s="136"/>
      <c r="EG79" s="136"/>
      <c r="EH79" s="136"/>
      <c r="EI79" s="136"/>
      <c r="EJ79" s="136"/>
      <c r="EK79" s="136"/>
      <c r="EL79" s="136"/>
      <c r="EM79" s="136"/>
      <c r="EN79" s="136"/>
      <c r="EO79" s="136"/>
      <c r="EP79" s="136"/>
      <c r="EQ79" s="136"/>
      <c r="ER79" s="136"/>
      <c r="ES79" s="136"/>
      <c r="ET79" s="136"/>
      <c r="EU79" s="136"/>
      <c r="EV79" s="136"/>
      <c r="EW79" s="136"/>
      <c r="EX79" s="136"/>
      <c r="EY79" s="136"/>
      <c r="EZ79" s="136"/>
      <c r="FA79" s="136"/>
      <c r="FB79" s="136"/>
      <c r="FC79" s="136"/>
      <c r="FD79" s="136"/>
      <c r="FE79" s="137"/>
      <c r="FF79" s="138"/>
    </row>
    <row r="80" spans="1:162" ht="12.75" x14ac:dyDescent="0.2">
      <c r="A80" s="93">
        <v>74</v>
      </c>
      <c r="B80" s="145" t="s">
        <v>24</v>
      </c>
      <c r="C80" s="141" t="s">
        <v>866</v>
      </c>
      <c r="D80" s="142" t="s">
        <v>867</v>
      </c>
      <c r="E80" s="149" t="s">
        <v>23</v>
      </c>
      <c r="F80" s="542">
        <v>84472940</v>
      </c>
      <c r="G80" s="542">
        <v>0</v>
      </c>
      <c r="H80" s="542">
        <v>84472940</v>
      </c>
      <c r="I80" s="542">
        <v>-7028</v>
      </c>
      <c r="J80" s="542">
        <v>0</v>
      </c>
      <c r="K80" s="542">
        <v>-7028</v>
      </c>
      <c r="L80" s="542">
        <v>483328</v>
      </c>
      <c r="M80" s="542">
        <v>0</v>
      </c>
      <c r="N80" s="542">
        <v>483328</v>
      </c>
      <c r="O80" s="542">
        <v>-455392</v>
      </c>
      <c r="P80" s="542">
        <v>0</v>
      </c>
      <c r="Q80" s="542">
        <v>-455392</v>
      </c>
      <c r="R80" s="542">
        <v>0</v>
      </c>
      <c r="S80" s="542">
        <v>0</v>
      </c>
      <c r="T80" s="542">
        <v>0</v>
      </c>
      <c r="U80" s="542">
        <v>-553937</v>
      </c>
      <c r="V80" s="542">
        <v>0</v>
      </c>
      <c r="W80" s="542">
        <v>-553937</v>
      </c>
      <c r="X80" s="542">
        <v>3830420</v>
      </c>
      <c r="Y80" s="542">
        <v>0</v>
      </c>
      <c r="Z80" s="542">
        <v>3830420</v>
      </c>
      <c r="AA80" s="542">
        <v>-5680431</v>
      </c>
      <c r="AB80" s="542">
        <v>0</v>
      </c>
      <c r="AC80" s="542">
        <v>-5680431</v>
      </c>
      <c r="AD80" s="542">
        <v>82545292</v>
      </c>
      <c r="AE80" s="542">
        <v>0</v>
      </c>
      <c r="AF80" s="542">
        <v>82545292</v>
      </c>
      <c r="AG80" s="542">
        <v>0</v>
      </c>
      <c r="AH80" s="542">
        <v>0</v>
      </c>
      <c r="AI80" s="542">
        <v>0</v>
      </c>
      <c r="AJ80" s="542">
        <v>0</v>
      </c>
      <c r="AK80" s="542">
        <v>0</v>
      </c>
      <c r="AL80" s="542">
        <v>0</v>
      </c>
      <c r="AM80" s="542">
        <v>0</v>
      </c>
      <c r="AN80" s="542">
        <v>0</v>
      </c>
      <c r="AO80" s="542">
        <v>0</v>
      </c>
      <c r="AP80" s="542">
        <v>0</v>
      </c>
      <c r="AQ80" s="542">
        <v>0</v>
      </c>
      <c r="AR80" s="542">
        <v>0</v>
      </c>
      <c r="AS80" s="542">
        <v>0</v>
      </c>
      <c r="AT80" s="542">
        <v>0</v>
      </c>
      <c r="AU80" s="542">
        <v>0</v>
      </c>
      <c r="AV80" s="542">
        <v>2863758</v>
      </c>
      <c r="AW80" s="542">
        <v>-5320317</v>
      </c>
      <c r="AX80" s="136"/>
      <c r="AY80" s="136"/>
      <c r="AZ80" s="136"/>
      <c r="BA80" s="136"/>
      <c r="BB80" s="136"/>
      <c r="BC80" s="136"/>
      <c r="BD80" s="136"/>
      <c r="BE80" s="136"/>
      <c r="BF80" s="136"/>
      <c r="BG80" s="136"/>
      <c r="BH80" s="136"/>
      <c r="BI80" s="136"/>
      <c r="BJ80" s="136"/>
      <c r="BK80" s="136"/>
      <c r="BL80" s="136"/>
      <c r="BM80" s="136"/>
      <c r="BN80" s="136"/>
      <c r="BO80" s="136"/>
      <c r="BP80" s="136"/>
      <c r="BQ80" s="136"/>
      <c r="BR80" s="136"/>
      <c r="BS80" s="136"/>
      <c r="BT80" s="136"/>
      <c r="BU80" s="136"/>
      <c r="BV80" s="136"/>
      <c r="BW80" s="136"/>
      <c r="BX80" s="136"/>
      <c r="BY80" s="136"/>
      <c r="BZ80" s="136"/>
      <c r="CA80" s="136"/>
      <c r="CB80" s="136"/>
      <c r="CC80" s="136"/>
      <c r="CD80" s="136"/>
      <c r="CE80" s="136"/>
      <c r="CF80" s="136"/>
      <c r="CG80" s="136"/>
      <c r="CH80" s="136"/>
      <c r="CI80" s="136"/>
      <c r="CJ80" s="136"/>
      <c r="CK80" s="136"/>
      <c r="CL80" s="136"/>
      <c r="CM80" s="136"/>
      <c r="CN80" s="136"/>
      <c r="CO80" s="136"/>
      <c r="CP80" s="136"/>
      <c r="CQ80" s="136"/>
      <c r="CR80" s="136"/>
      <c r="CS80" s="136"/>
      <c r="CT80" s="136"/>
      <c r="CU80" s="136"/>
      <c r="CV80" s="136"/>
      <c r="CW80" s="136"/>
      <c r="CX80" s="136"/>
      <c r="CY80" s="136"/>
      <c r="CZ80" s="136"/>
      <c r="DA80" s="136"/>
      <c r="DB80" s="136"/>
      <c r="DC80" s="136"/>
      <c r="DD80" s="136"/>
      <c r="DE80" s="136"/>
      <c r="DF80" s="136"/>
      <c r="DG80" s="136"/>
      <c r="DH80" s="136"/>
      <c r="DI80" s="136"/>
      <c r="DJ80" s="136"/>
      <c r="DK80" s="136"/>
      <c r="DL80" s="136"/>
      <c r="DM80" s="136"/>
      <c r="DN80" s="136"/>
      <c r="DO80" s="136"/>
      <c r="DP80" s="136"/>
      <c r="DQ80" s="136"/>
      <c r="DR80" s="136"/>
      <c r="DS80" s="136"/>
      <c r="DT80" s="136"/>
      <c r="DU80" s="136"/>
      <c r="DV80" s="136"/>
      <c r="DW80" s="136"/>
      <c r="DX80" s="136"/>
      <c r="DY80" s="136"/>
      <c r="DZ80" s="136"/>
      <c r="EA80" s="136"/>
      <c r="EB80" s="136"/>
      <c r="EC80" s="136"/>
      <c r="ED80" s="136"/>
      <c r="EE80" s="136"/>
      <c r="EF80" s="136"/>
      <c r="EG80" s="136"/>
      <c r="EH80" s="136"/>
      <c r="EI80" s="136"/>
      <c r="EJ80" s="136"/>
      <c r="EK80" s="136"/>
      <c r="EL80" s="136"/>
      <c r="EM80" s="136"/>
      <c r="EN80" s="136"/>
      <c r="EO80" s="136"/>
      <c r="EP80" s="136"/>
      <c r="EQ80" s="136"/>
      <c r="ER80" s="136"/>
      <c r="ES80" s="136"/>
      <c r="ET80" s="136"/>
      <c r="EU80" s="136"/>
      <c r="EV80" s="136"/>
      <c r="EW80" s="136"/>
      <c r="EX80" s="136"/>
      <c r="EY80" s="136"/>
      <c r="EZ80" s="136"/>
      <c r="FA80" s="136"/>
      <c r="FB80" s="136"/>
      <c r="FC80" s="136"/>
      <c r="FD80" s="136"/>
      <c r="FE80" s="137"/>
      <c r="FF80" s="138"/>
    </row>
    <row r="81" spans="1:162" ht="12.75" x14ac:dyDescent="0.2">
      <c r="A81" s="93">
        <v>75</v>
      </c>
      <c r="B81" s="145" t="s">
        <v>26</v>
      </c>
      <c r="C81" s="141" t="s">
        <v>866</v>
      </c>
      <c r="D81" s="142" t="s">
        <v>869</v>
      </c>
      <c r="E81" s="149" t="s">
        <v>25</v>
      </c>
      <c r="F81" s="542">
        <v>39466088</v>
      </c>
      <c r="G81" s="542">
        <v>0</v>
      </c>
      <c r="H81" s="542">
        <v>39466088</v>
      </c>
      <c r="I81" s="542">
        <v>0</v>
      </c>
      <c r="J81" s="542">
        <v>0</v>
      </c>
      <c r="K81" s="542">
        <v>0</v>
      </c>
      <c r="L81" s="542">
        <v>219202</v>
      </c>
      <c r="M81" s="542">
        <v>0</v>
      </c>
      <c r="N81" s="542">
        <v>219202</v>
      </c>
      <c r="O81" s="542">
        <v>-69834</v>
      </c>
      <c r="P81" s="542">
        <v>0</v>
      </c>
      <c r="Q81" s="542">
        <v>-69834</v>
      </c>
      <c r="R81" s="542">
        <v>0</v>
      </c>
      <c r="S81" s="542">
        <v>0</v>
      </c>
      <c r="T81" s="542">
        <v>0</v>
      </c>
      <c r="U81" s="542">
        <v>195478</v>
      </c>
      <c r="V81" s="542">
        <v>0</v>
      </c>
      <c r="W81" s="542">
        <v>195478</v>
      </c>
      <c r="X81" s="542">
        <v>1187985</v>
      </c>
      <c r="Y81" s="542">
        <v>0</v>
      </c>
      <c r="Z81" s="542">
        <v>1187985</v>
      </c>
      <c r="AA81" s="542">
        <v>-4984932</v>
      </c>
      <c r="AB81" s="542">
        <v>0</v>
      </c>
      <c r="AC81" s="542">
        <v>-4984932</v>
      </c>
      <c r="AD81" s="542">
        <v>36083821</v>
      </c>
      <c r="AE81" s="542">
        <v>0</v>
      </c>
      <c r="AF81" s="542">
        <v>36083821</v>
      </c>
      <c r="AG81" s="542">
        <v>0</v>
      </c>
      <c r="AH81" s="542">
        <v>0</v>
      </c>
      <c r="AI81" s="542">
        <v>0</v>
      </c>
      <c r="AJ81" s="542">
        <v>197814</v>
      </c>
      <c r="AK81" s="542">
        <v>0</v>
      </c>
      <c r="AL81" s="542">
        <v>0</v>
      </c>
      <c r="AM81" s="542">
        <v>197814</v>
      </c>
      <c r="AN81" s="542">
        <v>0</v>
      </c>
      <c r="AO81" s="542">
        <v>0</v>
      </c>
      <c r="AP81" s="542">
        <v>0</v>
      </c>
      <c r="AQ81" s="542">
        <v>0</v>
      </c>
      <c r="AR81" s="542">
        <v>0</v>
      </c>
      <c r="AS81" s="542">
        <v>0</v>
      </c>
      <c r="AT81" s="542">
        <v>0</v>
      </c>
      <c r="AU81" s="542">
        <v>0</v>
      </c>
      <c r="AV81" s="542">
        <v>433604</v>
      </c>
      <c r="AW81" s="542">
        <v>-69111</v>
      </c>
      <c r="AX81" s="136"/>
      <c r="AY81" s="136"/>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c r="BZ81" s="136"/>
      <c r="CA81" s="136"/>
      <c r="CB81" s="136"/>
      <c r="CC81" s="136"/>
      <c r="CD81" s="136"/>
      <c r="CE81" s="136"/>
      <c r="CF81" s="136"/>
      <c r="CG81" s="136"/>
      <c r="CH81" s="136"/>
      <c r="CI81" s="136"/>
      <c r="CJ81" s="136"/>
      <c r="CK81" s="136"/>
      <c r="CL81" s="136"/>
      <c r="CM81" s="136"/>
      <c r="CN81" s="136"/>
      <c r="CO81" s="136"/>
      <c r="CP81" s="136"/>
      <c r="CQ81" s="136"/>
      <c r="CR81" s="136"/>
      <c r="CS81" s="136"/>
      <c r="CT81" s="136"/>
      <c r="CU81" s="136"/>
      <c r="CV81" s="136"/>
      <c r="CW81" s="136"/>
      <c r="CX81" s="136"/>
      <c r="CY81" s="136"/>
      <c r="CZ81" s="136"/>
      <c r="DA81" s="136"/>
      <c r="DB81" s="136"/>
      <c r="DC81" s="136"/>
      <c r="DD81" s="136"/>
      <c r="DE81" s="136"/>
      <c r="DF81" s="136"/>
      <c r="DG81" s="136"/>
      <c r="DH81" s="136"/>
      <c r="DI81" s="136"/>
      <c r="DJ81" s="136"/>
      <c r="DK81" s="136"/>
      <c r="DL81" s="136"/>
      <c r="DM81" s="136"/>
      <c r="DN81" s="136"/>
      <c r="DO81" s="136"/>
      <c r="DP81" s="136"/>
      <c r="DQ81" s="136"/>
      <c r="DR81" s="136"/>
      <c r="DS81" s="136"/>
      <c r="DT81" s="136"/>
      <c r="DU81" s="136"/>
      <c r="DV81" s="136"/>
      <c r="DW81" s="136"/>
      <c r="DX81" s="136"/>
      <c r="DY81" s="136"/>
      <c r="DZ81" s="136"/>
      <c r="EA81" s="136"/>
      <c r="EB81" s="136"/>
      <c r="EC81" s="136"/>
      <c r="ED81" s="136"/>
      <c r="EE81" s="136"/>
      <c r="EF81" s="136"/>
      <c r="EG81" s="136"/>
      <c r="EH81" s="136"/>
      <c r="EI81" s="136"/>
      <c r="EJ81" s="136"/>
      <c r="EK81" s="136"/>
      <c r="EL81" s="136"/>
      <c r="EM81" s="136"/>
      <c r="EN81" s="136"/>
      <c r="EO81" s="136"/>
      <c r="EP81" s="136"/>
      <c r="EQ81" s="136"/>
      <c r="ER81" s="136"/>
      <c r="ES81" s="136"/>
      <c r="ET81" s="136"/>
      <c r="EU81" s="136"/>
      <c r="EV81" s="136"/>
      <c r="EW81" s="136"/>
      <c r="EX81" s="136"/>
      <c r="EY81" s="136"/>
      <c r="EZ81" s="136"/>
      <c r="FA81" s="136"/>
      <c r="FB81" s="136"/>
      <c r="FC81" s="136"/>
      <c r="FD81" s="136"/>
      <c r="FE81" s="137"/>
      <c r="FF81" s="138"/>
    </row>
    <row r="82" spans="1:162" ht="12.75" x14ac:dyDescent="0.2">
      <c r="A82" s="93">
        <v>76</v>
      </c>
      <c r="B82" s="145" t="s">
        <v>28</v>
      </c>
      <c r="C82" s="141" t="s">
        <v>770</v>
      </c>
      <c r="D82" s="142" t="s">
        <v>869</v>
      </c>
      <c r="E82" s="149" t="s">
        <v>695</v>
      </c>
      <c r="F82" s="542">
        <v>87392641</v>
      </c>
      <c r="G82" s="542">
        <v>0</v>
      </c>
      <c r="H82" s="542">
        <v>87392641</v>
      </c>
      <c r="I82" s="542">
        <v>0</v>
      </c>
      <c r="J82" s="542">
        <v>0</v>
      </c>
      <c r="K82" s="542">
        <v>0</v>
      </c>
      <c r="L82" s="542">
        <v>108112</v>
      </c>
      <c r="M82" s="542">
        <v>0</v>
      </c>
      <c r="N82" s="542">
        <v>108112</v>
      </c>
      <c r="O82" s="542">
        <v>-1646344</v>
      </c>
      <c r="P82" s="542">
        <v>0</v>
      </c>
      <c r="Q82" s="542">
        <v>-1646344</v>
      </c>
      <c r="R82" s="542">
        <v>0</v>
      </c>
      <c r="S82" s="542">
        <v>0</v>
      </c>
      <c r="T82" s="542">
        <v>0</v>
      </c>
      <c r="U82" s="542">
        <v>-1182270</v>
      </c>
      <c r="V82" s="542">
        <v>0</v>
      </c>
      <c r="W82" s="542">
        <v>-1182270</v>
      </c>
      <c r="X82" s="542">
        <v>0</v>
      </c>
      <c r="Y82" s="542">
        <v>0</v>
      </c>
      <c r="Z82" s="542">
        <v>0</v>
      </c>
      <c r="AA82" s="542">
        <v>2049127</v>
      </c>
      <c r="AB82" s="542">
        <v>0</v>
      </c>
      <c r="AC82" s="542">
        <v>2049127</v>
      </c>
      <c r="AD82" s="542">
        <v>88367610</v>
      </c>
      <c r="AE82" s="542">
        <v>0</v>
      </c>
      <c r="AF82" s="542">
        <v>88367610</v>
      </c>
      <c r="AG82" s="542">
        <v>0</v>
      </c>
      <c r="AH82" s="542">
        <v>0</v>
      </c>
      <c r="AI82" s="542">
        <v>0</v>
      </c>
      <c r="AJ82" s="542">
        <v>708540</v>
      </c>
      <c r="AK82" s="542">
        <v>0</v>
      </c>
      <c r="AL82" s="542">
        <v>0</v>
      </c>
      <c r="AM82" s="542">
        <v>708540</v>
      </c>
      <c r="AN82" s="542">
        <v>0</v>
      </c>
      <c r="AO82" s="542">
        <v>0</v>
      </c>
      <c r="AP82" s="542">
        <v>0</v>
      </c>
      <c r="AQ82" s="542">
        <v>0</v>
      </c>
      <c r="AR82" s="542">
        <v>0</v>
      </c>
      <c r="AS82" s="542">
        <v>0</v>
      </c>
      <c r="AT82" s="542">
        <v>0</v>
      </c>
      <c r="AU82" s="542">
        <v>0</v>
      </c>
      <c r="AV82" s="542">
        <v>5224457</v>
      </c>
      <c r="AW82" s="542">
        <v>-69797</v>
      </c>
      <c r="AX82" s="136"/>
      <c r="AY82" s="136"/>
      <c r="AZ82" s="136"/>
      <c r="BA82" s="136"/>
      <c r="BB82" s="136"/>
      <c r="BC82" s="136"/>
      <c r="BD82" s="136"/>
      <c r="BE82" s="136"/>
      <c r="BF82" s="136"/>
      <c r="BG82" s="136"/>
      <c r="BH82" s="136"/>
      <c r="BI82" s="136"/>
      <c r="BJ82" s="136"/>
      <c r="BK82" s="136"/>
      <c r="BL82" s="136"/>
      <c r="BM82" s="136"/>
      <c r="BN82" s="136"/>
      <c r="BO82" s="136"/>
      <c r="BP82" s="136"/>
      <c r="BQ82" s="136"/>
      <c r="BR82" s="136"/>
      <c r="BS82" s="136"/>
      <c r="BT82" s="136"/>
      <c r="BU82" s="136"/>
      <c r="BV82" s="136"/>
      <c r="BW82" s="136"/>
      <c r="BX82" s="136"/>
      <c r="BY82" s="136"/>
      <c r="BZ82" s="136"/>
      <c r="CA82" s="136"/>
      <c r="CB82" s="136"/>
      <c r="CC82" s="136"/>
      <c r="CD82" s="136"/>
      <c r="CE82" s="136"/>
      <c r="CF82" s="136"/>
      <c r="CG82" s="136"/>
      <c r="CH82" s="136"/>
      <c r="CI82" s="136"/>
      <c r="CJ82" s="136"/>
      <c r="CK82" s="136"/>
      <c r="CL82" s="136"/>
      <c r="CM82" s="136"/>
      <c r="CN82" s="136"/>
      <c r="CO82" s="136"/>
      <c r="CP82" s="136"/>
      <c r="CQ82" s="136"/>
      <c r="CR82" s="136"/>
      <c r="CS82" s="136"/>
      <c r="CT82" s="136"/>
      <c r="CU82" s="136"/>
      <c r="CV82" s="136"/>
      <c r="CW82" s="136"/>
      <c r="CX82" s="136"/>
      <c r="CY82" s="136"/>
      <c r="CZ82" s="136"/>
      <c r="DA82" s="136"/>
      <c r="DB82" s="136"/>
      <c r="DC82" s="136"/>
      <c r="DD82" s="136"/>
      <c r="DE82" s="136"/>
      <c r="DF82" s="136"/>
      <c r="DG82" s="136"/>
      <c r="DH82" s="136"/>
      <c r="DI82" s="136"/>
      <c r="DJ82" s="136"/>
      <c r="DK82" s="136"/>
      <c r="DL82" s="136"/>
      <c r="DM82" s="136"/>
      <c r="DN82" s="136"/>
      <c r="DO82" s="136"/>
      <c r="DP82" s="136"/>
      <c r="DQ82" s="136"/>
      <c r="DR82" s="136"/>
      <c r="DS82" s="136"/>
      <c r="DT82" s="136"/>
      <c r="DU82" s="136"/>
      <c r="DV82" s="136"/>
      <c r="DW82" s="136"/>
      <c r="DX82" s="136"/>
      <c r="DY82" s="136"/>
      <c r="DZ82" s="136"/>
      <c r="EA82" s="136"/>
      <c r="EB82" s="136"/>
      <c r="EC82" s="136"/>
      <c r="ED82" s="136"/>
      <c r="EE82" s="136"/>
      <c r="EF82" s="136"/>
      <c r="EG82" s="136"/>
      <c r="EH82" s="136"/>
      <c r="EI82" s="136"/>
      <c r="EJ82" s="136"/>
      <c r="EK82" s="136"/>
      <c r="EL82" s="136"/>
      <c r="EM82" s="136"/>
      <c r="EN82" s="136"/>
      <c r="EO82" s="136"/>
      <c r="EP82" s="136"/>
      <c r="EQ82" s="136"/>
      <c r="ER82" s="136"/>
      <c r="ES82" s="136"/>
      <c r="ET82" s="136"/>
      <c r="EU82" s="136"/>
      <c r="EV82" s="136"/>
      <c r="EW82" s="136"/>
      <c r="EX82" s="136"/>
      <c r="EY82" s="136"/>
      <c r="EZ82" s="136"/>
      <c r="FA82" s="136"/>
      <c r="FB82" s="136"/>
      <c r="FC82" s="136"/>
      <c r="FD82" s="136"/>
      <c r="FE82" s="137"/>
      <c r="FF82" s="138"/>
    </row>
    <row r="83" spans="1:162" ht="12.75" x14ac:dyDescent="0.2">
      <c r="A83" s="93">
        <v>77</v>
      </c>
      <c r="B83" s="145" t="s">
        <v>30</v>
      </c>
      <c r="C83" s="141" t="s">
        <v>866</v>
      </c>
      <c r="D83" s="142" t="s">
        <v>869</v>
      </c>
      <c r="E83" s="149" t="s">
        <v>29</v>
      </c>
      <c r="F83" s="542">
        <v>17047276</v>
      </c>
      <c r="G83" s="542">
        <v>0</v>
      </c>
      <c r="H83" s="542">
        <v>17047276</v>
      </c>
      <c r="I83" s="542">
        <v>0</v>
      </c>
      <c r="J83" s="542">
        <v>0</v>
      </c>
      <c r="K83" s="542">
        <v>0</v>
      </c>
      <c r="L83" s="542">
        <v>28713</v>
      </c>
      <c r="M83" s="542">
        <v>0</v>
      </c>
      <c r="N83" s="542">
        <v>28713</v>
      </c>
      <c r="O83" s="542">
        <v>-41075</v>
      </c>
      <c r="P83" s="542">
        <v>0</v>
      </c>
      <c r="Q83" s="542">
        <v>-41075</v>
      </c>
      <c r="R83" s="542">
        <v>0</v>
      </c>
      <c r="S83" s="542">
        <v>0</v>
      </c>
      <c r="T83" s="542">
        <v>0</v>
      </c>
      <c r="U83" s="542">
        <v>-71075</v>
      </c>
      <c r="V83" s="542">
        <v>0</v>
      </c>
      <c r="W83" s="542">
        <v>-71075</v>
      </c>
      <c r="X83" s="542">
        <v>194196</v>
      </c>
      <c r="Y83" s="542">
        <v>0</v>
      </c>
      <c r="Z83" s="542">
        <v>194196</v>
      </c>
      <c r="AA83" s="542">
        <v>-247234</v>
      </c>
      <c r="AB83" s="542">
        <v>0</v>
      </c>
      <c r="AC83" s="542">
        <v>-247234</v>
      </c>
      <c r="AD83" s="542">
        <v>16951876</v>
      </c>
      <c r="AE83" s="542">
        <v>0</v>
      </c>
      <c r="AF83" s="542">
        <v>16951876</v>
      </c>
      <c r="AG83" s="542">
        <v>0</v>
      </c>
      <c r="AH83" s="542">
        <v>0</v>
      </c>
      <c r="AI83" s="542">
        <v>0</v>
      </c>
      <c r="AJ83" s="542">
        <v>61696</v>
      </c>
      <c r="AK83" s="542">
        <v>0</v>
      </c>
      <c r="AL83" s="542">
        <v>0</v>
      </c>
      <c r="AM83" s="542">
        <v>61696</v>
      </c>
      <c r="AN83" s="542">
        <v>0</v>
      </c>
      <c r="AO83" s="542">
        <v>0</v>
      </c>
      <c r="AP83" s="542">
        <v>0</v>
      </c>
      <c r="AQ83" s="542">
        <v>0</v>
      </c>
      <c r="AR83" s="542">
        <v>0</v>
      </c>
      <c r="AS83" s="542">
        <v>0</v>
      </c>
      <c r="AT83" s="542">
        <v>0</v>
      </c>
      <c r="AU83" s="542">
        <v>0</v>
      </c>
      <c r="AV83" s="542">
        <v>1163696</v>
      </c>
      <c r="AW83" s="542">
        <v>-138141</v>
      </c>
      <c r="AX83" s="136"/>
      <c r="AY83" s="136"/>
      <c r="AZ83" s="136"/>
      <c r="BA83" s="136"/>
      <c r="BB83" s="136"/>
      <c r="BC83" s="136"/>
      <c r="BD83" s="136"/>
      <c r="BE83" s="136"/>
      <c r="BF83" s="136"/>
      <c r="BG83" s="136"/>
      <c r="BH83" s="136"/>
      <c r="BI83" s="136"/>
      <c r="BJ83" s="136"/>
      <c r="BK83" s="136"/>
      <c r="BL83" s="136"/>
      <c r="BM83" s="136"/>
      <c r="BN83" s="136"/>
      <c r="BO83" s="136"/>
      <c r="BP83" s="136"/>
      <c r="BQ83" s="136"/>
      <c r="BR83" s="136"/>
      <c r="BS83" s="136"/>
      <c r="BT83" s="136"/>
      <c r="BU83" s="136"/>
      <c r="BV83" s="136"/>
      <c r="BW83" s="136"/>
      <c r="BX83" s="136"/>
      <c r="BY83" s="136"/>
      <c r="BZ83" s="136"/>
      <c r="CA83" s="136"/>
      <c r="CB83" s="136"/>
      <c r="CC83" s="136"/>
      <c r="CD83" s="136"/>
      <c r="CE83" s="136"/>
      <c r="CF83" s="136"/>
      <c r="CG83" s="136"/>
      <c r="CH83" s="136"/>
      <c r="CI83" s="136"/>
      <c r="CJ83" s="136"/>
      <c r="CK83" s="136"/>
      <c r="CL83" s="136"/>
      <c r="CM83" s="136"/>
      <c r="CN83" s="136"/>
      <c r="CO83" s="136"/>
      <c r="CP83" s="136"/>
      <c r="CQ83" s="136"/>
      <c r="CR83" s="136"/>
      <c r="CS83" s="136"/>
      <c r="CT83" s="136"/>
      <c r="CU83" s="136"/>
      <c r="CV83" s="136"/>
      <c r="CW83" s="136"/>
      <c r="CX83" s="136"/>
      <c r="CY83" s="136"/>
      <c r="CZ83" s="136"/>
      <c r="DA83" s="136"/>
      <c r="DB83" s="136"/>
      <c r="DC83" s="136"/>
      <c r="DD83" s="136"/>
      <c r="DE83" s="136"/>
      <c r="DF83" s="136"/>
      <c r="DG83" s="136"/>
      <c r="DH83" s="136"/>
      <c r="DI83" s="136"/>
      <c r="DJ83" s="136"/>
      <c r="DK83" s="136"/>
      <c r="DL83" s="136"/>
      <c r="DM83" s="136"/>
      <c r="DN83" s="136"/>
      <c r="DO83" s="136"/>
      <c r="DP83" s="136"/>
      <c r="DQ83" s="136"/>
      <c r="DR83" s="136"/>
      <c r="DS83" s="136"/>
      <c r="DT83" s="136"/>
      <c r="DU83" s="136"/>
      <c r="DV83" s="136"/>
      <c r="DW83" s="136"/>
      <c r="DX83" s="136"/>
      <c r="DY83" s="136"/>
      <c r="DZ83" s="136"/>
      <c r="EA83" s="136"/>
      <c r="EB83" s="136"/>
      <c r="EC83" s="136"/>
      <c r="ED83" s="136"/>
      <c r="EE83" s="136"/>
      <c r="EF83" s="136"/>
      <c r="EG83" s="136"/>
      <c r="EH83" s="136"/>
      <c r="EI83" s="136"/>
      <c r="EJ83" s="136"/>
      <c r="EK83" s="136"/>
      <c r="EL83" s="136"/>
      <c r="EM83" s="136"/>
      <c r="EN83" s="136"/>
      <c r="EO83" s="136"/>
      <c r="EP83" s="136"/>
      <c r="EQ83" s="136"/>
      <c r="ER83" s="136"/>
      <c r="ES83" s="136"/>
      <c r="ET83" s="136"/>
      <c r="EU83" s="136"/>
      <c r="EV83" s="136"/>
      <c r="EW83" s="136"/>
      <c r="EX83" s="136"/>
      <c r="EY83" s="136"/>
      <c r="EZ83" s="136"/>
      <c r="FA83" s="136"/>
      <c r="FB83" s="136"/>
      <c r="FC83" s="136"/>
      <c r="FD83" s="136"/>
      <c r="FE83" s="137"/>
      <c r="FF83" s="138"/>
    </row>
    <row r="84" spans="1:162" ht="12.75" x14ac:dyDescent="0.2">
      <c r="A84" s="93">
        <v>78</v>
      </c>
      <c r="B84" s="145" t="s">
        <v>32</v>
      </c>
      <c r="C84" s="141" t="s">
        <v>873</v>
      </c>
      <c r="D84" s="142" t="s">
        <v>874</v>
      </c>
      <c r="E84" s="149" t="s">
        <v>31</v>
      </c>
      <c r="F84" s="542">
        <v>92161874</v>
      </c>
      <c r="G84" s="542">
        <v>0</v>
      </c>
      <c r="H84" s="542">
        <v>92161874</v>
      </c>
      <c r="I84" s="542">
        <v>-15472</v>
      </c>
      <c r="J84" s="542">
        <v>0</v>
      </c>
      <c r="K84" s="542">
        <v>-15472</v>
      </c>
      <c r="L84" s="542">
        <v>357207</v>
      </c>
      <c r="M84" s="542">
        <v>0</v>
      </c>
      <c r="N84" s="542">
        <v>357207</v>
      </c>
      <c r="O84" s="542">
        <v>-1150784</v>
      </c>
      <c r="P84" s="542">
        <v>0</v>
      </c>
      <c r="Q84" s="542">
        <v>-1150784</v>
      </c>
      <c r="R84" s="542">
        <v>0</v>
      </c>
      <c r="S84" s="542">
        <v>0</v>
      </c>
      <c r="T84" s="542">
        <v>0</v>
      </c>
      <c r="U84" s="542">
        <v>-960831</v>
      </c>
      <c r="V84" s="542">
        <v>0</v>
      </c>
      <c r="W84" s="542">
        <v>-960831</v>
      </c>
      <c r="X84" s="542">
        <v>4482733</v>
      </c>
      <c r="Y84" s="542">
        <v>0</v>
      </c>
      <c r="Z84" s="542">
        <v>4482733</v>
      </c>
      <c r="AA84" s="542">
        <v>-8313597</v>
      </c>
      <c r="AB84" s="542">
        <v>0</v>
      </c>
      <c r="AC84" s="542">
        <v>-8313597</v>
      </c>
      <c r="AD84" s="542">
        <v>87711914</v>
      </c>
      <c r="AE84" s="542">
        <v>0</v>
      </c>
      <c r="AF84" s="542">
        <v>87711914</v>
      </c>
      <c r="AG84" s="542">
        <v>0</v>
      </c>
      <c r="AH84" s="542">
        <v>0</v>
      </c>
      <c r="AI84" s="542">
        <v>0</v>
      </c>
      <c r="AJ84" s="542">
        <v>141206</v>
      </c>
      <c r="AK84" s="542">
        <v>0</v>
      </c>
      <c r="AL84" s="542">
        <v>0</v>
      </c>
      <c r="AM84" s="542">
        <v>141206</v>
      </c>
      <c r="AN84" s="542">
        <v>0</v>
      </c>
      <c r="AO84" s="542">
        <v>0</v>
      </c>
      <c r="AP84" s="542">
        <v>0</v>
      </c>
      <c r="AQ84" s="542">
        <v>0</v>
      </c>
      <c r="AR84" s="542">
        <v>0</v>
      </c>
      <c r="AS84" s="542">
        <v>0</v>
      </c>
      <c r="AT84" s="542">
        <v>0</v>
      </c>
      <c r="AU84" s="542">
        <v>0</v>
      </c>
      <c r="AV84" s="542">
        <v>9003976</v>
      </c>
      <c r="AW84" s="542">
        <v>-1658574</v>
      </c>
      <c r="AX84" s="136"/>
      <c r="AY84" s="136"/>
      <c r="AZ84" s="136"/>
      <c r="BA84" s="136"/>
      <c r="BB84" s="136"/>
      <c r="BC84" s="136"/>
      <c r="BD84" s="136"/>
      <c r="BE84" s="136"/>
      <c r="BF84" s="136"/>
      <c r="BG84" s="136"/>
      <c r="BH84" s="136"/>
      <c r="BI84" s="136"/>
      <c r="BJ84" s="136"/>
      <c r="BK84" s="136"/>
      <c r="BL84" s="136"/>
      <c r="BM84" s="136"/>
      <c r="BN84" s="136"/>
      <c r="BO84" s="136"/>
      <c r="BP84" s="136"/>
      <c r="BQ84" s="136"/>
      <c r="BR84" s="136"/>
      <c r="BS84" s="136"/>
      <c r="BT84" s="136"/>
      <c r="BU84" s="136"/>
      <c r="BV84" s="136"/>
      <c r="BW84" s="136"/>
      <c r="BX84" s="136"/>
      <c r="BY84" s="136"/>
      <c r="BZ84" s="136"/>
      <c r="CA84" s="136"/>
      <c r="CB84" s="136"/>
      <c r="CC84" s="136"/>
      <c r="CD84" s="136"/>
      <c r="CE84" s="136"/>
      <c r="CF84" s="136"/>
      <c r="CG84" s="136"/>
      <c r="CH84" s="136"/>
      <c r="CI84" s="136"/>
      <c r="CJ84" s="136"/>
      <c r="CK84" s="136"/>
      <c r="CL84" s="136"/>
      <c r="CM84" s="136"/>
      <c r="CN84" s="136"/>
      <c r="CO84" s="136"/>
      <c r="CP84" s="136"/>
      <c r="CQ84" s="136"/>
      <c r="CR84" s="136"/>
      <c r="CS84" s="136"/>
      <c r="CT84" s="136"/>
      <c r="CU84" s="136"/>
      <c r="CV84" s="136"/>
      <c r="CW84" s="136"/>
      <c r="CX84" s="136"/>
      <c r="CY84" s="136"/>
      <c r="CZ84" s="136"/>
      <c r="DA84" s="136"/>
      <c r="DB84" s="136"/>
      <c r="DC84" s="136"/>
      <c r="DD84" s="136"/>
      <c r="DE84" s="136"/>
      <c r="DF84" s="136"/>
      <c r="DG84" s="136"/>
      <c r="DH84" s="136"/>
      <c r="DI84" s="136"/>
      <c r="DJ84" s="136"/>
      <c r="DK84" s="136"/>
      <c r="DL84" s="136"/>
      <c r="DM84" s="136"/>
      <c r="DN84" s="136"/>
      <c r="DO84" s="136"/>
      <c r="DP84" s="136"/>
      <c r="DQ84" s="136"/>
      <c r="DR84" s="136"/>
      <c r="DS84" s="136"/>
      <c r="DT84" s="136"/>
      <c r="DU84" s="136"/>
      <c r="DV84" s="136"/>
      <c r="DW84" s="136"/>
      <c r="DX84" s="136"/>
      <c r="DY84" s="136"/>
      <c r="DZ84" s="136"/>
      <c r="EA84" s="136"/>
      <c r="EB84" s="136"/>
      <c r="EC84" s="136"/>
      <c r="ED84" s="136"/>
      <c r="EE84" s="136"/>
      <c r="EF84" s="136"/>
      <c r="EG84" s="136"/>
      <c r="EH84" s="136"/>
      <c r="EI84" s="136"/>
      <c r="EJ84" s="136"/>
      <c r="EK84" s="136"/>
      <c r="EL84" s="136"/>
      <c r="EM84" s="136"/>
      <c r="EN84" s="136"/>
      <c r="EO84" s="136"/>
      <c r="EP84" s="136"/>
      <c r="EQ84" s="136"/>
      <c r="ER84" s="136"/>
      <c r="ES84" s="136"/>
      <c r="ET84" s="136"/>
      <c r="EU84" s="136"/>
      <c r="EV84" s="136"/>
      <c r="EW84" s="136"/>
      <c r="EX84" s="136"/>
      <c r="EY84" s="136"/>
      <c r="EZ84" s="136"/>
      <c r="FA84" s="136"/>
      <c r="FB84" s="136"/>
      <c r="FC84" s="136"/>
      <c r="FD84" s="136"/>
      <c r="FE84" s="137"/>
      <c r="FF84" s="138"/>
    </row>
    <row r="85" spans="1:162" ht="12.75" x14ac:dyDescent="0.2">
      <c r="A85" s="93">
        <v>79</v>
      </c>
      <c r="B85" s="145" t="s">
        <v>36</v>
      </c>
      <c r="C85" s="141" t="s">
        <v>866</v>
      </c>
      <c r="D85" s="142" t="s">
        <v>867</v>
      </c>
      <c r="E85" s="149" t="s">
        <v>35</v>
      </c>
      <c r="F85" s="542">
        <v>33683959</v>
      </c>
      <c r="G85" s="542">
        <v>0</v>
      </c>
      <c r="H85" s="542">
        <v>33683959</v>
      </c>
      <c r="I85" s="542">
        <v>0</v>
      </c>
      <c r="J85" s="542">
        <v>0</v>
      </c>
      <c r="K85" s="542">
        <v>0</v>
      </c>
      <c r="L85" s="542">
        <v>104731</v>
      </c>
      <c r="M85" s="542">
        <v>0</v>
      </c>
      <c r="N85" s="542">
        <v>104731</v>
      </c>
      <c r="O85" s="542">
        <v>-492925</v>
      </c>
      <c r="P85" s="542">
        <v>0</v>
      </c>
      <c r="Q85" s="542">
        <v>-492925</v>
      </c>
      <c r="R85" s="542">
        <v>0</v>
      </c>
      <c r="S85" s="542">
        <v>0</v>
      </c>
      <c r="T85" s="542">
        <v>0</v>
      </c>
      <c r="U85" s="542">
        <v>-302744</v>
      </c>
      <c r="V85" s="542">
        <v>0</v>
      </c>
      <c r="W85" s="542">
        <v>-302744</v>
      </c>
      <c r="X85" s="542">
        <v>134000</v>
      </c>
      <c r="Y85" s="542">
        <v>0</v>
      </c>
      <c r="Z85" s="542">
        <v>134000</v>
      </c>
      <c r="AA85" s="542">
        <v>-5285000</v>
      </c>
      <c r="AB85" s="542">
        <v>0</v>
      </c>
      <c r="AC85" s="542">
        <v>-5285000</v>
      </c>
      <c r="AD85" s="542">
        <v>28334946</v>
      </c>
      <c r="AE85" s="542">
        <v>0</v>
      </c>
      <c r="AF85" s="542">
        <v>28334946</v>
      </c>
      <c r="AG85" s="542">
        <v>0</v>
      </c>
      <c r="AH85" s="542">
        <v>0</v>
      </c>
      <c r="AI85" s="542">
        <v>0</v>
      </c>
      <c r="AJ85" s="542">
        <v>0</v>
      </c>
      <c r="AK85" s="542">
        <v>0</v>
      </c>
      <c r="AL85" s="542">
        <v>0</v>
      </c>
      <c r="AM85" s="542">
        <v>0</v>
      </c>
      <c r="AN85" s="542">
        <v>0</v>
      </c>
      <c r="AO85" s="542">
        <v>0</v>
      </c>
      <c r="AP85" s="542">
        <v>0</v>
      </c>
      <c r="AQ85" s="542">
        <v>0</v>
      </c>
      <c r="AR85" s="542">
        <v>0</v>
      </c>
      <c r="AS85" s="542">
        <v>0</v>
      </c>
      <c r="AT85" s="542">
        <v>0</v>
      </c>
      <c r="AU85" s="542">
        <v>0</v>
      </c>
      <c r="AV85" s="542">
        <v>2151571</v>
      </c>
      <c r="AW85" s="542">
        <v>-719889</v>
      </c>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7"/>
      <c r="FF85" s="138"/>
    </row>
    <row r="86" spans="1:162" ht="12.75" x14ac:dyDescent="0.2">
      <c r="A86" s="93">
        <v>80</v>
      </c>
      <c r="B86" s="145" t="s">
        <v>38</v>
      </c>
      <c r="C86" s="141" t="s">
        <v>873</v>
      </c>
      <c r="D86" s="142" t="s">
        <v>876</v>
      </c>
      <c r="E86" s="149" t="s">
        <v>37</v>
      </c>
      <c r="F86" s="542">
        <v>94280861</v>
      </c>
      <c r="G86" s="542">
        <v>0</v>
      </c>
      <c r="H86" s="542">
        <v>94280861</v>
      </c>
      <c r="I86" s="542">
        <v>-1383</v>
      </c>
      <c r="J86" s="542">
        <v>0</v>
      </c>
      <c r="K86" s="542">
        <v>-1383</v>
      </c>
      <c r="L86" s="542">
        <v>127758</v>
      </c>
      <c r="M86" s="542">
        <v>0</v>
      </c>
      <c r="N86" s="542">
        <v>127758</v>
      </c>
      <c r="O86" s="542">
        <v>-1409000</v>
      </c>
      <c r="P86" s="542">
        <v>0</v>
      </c>
      <c r="Q86" s="542">
        <v>-1409000</v>
      </c>
      <c r="R86" s="542">
        <v>0</v>
      </c>
      <c r="S86" s="542">
        <v>0</v>
      </c>
      <c r="T86" s="542">
        <v>0</v>
      </c>
      <c r="U86" s="542">
        <v>-1063000</v>
      </c>
      <c r="V86" s="542">
        <v>0</v>
      </c>
      <c r="W86" s="542">
        <v>-1063000</v>
      </c>
      <c r="X86" s="542">
        <v>1417409</v>
      </c>
      <c r="Y86" s="542">
        <v>0</v>
      </c>
      <c r="Z86" s="542">
        <v>1417409</v>
      </c>
      <c r="AA86" s="542">
        <v>-5317409</v>
      </c>
      <c r="AB86" s="542">
        <v>0</v>
      </c>
      <c r="AC86" s="542">
        <v>-5317409</v>
      </c>
      <c r="AD86" s="542">
        <v>89444236</v>
      </c>
      <c r="AE86" s="542">
        <v>0</v>
      </c>
      <c r="AF86" s="542">
        <v>89444236</v>
      </c>
      <c r="AG86" s="542">
        <v>0</v>
      </c>
      <c r="AH86" s="542">
        <v>0</v>
      </c>
      <c r="AI86" s="542">
        <v>0</v>
      </c>
      <c r="AJ86" s="542">
        <v>0</v>
      </c>
      <c r="AK86" s="542">
        <v>0</v>
      </c>
      <c r="AL86" s="542">
        <v>0</v>
      </c>
      <c r="AM86" s="542">
        <v>0</v>
      </c>
      <c r="AN86" s="542">
        <v>0</v>
      </c>
      <c r="AO86" s="542">
        <v>0</v>
      </c>
      <c r="AP86" s="542">
        <v>0</v>
      </c>
      <c r="AQ86" s="542">
        <v>0</v>
      </c>
      <c r="AR86" s="542">
        <v>0</v>
      </c>
      <c r="AS86" s="542">
        <v>0</v>
      </c>
      <c r="AT86" s="542">
        <v>0</v>
      </c>
      <c r="AU86" s="542">
        <v>0</v>
      </c>
      <c r="AV86" s="542">
        <v>5037036</v>
      </c>
      <c r="AW86" s="542">
        <v>-828110</v>
      </c>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7"/>
      <c r="FF86" s="138"/>
    </row>
    <row r="87" spans="1:162" ht="12.75" x14ac:dyDescent="0.2">
      <c r="A87" s="93">
        <v>81</v>
      </c>
      <c r="B87" s="145" t="s">
        <v>40</v>
      </c>
      <c r="C87" s="141" t="s">
        <v>770</v>
      </c>
      <c r="D87" s="142" t="s">
        <v>878</v>
      </c>
      <c r="E87" s="149" t="s">
        <v>39</v>
      </c>
      <c r="F87" s="542">
        <v>116502154</v>
      </c>
      <c r="G87" s="542">
        <v>0</v>
      </c>
      <c r="H87" s="542">
        <v>116502154</v>
      </c>
      <c r="I87" s="542">
        <v>-506</v>
      </c>
      <c r="J87" s="542">
        <v>0</v>
      </c>
      <c r="K87" s="542">
        <v>-506</v>
      </c>
      <c r="L87" s="542">
        <v>446428</v>
      </c>
      <c r="M87" s="542">
        <v>0</v>
      </c>
      <c r="N87" s="542">
        <v>446428</v>
      </c>
      <c r="O87" s="542">
        <v>-1772730</v>
      </c>
      <c r="P87" s="542">
        <v>0</v>
      </c>
      <c r="Q87" s="542">
        <v>-1772730</v>
      </c>
      <c r="R87" s="542">
        <v>0</v>
      </c>
      <c r="S87" s="542">
        <v>0</v>
      </c>
      <c r="T87" s="542">
        <v>0</v>
      </c>
      <c r="U87" s="542">
        <v>-2245638</v>
      </c>
      <c r="V87" s="542">
        <v>0</v>
      </c>
      <c r="W87" s="542">
        <v>-2245638</v>
      </c>
      <c r="X87" s="542">
        <v>0</v>
      </c>
      <c r="Y87" s="542">
        <v>0</v>
      </c>
      <c r="Z87" s="542">
        <v>0</v>
      </c>
      <c r="AA87" s="542">
        <v>-2493152</v>
      </c>
      <c r="AB87" s="542">
        <v>0</v>
      </c>
      <c r="AC87" s="542">
        <v>-2493152</v>
      </c>
      <c r="AD87" s="542">
        <v>112209286</v>
      </c>
      <c r="AE87" s="542">
        <v>0</v>
      </c>
      <c r="AF87" s="542">
        <v>112209286</v>
      </c>
      <c r="AG87" s="542">
        <v>0</v>
      </c>
      <c r="AH87" s="542">
        <v>0</v>
      </c>
      <c r="AI87" s="542">
        <v>0</v>
      </c>
      <c r="AJ87" s="542">
        <v>11341</v>
      </c>
      <c r="AK87" s="542">
        <v>0</v>
      </c>
      <c r="AL87" s="542">
        <v>0</v>
      </c>
      <c r="AM87" s="542">
        <v>11341</v>
      </c>
      <c r="AN87" s="542">
        <v>0</v>
      </c>
      <c r="AO87" s="542">
        <v>0</v>
      </c>
      <c r="AP87" s="542">
        <v>0</v>
      </c>
      <c r="AQ87" s="542">
        <v>0</v>
      </c>
      <c r="AR87" s="542">
        <v>0</v>
      </c>
      <c r="AS87" s="542">
        <v>0</v>
      </c>
      <c r="AT87" s="542">
        <v>0</v>
      </c>
      <c r="AU87" s="542">
        <v>0</v>
      </c>
      <c r="AV87" s="542">
        <v>7165174</v>
      </c>
      <c r="AW87" s="542">
        <v>-1597991</v>
      </c>
      <c r="AX87" s="136"/>
      <c r="AY87" s="136"/>
      <c r="AZ87" s="136"/>
      <c r="BA87" s="136"/>
      <c r="BB87" s="136"/>
      <c r="BC87" s="136"/>
      <c r="BD87" s="136"/>
      <c r="BE87" s="136"/>
      <c r="BF87" s="136"/>
      <c r="BG87" s="136"/>
      <c r="BH87" s="136"/>
      <c r="BI87" s="136"/>
      <c r="BJ87" s="136"/>
      <c r="BK87" s="136"/>
      <c r="BL87" s="136"/>
      <c r="BM87" s="136"/>
      <c r="BN87" s="136"/>
      <c r="BO87" s="136"/>
      <c r="BP87" s="136"/>
      <c r="BQ87" s="136"/>
      <c r="BR87" s="136"/>
      <c r="BS87" s="136"/>
      <c r="BT87" s="136"/>
      <c r="BU87" s="136"/>
      <c r="BV87" s="136"/>
      <c r="BW87" s="136"/>
      <c r="BX87" s="136"/>
      <c r="BY87" s="136"/>
      <c r="BZ87" s="136"/>
      <c r="CA87" s="136"/>
      <c r="CB87" s="136"/>
      <c r="CC87" s="136"/>
      <c r="CD87" s="136"/>
      <c r="CE87" s="136"/>
      <c r="CF87" s="136"/>
      <c r="CG87" s="136"/>
      <c r="CH87" s="136"/>
      <c r="CI87" s="136"/>
      <c r="CJ87" s="136"/>
      <c r="CK87" s="136"/>
      <c r="CL87" s="136"/>
      <c r="CM87" s="136"/>
      <c r="CN87" s="136"/>
      <c r="CO87" s="136"/>
      <c r="CP87" s="136"/>
      <c r="CQ87" s="136"/>
      <c r="CR87" s="136"/>
      <c r="CS87" s="136"/>
      <c r="CT87" s="136"/>
      <c r="CU87" s="136"/>
      <c r="CV87" s="136"/>
      <c r="CW87" s="136"/>
      <c r="CX87" s="136"/>
      <c r="CY87" s="136"/>
      <c r="CZ87" s="136"/>
      <c r="DA87" s="136"/>
      <c r="DB87" s="136"/>
      <c r="DC87" s="136"/>
      <c r="DD87" s="136"/>
      <c r="DE87" s="136"/>
      <c r="DF87" s="136"/>
      <c r="DG87" s="136"/>
      <c r="DH87" s="136"/>
      <c r="DI87" s="136"/>
      <c r="DJ87" s="136"/>
      <c r="DK87" s="136"/>
      <c r="DL87" s="136"/>
      <c r="DM87" s="136"/>
      <c r="DN87" s="136"/>
      <c r="DO87" s="136"/>
      <c r="DP87" s="136"/>
      <c r="DQ87" s="136"/>
      <c r="DR87" s="136"/>
      <c r="DS87" s="136"/>
      <c r="DT87" s="136"/>
      <c r="DU87" s="136"/>
      <c r="DV87" s="136"/>
      <c r="DW87" s="136"/>
      <c r="DX87" s="136"/>
      <c r="DY87" s="136"/>
      <c r="DZ87" s="136"/>
      <c r="EA87" s="136"/>
      <c r="EB87" s="136"/>
      <c r="EC87" s="136"/>
      <c r="ED87" s="136"/>
      <c r="EE87" s="136"/>
      <c r="EF87" s="136"/>
      <c r="EG87" s="136"/>
      <c r="EH87" s="136"/>
      <c r="EI87" s="136"/>
      <c r="EJ87" s="136"/>
      <c r="EK87" s="136"/>
      <c r="EL87" s="136"/>
      <c r="EM87" s="136"/>
      <c r="EN87" s="136"/>
      <c r="EO87" s="136"/>
      <c r="EP87" s="136"/>
      <c r="EQ87" s="136"/>
      <c r="ER87" s="136"/>
      <c r="ES87" s="136"/>
      <c r="ET87" s="136"/>
      <c r="EU87" s="136"/>
      <c r="EV87" s="136"/>
      <c r="EW87" s="136"/>
      <c r="EX87" s="136"/>
      <c r="EY87" s="136"/>
      <c r="EZ87" s="136"/>
      <c r="FA87" s="136"/>
      <c r="FB87" s="136"/>
      <c r="FC87" s="136"/>
      <c r="FD87" s="136"/>
      <c r="FE87" s="137"/>
      <c r="FF87" s="138"/>
    </row>
    <row r="88" spans="1:162" ht="12.75" x14ac:dyDescent="0.2">
      <c r="A88" s="93">
        <v>82</v>
      </c>
      <c r="B88" s="145" t="s">
        <v>42</v>
      </c>
      <c r="C88" s="141" t="s">
        <v>871</v>
      </c>
      <c r="D88" s="142" t="s">
        <v>872</v>
      </c>
      <c r="E88" s="149" t="s">
        <v>41</v>
      </c>
      <c r="F88" s="542">
        <v>142305540</v>
      </c>
      <c r="G88" s="542">
        <v>0</v>
      </c>
      <c r="H88" s="542">
        <v>142305540</v>
      </c>
      <c r="I88" s="542">
        <v>-110</v>
      </c>
      <c r="J88" s="542">
        <v>0</v>
      </c>
      <c r="K88" s="542">
        <v>-110</v>
      </c>
      <c r="L88" s="542">
        <v>323694</v>
      </c>
      <c r="M88" s="542">
        <v>0</v>
      </c>
      <c r="N88" s="542">
        <v>323694</v>
      </c>
      <c r="O88" s="542">
        <v>-4682827</v>
      </c>
      <c r="P88" s="542">
        <v>0</v>
      </c>
      <c r="Q88" s="542">
        <v>-4682827</v>
      </c>
      <c r="R88" s="542">
        <v>0</v>
      </c>
      <c r="S88" s="542">
        <v>0</v>
      </c>
      <c r="T88" s="542">
        <v>0</v>
      </c>
      <c r="U88" s="542">
        <v>4108483</v>
      </c>
      <c r="V88" s="542">
        <v>0</v>
      </c>
      <c r="W88" s="542">
        <v>4108483</v>
      </c>
      <c r="X88" s="542">
        <v>6372242</v>
      </c>
      <c r="Y88" s="542">
        <v>0</v>
      </c>
      <c r="Z88" s="542">
        <v>6372242</v>
      </c>
      <c r="AA88" s="542">
        <v>0</v>
      </c>
      <c r="AB88" s="542">
        <v>0</v>
      </c>
      <c r="AC88" s="542">
        <v>0</v>
      </c>
      <c r="AD88" s="542">
        <v>153109849</v>
      </c>
      <c r="AE88" s="542">
        <v>0</v>
      </c>
      <c r="AF88" s="542">
        <v>153109849</v>
      </c>
      <c r="AG88" s="542">
        <v>0</v>
      </c>
      <c r="AH88" s="542">
        <v>0</v>
      </c>
      <c r="AI88" s="542">
        <v>0</v>
      </c>
      <c r="AJ88" s="542">
        <v>0</v>
      </c>
      <c r="AK88" s="542">
        <v>0</v>
      </c>
      <c r="AL88" s="542">
        <v>0</v>
      </c>
      <c r="AM88" s="542">
        <v>0</v>
      </c>
      <c r="AN88" s="542">
        <v>0</v>
      </c>
      <c r="AO88" s="542">
        <v>0</v>
      </c>
      <c r="AP88" s="542">
        <v>0</v>
      </c>
      <c r="AQ88" s="542">
        <v>0</v>
      </c>
      <c r="AR88" s="542">
        <v>0</v>
      </c>
      <c r="AS88" s="542">
        <v>0</v>
      </c>
      <c r="AT88" s="542">
        <v>0</v>
      </c>
      <c r="AU88" s="542">
        <v>0</v>
      </c>
      <c r="AV88" s="542">
        <v>21319336</v>
      </c>
      <c r="AW88" s="542">
        <v>-5165254</v>
      </c>
      <c r="AX88" s="136"/>
      <c r="AY88" s="136"/>
      <c r="AZ88" s="136"/>
      <c r="BA88" s="136"/>
      <c r="BB88" s="136"/>
      <c r="BC88" s="136"/>
      <c r="BD88" s="136"/>
      <c r="BE88" s="136"/>
      <c r="BF88" s="136"/>
      <c r="BG88" s="136"/>
      <c r="BH88" s="136"/>
      <c r="BI88" s="136"/>
      <c r="BJ88" s="136"/>
      <c r="BK88" s="136"/>
      <c r="BL88" s="136"/>
      <c r="BM88" s="136"/>
      <c r="BN88" s="136"/>
      <c r="BO88" s="136"/>
      <c r="BP88" s="136"/>
      <c r="BQ88" s="136"/>
      <c r="BR88" s="136"/>
      <c r="BS88" s="136"/>
      <c r="BT88" s="136"/>
      <c r="BU88" s="136"/>
      <c r="BV88" s="136"/>
      <c r="BW88" s="136"/>
      <c r="BX88" s="136"/>
      <c r="BY88" s="136"/>
      <c r="BZ88" s="136"/>
      <c r="CA88" s="136"/>
      <c r="CB88" s="136"/>
      <c r="CC88" s="136"/>
      <c r="CD88" s="136"/>
      <c r="CE88" s="136"/>
      <c r="CF88" s="136"/>
      <c r="CG88" s="136"/>
      <c r="CH88" s="136"/>
      <c r="CI88" s="136"/>
      <c r="CJ88" s="136"/>
      <c r="CK88" s="136"/>
      <c r="CL88" s="136"/>
      <c r="CM88" s="136"/>
      <c r="CN88" s="136"/>
      <c r="CO88" s="136"/>
      <c r="CP88" s="136"/>
      <c r="CQ88" s="136"/>
      <c r="CR88" s="136"/>
      <c r="CS88" s="136"/>
      <c r="CT88" s="136"/>
      <c r="CU88" s="136"/>
      <c r="CV88" s="136"/>
      <c r="CW88" s="136"/>
      <c r="CX88" s="136"/>
      <c r="CY88" s="136"/>
      <c r="CZ88" s="136"/>
      <c r="DA88" s="136"/>
      <c r="DB88" s="136"/>
      <c r="DC88" s="136"/>
      <c r="DD88" s="136"/>
      <c r="DE88" s="136"/>
      <c r="DF88" s="136"/>
      <c r="DG88" s="136"/>
      <c r="DH88" s="136"/>
      <c r="DI88" s="136"/>
      <c r="DJ88" s="136"/>
      <c r="DK88" s="136"/>
      <c r="DL88" s="136"/>
      <c r="DM88" s="136"/>
      <c r="DN88" s="136"/>
      <c r="DO88" s="136"/>
      <c r="DP88" s="136"/>
      <c r="DQ88" s="136"/>
      <c r="DR88" s="136"/>
      <c r="DS88" s="136"/>
      <c r="DT88" s="136"/>
      <c r="DU88" s="136"/>
      <c r="DV88" s="136"/>
      <c r="DW88" s="136"/>
      <c r="DX88" s="136"/>
      <c r="DY88" s="136"/>
      <c r="DZ88" s="136"/>
      <c r="EA88" s="136"/>
      <c r="EB88" s="136"/>
      <c r="EC88" s="136"/>
      <c r="ED88" s="136"/>
      <c r="EE88" s="136"/>
      <c r="EF88" s="136"/>
      <c r="EG88" s="136"/>
      <c r="EH88" s="136"/>
      <c r="EI88" s="136"/>
      <c r="EJ88" s="136"/>
      <c r="EK88" s="136"/>
      <c r="EL88" s="136"/>
      <c r="EM88" s="136"/>
      <c r="EN88" s="136"/>
      <c r="EO88" s="136"/>
      <c r="EP88" s="136"/>
      <c r="EQ88" s="136"/>
      <c r="ER88" s="136"/>
      <c r="ES88" s="136"/>
      <c r="ET88" s="136"/>
      <c r="EU88" s="136"/>
      <c r="EV88" s="136"/>
      <c r="EW88" s="136"/>
      <c r="EX88" s="136"/>
      <c r="EY88" s="136"/>
      <c r="EZ88" s="136"/>
      <c r="FA88" s="136"/>
      <c r="FB88" s="136"/>
      <c r="FC88" s="136"/>
      <c r="FD88" s="136"/>
      <c r="FE88" s="137"/>
      <c r="FF88" s="138"/>
    </row>
    <row r="89" spans="1:162" ht="12.75" x14ac:dyDescent="0.2">
      <c r="A89" s="93">
        <v>83</v>
      </c>
      <c r="B89" s="145" t="s">
        <v>44</v>
      </c>
      <c r="C89" s="141" t="s">
        <v>866</v>
      </c>
      <c r="D89" s="142" t="s">
        <v>870</v>
      </c>
      <c r="E89" s="149" t="s">
        <v>43</v>
      </c>
      <c r="F89" s="542">
        <v>18065242</v>
      </c>
      <c r="G89" s="542">
        <v>0</v>
      </c>
      <c r="H89" s="542">
        <v>18065242</v>
      </c>
      <c r="I89" s="542">
        <v>0</v>
      </c>
      <c r="J89" s="542">
        <v>0</v>
      </c>
      <c r="K89" s="542">
        <v>0</v>
      </c>
      <c r="L89" s="542">
        <v>45269</v>
      </c>
      <c r="M89" s="542">
        <v>0</v>
      </c>
      <c r="N89" s="542">
        <v>45269</v>
      </c>
      <c r="O89" s="542">
        <v>-37244</v>
      </c>
      <c r="P89" s="542">
        <v>0</v>
      </c>
      <c r="Q89" s="542">
        <v>-37244</v>
      </c>
      <c r="R89" s="542">
        <v>0</v>
      </c>
      <c r="S89" s="542">
        <v>0</v>
      </c>
      <c r="T89" s="542">
        <v>0</v>
      </c>
      <c r="U89" s="542">
        <v>-119005</v>
      </c>
      <c r="V89" s="542">
        <v>0</v>
      </c>
      <c r="W89" s="542">
        <v>-119005</v>
      </c>
      <c r="X89" s="542">
        <v>471907</v>
      </c>
      <c r="Y89" s="542">
        <v>0</v>
      </c>
      <c r="Z89" s="542">
        <v>471907</v>
      </c>
      <c r="AA89" s="542">
        <v>-40785</v>
      </c>
      <c r="AB89" s="542">
        <v>0</v>
      </c>
      <c r="AC89" s="542">
        <v>-40785</v>
      </c>
      <c r="AD89" s="542">
        <v>18422628</v>
      </c>
      <c r="AE89" s="542">
        <v>0</v>
      </c>
      <c r="AF89" s="542">
        <v>18422628</v>
      </c>
      <c r="AG89" s="542">
        <v>0</v>
      </c>
      <c r="AH89" s="542">
        <v>0</v>
      </c>
      <c r="AI89" s="542">
        <v>0</v>
      </c>
      <c r="AJ89" s="542">
        <v>77408</v>
      </c>
      <c r="AK89" s="542">
        <v>0</v>
      </c>
      <c r="AL89" s="542">
        <v>0</v>
      </c>
      <c r="AM89" s="542">
        <v>77408</v>
      </c>
      <c r="AN89" s="542">
        <v>0</v>
      </c>
      <c r="AO89" s="542">
        <v>0</v>
      </c>
      <c r="AP89" s="542">
        <v>0</v>
      </c>
      <c r="AQ89" s="542">
        <v>0</v>
      </c>
      <c r="AR89" s="542">
        <v>0</v>
      </c>
      <c r="AS89" s="542">
        <v>0</v>
      </c>
      <c r="AT89" s="542">
        <v>0</v>
      </c>
      <c r="AU89" s="542">
        <v>0</v>
      </c>
      <c r="AV89" s="542">
        <v>511998</v>
      </c>
      <c r="AW89" s="542">
        <v>-225089</v>
      </c>
      <c r="AX89" s="136"/>
      <c r="AY89" s="136"/>
      <c r="AZ89" s="136"/>
      <c r="BA89" s="136"/>
      <c r="BB89" s="136"/>
      <c r="BC89" s="136"/>
      <c r="BD89" s="136"/>
      <c r="BE89" s="136"/>
      <c r="BF89" s="136"/>
      <c r="BG89" s="136"/>
      <c r="BH89" s="136"/>
      <c r="BI89" s="136"/>
      <c r="BJ89" s="136"/>
      <c r="BK89" s="136"/>
      <c r="BL89" s="136"/>
      <c r="BM89" s="136"/>
      <c r="BN89" s="136"/>
      <c r="BO89" s="136"/>
      <c r="BP89" s="136"/>
      <c r="BQ89" s="136"/>
      <c r="BR89" s="136"/>
      <c r="BS89" s="136"/>
      <c r="BT89" s="136"/>
      <c r="BU89" s="136"/>
      <c r="BV89" s="136"/>
      <c r="BW89" s="136"/>
      <c r="BX89" s="136"/>
      <c r="BY89" s="136"/>
      <c r="BZ89" s="136"/>
      <c r="CA89" s="136"/>
      <c r="CB89" s="136"/>
      <c r="CC89" s="136"/>
      <c r="CD89" s="136"/>
      <c r="CE89" s="136"/>
      <c r="CF89" s="136"/>
      <c r="CG89" s="136"/>
      <c r="CH89" s="136"/>
      <c r="CI89" s="136"/>
      <c r="CJ89" s="136"/>
      <c r="CK89" s="136"/>
      <c r="CL89" s="136"/>
      <c r="CM89" s="136"/>
      <c r="CN89" s="136"/>
      <c r="CO89" s="136"/>
      <c r="CP89" s="136"/>
      <c r="CQ89" s="136"/>
      <c r="CR89" s="136"/>
      <c r="CS89" s="136"/>
      <c r="CT89" s="136"/>
      <c r="CU89" s="136"/>
      <c r="CV89" s="136"/>
      <c r="CW89" s="136"/>
      <c r="CX89" s="136"/>
      <c r="CY89" s="136"/>
      <c r="CZ89" s="136"/>
      <c r="DA89" s="136"/>
      <c r="DB89" s="136"/>
      <c r="DC89" s="136"/>
      <c r="DD89" s="136"/>
      <c r="DE89" s="136"/>
      <c r="DF89" s="136"/>
      <c r="DG89" s="136"/>
      <c r="DH89" s="136"/>
      <c r="DI89" s="136"/>
      <c r="DJ89" s="136"/>
      <c r="DK89" s="136"/>
      <c r="DL89" s="136"/>
      <c r="DM89" s="136"/>
      <c r="DN89" s="136"/>
      <c r="DO89" s="136"/>
      <c r="DP89" s="136"/>
      <c r="DQ89" s="136"/>
      <c r="DR89" s="136"/>
      <c r="DS89" s="136"/>
      <c r="DT89" s="136"/>
      <c r="DU89" s="136"/>
      <c r="DV89" s="136"/>
      <c r="DW89" s="136"/>
      <c r="DX89" s="136"/>
      <c r="DY89" s="136"/>
      <c r="DZ89" s="136"/>
      <c r="EA89" s="136"/>
      <c r="EB89" s="136"/>
      <c r="EC89" s="136"/>
      <c r="ED89" s="136"/>
      <c r="EE89" s="136"/>
      <c r="EF89" s="136"/>
      <c r="EG89" s="136"/>
      <c r="EH89" s="136"/>
      <c r="EI89" s="136"/>
      <c r="EJ89" s="136"/>
      <c r="EK89" s="136"/>
      <c r="EL89" s="136"/>
      <c r="EM89" s="136"/>
      <c r="EN89" s="136"/>
      <c r="EO89" s="136"/>
      <c r="EP89" s="136"/>
      <c r="EQ89" s="136"/>
      <c r="ER89" s="136"/>
      <c r="ES89" s="136"/>
      <c r="ET89" s="136"/>
      <c r="EU89" s="136"/>
      <c r="EV89" s="136"/>
      <c r="EW89" s="136"/>
      <c r="EX89" s="136"/>
      <c r="EY89" s="136"/>
      <c r="EZ89" s="136"/>
      <c r="FA89" s="136"/>
      <c r="FB89" s="136"/>
      <c r="FC89" s="136"/>
      <c r="FD89" s="136"/>
      <c r="FE89" s="137"/>
      <c r="FF89" s="138"/>
    </row>
    <row r="90" spans="1:162" ht="12.75" x14ac:dyDescent="0.2">
      <c r="A90" s="93">
        <v>84</v>
      </c>
      <c r="B90" s="145" t="s">
        <v>46</v>
      </c>
      <c r="C90" s="141" t="s">
        <v>866</v>
      </c>
      <c r="D90" s="142" t="s">
        <v>875</v>
      </c>
      <c r="E90" s="149" t="s">
        <v>45</v>
      </c>
      <c r="F90" s="542">
        <v>31396476</v>
      </c>
      <c r="G90" s="542">
        <v>0</v>
      </c>
      <c r="H90" s="542">
        <v>31396476</v>
      </c>
      <c r="I90" s="542">
        <v>-47</v>
      </c>
      <c r="J90" s="542">
        <v>0</v>
      </c>
      <c r="K90" s="542">
        <v>-47</v>
      </c>
      <c r="L90" s="542">
        <v>112949</v>
      </c>
      <c r="M90" s="542">
        <v>0</v>
      </c>
      <c r="N90" s="542">
        <v>112949</v>
      </c>
      <c r="O90" s="542">
        <v>-126000</v>
      </c>
      <c r="P90" s="542">
        <v>0</v>
      </c>
      <c r="Q90" s="542">
        <v>-126000</v>
      </c>
      <c r="R90" s="542">
        <v>-58882</v>
      </c>
      <c r="S90" s="542">
        <v>0</v>
      </c>
      <c r="T90" s="542">
        <v>-58882</v>
      </c>
      <c r="U90" s="542">
        <v>-142831</v>
      </c>
      <c r="V90" s="542">
        <v>0</v>
      </c>
      <c r="W90" s="542">
        <v>-142831</v>
      </c>
      <c r="X90" s="542">
        <v>1371628</v>
      </c>
      <c r="Y90" s="542">
        <v>0</v>
      </c>
      <c r="Z90" s="542">
        <v>1371628</v>
      </c>
      <c r="AA90" s="542">
        <v>-3249570</v>
      </c>
      <c r="AB90" s="542">
        <v>0</v>
      </c>
      <c r="AC90" s="542">
        <v>-3249570</v>
      </c>
      <c r="AD90" s="542">
        <v>29429723</v>
      </c>
      <c r="AE90" s="542">
        <v>0</v>
      </c>
      <c r="AF90" s="542">
        <v>29429723</v>
      </c>
      <c r="AG90" s="542">
        <v>0</v>
      </c>
      <c r="AH90" s="542">
        <v>0</v>
      </c>
      <c r="AI90" s="542">
        <v>0</v>
      </c>
      <c r="AJ90" s="542">
        <v>122152</v>
      </c>
      <c r="AK90" s="542">
        <v>0</v>
      </c>
      <c r="AL90" s="542">
        <v>0</v>
      </c>
      <c r="AM90" s="542">
        <v>122152</v>
      </c>
      <c r="AN90" s="542">
        <v>0</v>
      </c>
      <c r="AO90" s="542">
        <v>0</v>
      </c>
      <c r="AP90" s="542">
        <v>0</v>
      </c>
      <c r="AQ90" s="542">
        <v>0</v>
      </c>
      <c r="AR90" s="542">
        <v>0</v>
      </c>
      <c r="AS90" s="542">
        <v>0</v>
      </c>
      <c r="AT90" s="542">
        <v>0</v>
      </c>
      <c r="AU90" s="542">
        <v>0</v>
      </c>
      <c r="AV90" s="542">
        <v>671674</v>
      </c>
      <c r="AW90" s="542">
        <v>-382402</v>
      </c>
      <c r="AX90" s="136"/>
      <c r="AY90" s="136"/>
      <c r="AZ90" s="136"/>
      <c r="BA90" s="136"/>
      <c r="BB90" s="136"/>
      <c r="BC90" s="136"/>
      <c r="BD90" s="136"/>
      <c r="BE90" s="136"/>
      <c r="BF90" s="136"/>
      <c r="BG90" s="136"/>
      <c r="BH90" s="136"/>
      <c r="BI90" s="136"/>
      <c r="BJ90" s="136"/>
      <c r="BK90" s="136"/>
      <c r="BL90" s="136"/>
      <c r="BM90" s="136"/>
      <c r="BN90" s="136"/>
      <c r="BO90" s="136"/>
      <c r="BP90" s="136"/>
      <c r="BQ90" s="136"/>
      <c r="BR90" s="136"/>
      <c r="BS90" s="136"/>
      <c r="BT90" s="136"/>
      <c r="BU90" s="136"/>
      <c r="BV90" s="136"/>
      <c r="BW90" s="136"/>
      <c r="BX90" s="136"/>
      <c r="BY90" s="136"/>
      <c r="BZ90" s="136"/>
      <c r="CA90" s="136"/>
      <c r="CB90" s="136"/>
      <c r="CC90" s="136"/>
      <c r="CD90" s="136"/>
      <c r="CE90" s="136"/>
      <c r="CF90" s="136"/>
      <c r="CG90" s="136"/>
      <c r="CH90" s="136"/>
      <c r="CI90" s="136"/>
      <c r="CJ90" s="136"/>
      <c r="CK90" s="136"/>
      <c r="CL90" s="136"/>
      <c r="CM90" s="136"/>
      <c r="CN90" s="136"/>
      <c r="CO90" s="136"/>
      <c r="CP90" s="136"/>
      <c r="CQ90" s="136"/>
      <c r="CR90" s="136"/>
      <c r="CS90" s="136"/>
      <c r="CT90" s="136"/>
      <c r="CU90" s="136"/>
      <c r="CV90" s="136"/>
      <c r="CW90" s="136"/>
      <c r="CX90" s="136"/>
      <c r="CY90" s="136"/>
      <c r="CZ90" s="136"/>
      <c r="DA90" s="136"/>
      <c r="DB90" s="136"/>
      <c r="DC90" s="136"/>
      <c r="DD90" s="136"/>
      <c r="DE90" s="136"/>
      <c r="DF90" s="136"/>
      <c r="DG90" s="136"/>
      <c r="DH90" s="136"/>
      <c r="DI90" s="136"/>
      <c r="DJ90" s="136"/>
      <c r="DK90" s="136"/>
      <c r="DL90" s="136"/>
      <c r="DM90" s="136"/>
      <c r="DN90" s="136"/>
      <c r="DO90" s="136"/>
      <c r="DP90" s="136"/>
      <c r="DQ90" s="136"/>
      <c r="DR90" s="136"/>
      <c r="DS90" s="136"/>
      <c r="DT90" s="136"/>
      <c r="DU90" s="136"/>
      <c r="DV90" s="136"/>
      <c r="DW90" s="136"/>
      <c r="DX90" s="136"/>
      <c r="DY90" s="136"/>
      <c r="DZ90" s="136"/>
      <c r="EA90" s="136"/>
      <c r="EB90" s="136"/>
      <c r="EC90" s="136"/>
      <c r="ED90" s="136"/>
      <c r="EE90" s="136"/>
      <c r="EF90" s="136"/>
      <c r="EG90" s="136"/>
      <c r="EH90" s="136"/>
      <c r="EI90" s="136"/>
      <c r="EJ90" s="136"/>
      <c r="EK90" s="136"/>
      <c r="EL90" s="136"/>
      <c r="EM90" s="136"/>
      <c r="EN90" s="136"/>
      <c r="EO90" s="136"/>
      <c r="EP90" s="136"/>
      <c r="EQ90" s="136"/>
      <c r="ER90" s="136"/>
      <c r="ES90" s="136"/>
      <c r="ET90" s="136"/>
      <c r="EU90" s="136"/>
      <c r="EV90" s="136"/>
      <c r="EW90" s="136"/>
      <c r="EX90" s="136"/>
      <c r="EY90" s="136"/>
      <c r="EZ90" s="136"/>
      <c r="FA90" s="136"/>
      <c r="FB90" s="136"/>
      <c r="FC90" s="136"/>
      <c r="FD90" s="136"/>
      <c r="FE90" s="137"/>
      <c r="FF90" s="138"/>
    </row>
    <row r="91" spans="1:162" ht="12.75" x14ac:dyDescent="0.2">
      <c r="A91" s="93">
        <v>85</v>
      </c>
      <c r="B91" s="145" t="s">
        <v>48</v>
      </c>
      <c r="C91" s="141" t="s">
        <v>866</v>
      </c>
      <c r="D91" s="142" t="s">
        <v>875</v>
      </c>
      <c r="E91" s="149" t="s">
        <v>47</v>
      </c>
      <c r="F91" s="542">
        <v>21401070</v>
      </c>
      <c r="G91" s="542">
        <v>0</v>
      </c>
      <c r="H91" s="542">
        <v>21401070</v>
      </c>
      <c r="I91" s="542">
        <v>0</v>
      </c>
      <c r="J91" s="542">
        <v>0</v>
      </c>
      <c r="K91" s="542">
        <v>0</v>
      </c>
      <c r="L91" s="542">
        <v>75090</v>
      </c>
      <c r="M91" s="542">
        <v>0</v>
      </c>
      <c r="N91" s="542">
        <v>75090</v>
      </c>
      <c r="O91" s="542">
        <v>-169193</v>
      </c>
      <c r="P91" s="542">
        <v>0</v>
      </c>
      <c r="Q91" s="542">
        <v>-169193</v>
      </c>
      <c r="R91" s="542">
        <v>0</v>
      </c>
      <c r="S91" s="542">
        <v>0</v>
      </c>
      <c r="T91" s="542">
        <v>0</v>
      </c>
      <c r="U91" s="542">
        <v>-299970</v>
      </c>
      <c r="V91" s="542">
        <v>0</v>
      </c>
      <c r="W91" s="542">
        <v>-299970</v>
      </c>
      <c r="X91" s="542">
        <v>840189</v>
      </c>
      <c r="Y91" s="542">
        <v>0</v>
      </c>
      <c r="Z91" s="542">
        <v>840189</v>
      </c>
      <c r="AA91" s="542">
        <v>-601655.4</v>
      </c>
      <c r="AB91" s="542">
        <v>0</v>
      </c>
      <c r="AC91" s="542">
        <v>-601655.4</v>
      </c>
      <c r="AD91" s="542">
        <v>21414723.600000001</v>
      </c>
      <c r="AE91" s="542">
        <v>0</v>
      </c>
      <c r="AF91" s="542">
        <v>21414723.600000001</v>
      </c>
      <c r="AG91" s="542">
        <v>0</v>
      </c>
      <c r="AH91" s="542">
        <v>0</v>
      </c>
      <c r="AI91" s="542">
        <v>0</v>
      </c>
      <c r="AJ91" s="542">
        <v>43601</v>
      </c>
      <c r="AK91" s="542">
        <v>0</v>
      </c>
      <c r="AL91" s="542">
        <v>0</v>
      </c>
      <c r="AM91" s="542">
        <v>43601</v>
      </c>
      <c r="AN91" s="542">
        <v>0</v>
      </c>
      <c r="AO91" s="542">
        <v>0</v>
      </c>
      <c r="AP91" s="542">
        <v>0</v>
      </c>
      <c r="AQ91" s="542">
        <v>0</v>
      </c>
      <c r="AR91" s="542">
        <v>0</v>
      </c>
      <c r="AS91" s="542">
        <v>0</v>
      </c>
      <c r="AT91" s="542">
        <v>0</v>
      </c>
      <c r="AU91" s="542">
        <v>0</v>
      </c>
      <c r="AV91" s="542">
        <v>869984</v>
      </c>
      <c r="AW91" s="542">
        <v>-125032</v>
      </c>
      <c r="AX91" s="136"/>
      <c r="AY91" s="136"/>
      <c r="AZ91" s="136"/>
      <c r="BA91" s="136"/>
      <c r="BB91" s="136"/>
      <c r="BC91" s="136"/>
      <c r="BD91" s="136"/>
      <c r="BE91" s="136"/>
      <c r="BF91" s="136"/>
      <c r="BG91" s="136"/>
      <c r="BH91" s="136"/>
      <c r="BI91" s="136"/>
      <c r="BJ91" s="136"/>
      <c r="BK91" s="136"/>
      <c r="BL91" s="136"/>
      <c r="BM91" s="136"/>
      <c r="BN91" s="136"/>
      <c r="BO91" s="136"/>
      <c r="BP91" s="136"/>
      <c r="BQ91" s="136"/>
      <c r="BR91" s="136"/>
      <c r="BS91" s="136"/>
      <c r="BT91" s="136"/>
      <c r="BU91" s="136"/>
      <c r="BV91" s="136"/>
      <c r="BW91" s="136"/>
      <c r="BX91" s="136"/>
      <c r="BY91" s="136"/>
      <c r="BZ91" s="136"/>
      <c r="CA91" s="136"/>
      <c r="CB91" s="136"/>
      <c r="CC91" s="136"/>
      <c r="CD91" s="136"/>
      <c r="CE91" s="136"/>
      <c r="CF91" s="136"/>
      <c r="CG91" s="136"/>
      <c r="CH91" s="136"/>
      <c r="CI91" s="136"/>
      <c r="CJ91" s="136"/>
      <c r="CK91" s="136"/>
      <c r="CL91" s="136"/>
      <c r="CM91" s="136"/>
      <c r="CN91" s="136"/>
      <c r="CO91" s="136"/>
      <c r="CP91" s="136"/>
      <c r="CQ91" s="136"/>
      <c r="CR91" s="136"/>
      <c r="CS91" s="136"/>
      <c r="CT91" s="136"/>
      <c r="CU91" s="136"/>
      <c r="CV91" s="136"/>
      <c r="CW91" s="136"/>
      <c r="CX91" s="136"/>
      <c r="CY91" s="136"/>
      <c r="CZ91" s="136"/>
      <c r="DA91" s="136"/>
      <c r="DB91" s="136"/>
      <c r="DC91" s="136"/>
      <c r="DD91" s="136"/>
      <c r="DE91" s="136"/>
      <c r="DF91" s="136"/>
      <c r="DG91" s="136"/>
      <c r="DH91" s="136"/>
      <c r="DI91" s="136"/>
      <c r="DJ91" s="136"/>
      <c r="DK91" s="136"/>
      <c r="DL91" s="136"/>
      <c r="DM91" s="136"/>
      <c r="DN91" s="136"/>
      <c r="DO91" s="136"/>
      <c r="DP91" s="136"/>
      <c r="DQ91" s="136"/>
      <c r="DR91" s="136"/>
      <c r="DS91" s="136"/>
      <c r="DT91" s="136"/>
      <c r="DU91" s="136"/>
      <c r="DV91" s="136"/>
      <c r="DW91" s="136"/>
      <c r="DX91" s="136"/>
      <c r="DY91" s="136"/>
      <c r="DZ91" s="136"/>
      <c r="EA91" s="136"/>
      <c r="EB91" s="136"/>
      <c r="EC91" s="136"/>
      <c r="ED91" s="136"/>
      <c r="EE91" s="136"/>
      <c r="EF91" s="136"/>
      <c r="EG91" s="136"/>
      <c r="EH91" s="136"/>
      <c r="EI91" s="136"/>
      <c r="EJ91" s="136"/>
      <c r="EK91" s="136"/>
      <c r="EL91" s="136"/>
      <c r="EM91" s="136"/>
      <c r="EN91" s="136"/>
      <c r="EO91" s="136"/>
      <c r="EP91" s="136"/>
      <c r="EQ91" s="136"/>
      <c r="ER91" s="136"/>
      <c r="ES91" s="136"/>
      <c r="ET91" s="136"/>
      <c r="EU91" s="136"/>
      <c r="EV91" s="136"/>
      <c r="EW91" s="136"/>
      <c r="EX91" s="136"/>
      <c r="EY91" s="136"/>
      <c r="EZ91" s="136"/>
      <c r="FA91" s="136"/>
      <c r="FB91" s="136"/>
      <c r="FC91" s="136"/>
      <c r="FD91" s="136"/>
      <c r="FE91" s="137"/>
      <c r="FF91" s="138"/>
    </row>
    <row r="92" spans="1:162" ht="12.75" x14ac:dyDescent="0.2">
      <c r="A92" s="93">
        <v>86</v>
      </c>
      <c r="B92" s="145" t="s">
        <v>50</v>
      </c>
      <c r="C92" s="141" t="s">
        <v>866</v>
      </c>
      <c r="D92" s="142" t="s">
        <v>867</v>
      </c>
      <c r="E92" s="149" t="s">
        <v>49</v>
      </c>
      <c r="F92" s="542">
        <v>28794107</v>
      </c>
      <c r="G92" s="542">
        <v>0</v>
      </c>
      <c r="H92" s="542">
        <v>28794107</v>
      </c>
      <c r="I92" s="542">
        <v>-2529</v>
      </c>
      <c r="J92" s="542">
        <v>0</v>
      </c>
      <c r="K92" s="542">
        <v>-2529</v>
      </c>
      <c r="L92" s="542">
        <v>15284</v>
      </c>
      <c r="M92" s="542">
        <v>0</v>
      </c>
      <c r="N92" s="542">
        <v>15284</v>
      </c>
      <c r="O92" s="542">
        <v>-156566</v>
      </c>
      <c r="P92" s="542">
        <v>0</v>
      </c>
      <c r="Q92" s="542">
        <v>-156566</v>
      </c>
      <c r="R92" s="542">
        <v>0</v>
      </c>
      <c r="S92" s="542">
        <v>0</v>
      </c>
      <c r="T92" s="542">
        <v>0</v>
      </c>
      <c r="U92" s="542">
        <v>-80969</v>
      </c>
      <c r="V92" s="542">
        <v>0</v>
      </c>
      <c r="W92" s="542">
        <v>-80969</v>
      </c>
      <c r="X92" s="542">
        <v>0</v>
      </c>
      <c r="Y92" s="542">
        <v>0</v>
      </c>
      <c r="Z92" s="542">
        <v>0</v>
      </c>
      <c r="AA92" s="542">
        <v>1078529</v>
      </c>
      <c r="AB92" s="542">
        <v>0</v>
      </c>
      <c r="AC92" s="542">
        <v>1078529</v>
      </c>
      <c r="AD92" s="542">
        <v>29804422</v>
      </c>
      <c r="AE92" s="542">
        <v>0</v>
      </c>
      <c r="AF92" s="542">
        <v>29804422</v>
      </c>
      <c r="AG92" s="542">
        <v>0</v>
      </c>
      <c r="AH92" s="542">
        <v>0</v>
      </c>
      <c r="AI92" s="542">
        <v>0</v>
      </c>
      <c r="AJ92" s="542">
        <v>0</v>
      </c>
      <c r="AK92" s="542">
        <v>0</v>
      </c>
      <c r="AL92" s="542">
        <v>0</v>
      </c>
      <c r="AM92" s="542">
        <v>0</v>
      </c>
      <c r="AN92" s="542">
        <v>0</v>
      </c>
      <c r="AO92" s="542">
        <v>0</v>
      </c>
      <c r="AP92" s="542">
        <v>0</v>
      </c>
      <c r="AQ92" s="542">
        <v>0</v>
      </c>
      <c r="AR92" s="542">
        <v>0</v>
      </c>
      <c r="AS92" s="542">
        <v>0</v>
      </c>
      <c r="AT92" s="542">
        <v>0</v>
      </c>
      <c r="AU92" s="542">
        <v>0</v>
      </c>
      <c r="AV92" s="542">
        <v>371057</v>
      </c>
      <c r="AW92" s="542">
        <v>-173074</v>
      </c>
      <c r="AX92" s="136"/>
      <c r="AY92" s="136"/>
      <c r="AZ92" s="136"/>
      <c r="BA92" s="136"/>
      <c r="BB92" s="136"/>
      <c r="BC92" s="136"/>
      <c r="BD92" s="136"/>
      <c r="BE92" s="136"/>
      <c r="BF92" s="136"/>
      <c r="BG92" s="136"/>
      <c r="BH92" s="136"/>
      <c r="BI92" s="136"/>
      <c r="BJ92" s="136"/>
      <c r="BK92" s="136"/>
      <c r="BL92" s="136"/>
      <c r="BM92" s="136"/>
      <c r="BN92" s="136"/>
      <c r="BO92" s="136"/>
      <c r="BP92" s="136"/>
      <c r="BQ92" s="136"/>
      <c r="BR92" s="136"/>
      <c r="BS92" s="136"/>
      <c r="BT92" s="136"/>
      <c r="BU92" s="136"/>
      <c r="BV92" s="136"/>
      <c r="BW92" s="136"/>
      <c r="BX92" s="136"/>
      <c r="BY92" s="136"/>
      <c r="BZ92" s="136"/>
      <c r="CA92" s="136"/>
      <c r="CB92" s="136"/>
      <c r="CC92" s="136"/>
      <c r="CD92" s="136"/>
      <c r="CE92" s="136"/>
      <c r="CF92" s="136"/>
      <c r="CG92" s="136"/>
      <c r="CH92" s="136"/>
      <c r="CI92" s="136"/>
      <c r="CJ92" s="136"/>
      <c r="CK92" s="136"/>
      <c r="CL92" s="136"/>
      <c r="CM92" s="136"/>
      <c r="CN92" s="136"/>
      <c r="CO92" s="136"/>
      <c r="CP92" s="136"/>
      <c r="CQ92" s="136"/>
      <c r="CR92" s="136"/>
      <c r="CS92" s="136"/>
      <c r="CT92" s="136"/>
      <c r="CU92" s="136"/>
      <c r="CV92" s="136"/>
      <c r="CW92" s="136"/>
      <c r="CX92" s="136"/>
      <c r="CY92" s="136"/>
      <c r="CZ92" s="136"/>
      <c r="DA92" s="136"/>
      <c r="DB92" s="136"/>
      <c r="DC92" s="136"/>
      <c r="DD92" s="136"/>
      <c r="DE92" s="136"/>
      <c r="DF92" s="136"/>
      <c r="DG92" s="136"/>
      <c r="DH92" s="136"/>
      <c r="DI92" s="136"/>
      <c r="DJ92" s="136"/>
      <c r="DK92" s="136"/>
      <c r="DL92" s="136"/>
      <c r="DM92" s="136"/>
      <c r="DN92" s="136"/>
      <c r="DO92" s="136"/>
      <c r="DP92" s="136"/>
      <c r="DQ92" s="136"/>
      <c r="DR92" s="136"/>
      <c r="DS92" s="136"/>
      <c r="DT92" s="136"/>
      <c r="DU92" s="136"/>
      <c r="DV92" s="136"/>
      <c r="DW92" s="136"/>
      <c r="DX92" s="136"/>
      <c r="DY92" s="136"/>
      <c r="DZ92" s="136"/>
      <c r="EA92" s="136"/>
      <c r="EB92" s="136"/>
      <c r="EC92" s="136"/>
      <c r="ED92" s="136"/>
      <c r="EE92" s="136"/>
      <c r="EF92" s="136"/>
      <c r="EG92" s="136"/>
      <c r="EH92" s="136"/>
      <c r="EI92" s="136"/>
      <c r="EJ92" s="136"/>
      <c r="EK92" s="136"/>
      <c r="EL92" s="136"/>
      <c r="EM92" s="136"/>
      <c r="EN92" s="136"/>
      <c r="EO92" s="136"/>
      <c r="EP92" s="136"/>
      <c r="EQ92" s="136"/>
      <c r="ER92" s="136"/>
      <c r="ES92" s="136"/>
      <c r="ET92" s="136"/>
      <c r="EU92" s="136"/>
      <c r="EV92" s="136"/>
      <c r="EW92" s="136"/>
      <c r="EX92" s="136"/>
      <c r="EY92" s="136"/>
      <c r="EZ92" s="136"/>
      <c r="FA92" s="136"/>
      <c r="FB92" s="136"/>
      <c r="FC92" s="136"/>
      <c r="FD92" s="136"/>
      <c r="FE92" s="137"/>
      <c r="FF92" s="138"/>
    </row>
    <row r="93" spans="1:162" ht="12.75" x14ac:dyDescent="0.2">
      <c r="A93" s="93">
        <v>87</v>
      </c>
      <c r="B93" s="145" t="s">
        <v>52</v>
      </c>
      <c r="C93" s="141" t="s">
        <v>866</v>
      </c>
      <c r="D93" s="142" t="s">
        <v>870</v>
      </c>
      <c r="E93" s="149" t="s">
        <v>51</v>
      </c>
      <c r="F93" s="542">
        <v>43433442</v>
      </c>
      <c r="G93" s="542">
        <v>0</v>
      </c>
      <c r="H93" s="542">
        <v>43433442</v>
      </c>
      <c r="I93" s="542">
        <v>0</v>
      </c>
      <c r="J93" s="542">
        <v>0</v>
      </c>
      <c r="K93" s="542">
        <v>0</v>
      </c>
      <c r="L93" s="542">
        <v>108373</v>
      </c>
      <c r="M93" s="542">
        <v>0</v>
      </c>
      <c r="N93" s="542">
        <v>108373</v>
      </c>
      <c r="O93" s="542">
        <v>-930627</v>
      </c>
      <c r="P93" s="542">
        <v>0</v>
      </c>
      <c r="Q93" s="542">
        <v>-930627</v>
      </c>
      <c r="R93" s="542">
        <v>0</v>
      </c>
      <c r="S93" s="542">
        <v>0</v>
      </c>
      <c r="T93" s="542">
        <v>0</v>
      </c>
      <c r="U93" s="542">
        <v>-601058</v>
      </c>
      <c r="V93" s="542">
        <v>0</v>
      </c>
      <c r="W93" s="542">
        <v>-601058</v>
      </c>
      <c r="X93" s="542">
        <v>1565793</v>
      </c>
      <c r="Y93" s="542">
        <v>0</v>
      </c>
      <c r="Z93" s="542">
        <v>1565793</v>
      </c>
      <c r="AA93" s="542">
        <v>-5302155</v>
      </c>
      <c r="AB93" s="542">
        <v>0</v>
      </c>
      <c r="AC93" s="542">
        <v>-5302155</v>
      </c>
      <c r="AD93" s="542">
        <v>39204395</v>
      </c>
      <c r="AE93" s="542">
        <v>0</v>
      </c>
      <c r="AF93" s="542">
        <v>39204395</v>
      </c>
      <c r="AG93" s="542">
        <v>0</v>
      </c>
      <c r="AH93" s="542">
        <v>0</v>
      </c>
      <c r="AI93" s="542">
        <v>0</v>
      </c>
      <c r="AJ93" s="542">
        <v>0</v>
      </c>
      <c r="AK93" s="542">
        <v>0</v>
      </c>
      <c r="AL93" s="542">
        <v>0</v>
      </c>
      <c r="AM93" s="542">
        <v>0</v>
      </c>
      <c r="AN93" s="542">
        <v>0</v>
      </c>
      <c r="AO93" s="542">
        <v>0</v>
      </c>
      <c r="AP93" s="542">
        <v>0</v>
      </c>
      <c r="AQ93" s="542">
        <v>0</v>
      </c>
      <c r="AR93" s="542">
        <v>0</v>
      </c>
      <c r="AS93" s="542">
        <v>0</v>
      </c>
      <c r="AT93" s="542">
        <v>0</v>
      </c>
      <c r="AU93" s="542">
        <v>0</v>
      </c>
      <c r="AV93" s="542">
        <v>1859680</v>
      </c>
      <c r="AW93" s="542">
        <v>-171574</v>
      </c>
      <c r="AX93" s="136"/>
      <c r="AY93" s="136"/>
      <c r="AZ93" s="136"/>
      <c r="BA93" s="136"/>
      <c r="BB93" s="136"/>
      <c r="BC93" s="136"/>
      <c r="BD93" s="136"/>
      <c r="BE93" s="136"/>
      <c r="BF93" s="136"/>
      <c r="BG93" s="136"/>
      <c r="BH93" s="136"/>
      <c r="BI93" s="136"/>
      <c r="BJ93" s="136"/>
      <c r="BK93" s="136"/>
      <c r="BL93" s="136"/>
      <c r="BM93" s="136"/>
      <c r="BN93" s="136"/>
      <c r="BO93" s="136"/>
      <c r="BP93" s="136"/>
      <c r="BQ93" s="136"/>
      <c r="BR93" s="136"/>
      <c r="BS93" s="136"/>
      <c r="BT93" s="136"/>
      <c r="BU93" s="136"/>
      <c r="BV93" s="136"/>
      <c r="BW93" s="136"/>
      <c r="BX93" s="136"/>
      <c r="BY93" s="136"/>
      <c r="BZ93" s="136"/>
      <c r="CA93" s="136"/>
      <c r="CB93" s="136"/>
      <c r="CC93" s="136"/>
      <c r="CD93" s="136"/>
      <c r="CE93" s="136"/>
      <c r="CF93" s="136"/>
      <c r="CG93" s="136"/>
      <c r="CH93" s="136"/>
      <c r="CI93" s="136"/>
      <c r="CJ93" s="136"/>
      <c r="CK93" s="136"/>
      <c r="CL93" s="136"/>
      <c r="CM93" s="136"/>
      <c r="CN93" s="136"/>
      <c r="CO93" s="136"/>
      <c r="CP93" s="136"/>
      <c r="CQ93" s="136"/>
      <c r="CR93" s="136"/>
      <c r="CS93" s="136"/>
      <c r="CT93" s="136"/>
      <c r="CU93" s="136"/>
      <c r="CV93" s="136"/>
      <c r="CW93" s="136"/>
      <c r="CX93" s="136"/>
      <c r="CY93" s="136"/>
      <c r="CZ93" s="136"/>
      <c r="DA93" s="136"/>
      <c r="DB93" s="136"/>
      <c r="DC93" s="136"/>
      <c r="DD93" s="136"/>
      <c r="DE93" s="136"/>
      <c r="DF93" s="136"/>
      <c r="DG93" s="136"/>
      <c r="DH93" s="136"/>
      <c r="DI93" s="136"/>
      <c r="DJ93" s="136"/>
      <c r="DK93" s="136"/>
      <c r="DL93" s="136"/>
      <c r="DM93" s="136"/>
      <c r="DN93" s="136"/>
      <c r="DO93" s="136"/>
      <c r="DP93" s="136"/>
      <c r="DQ93" s="136"/>
      <c r="DR93" s="136"/>
      <c r="DS93" s="136"/>
      <c r="DT93" s="136"/>
      <c r="DU93" s="136"/>
      <c r="DV93" s="136"/>
      <c r="DW93" s="136"/>
      <c r="DX93" s="136"/>
      <c r="DY93" s="136"/>
      <c r="DZ93" s="136"/>
      <c r="EA93" s="136"/>
      <c r="EB93" s="136"/>
      <c r="EC93" s="136"/>
      <c r="ED93" s="136"/>
      <c r="EE93" s="136"/>
      <c r="EF93" s="136"/>
      <c r="EG93" s="136"/>
      <c r="EH93" s="136"/>
      <c r="EI93" s="136"/>
      <c r="EJ93" s="136"/>
      <c r="EK93" s="136"/>
      <c r="EL93" s="136"/>
      <c r="EM93" s="136"/>
      <c r="EN93" s="136"/>
      <c r="EO93" s="136"/>
      <c r="EP93" s="136"/>
      <c r="EQ93" s="136"/>
      <c r="ER93" s="136"/>
      <c r="ES93" s="136"/>
      <c r="ET93" s="136"/>
      <c r="EU93" s="136"/>
      <c r="EV93" s="136"/>
      <c r="EW93" s="136"/>
      <c r="EX93" s="136"/>
      <c r="EY93" s="136"/>
      <c r="EZ93" s="136"/>
      <c r="FA93" s="136"/>
      <c r="FB93" s="136"/>
      <c r="FC93" s="136"/>
      <c r="FD93" s="136"/>
      <c r="FE93" s="137"/>
      <c r="FF93" s="138"/>
    </row>
    <row r="94" spans="1:162" ht="12.75" x14ac:dyDescent="0.2">
      <c r="A94" s="93">
        <v>88</v>
      </c>
      <c r="B94" s="145" t="s">
        <v>54</v>
      </c>
      <c r="C94" s="141" t="s">
        <v>866</v>
      </c>
      <c r="D94" s="142" t="s">
        <v>869</v>
      </c>
      <c r="E94" s="149" t="s">
        <v>53</v>
      </c>
      <c r="F94" s="542">
        <v>33060171</v>
      </c>
      <c r="G94" s="542">
        <v>0</v>
      </c>
      <c r="H94" s="542">
        <v>33060171</v>
      </c>
      <c r="I94" s="542">
        <v>-1874</v>
      </c>
      <c r="J94" s="542">
        <v>0</v>
      </c>
      <c r="K94" s="542">
        <v>-1874</v>
      </c>
      <c r="L94" s="542">
        <v>63552</v>
      </c>
      <c r="M94" s="542">
        <v>0</v>
      </c>
      <c r="N94" s="542">
        <v>63552</v>
      </c>
      <c r="O94" s="542">
        <v>-429903</v>
      </c>
      <c r="P94" s="542">
        <v>0</v>
      </c>
      <c r="Q94" s="542">
        <v>-429903</v>
      </c>
      <c r="R94" s="542">
        <v>0</v>
      </c>
      <c r="S94" s="542">
        <v>0</v>
      </c>
      <c r="T94" s="542">
        <v>0</v>
      </c>
      <c r="U94" s="542">
        <v>-571903</v>
      </c>
      <c r="V94" s="542">
        <v>0</v>
      </c>
      <c r="W94" s="542">
        <v>-571903</v>
      </c>
      <c r="X94" s="542">
        <v>313736</v>
      </c>
      <c r="Y94" s="542">
        <v>0</v>
      </c>
      <c r="Z94" s="542">
        <v>313736</v>
      </c>
      <c r="AA94" s="542">
        <v>-1625716</v>
      </c>
      <c r="AB94" s="542">
        <v>0</v>
      </c>
      <c r="AC94" s="542">
        <v>-1625716</v>
      </c>
      <c r="AD94" s="542">
        <v>31237966</v>
      </c>
      <c r="AE94" s="542">
        <v>0</v>
      </c>
      <c r="AF94" s="542">
        <v>31237966</v>
      </c>
      <c r="AG94" s="542">
        <v>0</v>
      </c>
      <c r="AH94" s="542">
        <v>0</v>
      </c>
      <c r="AI94" s="542">
        <v>0</v>
      </c>
      <c r="AJ94" s="542">
        <v>70647</v>
      </c>
      <c r="AK94" s="542">
        <v>0</v>
      </c>
      <c r="AL94" s="542">
        <v>0</v>
      </c>
      <c r="AM94" s="542">
        <v>70647</v>
      </c>
      <c r="AN94" s="542">
        <v>0</v>
      </c>
      <c r="AO94" s="542">
        <v>0</v>
      </c>
      <c r="AP94" s="542">
        <v>0</v>
      </c>
      <c r="AQ94" s="542">
        <v>0</v>
      </c>
      <c r="AR94" s="542">
        <v>0</v>
      </c>
      <c r="AS94" s="542">
        <v>0</v>
      </c>
      <c r="AT94" s="542">
        <v>0</v>
      </c>
      <c r="AU94" s="542">
        <v>0</v>
      </c>
      <c r="AV94" s="542">
        <v>2153165</v>
      </c>
      <c r="AW94" s="542">
        <v>-1097918</v>
      </c>
      <c r="AX94" s="136"/>
      <c r="AY94" s="136"/>
      <c r="AZ94" s="136"/>
      <c r="BA94" s="136"/>
      <c r="BB94" s="136"/>
      <c r="BC94" s="136"/>
      <c r="BD94" s="136"/>
      <c r="BE94" s="136"/>
      <c r="BF94" s="136"/>
      <c r="BG94" s="136"/>
      <c r="BH94" s="136"/>
      <c r="BI94" s="136"/>
      <c r="BJ94" s="136"/>
      <c r="BK94" s="136"/>
      <c r="BL94" s="136"/>
      <c r="BM94" s="136"/>
      <c r="BN94" s="136"/>
      <c r="BO94" s="136"/>
      <c r="BP94" s="136"/>
      <c r="BQ94" s="136"/>
      <c r="BR94" s="136"/>
      <c r="BS94" s="136"/>
      <c r="BT94" s="136"/>
      <c r="BU94" s="136"/>
      <c r="BV94" s="136"/>
      <c r="BW94" s="136"/>
      <c r="BX94" s="136"/>
      <c r="BY94" s="136"/>
      <c r="BZ94" s="136"/>
      <c r="CA94" s="136"/>
      <c r="CB94" s="136"/>
      <c r="CC94" s="136"/>
      <c r="CD94" s="136"/>
      <c r="CE94" s="136"/>
      <c r="CF94" s="136"/>
      <c r="CG94" s="136"/>
      <c r="CH94" s="136"/>
      <c r="CI94" s="136"/>
      <c r="CJ94" s="136"/>
      <c r="CK94" s="136"/>
      <c r="CL94" s="136"/>
      <c r="CM94" s="136"/>
      <c r="CN94" s="136"/>
      <c r="CO94" s="136"/>
      <c r="CP94" s="136"/>
      <c r="CQ94" s="136"/>
      <c r="CR94" s="136"/>
      <c r="CS94" s="136"/>
      <c r="CT94" s="136"/>
      <c r="CU94" s="136"/>
      <c r="CV94" s="136"/>
      <c r="CW94" s="136"/>
      <c r="CX94" s="136"/>
      <c r="CY94" s="136"/>
      <c r="CZ94" s="136"/>
      <c r="DA94" s="136"/>
      <c r="DB94" s="136"/>
      <c r="DC94" s="136"/>
      <c r="DD94" s="136"/>
      <c r="DE94" s="136"/>
      <c r="DF94" s="136"/>
      <c r="DG94" s="136"/>
      <c r="DH94" s="136"/>
      <c r="DI94" s="136"/>
      <c r="DJ94" s="136"/>
      <c r="DK94" s="136"/>
      <c r="DL94" s="136"/>
      <c r="DM94" s="136"/>
      <c r="DN94" s="136"/>
      <c r="DO94" s="136"/>
      <c r="DP94" s="136"/>
      <c r="DQ94" s="136"/>
      <c r="DR94" s="136"/>
      <c r="DS94" s="136"/>
      <c r="DT94" s="136"/>
      <c r="DU94" s="136"/>
      <c r="DV94" s="136"/>
      <c r="DW94" s="136"/>
      <c r="DX94" s="136"/>
      <c r="DY94" s="136"/>
      <c r="DZ94" s="136"/>
      <c r="EA94" s="136"/>
      <c r="EB94" s="136"/>
      <c r="EC94" s="136"/>
      <c r="ED94" s="136"/>
      <c r="EE94" s="136"/>
      <c r="EF94" s="136"/>
      <c r="EG94" s="136"/>
      <c r="EH94" s="136"/>
      <c r="EI94" s="136"/>
      <c r="EJ94" s="136"/>
      <c r="EK94" s="136"/>
      <c r="EL94" s="136"/>
      <c r="EM94" s="136"/>
      <c r="EN94" s="136"/>
      <c r="EO94" s="136"/>
      <c r="EP94" s="136"/>
      <c r="EQ94" s="136"/>
      <c r="ER94" s="136"/>
      <c r="ES94" s="136"/>
      <c r="ET94" s="136"/>
      <c r="EU94" s="136"/>
      <c r="EV94" s="136"/>
      <c r="EW94" s="136"/>
      <c r="EX94" s="136"/>
      <c r="EY94" s="136"/>
      <c r="EZ94" s="136"/>
      <c r="FA94" s="136"/>
      <c r="FB94" s="136"/>
      <c r="FC94" s="136"/>
      <c r="FD94" s="136"/>
      <c r="FE94" s="137"/>
      <c r="FF94" s="138"/>
    </row>
    <row r="95" spans="1:162" ht="12.75" x14ac:dyDescent="0.2">
      <c r="A95" s="93">
        <v>89</v>
      </c>
      <c r="B95" s="145" t="s">
        <v>56</v>
      </c>
      <c r="C95" s="141" t="s">
        <v>866</v>
      </c>
      <c r="D95" s="142" t="s">
        <v>869</v>
      </c>
      <c r="E95" s="149" t="s">
        <v>55</v>
      </c>
      <c r="F95" s="542">
        <v>22248235</v>
      </c>
      <c r="G95" s="542">
        <v>0</v>
      </c>
      <c r="H95" s="542">
        <v>22248235</v>
      </c>
      <c r="I95" s="542">
        <v>0</v>
      </c>
      <c r="J95" s="542">
        <v>0</v>
      </c>
      <c r="K95" s="542">
        <v>0</v>
      </c>
      <c r="L95" s="542">
        <v>26000</v>
      </c>
      <c r="M95" s="542">
        <v>0</v>
      </c>
      <c r="N95" s="542">
        <v>26000</v>
      </c>
      <c r="O95" s="542">
        <v>-140255</v>
      </c>
      <c r="P95" s="542">
        <v>0</v>
      </c>
      <c r="Q95" s="542">
        <v>-140255</v>
      </c>
      <c r="R95" s="542">
        <v>0</v>
      </c>
      <c r="S95" s="542">
        <v>0</v>
      </c>
      <c r="T95" s="542">
        <v>0</v>
      </c>
      <c r="U95" s="542">
        <v>-120168</v>
      </c>
      <c r="V95" s="542">
        <v>0</v>
      </c>
      <c r="W95" s="542">
        <v>-120168</v>
      </c>
      <c r="X95" s="542">
        <v>232917</v>
      </c>
      <c r="Y95" s="542">
        <v>0</v>
      </c>
      <c r="Z95" s="542">
        <v>232917</v>
      </c>
      <c r="AA95" s="542">
        <v>-1694046</v>
      </c>
      <c r="AB95" s="542">
        <v>0</v>
      </c>
      <c r="AC95" s="542">
        <v>-1694046</v>
      </c>
      <c r="AD95" s="542">
        <v>20692938</v>
      </c>
      <c r="AE95" s="542">
        <v>0</v>
      </c>
      <c r="AF95" s="542">
        <v>20692938</v>
      </c>
      <c r="AG95" s="542">
        <v>0</v>
      </c>
      <c r="AH95" s="542">
        <v>0</v>
      </c>
      <c r="AI95" s="542">
        <v>0</v>
      </c>
      <c r="AJ95" s="542">
        <v>547385</v>
      </c>
      <c r="AK95" s="542">
        <v>0</v>
      </c>
      <c r="AL95" s="542">
        <v>0</v>
      </c>
      <c r="AM95" s="542">
        <v>547385</v>
      </c>
      <c r="AN95" s="542">
        <v>0</v>
      </c>
      <c r="AO95" s="542">
        <v>0</v>
      </c>
      <c r="AP95" s="542">
        <v>0</v>
      </c>
      <c r="AQ95" s="542">
        <v>0</v>
      </c>
      <c r="AR95" s="542">
        <v>0</v>
      </c>
      <c r="AS95" s="542">
        <v>0</v>
      </c>
      <c r="AT95" s="542">
        <v>0</v>
      </c>
      <c r="AU95" s="542">
        <v>0</v>
      </c>
      <c r="AV95" s="542">
        <v>123900</v>
      </c>
      <c r="AW95" s="542">
        <v>-180588</v>
      </c>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136"/>
      <c r="CB95" s="136"/>
      <c r="CC95" s="136"/>
      <c r="CD95" s="136"/>
      <c r="CE95" s="136"/>
      <c r="CF95" s="136"/>
      <c r="CG95" s="136"/>
      <c r="CH95" s="136"/>
      <c r="CI95" s="136"/>
      <c r="CJ95" s="136"/>
      <c r="CK95" s="136"/>
      <c r="CL95" s="136"/>
      <c r="CM95" s="136"/>
      <c r="CN95" s="136"/>
      <c r="CO95" s="136"/>
      <c r="CP95" s="136"/>
      <c r="CQ95" s="136"/>
      <c r="CR95" s="136"/>
      <c r="CS95" s="136"/>
      <c r="CT95" s="136"/>
      <c r="CU95" s="136"/>
      <c r="CV95" s="136"/>
      <c r="CW95" s="136"/>
      <c r="CX95" s="136"/>
      <c r="CY95" s="136"/>
      <c r="CZ95" s="136"/>
      <c r="DA95" s="136"/>
      <c r="DB95" s="136"/>
      <c r="DC95" s="136"/>
      <c r="DD95" s="136"/>
      <c r="DE95" s="136"/>
      <c r="DF95" s="136"/>
      <c r="DG95" s="136"/>
      <c r="DH95" s="136"/>
      <c r="DI95" s="136"/>
      <c r="DJ95" s="136"/>
      <c r="DK95" s="136"/>
      <c r="DL95" s="136"/>
      <c r="DM95" s="136"/>
      <c r="DN95" s="136"/>
      <c r="DO95" s="136"/>
      <c r="DP95" s="136"/>
      <c r="DQ95" s="136"/>
      <c r="DR95" s="136"/>
      <c r="DS95" s="136"/>
      <c r="DT95" s="136"/>
      <c r="DU95" s="136"/>
      <c r="DV95" s="136"/>
      <c r="DW95" s="136"/>
      <c r="DX95" s="136"/>
      <c r="DY95" s="136"/>
      <c r="DZ95" s="136"/>
      <c r="EA95" s="136"/>
      <c r="EB95" s="136"/>
      <c r="EC95" s="136"/>
      <c r="ED95" s="136"/>
      <c r="EE95" s="136"/>
      <c r="EF95" s="136"/>
      <c r="EG95" s="136"/>
      <c r="EH95" s="136"/>
      <c r="EI95" s="136"/>
      <c r="EJ95" s="136"/>
      <c r="EK95" s="136"/>
      <c r="EL95" s="136"/>
      <c r="EM95" s="136"/>
      <c r="EN95" s="136"/>
      <c r="EO95" s="136"/>
      <c r="EP95" s="136"/>
      <c r="EQ95" s="136"/>
      <c r="ER95" s="136"/>
      <c r="ES95" s="136"/>
      <c r="ET95" s="136"/>
      <c r="EU95" s="136"/>
      <c r="EV95" s="136"/>
      <c r="EW95" s="136"/>
      <c r="EX95" s="136"/>
      <c r="EY95" s="136"/>
      <c r="EZ95" s="136"/>
      <c r="FA95" s="136"/>
      <c r="FB95" s="136"/>
      <c r="FC95" s="136"/>
      <c r="FD95" s="136"/>
      <c r="FE95" s="137"/>
      <c r="FF95" s="138"/>
    </row>
    <row r="96" spans="1:162" ht="12.75" x14ac:dyDescent="0.2">
      <c r="A96" s="93">
        <v>90</v>
      </c>
      <c r="B96" s="145" t="s">
        <v>58</v>
      </c>
      <c r="C96" s="141" t="s">
        <v>770</v>
      </c>
      <c r="D96" s="142" t="s">
        <v>874</v>
      </c>
      <c r="E96" s="149" t="s">
        <v>696</v>
      </c>
      <c r="F96" s="542">
        <v>106485230</v>
      </c>
      <c r="G96" s="542">
        <v>33929</v>
      </c>
      <c r="H96" s="542">
        <v>106519159</v>
      </c>
      <c r="I96" s="542">
        <v>-1081</v>
      </c>
      <c r="J96" s="542">
        <v>0</v>
      </c>
      <c r="K96" s="542">
        <v>-1081</v>
      </c>
      <c r="L96" s="542">
        <v>339938</v>
      </c>
      <c r="M96" s="542">
        <v>0</v>
      </c>
      <c r="N96" s="542">
        <v>339938</v>
      </c>
      <c r="O96" s="542">
        <v>-371701</v>
      </c>
      <c r="P96" s="542">
        <v>0</v>
      </c>
      <c r="Q96" s="542">
        <v>-371701</v>
      </c>
      <c r="R96" s="542">
        <v>0</v>
      </c>
      <c r="S96" s="542">
        <v>0</v>
      </c>
      <c r="T96" s="542">
        <v>0</v>
      </c>
      <c r="U96" s="542">
        <v>-810725</v>
      </c>
      <c r="V96" s="542">
        <v>0</v>
      </c>
      <c r="W96" s="542">
        <v>-810725</v>
      </c>
      <c r="X96" s="542">
        <v>1591745</v>
      </c>
      <c r="Y96" s="542">
        <v>0</v>
      </c>
      <c r="Z96" s="542">
        <v>1591745</v>
      </c>
      <c r="AA96" s="542">
        <v>-10382727</v>
      </c>
      <c r="AB96" s="542">
        <v>0</v>
      </c>
      <c r="AC96" s="542">
        <v>-10382727</v>
      </c>
      <c r="AD96" s="542">
        <v>97222380</v>
      </c>
      <c r="AE96" s="542">
        <v>33929</v>
      </c>
      <c r="AF96" s="542">
        <v>97256309</v>
      </c>
      <c r="AG96" s="542">
        <v>0</v>
      </c>
      <c r="AH96" s="542">
        <v>33929</v>
      </c>
      <c r="AI96" s="542">
        <v>33929</v>
      </c>
      <c r="AJ96" s="542">
        <v>1473938</v>
      </c>
      <c r="AK96" s="542">
        <v>0</v>
      </c>
      <c r="AL96" s="542">
        <v>0</v>
      </c>
      <c r="AM96" s="542">
        <v>1473938</v>
      </c>
      <c r="AN96" s="542">
        <v>0</v>
      </c>
      <c r="AO96" s="542">
        <v>-1039</v>
      </c>
      <c r="AP96" s="542">
        <v>-1039</v>
      </c>
      <c r="AQ96" s="542">
        <v>0</v>
      </c>
      <c r="AR96" s="542">
        <v>95870</v>
      </c>
      <c r="AS96" s="542">
        <v>0</v>
      </c>
      <c r="AT96" s="542">
        <v>0</v>
      </c>
      <c r="AU96" s="542">
        <v>0</v>
      </c>
      <c r="AV96" s="542">
        <v>4700509</v>
      </c>
      <c r="AW96" s="542">
        <v>-2347512</v>
      </c>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c r="DD96" s="136"/>
      <c r="DE96" s="136"/>
      <c r="DF96" s="136"/>
      <c r="DG96" s="136"/>
      <c r="DH96" s="136"/>
      <c r="DI96" s="136"/>
      <c r="DJ96" s="136"/>
      <c r="DK96" s="136"/>
      <c r="DL96" s="136"/>
      <c r="DM96" s="136"/>
      <c r="DN96" s="136"/>
      <c r="DO96" s="136"/>
      <c r="DP96" s="136"/>
      <c r="DQ96" s="136"/>
      <c r="DR96" s="136"/>
      <c r="DS96" s="136"/>
      <c r="DT96" s="136"/>
      <c r="DU96" s="136"/>
      <c r="DV96" s="136"/>
      <c r="DW96" s="136"/>
      <c r="DX96" s="136"/>
      <c r="DY96" s="136"/>
      <c r="DZ96" s="136"/>
      <c r="EA96" s="136"/>
      <c r="EB96" s="136"/>
      <c r="EC96" s="136"/>
      <c r="ED96" s="136"/>
      <c r="EE96" s="136"/>
      <c r="EF96" s="136"/>
      <c r="EG96" s="136"/>
      <c r="EH96" s="136"/>
      <c r="EI96" s="136"/>
      <c r="EJ96" s="136"/>
      <c r="EK96" s="136"/>
      <c r="EL96" s="136"/>
      <c r="EM96" s="136"/>
      <c r="EN96" s="136"/>
      <c r="EO96" s="136"/>
      <c r="EP96" s="136"/>
      <c r="EQ96" s="136"/>
      <c r="ER96" s="136"/>
      <c r="ES96" s="136"/>
      <c r="ET96" s="136"/>
      <c r="EU96" s="136"/>
      <c r="EV96" s="136"/>
      <c r="EW96" s="136"/>
      <c r="EX96" s="136"/>
      <c r="EY96" s="136"/>
      <c r="EZ96" s="136"/>
      <c r="FA96" s="136"/>
      <c r="FB96" s="136"/>
      <c r="FC96" s="136"/>
      <c r="FD96" s="136"/>
      <c r="FE96" s="137"/>
      <c r="FF96" s="138"/>
    </row>
    <row r="97" spans="1:162" ht="12.75" x14ac:dyDescent="0.2">
      <c r="A97" s="93">
        <v>91</v>
      </c>
      <c r="B97" s="145" t="s">
        <v>60</v>
      </c>
      <c r="C97" s="141" t="s">
        <v>866</v>
      </c>
      <c r="D97" s="142" t="s">
        <v>876</v>
      </c>
      <c r="E97" s="149" t="s">
        <v>59</v>
      </c>
      <c r="F97" s="542">
        <v>54672029</v>
      </c>
      <c r="G97" s="542">
        <v>0</v>
      </c>
      <c r="H97" s="542">
        <v>54672029</v>
      </c>
      <c r="I97" s="542">
        <v>0</v>
      </c>
      <c r="J97" s="542">
        <v>0</v>
      </c>
      <c r="K97" s="542">
        <v>0</v>
      </c>
      <c r="L97" s="542">
        <v>0</v>
      </c>
      <c r="M97" s="542">
        <v>0</v>
      </c>
      <c r="N97" s="542">
        <v>0</v>
      </c>
      <c r="O97" s="542">
        <v>-453495</v>
      </c>
      <c r="P97" s="542">
        <v>0</v>
      </c>
      <c r="Q97" s="542">
        <v>-453495</v>
      </c>
      <c r="R97" s="542">
        <v>-55895</v>
      </c>
      <c r="S97" s="542">
        <v>0</v>
      </c>
      <c r="T97" s="542">
        <v>-55895</v>
      </c>
      <c r="U97" s="542">
        <v>-458677</v>
      </c>
      <c r="V97" s="542">
        <v>0</v>
      </c>
      <c r="W97" s="542">
        <v>-458677</v>
      </c>
      <c r="X97" s="542">
        <v>550981</v>
      </c>
      <c r="Y97" s="542">
        <v>0</v>
      </c>
      <c r="Z97" s="542">
        <v>550981</v>
      </c>
      <c r="AA97" s="542">
        <v>-2749876</v>
      </c>
      <c r="AB97" s="542">
        <v>0</v>
      </c>
      <c r="AC97" s="542">
        <v>-2749876</v>
      </c>
      <c r="AD97" s="542">
        <v>51958562</v>
      </c>
      <c r="AE97" s="542">
        <v>0</v>
      </c>
      <c r="AF97" s="542">
        <v>51958562</v>
      </c>
      <c r="AG97" s="542">
        <v>0</v>
      </c>
      <c r="AH97" s="542">
        <v>0</v>
      </c>
      <c r="AI97" s="542">
        <v>0</v>
      </c>
      <c r="AJ97" s="542">
        <v>0</v>
      </c>
      <c r="AK97" s="542">
        <v>0</v>
      </c>
      <c r="AL97" s="542">
        <v>0</v>
      </c>
      <c r="AM97" s="542">
        <v>0</v>
      </c>
      <c r="AN97" s="542">
        <v>0</v>
      </c>
      <c r="AO97" s="542">
        <v>0</v>
      </c>
      <c r="AP97" s="542">
        <v>0</v>
      </c>
      <c r="AQ97" s="542">
        <v>0</v>
      </c>
      <c r="AR97" s="542">
        <v>0</v>
      </c>
      <c r="AS97" s="542">
        <v>0</v>
      </c>
      <c r="AT97" s="542">
        <v>0</v>
      </c>
      <c r="AU97" s="542">
        <v>0</v>
      </c>
      <c r="AV97" s="542">
        <v>1933211</v>
      </c>
      <c r="AW97" s="542">
        <v>-1461779</v>
      </c>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c r="DD97" s="136"/>
      <c r="DE97" s="136"/>
      <c r="DF97" s="136"/>
      <c r="DG97" s="136"/>
      <c r="DH97" s="136"/>
      <c r="DI97" s="136"/>
      <c r="DJ97" s="136"/>
      <c r="DK97" s="136"/>
      <c r="DL97" s="136"/>
      <c r="DM97" s="136"/>
      <c r="DN97" s="136"/>
      <c r="DO97" s="136"/>
      <c r="DP97" s="136"/>
      <c r="DQ97" s="136"/>
      <c r="DR97" s="136"/>
      <c r="DS97" s="136"/>
      <c r="DT97" s="136"/>
      <c r="DU97" s="136"/>
      <c r="DV97" s="136"/>
      <c r="DW97" s="136"/>
      <c r="DX97" s="136"/>
      <c r="DY97" s="136"/>
      <c r="DZ97" s="136"/>
      <c r="EA97" s="136"/>
      <c r="EB97" s="136"/>
      <c r="EC97" s="136"/>
      <c r="ED97" s="136"/>
      <c r="EE97" s="136"/>
      <c r="EF97" s="136"/>
      <c r="EG97" s="136"/>
      <c r="EH97" s="136"/>
      <c r="EI97" s="136"/>
      <c r="EJ97" s="136"/>
      <c r="EK97" s="136"/>
      <c r="EL97" s="136"/>
      <c r="EM97" s="136"/>
      <c r="EN97" s="136"/>
      <c r="EO97" s="136"/>
      <c r="EP97" s="136"/>
      <c r="EQ97" s="136"/>
      <c r="ER97" s="136"/>
      <c r="ES97" s="136"/>
      <c r="ET97" s="136"/>
      <c r="EU97" s="136"/>
      <c r="EV97" s="136"/>
      <c r="EW97" s="136"/>
      <c r="EX97" s="136"/>
      <c r="EY97" s="136"/>
      <c r="EZ97" s="136"/>
      <c r="FA97" s="136"/>
      <c r="FB97" s="136"/>
      <c r="FC97" s="136"/>
      <c r="FD97" s="136"/>
      <c r="FE97" s="137"/>
      <c r="FF97" s="138"/>
    </row>
    <row r="98" spans="1:162" ht="12.75" x14ac:dyDescent="0.2">
      <c r="A98" s="93">
        <v>92</v>
      </c>
      <c r="B98" s="145" t="s">
        <v>62</v>
      </c>
      <c r="C98" s="141" t="s">
        <v>866</v>
      </c>
      <c r="D98" s="142" t="s">
        <v>867</v>
      </c>
      <c r="E98" s="149" t="s">
        <v>61</v>
      </c>
      <c r="F98" s="542">
        <v>32396819</v>
      </c>
      <c r="G98" s="542">
        <v>0</v>
      </c>
      <c r="H98" s="542">
        <v>32396819</v>
      </c>
      <c r="I98" s="542">
        <v>0</v>
      </c>
      <c r="J98" s="542">
        <v>0</v>
      </c>
      <c r="K98" s="542">
        <v>0</v>
      </c>
      <c r="L98" s="542">
        <v>215231</v>
      </c>
      <c r="M98" s="542">
        <v>0</v>
      </c>
      <c r="N98" s="542">
        <v>215231</v>
      </c>
      <c r="O98" s="542">
        <v>-235569</v>
      </c>
      <c r="P98" s="542">
        <v>0</v>
      </c>
      <c r="Q98" s="542">
        <v>-235569</v>
      </c>
      <c r="R98" s="542">
        <v>0</v>
      </c>
      <c r="S98" s="542">
        <v>0</v>
      </c>
      <c r="T98" s="542">
        <v>0</v>
      </c>
      <c r="U98" s="542">
        <v>-295920</v>
      </c>
      <c r="V98" s="542">
        <v>0</v>
      </c>
      <c r="W98" s="542">
        <v>-295920</v>
      </c>
      <c r="X98" s="542">
        <v>373331</v>
      </c>
      <c r="Y98" s="542">
        <v>0</v>
      </c>
      <c r="Z98" s="542">
        <v>373331</v>
      </c>
      <c r="AA98" s="542">
        <v>217651</v>
      </c>
      <c r="AB98" s="542">
        <v>0</v>
      </c>
      <c r="AC98" s="542">
        <v>217651</v>
      </c>
      <c r="AD98" s="542">
        <v>32907112</v>
      </c>
      <c r="AE98" s="542">
        <v>0</v>
      </c>
      <c r="AF98" s="542">
        <v>32907112</v>
      </c>
      <c r="AG98" s="542">
        <v>0</v>
      </c>
      <c r="AH98" s="542">
        <v>0</v>
      </c>
      <c r="AI98" s="542">
        <v>0</v>
      </c>
      <c r="AJ98" s="542">
        <v>0</v>
      </c>
      <c r="AK98" s="542">
        <v>0</v>
      </c>
      <c r="AL98" s="542">
        <v>0</v>
      </c>
      <c r="AM98" s="542">
        <v>0</v>
      </c>
      <c r="AN98" s="542">
        <v>0</v>
      </c>
      <c r="AO98" s="542">
        <v>0</v>
      </c>
      <c r="AP98" s="542">
        <v>0</v>
      </c>
      <c r="AQ98" s="542">
        <v>0</v>
      </c>
      <c r="AR98" s="542">
        <v>0</v>
      </c>
      <c r="AS98" s="542">
        <v>0</v>
      </c>
      <c r="AT98" s="542">
        <v>0</v>
      </c>
      <c r="AU98" s="542">
        <v>0</v>
      </c>
      <c r="AV98" s="542">
        <v>1945725</v>
      </c>
      <c r="AW98" s="542">
        <v>-1174434</v>
      </c>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c r="DD98" s="136"/>
      <c r="DE98" s="136"/>
      <c r="DF98" s="136"/>
      <c r="DG98" s="136"/>
      <c r="DH98" s="136"/>
      <c r="DI98" s="136"/>
      <c r="DJ98" s="136"/>
      <c r="DK98" s="136"/>
      <c r="DL98" s="136"/>
      <c r="DM98" s="136"/>
      <c r="DN98" s="136"/>
      <c r="DO98" s="136"/>
      <c r="DP98" s="136"/>
      <c r="DQ98" s="136"/>
      <c r="DR98" s="136"/>
      <c r="DS98" s="136"/>
      <c r="DT98" s="136"/>
      <c r="DU98" s="136"/>
      <c r="DV98" s="136"/>
      <c r="DW98" s="136"/>
      <c r="DX98" s="136"/>
      <c r="DY98" s="136"/>
      <c r="DZ98" s="136"/>
      <c r="EA98" s="136"/>
      <c r="EB98" s="136"/>
      <c r="EC98" s="136"/>
      <c r="ED98" s="136"/>
      <c r="EE98" s="136"/>
      <c r="EF98" s="136"/>
      <c r="EG98" s="136"/>
      <c r="EH98" s="136"/>
      <c r="EI98" s="136"/>
      <c r="EJ98" s="136"/>
      <c r="EK98" s="136"/>
      <c r="EL98" s="136"/>
      <c r="EM98" s="136"/>
      <c r="EN98" s="136"/>
      <c r="EO98" s="136"/>
      <c r="EP98" s="136"/>
      <c r="EQ98" s="136"/>
      <c r="ER98" s="136"/>
      <c r="ES98" s="136"/>
      <c r="ET98" s="136"/>
      <c r="EU98" s="136"/>
      <c r="EV98" s="136"/>
      <c r="EW98" s="136"/>
      <c r="EX98" s="136"/>
      <c r="EY98" s="136"/>
      <c r="EZ98" s="136"/>
      <c r="FA98" s="136"/>
      <c r="FB98" s="136"/>
      <c r="FC98" s="136"/>
      <c r="FD98" s="136"/>
      <c r="FE98" s="137"/>
      <c r="FF98" s="138"/>
    </row>
    <row r="99" spans="1:162" ht="12.75" x14ac:dyDescent="0.2">
      <c r="A99" s="93">
        <v>93</v>
      </c>
      <c r="B99" s="145" t="s">
        <v>64</v>
      </c>
      <c r="C99" s="141" t="s">
        <v>866</v>
      </c>
      <c r="D99" s="142" t="s">
        <v>867</v>
      </c>
      <c r="E99" s="149" t="s">
        <v>63</v>
      </c>
      <c r="F99" s="542">
        <v>56130792</v>
      </c>
      <c r="G99" s="542">
        <v>0</v>
      </c>
      <c r="H99" s="542">
        <v>56130792</v>
      </c>
      <c r="I99" s="542">
        <v>0</v>
      </c>
      <c r="J99" s="542">
        <v>0</v>
      </c>
      <c r="K99" s="542">
        <v>0</v>
      </c>
      <c r="L99" s="542">
        <v>79961</v>
      </c>
      <c r="M99" s="542">
        <v>0</v>
      </c>
      <c r="N99" s="542">
        <v>79961</v>
      </c>
      <c r="O99" s="542">
        <v>-169947</v>
      </c>
      <c r="P99" s="542">
        <v>0</v>
      </c>
      <c r="Q99" s="542">
        <v>-169947</v>
      </c>
      <c r="R99" s="542">
        <v>0</v>
      </c>
      <c r="S99" s="542">
        <v>0</v>
      </c>
      <c r="T99" s="542">
        <v>0</v>
      </c>
      <c r="U99" s="542">
        <v>-141386</v>
      </c>
      <c r="V99" s="542">
        <v>0</v>
      </c>
      <c r="W99" s="542">
        <v>-141386</v>
      </c>
      <c r="X99" s="542">
        <v>1983979</v>
      </c>
      <c r="Y99" s="542">
        <v>0</v>
      </c>
      <c r="Z99" s="542">
        <v>1983979</v>
      </c>
      <c r="AA99" s="542">
        <v>-4279928</v>
      </c>
      <c r="AB99" s="542">
        <v>0</v>
      </c>
      <c r="AC99" s="542">
        <v>-4279928</v>
      </c>
      <c r="AD99" s="542">
        <v>53773418</v>
      </c>
      <c r="AE99" s="542">
        <v>0</v>
      </c>
      <c r="AF99" s="542">
        <v>53773418</v>
      </c>
      <c r="AG99" s="542">
        <v>0</v>
      </c>
      <c r="AH99" s="542">
        <v>0</v>
      </c>
      <c r="AI99" s="542">
        <v>0</v>
      </c>
      <c r="AJ99" s="542">
        <v>0</v>
      </c>
      <c r="AK99" s="542">
        <v>0</v>
      </c>
      <c r="AL99" s="542">
        <v>0</v>
      </c>
      <c r="AM99" s="542">
        <v>0</v>
      </c>
      <c r="AN99" s="542">
        <v>0</v>
      </c>
      <c r="AO99" s="542">
        <v>0</v>
      </c>
      <c r="AP99" s="542">
        <v>0</v>
      </c>
      <c r="AQ99" s="542">
        <v>0</v>
      </c>
      <c r="AR99" s="542">
        <v>0</v>
      </c>
      <c r="AS99" s="542">
        <v>0</v>
      </c>
      <c r="AT99" s="542">
        <v>0</v>
      </c>
      <c r="AU99" s="542">
        <v>0</v>
      </c>
      <c r="AV99" s="542">
        <v>1100457</v>
      </c>
      <c r="AW99" s="542">
        <v>-398419</v>
      </c>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c r="DD99" s="136"/>
      <c r="DE99" s="136"/>
      <c r="DF99" s="136"/>
      <c r="DG99" s="136"/>
      <c r="DH99" s="136"/>
      <c r="DI99" s="136"/>
      <c r="DJ99" s="136"/>
      <c r="DK99" s="136"/>
      <c r="DL99" s="136"/>
      <c r="DM99" s="136"/>
      <c r="DN99" s="136"/>
      <c r="DO99" s="136"/>
      <c r="DP99" s="136"/>
      <c r="DQ99" s="136"/>
      <c r="DR99" s="136"/>
      <c r="DS99" s="136"/>
      <c r="DT99" s="136"/>
      <c r="DU99" s="136"/>
      <c r="DV99" s="136"/>
      <c r="DW99" s="136"/>
      <c r="DX99" s="136"/>
      <c r="DY99" s="136"/>
      <c r="DZ99" s="136"/>
      <c r="EA99" s="136"/>
      <c r="EB99" s="136"/>
      <c r="EC99" s="136"/>
      <c r="ED99" s="136"/>
      <c r="EE99" s="136"/>
      <c r="EF99" s="136"/>
      <c r="EG99" s="136"/>
      <c r="EH99" s="136"/>
      <c r="EI99" s="136"/>
      <c r="EJ99" s="136"/>
      <c r="EK99" s="136"/>
      <c r="EL99" s="136"/>
      <c r="EM99" s="136"/>
      <c r="EN99" s="136"/>
      <c r="EO99" s="136"/>
      <c r="EP99" s="136"/>
      <c r="EQ99" s="136"/>
      <c r="ER99" s="136"/>
      <c r="ES99" s="136"/>
      <c r="ET99" s="136"/>
      <c r="EU99" s="136"/>
      <c r="EV99" s="136"/>
      <c r="EW99" s="136"/>
      <c r="EX99" s="136"/>
      <c r="EY99" s="136"/>
      <c r="EZ99" s="136"/>
      <c r="FA99" s="136"/>
      <c r="FB99" s="136"/>
      <c r="FC99" s="136"/>
      <c r="FD99" s="136"/>
      <c r="FE99" s="137"/>
      <c r="FF99" s="138"/>
    </row>
    <row r="100" spans="1:162" ht="12.75" x14ac:dyDescent="0.2">
      <c r="A100" s="93">
        <v>94</v>
      </c>
      <c r="B100" s="145" t="s">
        <v>66</v>
      </c>
      <c r="C100" s="141" t="s">
        <v>866</v>
      </c>
      <c r="D100" s="142" t="s">
        <v>868</v>
      </c>
      <c r="E100" s="149" t="s">
        <v>65</v>
      </c>
      <c r="F100" s="542">
        <v>21013577</v>
      </c>
      <c r="G100" s="542">
        <v>0</v>
      </c>
      <c r="H100" s="542">
        <v>21013577</v>
      </c>
      <c r="I100" s="542">
        <v>-818</v>
      </c>
      <c r="J100" s="542">
        <v>0</v>
      </c>
      <c r="K100" s="542">
        <v>-818</v>
      </c>
      <c r="L100" s="542">
        <v>29761</v>
      </c>
      <c r="M100" s="542">
        <v>0</v>
      </c>
      <c r="N100" s="542">
        <v>29761</v>
      </c>
      <c r="O100" s="542">
        <v>-105194</v>
      </c>
      <c r="P100" s="542">
        <v>0</v>
      </c>
      <c r="Q100" s="542">
        <v>-105194</v>
      </c>
      <c r="R100" s="542">
        <v>0</v>
      </c>
      <c r="S100" s="542">
        <v>0</v>
      </c>
      <c r="T100" s="542">
        <v>0</v>
      </c>
      <c r="U100" s="542">
        <v>-191247</v>
      </c>
      <c r="V100" s="542">
        <v>0</v>
      </c>
      <c r="W100" s="542">
        <v>-191247</v>
      </c>
      <c r="X100" s="542">
        <v>468484</v>
      </c>
      <c r="Y100" s="542">
        <v>0</v>
      </c>
      <c r="Z100" s="542">
        <v>468484</v>
      </c>
      <c r="AA100" s="542">
        <v>-1365795</v>
      </c>
      <c r="AB100" s="542">
        <v>0</v>
      </c>
      <c r="AC100" s="542">
        <v>-1365795</v>
      </c>
      <c r="AD100" s="542">
        <v>19953962</v>
      </c>
      <c r="AE100" s="542">
        <v>0</v>
      </c>
      <c r="AF100" s="542">
        <v>19953962</v>
      </c>
      <c r="AG100" s="542">
        <v>0</v>
      </c>
      <c r="AH100" s="542">
        <v>0</v>
      </c>
      <c r="AI100" s="542">
        <v>0</v>
      </c>
      <c r="AJ100" s="542">
        <v>0</v>
      </c>
      <c r="AK100" s="542">
        <v>0</v>
      </c>
      <c r="AL100" s="542">
        <v>0</v>
      </c>
      <c r="AM100" s="542">
        <v>0</v>
      </c>
      <c r="AN100" s="542">
        <v>0</v>
      </c>
      <c r="AO100" s="542">
        <v>0</v>
      </c>
      <c r="AP100" s="542">
        <v>0</v>
      </c>
      <c r="AQ100" s="542">
        <v>0</v>
      </c>
      <c r="AR100" s="542">
        <v>0</v>
      </c>
      <c r="AS100" s="542">
        <v>0</v>
      </c>
      <c r="AT100" s="542">
        <v>0</v>
      </c>
      <c r="AU100" s="542">
        <v>0</v>
      </c>
      <c r="AV100" s="542">
        <v>590756</v>
      </c>
      <c r="AW100" s="542">
        <v>-136193</v>
      </c>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c r="DD100" s="136"/>
      <c r="DE100" s="136"/>
      <c r="DF100" s="136"/>
      <c r="DG100" s="136"/>
      <c r="DH100" s="136"/>
      <c r="DI100" s="136"/>
      <c r="DJ100" s="136"/>
      <c r="DK100" s="136"/>
      <c r="DL100" s="136"/>
      <c r="DM100" s="136"/>
      <c r="DN100" s="136"/>
      <c r="DO100" s="136"/>
      <c r="DP100" s="136"/>
      <c r="DQ100" s="136"/>
      <c r="DR100" s="136"/>
      <c r="DS100" s="136"/>
      <c r="DT100" s="136"/>
      <c r="DU100" s="136"/>
      <c r="DV100" s="136"/>
      <c r="DW100" s="136"/>
      <c r="DX100" s="136"/>
      <c r="DY100" s="136"/>
      <c r="DZ100" s="136"/>
      <c r="EA100" s="136"/>
      <c r="EB100" s="136"/>
      <c r="EC100" s="136"/>
      <c r="ED100" s="136"/>
      <c r="EE100" s="136"/>
      <c r="EF100" s="136"/>
      <c r="EG100" s="136"/>
      <c r="EH100" s="136"/>
      <c r="EI100" s="136"/>
      <c r="EJ100" s="136"/>
      <c r="EK100" s="136"/>
      <c r="EL100" s="136"/>
      <c r="EM100" s="136"/>
      <c r="EN100" s="136"/>
      <c r="EO100" s="136"/>
      <c r="EP100" s="136"/>
      <c r="EQ100" s="136"/>
      <c r="ER100" s="136"/>
      <c r="ES100" s="136"/>
      <c r="ET100" s="136"/>
      <c r="EU100" s="136"/>
      <c r="EV100" s="136"/>
      <c r="EW100" s="136"/>
      <c r="EX100" s="136"/>
      <c r="EY100" s="136"/>
      <c r="EZ100" s="136"/>
      <c r="FA100" s="136"/>
      <c r="FB100" s="136"/>
      <c r="FC100" s="136"/>
      <c r="FD100" s="136"/>
      <c r="FE100" s="137"/>
      <c r="FF100" s="138"/>
    </row>
    <row r="101" spans="1:162" ht="12.75" x14ac:dyDescent="0.2">
      <c r="A101" s="93">
        <v>95</v>
      </c>
      <c r="B101" s="145" t="s">
        <v>68</v>
      </c>
      <c r="C101" s="141" t="s">
        <v>866</v>
      </c>
      <c r="D101" s="142" t="s">
        <v>867</v>
      </c>
      <c r="E101" s="149" t="s">
        <v>67</v>
      </c>
      <c r="F101" s="542">
        <v>53524874</v>
      </c>
      <c r="G101" s="542">
        <v>0</v>
      </c>
      <c r="H101" s="542">
        <v>53524874</v>
      </c>
      <c r="I101" s="542">
        <v>-16059</v>
      </c>
      <c r="J101" s="542">
        <v>0</v>
      </c>
      <c r="K101" s="542">
        <v>-16059</v>
      </c>
      <c r="L101" s="542">
        <v>213372</v>
      </c>
      <c r="M101" s="542">
        <v>0</v>
      </c>
      <c r="N101" s="542">
        <v>213372</v>
      </c>
      <c r="O101" s="542">
        <v>-233390</v>
      </c>
      <c r="P101" s="542">
        <v>0</v>
      </c>
      <c r="Q101" s="542">
        <v>-233390</v>
      </c>
      <c r="R101" s="542">
        <v>0</v>
      </c>
      <c r="S101" s="542">
        <v>0</v>
      </c>
      <c r="T101" s="542">
        <v>0</v>
      </c>
      <c r="U101" s="542">
        <v>-208390</v>
      </c>
      <c r="V101" s="542">
        <v>0</v>
      </c>
      <c r="W101" s="542">
        <v>-208390</v>
      </c>
      <c r="X101" s="542">
        <v>707848</v>
      </c>
      <c r="Y101" s="542">
        <v>0</v>
      </c>
      <c r="Z101" s="542">
        <v>707848</v>
      </c>
      <c r="AA101" s="542">
        <v>-7421905</v>
      </c>
      <c r="AB101" s="542">
        <v>0</v>
      </c>
      <c r="AC101" s="542">
        <v>-7421905</v>
      </c>
      <c r="AD101" s="542">
        <v>46799740</v>
      </c>
      <c r="AE101" s="542">
        <v>0</v>
      </c>
      <c r="AF101" s="542">
        <v>46799740</v>
      </c>
      <c r="AG101" s="542">
        <v>0</v>
      </c>
      <c r="AH101" s="542">
        <v>0</v>
      </c>
      <c r="AI101" s="542">
        <v>0</v>
      </c>
      <c r="AJ101" s="542">
        <v>0</v>
      </c>
      <c r="AK101" s="542">
        <v>0</v>
      </c>
      <c r="AL101" s="542">
        <v>0</v>
      </c>
      <c r="AM101" s="542">
        <v>0</v>
      </c>
      <c r="AN101" s="542">
        <v>0</v>
      </c>
      <c r="AO101" s="542">
        <v>0</v>
      </c>
      <c r="AP101" s="542">
        <v>0</v>
      </c>
      <c r="AQ101" s="542">
        <v>0</v>
      </c>
      <c r="AR101" s="542">
        <v>0</v>
      </c>
      <c r="AS101" s="542">
        <v>0</v>
      </c>
      <c r="AT101" s="542">
        <v>0</v>
      </c>
      <c r="AU101" s="542">
        <v>0</v>
      </c>
      <c r="AV101" s="542">
        <v>862101</v>
      </c>
      <c r="AW101" s="542">
        <v>-599403</v>
      </c>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c r="DD101" s="136"/>
      <c r="DE101" s="136"/>
      <c r="DF101" s="136"/>
      <c r="DG101" s="136"/>
      <c r="DH101" s="136"/>
      <c r="DI101" s="136"/>
      <c r="DJ101" s="136"/>
      <c r="DK101" s="136"/>
      <c r="DL101" s="136"/>
      <c r="DM101" s="136"/>
      <c r="DN101" s="136"/>
      <c r="DO101" s="136"/>
      <c r="DP101" s="136"/>
      <c r="DQ101" s="136"/>
      <c r="DR101" s="136"/>
      <c r="DS101" s="136"/>
      <c r="DT101" s="136"/>
      <c r="DU101" s="136"/>
      <c r="DV101" s="136"/>
      <c r="DW101" s="136"/>
      <c r="DX101" s="136"/>
      <c r="DY101" s="136"/>
      <c r="DZ101" s="136"/>
      <c r="EA101" s="136"/>
      <c r="EB101" s="136"/>
      <c r="EC101" s="136"/>
      <c r="ED101" s="136"/>
      <c r="EE101" s="136"/>
      <c r="EF101" s="136"/>
      <c r="EG101" s="136"/>
      <c r="EH101" s="136"/>
      <c r="EI101" s="136"/>
      <c r="EJ101" s="136"/>
      <c r="EK101" s="136"/>
      <c r="EL101" s="136"/>
      <c r="EM101" s="136"/>
      <c r="EN101" s="136"/>
      <c r="EO101" s="136"/>
      <c r="EP101" s="136"/>
      <c r="EQ101" s="136"/>
      <c r="ER101" s="136"/>
      <c r="ES101" s="136"/>
      <c r="ET101" s="136"/>
      <c r="EU101" s="136"/>
      <c r="EV101" s="136"/>
      <c r="EW101" s="136"/>
      <c r="EX101" s="136"/>
      <c r="EY101" s="136"/>
      <c r="EZ101" s="136"/>
      <c r="FA101" s="136"/>
      <c r="FB101" s="136"/>
      <c r="FC101" s="136"/>
      <c r="FD101" s="136"/>
      <c r="FE101" s="137"/>
      <c r="FF101" s="138"/>
    </row>
    <row r="102" spans="1:162" ht="12.75" x14ac:dyDescent="0.2">
      <c r="A102" s="93">
        <v>96</v>
      </c>
      <c r="B102" s="145" t="s">
        <v>70</v>
      </c>
      <c r="C102" s="141" t="s">
        <v>871</v>
      </c>
      <c r="D102" s="142" t="s">
        <v>872</v>
      </c>
      <c r="E102" s="149" t="s">
        <v>69</v>
      </c>
      <c r="F102" s="542">
        <v>104908237</v>
      </c>
      <c r="G102" s="542">
        <v>0</v>
      </c>
      <c r="H102" s="542">
        <v>104908237</v>
      </c>
      <c r="I102" s="542">
        <v>-9322</v>
      </c>
      <c r="J102" s="542">
        <v>0</v>
      </c>
      <c r="K102" s="542">
        <v>-9322</v>
      </c>
      <c r="L102" s="542">
        <v>447677</v>
      </c>
      <c r="M102" s="542">
        <v>0</v>
      </c>
      <c r="N102" s="542">
        <v>447677</v>
      </c>
      <c r="O102" s="542">
        <v>-3645536</v>
      </c>
      <c r="P102" s="542">
        <v>0</v>
      </c>
      <c r="Q102" s="542">
        <v>-3645536</v>
      </c>
      <c r="R102" s="542">
        <v>0</v>
      </c>
      <c r="S102" s="542">
        <v>0</v>
      </c>
      <c r="T102" s="542">
        <v>0</v>
      </c>
      <c r="U102" s="542">
        <v>-1519766</v>
      </c>
      <c r="V102" s="542">
        <v>0</v>
      </c>
      <c r="W102" s="542">
        <v>-1519766</v>
      </c>
      <c r="X102" s="542">
        <v>2296576</v>
      </c>
      <c r="Y102" s="542">
        <v>0</v>
      </c>
      <c r="Z102" s="542">
        <v>2296576</v>
      </c>
      <c r="AA102" s="542">
        <v>-7226294</v>
      </c>
      <c r="AB102" s="542">
        <v>0</v>
      </c>
      <c r="AC102" s="542">
        <v>-7226294</v>
      </c>
      <c r="AD102" s="542">
        <v>98897108</v>
      </c>
      <c r="AE102" s="542">
        <v>0</v>
      </c>
      <c r="AF102" s="542">
        <v>98897108</v>
      </c>
      <c r="AG102" s="542">
        <v>0</v>
      </c>
      <c r="AH102" s="542">
        <v>0</v>
      </c>
      <c r="AI102" s="542">
        <v>0</v>
      </c>
      <c r="AJ102" s="542">
        <v>0</v>
      </c>
      <c r="AK102" s="542">
        <v>0</v>
      </c>
      <c r="AL102" s="542">
        <v>0</v>
      </c>
      <c r="AM102" s="542">
        <v>0</v>
      </c>
      <c r="AN102" s="542">
        <v>0</v>
      </c>
      <c r="AO102" s="542">
        <v>0</v>
      </c>
      <c r="AP102" s="542">
        <v>0</v>
      </c>
      <c r="AQ102" s="542">
        <v>0</v>
      </c>
      <c r="AR102" s="542">
        <v>0</v>
      </c>
      <c r="AS102" s="542">
        <v>0</v>
      </c>
      <c r="AT102" s="542">
        <v>0</v>
      </c>
      <c r="AU102" s="542">
        <v>0</v>
      </c>
      <c r="AV102" s="542">
        <v>7142909</v>
      </c>
      <c r="AW102" s="542">
        <v>-2477170</v>
      </c>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7"/>
      <c r="FF102" s="138"/>
    </row>
    <row r="103" spans="1:162" ht="12.75" x14ac:dyDescent="0.2">
      <c r="A103" s="93">
        <v>97</v>
      </c>
      <c r="B103" s="145" t="s">
        <v>72</v>
      </c>
      <c r="C103" s="141" t="s">
        <v>866</v>
      </c>
      <c r="D103" s="142" t="s">
        <v>870</v>
      </c>
      <c r="E103" s="149" t="s">
        <v>71</v>
      </c>
      <c r="F103" s="542">
        <v>34320708</v>
      </c>
      <c r="G103" s="542">
        <v>0</v>
      </c>
      <c r="H103" s="542">
        <v>34320708</v>
      </c>
      <c r="I103" s="542">
        <v>-588</v>
      </c>
      <c r="J103" s="542">
        <v>0</v>
      </c>
      <c r="K103" s="542">
        <v>-588</v>
      </c>
      <c r="L103" s="542">
        <v>118379</v>
      </c>
      <c r="M103" s="542">
        <v>0</v>
      </c>
      <c r="N103" s="542">
        <v>118379</v>
      </c>
      <c r="O103" s="542">
        <v>-262329</v>
      </c>
      <c r="P103" s="542">
        <v>0</v>
      </c>
      <c r="Q103" s="542">
        <v>-262329</v>
      </c>
      <c r="R103" s="542">
        <v>0</v>
      </c>
      <c r="S103" s="542">
        <v>0</v>
      </c>
      <c r="T103" s="542">
        <v>0</v>
      </c>
      <c r="U103" s="542">
        <v>-89595</v>
      </c>
      <c r="V103" s="542">
        <v>0</v>
      </c>
      <c r="W103" s="542">
        <v>-89595</v>
      </c>
      <c r="X103" s="542">
        <v>155411</v>
      </c>
      <c r="Y103" s="542">
        <v>0</v>
      </c>
      <c r="Z103" s="542">
        <v>155411</v>
      </c>
      <c r="AA103" s="542">
        <v>-1931287</v>
      </c>
      <c r="AB103" s="542">
        <v>0</v>
      </c>
      <c r="AC103" s="542">
        <v>-1931287</v>
      </c>
      <c r="AD103" s="542">
        <v>32573028</v>
      </c>
      <c r="AE103" s="542">
        <v>0</v>
      </c>
      <c r="AF103" s="542">
        <v>32573028</v>
      </c>
      <c r="AG103" s="542">
        <v>0</v>
      </c>
      <c r="AH103" s="542">
        <v>0</v>
      </c>
      <c r="AI103" s="542">
        <v>0</v>
      </c>
      <c r="AJ103" s="542">
        <v>0</v>
      </c>
      <c r="AK103" s="542">
        <v>0</v>
      </c>
      <c r="AL103" s="542">
        <v>0</v>
      </c>
      <c r="AM103" s="542">
        <v>0</v>
      </c>
      <c r="AN103" s="542">
        <v>0</v>
      </c>
      <c r="AO103" s="542">
        <v>0</v>
      </c>
      <c r="AP103" s="542">
        <v>0</v>
      </c>
      <c r="AQ103" s="542">
        <v>0</v>
      </c>
      <c r="AR103" s="542">
        <v>0</v>
      </c>
      <c r="AS103" s="542">
        <v>0</v>
      </c>
      <c r="AT103" s="542">
        <v>0</v>
      </c>
      <c r="AU103" s="542">
        <v>0</v>
      </c>
      <c r="AV103" s="542">
        <v>1117192</v>
      </c>
      <c r="AW103" s="542">
        <v>-813086</v>
      </c>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7"/>
      <c r="FF103" s="138"/>
    </row>
    <row r="104" spans="1:162" ht="12.75" x14ac:dyDescent="0.2">
      <c r="A104" s="93">
        <v>98</v>
      </c>
      <c r="B104" s="145" t="s">
        <v>74</v>
      </c>
      <c r="C104" s="141" t="s">
        <v>866</v>
      </c>
      <c r="D104" s="142" t="s">
        <v>867</v>
      </c>
      <c r="E104" s="149" t="s">
        <v>880</v>
      </c>
      <c r="F104" s="542">
        <v>22878256</v>
      </c>
      <c r="G104" s="542">
        <v>0</v>
      </c>
      <c r="H104" s="542">
        <v>22878256</v>
      </c>
      <c r="I104" s="542">
        <v>0</v>
      </c>
      <c r="J104" s="542">
        <v>0</v>
      </c>
      <c r="K104" s="542">
        <v>0</v>
      </c>
      <c r="L104" s="542">
        <v>16773</v>
      </c>
      <c r="M104" s="542">
        <v>0</v>
      </c>
      <c r="N104" s="542">
        <v>16773</v>
      </c>
      <c r="O104" s="542">
        <v>-108355</v>
      </c>
      <c r="P104" s="542">
        <v>0</v>
      </c>
      <c r="Q104" s="542">
        <v>-108355</v>
      </c>
      <c r="R104" s="542">
        <v>0</v>
      </c>
      <c r="S104" s="542">
        <v>0</v>
      </c>
      <c r="T104" s="542">
        <v>0</v>
      </c>
      <c r="U104" s="542">
        <v>-85814</v>
      </c>
      <c r="V104" s="542">
        <v>0</v>
      </c>
      <c r="W104" s="542">
        <v>-85814</v>
      </c>
      <c r="X104" s="542">
        <v>0</v>
      </c>
      <c r="Y104" s="542">
        <v>0</v>
      </c>
      <c r="Z104" s="542">
        <v>0</v>
      </c>
      <c r="AA104" s="542">
        <v>36011</v>
      </c>
      <c r="AB104" s="542">
        <v>0</v>
      </c>
      <c r="AC104" s="542">
        <v>36011</v>
      </c>
      <c r="AD104" s="542">
        <v>22845226</v>
      </c>
      <c r="AE104" s="542">
        <v>0</v>
      </c>
      <c r="AF104" s="542">
        <v>22845226</v>
      </c>
      <c r="AG104" s="542">
        <v>0</v>
      </c>
      <c r="AH104" s="542">
        <v>0</v>
      </c>
      <c r="AI104" s="542">
        <v>0</v>
      </c>
      <c r="AJ104" s="542">
        <v>0</v>
      </c>
      <c r="AK104" s="542">
        <v>0</v>
      </c>
      <c r="AL104" s="542">
        <v>0</v>
      </c>
      <c r="AM104" s="542">
        <v>0</v>
      </c>
      <c r="AN104" s="542">
        <v>0</v>
      </c>
      <c r="AO104" s="542">
        <v>0</v>
      </c>
      <c r="AP104" s="542">
        <v>0</v>
      </c>
      <c r="AQ104" s="542">
        <v>0</v>
      </c>
      <c r="AR104" s="542">
        <v>0</v>
      </c>
      <c r="AS104" s="542">
        <v>0</v>
      </c>
      <c r="AT104" s="542">
        <v>0</v>
      </c>
      <c r="AU104" s="542">
        <v>0</v>
      </c>
      <c r="AV104" s="542">
        <v>173613</v>
      </c>
      <c r="AW104" s="542">
        <v>-361066</v>
      </c>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c r="DD104" s="136"/>
      <c r="DE104" s="136"/>
      <c r="DF104" s="136"/>
      <c r="DG104" s="136"/>
      <c r="DH104" s="136"/>
      <c r="DI104" s="136"/>
      <c r="DJ104" s="136"/>
      <c r="DK104" s="136"/>
      <c r="DL104" s="136"/>
      <c r="DM104" s="136"/>
      <c r="DN104" s="136"/>
      <c r="DO104" s="136"/>
      <c r="DP104" s="136"/>
      <c r="DQ104" s="136"/>
      <c r="DR104" s="136"/>
      <c r="DS104" s="136"/>
      <c r="DT104" s="136"/>
      <c r="DU104" s="136"/>
      <c r="DV104" s="136"/>
      <c r="DW104" s="136"/>
      <c r="DX104" s="136"/>
      <c r="DY104" s="136"/>
      <c r="DZ104" s="136"/>
      <c r="EA104" s="136"/>
      <c r="EB104" s="136"/>
      <c r="EC104" s="136"/>
      <c r="ED104" s="136"/>
      <c r="EE104" s="136"/>
      <c r="EF104" s="136"/>
      <c r="EG104" s="136"/>
      <c r="EH104" s="136"/>
      <c r="EI104" s="136"/>
      <c r="EJ104" s="136"/>
      <c r="EK104" s="136"/>
      <c r="EL104" s="136"/>
      <c r="EM104" s="136"/>
      <c r="EN104" s="136"/>
      <c r="EO104" s="136"/>
      <c r="EP104" s="136"/>
      <c r="EQ104" s="136"/>
      <c r="ER104" s="136"/>
      <c r="ES104" s="136"/>
      <c r="ET104" s="136"/>
      <c r="EU104" s="136"/>
      <c r="EV104" s="136"/>
      <c r="EW104" s="136"/>
      <c r="EX104" s="136"/>
      <c r="EY104" s="136"/>
      <c r="EZ104" s="136"/>
      <c r="FA104" s="136"/>
      <c r="FB104" s="136"/>
      <c r="FC104" s="136"/>
      <c r="FD104" s="136"/>
      <c r="FE104" s="137"/>
      <c r="FF104" s="138"/>
    </row>
    <row r="105" spans="1:162" ht="12.75" x14ac:dyDescent="0.2">
      <c r="A105" s="93">
        <v>99</v>
      </c>
      <c r="B105" s="145" t="s">
        <v>76</v>
      </c>
      <c r="C105" s="141" t="s">
        <v>866</v>
      </c>
      <c r="D105" s="142" t="s">
        <v>869</v>
      </c>
      <c r="E105" s="149" t="s">
        <v>75</v>
      </c>
      <c r="F105" s="542">
        <v>24266833</v>
      </c>
      <c r="G105" s="542">
        <v>0</v>
      </c>
      <c r="H105" s="542">
        <v>24266833</v>
      </c>
      <c r="I105" s="542">
        <v>0</v>
      </c>
      <c r="J105" s="542">
        <v>0</v>
      </c>
      <c r="K105" s="542">
        <v>0</v>
      </c>
      <c r="L105" s="542">
        <v>27012</v>
      </c>
      <c r="M105" s="542">
        <v>0</v>
      </c>
      <c r="N105" s="542">
        <v>27012</v>
      </c>
      <c r="O105" s="542">
        <v>-245268</v>
      </c>
      <c r="P105" s="542">
        <v>0</v>
      </c>
      <c r="Q105" s="542">
        <v>-245268</v>
      </c>
      <c r="R105" s="542">
        <v>0</v>
      </c>
      <c r="S105" s="542">
        <v>0</v>
      </c>
      <c r="T105" s="542">
        <v>0</v>
      </c>
      <c r="U105" s="542">
        <v>-259268</v>
      </c>
      <c r="V105" s="542">
        <v>0</v>
      </c>
      <c r="W105" s="542">
        <v>-259268</v>
      </c>
      <c r="X105" s="542">
        <v>415000</v>
      </c>
      <c r="Y105" s="542">
        <v>0</v>
      </c>
      <c r="Z105" s="542">
        <v>415000</v>
      </c>
      <c r="AA105" s="542">
        <v>-434000</v>
      </c>
      <c r="AB105" s="542">
        <v>0</v>
      </c>
      <c r="AC105" s="542">
        <v>-434000</v>
      </c>
      <c r="AD105" s="542">
        <v>24015577</v>
      </c>
      <c r="AE105" s="542">
        <v>0</v>
      </c>
      <c r="AF105" s="542">
        <v>24015577</v>
      </c>
      <c r="AG105" s="542">
        <v>0</v>
      </c>
      <c r="AH105" s="542">
        <v>0</v>
      </c>
      <c r="AI105" s="542">
        <v>0</v>
      </c>
      <c r="AJ105" s="542">
        <v>0</v>
      </c>
      <c r="AK105" s="542">
        <v>0</v>
      </c>
      <c r="AL105" s="542">
        <v>0</v>
      </c>
      <c r="AM105" s="542">
        <v>0</v>
      </c>
      <c r="AN105" s="542">
        <v>0</v>
      </c>
      <c r="AO105" s="542">
        <v>0</v>
      </c>
      <c r="AP105" s="542">
        <v>0</v>
      </c>
      <c r="AQ105" s="542">
        <v>0</v>
      </c>
      <c r="AR105" s="542">
        <v>0</v>
      </c>
      <c r="AS105" s="542">
        <v>0</v>
      </c>
      <c r="AT105" s="542">
        <v>0</v>
      </c>
      <c r="AU105" s="542">
        <v>0</v>
      </c>
      <c r="AV105" s="542">
        <v>1343293</v>
      </c>
      <c r="AW105" s="542">
        <v>-692302</v>
      </c>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c r="DD105" s="136"/>
      <c r="DE105" s="136"/>
      <c r="DF105" s="136"/>
      <c r="DG105" s="136"/>
      <c r="DH105" s="136"/>
      <c r="DI105" s="136"/>
      <c r="DJ105" s="136"/>
      <c r="DK105" s="136"/>
      <c r="DL105" s="136"/>
      <c r="DM105" s="136"/>
      <c r="DN105" s="136"/>
      <c r="DO105" s="136"/>
      <c r="DP105" s="136"/>
      <c r="DQ105" s="136"/>
      <c r="DR105" s="136"/>
      <c r="DS105" s="136"/>
      <c r="DT105" s="136"/>
      <c r="DU105" s="136"/>
      <c r="DV105" s="136"/>
      <c r="DW105" s="136"/>
      <c r="DX105" s="136"/>
      <c r="DY105" s="136"/>
      <c r="DZ105" s="136"/>
      <c r="EA105" s="136"/>
      <c r="EB105" s="136"/>
      <c r="EC105" s="136"/>
      <c r="ED105" s="136"/>
      <c r="EE105" s="136"/>
      <c r="EF105" s="136"/>
      <c r="EG105" s="136"/>
      <c r="EH105" s="136"/>
      <c r="EI105" s="136"/>
      <c r="EJ105" s="136"/>
      <c r="EK105" s="136"/>
      <c r="EL105" s="136"/>
      <c r="EM105" s="136"/>
      <c r="EN105" s="136"/>
      <c r="EO105" s="136"/>
      <c r="EP105" s="136"/>
      <c r="EQ105" s="136"/>
      <c r="ER105" s="136"/>
      <c r="ES105" s="136"/>
      <c r="ET105" s="136"/>
      <c r="EU105" s="136"/>
      <c r="EV105" s="136"/>
      <c r="EW105" s="136"/>
      <c r="EX105" s="136"/>
      <c r="EY105" s="136"/>
      <c r="EZ105" s="136"/>
      <c r="FA105" s="136"/>
      <c r="FB105" s="136"/>
      <c r="FC105" s="136"/>
      <c r="FD105" s="136"/>
      <c r="FE105" s="137"/>
      <c r="FF105" s="138"/>
    </row>
    <row r="106" spans="1:162" ht="12.75" x14ac:dyDescent="0.2">
      <c r="A106" s="93">
        <v>100</v>
      </c>
      <c r="B106" s="145" t="s">
        <v>78</v>
      </c>
      <c r="C106" s="141" t="s">
        <v>866</v>
      </c>
      <c r="D106" s="142" t="s">
        <v>875</v>
      </c>
      <c r="E106" s="149" t="s">
        <v>77</v>
      </c>
      <c r="F106" s="542">
        <v>76556890</v>
      </c>
      <c r="G106" s="542">
        <v>0</v>
      </c>
      <c r="H106" s="542">
        <v>76556890</v>
      </c>
      <c r="I106" s="542">
        <v>-772</v>
      </c>
      <c r="J106" s="542">
        <v>0</v>
      </c>
      <c r="K106" s="542">
        <v>-772</v>
      </c>
      <c r="L106" s="542">
        <v>355221</v>
      </c>
      <c r="M106" s="542">
        <v>0</v>
      </c>
      <c r="N106" s="542">
        <v>355221</v>
      </c>
      <c r="O106" s="542">
        <v>0</v>
      </c>
      <c r="P106" s="542">
        <v>0</v>
      </c>
      <c r="Q106" s="542">
        <v>0</v>
      </c>
      <c r="R106" s="542">
        <v>0</v>
      </c>
      <c r="S106" s="542">
        <v>0</v>
      </c>
      <c r="T106" s="542">
        <v>0</v>
      </c>
      <c r="U106" s="542">
        <v>-130000</v>
      </c>
      <c r="V106" s="542">
        <v>0</v>
      </c>
      <c r="W106" s="542">
        <v>-130000</v>
      </c>
      <c r="X106" s="542">
        <v>2740769</v>
      </c>
      <c r="Y106" s="542">
        <v>0</v>
      </c>
      <c r="Z106" s="542">
        <v>2740769</v>
      </c>
      <c r="AA106" s="542">
        <v>-1938844</v>
      </c>
      <c r="AB106" s="542">
        <v>0</v>
      </c>
      <c r="AC106" s="542">
        <v>-1938844</v>
      </c>
      <c r="AD106" s="542">
        <v>77583264</v>
      </c>
      <c r="AE106" s="542">
        <v>0</v>
      </c>
      <c r="AF106" s="542">
        <v>77583264</v>
      </c>
      <c r="AG106" s="542">
        <v>0</v>
      </c>
      <c r="AH106" s="542">
        <v>0</v>
      </c>
      <c r="AI106" s="542">
        <v>0</v>
      </c>
      <c r="AJ106" s="542">
        <v>0</v>
      </c>
      <c r="AK106" s="542">
        <v>0</v>
      </c>
      <c r="AL106" s="542">
        <v>0</v>
      </c>
      <c r="AM106" s="542">
        <v>0</v>
      </c>
      <c r="AN106" s="542">
        <v>0</v>
      </c>
      <c r="AO106" s="542">
        <v>0</v>
      </c>
      <c r="AP106" s="542">
        <v>0</v>
      </c>
      <c r="AQ106" s="542">
        <v>0</v>
      </c>
      <c r="AR106" s="542">
        <v>0</v>
      </c>
      <c r="AS106" s="542">
        <v>0</v>
      </c>
      <c r="AT106" s="542">
        <v>0</v>
      </c>
      <c r="AU106" s="542">
        <v>0</v>
      </c>
      <c r="AV106" s="542">
        <v>2024891</v>
      </c>
      <c r="AW106" s="542">
        <v>-1432212</v>
      </c>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c r="DD106" s="136"/>
      <c r="DE106" s="136"/>
      <c r="DF106" s="136"/>
      <c r="DG106" s="136"/>
      <c r="DH106" s="136"/>
      <c r="DI106" s="136"/>
      <c r="DJ106" s="136"/>
      <c r="DK106" s="136"/>
      <c r="DL106" s="136"/>
      <c r="DM106" s="136"/>
      <c r="DN106" s="136"/>
      <c r="DO106" s="136"/>
      <c r="DP106" s="136"/>
      <c r="DQ106" s="136"/>
      <c r="DR106" s="136"/>
      <c r="DS106" s="136"/>
      <c r="DT106" s="136"/>
      <c r="DU106" s="136"/>
      <c r="DV106" s="136"/>
      <c r="DW106" s="136"/>
      <c r="DX106" s="136"/>
      <c r="DY106" s="136"/>
      <c r="DZ106" s="136"/>
      <c r="EA106" s="136"/>
      <c r="EB106" s="136"/>
      <c r="EC106" s="136"/>
      <c r="ED106" s="136"/>
      <c r="EE106" s="136"/>
      <c r="EF106" s="136"/>
      <c r="EG106" s="136"/>
      <c r="EH106" s="136"/>
      <c r="EI106" s="136"/>
      <c r="EJ106" s="136"/>
      <c r="EK106" s="136"/>
      <c r="EL106" s="136"/>
      <c r="EM106" s="136"/>
      <c r="EN106" s="136"/>
      <c r="EO106" s="136"/>
      <c r="EP106" s="136"/>
      <c r="EQ106" s="136"/>
      <c r="ER106" s="136"/>
      <c r="ES106" s="136"/>
      <c r="ET106" s="136"/>
      <c r="EU106" s="136"/>
      <c r="EV106" s="136"/>
      <c r="EW106" s="136"/>
      <c r="EX106" s="136"/>
      <c r="EY106" s="136"/>
      <c r="EZ106" s="136"/>
      <c r="FA106" s="136"/>
      <c r="FB106" s="136"/>
      <c r="FC106" s="136"/>
      <c r="FD106" s="136"/>
      <c r="FE106" s="137"/>
      <c r="FF106" s="138"/>
    </row>
    <row r="107" spans="1:162" ht="12.75" x14ac:dyDescent="0.2">
      <c r="A107" s="93">
        <v>101</v>
      </c>
      <c r="B107" s="145" t="s">
        <v>80</v>
      </c>
      <c r="C107" s="141" t="s">
        <v>866</v>
      </c>
      <c r="D107" s="142" t="s">
        <v>867</v>
      </c>
      <c r="E107" s="149" t="s">
        <v>79</v>
      </c>
      <c r="F107" s="542">
        <v>41450046</v>
      </c>
      <c r="G107" s="542">
        <v>76878</v>
      </c>
      <c r="H107" s="542">
        <v>41526924</v>
      </c>
      <c r="I107" s="542">
        <v>-859</v>
      </c>
      <c r="J107" s="542">
        <v>0</v>
      </c>
      <c r="K107" s="542">
        <v>-859</v>
      </c>
      <c r="L107" s="542">
        <v>205216</v>
      </c>
      <c r="M107" s="542">
        <v>0</v>
      </c>
      <c r="N107" s="542">
        <v>205216</v>
      </c>
      <c r="O107" s="542">
        <v>-326538</v>
      </c>
      <c r="P107" s="542">
        <v>0</v>
      </c>
      <c r="Q107" s="542">
        <v>-326538</v>
      </c>
      <c r="R107" s="542">
        <v>0</v>
      </c>
      <c r="S107" s="542">
        <v>0</v>
      </c>
      <c r="T107" s="542">
        <v>0</v>
      </c>
      <c r="U107" s="542">
        <v>-221661</v>
      </c>
      <c r="V107" s="542">
        <v>0</v>
      </c>
      <c r="W107" s="542">
        <v>-221661</v>
      </c>
      <c r="X107" s="542">
        <v>654221</v>
      </c>
      <c r="Y107" s="542">
        <v>0</v>
      </c>
      <c r="Z107" s="542">
        <v>654221</v>
      </c>
      <c r="AA107" s="542">
        <v>-3880627</v>
      </c>
      <c r="AB107" s="542">
        <v>0</v>
      </c>
      <c r="AC107" s="542">
        <v>-3880627</v>
      </c>
      <c r="AD107" s="542">
        <v>38206336</v>
      </c>
      <c r="AE107" s="542">
        <v>76878</v>
      </c>
      <c r="AF107" s="542">
        <v>38283214</v>
      </c>
      <c r="AG107" s="542">
        <v>76878</v>
      </c>
      <c r="AH107" s="542">
        <v>0</v>
      </c>
      <c r="AI107" s="542">
        <v>76878</v>
      </c>
      <c r="AJ107" s="542">
        <v>79471</v>
      </c>
      <c r="AK107" s="542">
        <v>0</v>
      </c>
      <c r="AL107" s="542">
        <v>0</v>
      </c>
      <c r="AM107" s="542">
        <v>79471</v>
      </c>
      <c r="AN107" s="542">
        <v>9710</v>
      </c>
      <c r="AO107" s="542">
        <v>0</v>
      </c>
      <c r="AP107" s="542">
        <v>9710</v>
      </c>
      <c r="AQ107" s="542">
        <v>97074</v>
      </c>
      <c r="AR107" s="542">
        <v>0</v>
      </c>
      <c r="AS107" s="542">
        <v>0</v>
      </c>
      <c r="AT107" s="542">
        <v>0</v>
      </c>
      <c r="AU107" s="542">
        <v>0</v>
      </c>
      <c r="AV107" s="542">
        <v>651139</v>
      </c>
      <c r="AW107" s="542">
        <v>-636334</v>
      </c>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c r="DD107" s="136"/>
      <c r="DE107" s="136"/>
      <c r="DF107" s="136"/>
      <c r="DG107" s="136"/>
      <c r="DH107" s="136"/>
      <c r="DI107" s="136"/>
      <c r="DJ107" s="136"/>
      <c r="DK107" s="136"/>
      <c r="DL107" s="136"/>
      <c r="DM107" s="136"/>
      <c r="DN107" s="136"/>
      <c r="DO107" s="136"/>
      <c r="DP107" s="136"/>
      <c r="DQ107" s="136"/>
      <c r="DR107" s="136"/>
      <c r="DS107" s="136"/>
      <c r="DT107" s="136"/>
      <c r="DU107" s="136"/>
      <c r="DV107" s="136"/>
      <c r="DW107" s="136"/>
      <c r="DX107" s="136"/>
      <c r="DY107" s="136"/>
      <c r="DZ107" s="136"/>
      <c r="EA107" s="136"/>
      <c r="EB107" s="136"/>
      <c r="EC107" s="136"/>
      <c r="ED107" s="136"/>
      <c r="EE107" s="136"/>
      <c r="EF107" s="136"/>
      <c r="EG107" s="136"/>
      <c r="EH107" s="136"/>
      <c r="EI107" s="136"/>
      <c r="EJ107" s="136"/>
      <c r="EK107" s="136"/>
      <c r="EL107" s="136"/>
      <c r="EM107" s="136"/>
      <c r="EN107" s="136"/>
      <c r="EO107" s="136"/>
      <c r="EP107" s="136"/>
      <c r="EQ107" s="136"/>
      <c r="ER107" s="136"/>
      <c r="ES107" s="136"/>
      <c r="ET107" s="136"/>
      <c r="EU107" s="136"/>
      <c r="EV107" s="136"/>
      <c r="EW107" s="136"/>
      <c r="EX107" s="136"/>
      <c r="EY107" s="136"/>
      <c r="EZ107" s="136"/>
      <c r="FA107" s="136"/>
      <c r="FB107" s="136"/>
      <c r="FC107" s="136"/>
      <c r="FD107" s="136"/>
      <c r="FE107" s="137"/>
      <c r="FF107" s="138"/>
    </row>
    <row r="108" spans="1:162" ht="12.75" x14ac:dyDescent="0.2">
      <c r="A108" s="93">
        <v>102</v>
      </c>
      <c r="B108" s="145" t="s">
        <v>82</v>
      </c>
      <c r="C108" s="141" t="s">
        <v>866</v>
      </c>
      <c r="D108" s="142" t="s">
        <v>870</v>
      </c>
      <c r="E108" s="149" t="s">
        <v>81</v>
      </c>
      <c r="F108" s="542">
        <v>24978328</v>
      </c>
      <c r="G108" s="542">
        <v>0</v>
      </c>
      <c r="H108" s="542">
        <v>24978328</v>
      </c>
      <c r="I108" s="542">
        <v>0</v>
      </c>
      <c r="J108" s="542">
        <v>0</v>
      </c>
      <c r="K108" s="542">
        <v>0</v>
      </c>
      <c r="L108" s="542">
        <v>0</v>
      </c>
      <c r="M108" s="542">
        <v>0</v>
      </c>
      <c r="N108" s="542">
        <v>0</v>
      </c>
      <c r="O108" s="542">
        <v>-59118</v>
      </c>
      <c r="P108" s="542">
        <v>0</v>
      </c>
      <c r="Q108" s="542">
        <v>-59118</v>
      </c>
      <c r="R108" s="542">
        <v>0</v>
      </c>
      <c r="S108" s="542">
        <v>0</v>
      </c>
      <c r="T108" s="542">
        <v>0</v>
      </c>
      <c r="U108" s="542">
        <v>-202628</v>
      </c>
      <c r="V108" s="542">
        <v>0</v>
      </c>
      <c r="W108" s="542">
        <v>-202628</v>
      </c>
      <c r="X108" s="542">
        <v>1015738</v>
      </c>
      <c r="Y108" s="542">
        <v>0</v>
      </c>
      <c r="Z108" s="542">
        <v>1015738</v>
      </c>
      <c r="AA108" s="542">
        <v>-1461295</v>
      </c>
      <c r="AB108" s="542">
        <v>0</v>
      </c>
      <c r="AC108" s="542">
        <v>-1461295</v>
      </c>
      <c r="AD108" s="542">
        <v>24330143</v>
      </c>
      <c r="AE108" s="542">
        <v>0</v>
      </c>
      <c r="AF108" s="542">
        <v>24330143</v>
      </c>
      <c r="AG108" s="542">
        <v>0</v>
      </c>
      <c r="AH108" s="542">
        <v>0</v>
      </c>
      <c r="AI108" s="542">
        <v>0</v>
      </c>
      <c r="AJ108" s="542">
        <v>0</v>
      </c>
      <c r="AK108" s="542">
        <v>0</v>
      </c>
      <c r="AL108" s="542">
        <v>0</v>
      </c>
      <c r="AM108" s="542">
        <v>0</v>
      </c>
      <c r="AN108" s="542">
        <v>0</v>
      </c>
      <c r="AO108" s="542">
        <v>0</v>
      </c>
      <c r="AP108" s="542">
        <v>0</v>
      </c>
      <c r="AQ108" s="542">
        <v>0</v>
      </c>
      <c r="AR108" s="542">
        <v>0</v>
      </c>
      <c r="AS108" s="542">
        <v>0</v>
      </c>
      <c r="AT108" s="542">
        <v>0</v>
      </c>
      <c r="AU108" s="542">
        <v>0</v>
      </c>
      <c r="AV108" s="542">
        <v>886225</v>
      </c>
      <c r="AW108" s="542">
        <v>-91558</v>
      </c>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c r="DD108" s="136"/>
      <c r="DE108" s="136"/>
      <c r="DF108" s="136"/>
      <c r="DG108" s="136"/>
      <c r="DH108" s="136"/>
      <c r="DI108" s="136"/>
      <c r="DJ108" s="136"/>
      <c r="DK108" s="136"/>
      <c r="DL108" s="136"/>
      <c r="DM108" s="136"/>
      <c r="DN108" s="136"/>
      <c r="DO108" s="136"/>
      <c r="DP108" s="136"/>
      <c r="DQ108" s="136"/>
      <c r="DR108" s="136"/>
      <c r="DS108" s="136"/>
      <c r="DT108" s="136"/>
      <c r="DU108" s="136"/>
      <c r="DV108" s="136"/>
      <c r="DW108" s="136"/>
      <c r="DX108" s="136"/>
      <c r="DY108" s="136"/>
      <c r="DZ108" s="136"/>
      <c r="EA108" s="136"/>
      <c r="EB108" s="136"/>
      <c r="EC108" s="136"/>
      <c r="ED108" s="136"/>
      <c r="EE108" s="136"/>
      <c r="EF108" s="136"/>
      <c r="EG108" s="136"/>
      <c r="EH108" s="136"/>
      <c r="EI108" s="136"/>
      <c r="EJ108" s="136"/>
      <c r="EK108" s="136"/>
      <c r="EL108" s="136"/>
      <c r="EM108" s="136"/>
      <c r="EN108" s="136"/>
      <c r="EO108" s="136"/>
      <c r="EP108" s="136"/>
      <c r="EQ108" s="136"/>
      <c r="ER108" s="136"/>
      <c r="ES108" s="136"/>
      <c r="ET108" s="136"/>
      <c r="EU108" s="136"/>
      <c r="EV108" s="136"/>
      <c r="EW108" s="136"/>
      <c r="EX108" s="136"/>
      <c r="EY108" s="136"/>
      <c r="EZ108" s="136"/>
      <c r="FA108" s="136"/>
      <c r="FB108" s="136"/>
      <c r="FC108" s="136"/>
      <c r="FD108" s="136"/>
      <c r="FE108" s="137"/>
      <c r="FF108" s="138"/>
    </row>
    <row r="109" spans="1:162" ht="12.75" x14ac:dyDescent="0.2">
      <c r="A109" s="93">
        <v>103</v>
      </c>
      <c r="B109" s="145" t="s">
        <v>84</v>
      </c>
      <c r="C109" s="141" t="s">
        <v>866</v>
      </c>
      <c r="D109" s="142" t="s">
        <v>870</v>
      </c>
      <c r="E109" s="149" t="s">
        <v>83</v>
      </c>
      <c r="F109" s="542">
        <v>22198767</v>
      </c>
      <c r="G109" s="542">
        <v>0</v>
      </c>
      <c r="H109" s="542">
        <v>22198767</v>
      </c>
      <c r="I109" s="542">
        <v>0</v>
      </c>
      <c r="J109" s="542">
        <v>0</v>
      </c>
      <c r="K109" s="542">
        <v>0</v>
      </c>
      <c r="L109" s="542">
        <v>66462</v>
      </c>
      <c r="M109" s="542">
        <v>0</v>
      </c>
      <c r="N109" s="542">
        <v>66462</v>
      </c>
      <c r="O109" s="542">
        <v>-14198</v>
      </c>
      <c r="P109" s="542">
        <v>0</v>
      </c>
      <c r="Q109" s="542">
        <v>-14198</v>
      </c>
      <c r="R109" s="542">
        <v>0</v>
      </c>
      <c r="S109" s="542">
        <v>0</v>
      </c>
      <c r="T109" s="542">
        <v>0</v>
      </c>
      <c r="U109" s="542">
        <v>-115430</v>
      </c>
      <c r="V109" s="542">
        <v>0</v>
      </c>
      <c r="W109" s="542">
        <v>-115430</v>
      </c>
      <c r="X109" s="542">
        <v>409200</v>
      </c>
      <c r="Y109" s="542">
        <v>0</v>
      </c>
      <c r="Z109" s="542">
        <v>409200</v>
      </c>
      <c r="AA109" s="542">
        <v>-732744</v>
      </c>
      <c r="AB109" s="542">
        <v>0</v>
      </c>
      <c r="AC109" s="542">
        <v>-732744</v>
      </c>
      <c r="AD109" s="542">
        <v>21826255</v>
      </c>
      <c r="AE109" s="542">
        <v>0</v>
      </c>
      <c r="AF109" s="542">
        <v>21826255</v>
      </c>
      <c r="AG109" s="542">
        <v>0</v>
      </c>
      <c r="AH109" s="542">
        <v>0</v>
      </c>
      <c r="AI109" s="542">
        <v>0</v>
      </c>
      <c r="AJ109" s="542">
        <v>55091</v>
      </c>
      <c r="AK109" s="542">
        <v>0</v>
      </c>
      <c r="AL109" s="542">
        <v>0</v>
      </c>
      <c r="AM109" s="542">
        <v>55091</v>
      </c>
      <c r="AN109" s="542">
        <v>0</v>
      </c>
      <c r="AO109" s="542">
        <v>0</v>
      </c>
      <c r="AP109" s="542">
        <v>0</v>
      </c>
      <c r="AQ109" s="542">
        <v>0</v>
      </c>
      <c r="AR109" s="542">
        <v>0</v>
      </c>
      <c r="AS109" s="542">
        <v>0</v>
      </c>
      <c r="AT109" s="542">
        <v>0</v>
      </c>
      <c r="AU109" s="542">
        <v>0</v>
      </c>
      <c r="AV109" s="542">
        <v>835338</v>
      </c>
      <c r="AW109" s="542">
        <v>-38065</v>
      </c>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c r="DD109" s="136"/>
      <c r="DE109" s="136"/>
      <c r="DF109" s="136"/>
      <c r="DG109" s="136"/>
      <c r="DH109" s="136"/>
      <c r="DI109" s="136"/>
      <c r="DJ109" s="136"/>
      <c r="DK109" s="136"/>
      <c r="DL109" s="136"/>
      <c r="DM109" s="136"/>
      <c r="DN109" s="136"/>
      <c r="DO109" s="136"/>
      <c r="DP109" s="136"/>
      <c r="DQ109" s="136"/>
      <c r="DR109" s="136"/>
      <c r="DS109" s="136"/>
      <c r="DT109" s="136"/>
      <c r="DU109" s="136"/>
      <c r="DV109" s="136"/>
      <c r="DW109" s="136"/>
      <c r="DX109" s="136"/>
      <c r="DY109" s="136"/>
      <c r="DZ109" s="136"/>
      <c r="EA109" s="136"/>
      <c r="EB109" s="136"/>
      <c r="EC109" s="136"/>
      <c r="ED109" s="136"/>
      <c r="EE109" s="136"/>
      <c r="EF109" s="136"/>
      <c r="EG109" s="136"/>
      <c r="EH109" s="136"/>
      <c r="EI109" s="136"/>
      <c r="EJ109" s="136"/>
      <c r="EK109" s="136"/>
      <c r="EL109" s="136"/>
      <c r="EM109" s="136"/>
      <c r="EN109" s="136"/>
      <c r="EO109" s="136"/>
      <c r="EP109" s="136"/>
      <c r="EQ109" s="136"/>
      <c r="ER109" s="136"/>
      <c r="ES109" s="136"/>
      <c r="ET109" s="136"/>
      <c r="EU109" s="136"/>
      <c r="EV109" s="136"/>
      <c r="EW109" s="136"/>
      <c r="EX109" s="136"/>
      <c r="EY109" s="136"/>
      <c r="EZ109" s="136"/>
      <c r="FA109" s="136"/>
      <c r="FB109" s="136"/>
      <c r="FC109" s="136"/>
      <c r="FD109" s="136"/>
      <c r="FE109" s="137"/>
      <c r="FF109" s="138"/>
    </row>
    <row r="110" spans="1:162" ht="12.75" x14ac:dyDescent="0.2">
      <c r="A110" s="93">
        <v>104</v>
      </c>
      <c r="B110" s="145" t="s">
        <v>86</v>
      </c>
      <c r="C110" s="141" t="s">
        <v>866</v>
      </c>
      <c r="D110" s="142" t="s">
        <v>875</v>
      </c>
      <c r="E110" s="149" t="s">
        <v>85</v>
      </c>
      <c r="F110" s="542">
        <v>11695640</v>
      </c>
      <c r="G110" s="542">
        <v>0</v>
      </c>
      <c r="H110" s="542">
        <v>11695640</v>
      </c>
      <c r="I110" s="542">
        <v>0</v>
      </c>
      <c r="J110" s="542">
        <v>0</v>
      </c>
      <c r="K110" s="542">
        <v>0</v>
      </c>
      <c r="L110" s="542">
        <v>15905</v>
      </c>
      <c r="M110" s="542">
        <v>0</v>
      </c>
      <c r="N110" s="542">
        <v>15905</v>
      </c>
      <c r="O110" s="542">
        <v>-186419</v>
      </c>
      <c r="P110" s="542">
        <v>0</v>
      </c>
      <c r="Q110" s="542">
        <v>-186419</v>
      </c>
      <c r="R110" s="542">
        <v>0</v>
      </c>
      <c r="S110" s="542">
        <v>0</v>
      </c>
      <c r="T110" s="542">
        <v>0</v>
      </c>
      <c r="U110" s="542">
        <v>-106936</v>
      </c>
      <c r="V110" s="542">
        <v>0</v>
      </c>
      <c r="W110" s="542">
        <v>-106936</v>
      </c>
      <c r="X110" s="542">
        <v>134840</v>
      </c>
      <c r="Y110" s="542">
        <v>0</v>
      </c>
      <c r="Z110" s="542">
        <v>134840</v>
      </c>
      <c r="AA110" s="542">
        <v>-41091</v>
      </c>
      <c r="AB110" s="542">
        <v>0</v>
      </c>
      <c r="AC110" s="542">
        <v>-41091</v>
      </c>
      <c r="AD110" s="542">
        <v>11698358</v>
      </c>
      <c r="AE110" s="542">
        <v>0</v>
      </c>
      <c r="AF110" s="542">
        <v>11698358</v>
      </c>
      <c r="AG110" s="542">
        <v>0</v>
      </c>
      <c r="AH110" s="542">
        <v>0</v>
      </c>
      <c r="AI110" s="542">
        <v>0</v>
      </c>
      <c r="AJ110" s="542">
        <v>13292</v>
      </c>
      <c r="AK110" s="542">
        <v>0</v>
      </c>
      <c r="AL110" s="542">
        <v>0</v>
      </c>
      <c r="AM110" s="542">
        <v>13292</v>
      </c>
      <c r="AN110" s="542">
        <v>0</v>
      </c>
      <c r="AO110" s="542">
        <v>0</v>
      </c>
      <c r="AP110" s="542">
        <v>0</v>
      </c>
      <c r="AQ110" s="542">
        <v>0</v>
      </c>
      <c r="AR110" s="542">
        <v>0</v>
      </c>
      <c r="AS110" s="542">
        <v>0</v>
      </c>
      <c r="AT110" s="542">
        <v>0</v>
      </c>
      <c r="AU110" s="542">
        <v>0</v>
      </c>
      <c r="AV110" s="542">
        <v>525359</v>
      </c>
      <c r="AW110" s="542">
        <v>-144223</v>
      </c>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c r="DD110" s="136"/>
      <c r="DE110" s="136"/>
      <c r="DF110" s="136"/>
      <c r="DG110" s="136"/>
      <c r="DH110" s="136"/>
      <c r="DI110" s="136"/>
      <c r="DJ110" s="136"/>
      <c r="DK110" s="136"/>
      <c r="DL110" s="136"/>
      <c r="DM110" s="136"/>
      <c r="DN110" s="136"/>
      <c r="DO110" s="136"/>
      <c r="DP110" s="136"/>
      <c r="DQ110" s="136"/>
      <c r="DR110" s="136"/>
      <c r="DS110" s="136"/>
      <c r="DT110" s="136"/>
      <c r="DU110" s="136"/>
      <c r="DV110" s="136"/>
      <c r="DW110" s="136"/>
      <c r="DX110" s="136"/>
      <c r="DY110" s="136"/>
      <c r="DZ110" s="136"/>
      <c r="EA110" s="136"/>
      <c r="EB110" s="136"/>
      <c r="EC110" s="136"/>
      <c r="ED110" s="136"/>
      <c r="EE110" s="136"/>
      <c r="EF110" s="136"/>
      <c r="EG110" s="136"/>
      <c r="EH110" s="136"/>
      <c r="EI110" s="136"/>
      <c r="EJ110" s="136"/>
      <c r="EK110" s="136"/>
      <c r="EL110" s="136"/>
      <c r="EM110" s="136"/>
      <c r="EN110" s="136"/>
      <c r="EO110" s="136"/>
      <c r="EP110" s="136"/>
      <c r="EQ110" s="136"/>
      <c r="ER110" s="136"/>
      <c r="ES110" s="136"/>
      <c r="ET110" s="136"/>
      <c r="EU110" s="136"/>
      <c r="EV110" s="136"/>
      <c r="EW110" s="136"/>
      <c r="EX110" s="136"/>
      <c r="EY110" s="136"/>
      <c r="EZ110" s="136"/>
      <c r="FA110" s="136"/>
      <c r="FB110" s="136"/>
      <c r="FC110" s="136"/>
      <c r="FD110" s="136"/>
      <c r="FE110" s="137"/>
      <c r="FF110" s="138"/>
    </row>
    <row r="111" spans="1:162" ht="12.75" x14ac:dyDescent="0.2">
      <c r="A111" s="93">
        <v>105</v>
      </c>
      <c r="B111" s="145" t="s">
        <v>88</v>
      </c>
      <c r="C111" s="141" t="s">
        <v>866</v>
      </c>
      <c r="D111" s="142" t="s">
        <v>868</v>
      </c>
      <c r="E111" s="149" t="s">
        <v>87</v>
      </c>
      <c r="F111" s="542">
        <v>22769374</v>
      </c>
      <c r="G111" s="542">
        <v>1923179</v>
      </c>
      <c r="H111" s="542">
        <v>24692553</v>
      </c>
      <c r="I111" s="542">
        <v>-221</v>
      </c>
      <c r="J111" s="542">
        <v>0</v>
      </c>
      <c r="K111" s="542">
        <v>-221</v>
      </c>
      <c r="L111" s="542">
        <v>58376</v>
      </c>
      <c r="M111" s="542">
        <v>0</v>
      </c>
      <c r="N111" s="542">
        <v>58376</v>
      </c>
      <c r="O111" s="542">
        <v>0</v>
      </c>
      <c r="P111" s="542">
        <v>0</v>
      </c>
      <c r="Q111" s="542">
        <v>0</v>
      </c>
      <c r="R111" s="542">
        <v>-405055</v>
      </c>
      <c r="S111" s="542">
        <v>0</v>
      </c>
      <c r="T111" s="542">
        <v>-405055</v>
      </c>
      <c r="U111" s="542">
        <v>-102799</v>
      </c>
      <c r="V111" s="542">
        <v>0</v>
      </c>
      <c r="W111" s="542">
        <v>-102799</v>
      </c>
      <c r="X111" s="542">
        <v>0</v>
      </c>
      <c r="Y111" s="542">
        <v>0</v>
      </c>
      <c r="Z111" s="542">
        <v>0</v>
      </c>
      <c r="AA111" s="542">
        <v>-2344459</v>
      </c>
      <c r="AB111" s="542">
        <v>0</v>
      </c>
      <c r="AC111" s="542">
        <v>-2344459</v>
      </c>
      <c r="AD111" s="542">
        <v>19975216</v>
      </c>
      <c r="AE111" s="542">
        <v>1923179</v>
      </c>
      <c r="AF111" s="542">
        <v>21898395</v>
      </c>
      <c r="AG111" s="542">
        <v>1923179</v>
      </c>
      <c r="AH111" s="542">
        <v>0</v>
      </c>
      <c r="AI111" s="542">
        <v>1923179</v>
      </c>
      <c r="AJ111" s="542">
        <v>0</v>
      </c>
      <c r="AK111" s="542">
        <v>0</v>
      </c>
      <c r="AL111" s="542">
        <v>0</v>
      </c>
      <c r="AM111" s="542">
        <v>0</v>
      </c>
      <c r="AN111" s="542">
        <v>0</v>
      </c>
      <c r="AO111" s="542">
        <v>0</v>
      </c>
      <c r="AP111" s="542">
        <v>0</v>
      </c>
      <c r="AQ111" s="542">
        <v>1956812</v>
      </c>
      <c r="AR111" s="542">
        <v>0</v>
      </c>
      <c r="AS111" s="542">
        <v>0</v>
      </c>
      <c r="AT111" s="542">
        <v>0</v>
      </c>
      <c r="AU111" s="542">
        <v>0</v>
      </c>
      <c r="AV111" s="542">
        <v>1589247</v>
      </c>
      <c r="AW111" s="542">
        <v>-396737</v>
      </c>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c r="EF111" s="136"/>
      <c r="EG111" s="136"/>
      <c r="EH111" s="136"/>
      <c r="EI111" s="136"/>
      <c r="EJ111" s="136"/>
      <c r="EK111" s="136"/>
      <c r="EL111" s="136"/>
      <c r="EM111" s="136"/>
      <c r="EN111" s="136"/>
      <c r="EO111" s="136"/>
      <c r="EP111" s="136"/>
      <c r="EQ111" s="136"/>
      <c r="ER111" s="136"/>
      <c r="ES111" s="136"/>
      <c r="ET111" s="136"/>
      <c r="EU111" s="136"/>
      <c r="EV111" s="136"/>
      <c r="EW111" s="136"/>
      <c r="EX111" s="136"/>
      <c r="EY111" s="136"/>
      <c r="EZ111" s="136"/>
      <c r="FA111" s="136"/>
      <c r="FB111" s="136"/>
      <c r="FC111" s="136"/>
      <c r="FD111" s="136"/>
      <c r="FE111" s="137"/>
      <c r="FF111" s="138"/>
    </row>
    <row r="112" spans="1:162" ht="12.75" x14ac:dyDescent="0.2">
      <c r="A112" s="93">
        <v>106</v>
      </c>
      <c r="B112" s="145" t="s">
        <v>90</v>
      </c>
      <c r="C112" s="141" t="s">
        <v>873</v>
      </c>
      <c r="D112" s="142" t="s">
        <v>878</v>
      </c>
      <c r="E112" s="149" t="s">
        <v>89</v>
      </c>
      <c r="F112" s="542">
        <v>87941165</v>
      </c>
      <c r="G112" s="542">
        <v>1393373</v>
      </c>
      <c r="H112" s="542">
        <v>89334538</v>
      </c>
      <c r="I112" s="542">
        <v>-161</v>
      </c>
      <c r="J112" s="542">
        <v>0</v>
      </c>
      <c r="K112" s="542">
        <v>-161</v>
      </c>
      <c r="L112" s="542">
        <v>676376</v>
      </c>
      <c r="M112" s="542">
        <v>0</v>
      </c>
      <c r="N112" s="542">
        <v>676376</v>
      </c>
      <c r="O112" s="542">
        <v>-1107580</v>
      </c>
      <c r="P112" s="542">
        <v>0</v>
      </c>
      <c r="Q112" s="542">
        <v>-1107580</v>
      </c>
      <c r="R112" s="542">
        <v>-14341</v>
      </c>
      <c r="S112" s="542">
        <v>0</v>
      </c>
      <c r="T112" s="542">
        <v>-14341</v>
      </c>
      <c r="U112" s="542">
        <v>-1107580</v>
      </c>
      <c r="V112" s="542">
        <v>0</v>
      </c>
      <c r="W112" s="542">
        <v>-1107580</v>
      </c>
      <c r="X112" s="542">
        <v>2309675</v>
      </c>
      <c r="Y112" s="542">
        <v>0</v>
      </c>
      <c r="Z112" s="542">
        <v>2309675</v>
      </c>
      <c r="AA112" s="542">
        <v>-2309675</v>
      </c>
      <c r="AB112" s="542">
        <v>0</v>
      </c>
      <c r="AC112" s="542">
        <v>-2309675</v>
      </c>
      <c r="AD112" s="542">
        <v>87495459</v>
      </c>
      <c r="AE112" s="542">
        <v>1393373</v>
      </c>
      <c r="AF112" s="542">
        <v>88888832</v>
      </c>
      <c r="AG112" s="542">
        <v>1393373</v>
      </c>
      <c r="AH112" s="542">
        <v>0</v>
      </c>
      <c r="AI112" s="542">
        <v>1393373</v>
      </c>
      <c r="AJ112" s="542">
        <v>0</v>
      </c>
      <c r="AK112" s="542">
        <v>0</v>
      </c>
      <c r="AL112" s="542">
        <v>0</v>
      </c>
      <c r="AM112" s="542">
        <v>0</v>
      </c>
      <c r="AN112" s="542">
        <v>-6105</v>
      </c>
      <c r="AO112" s="542">
        <v>0</v>
      </c>
      <c r="AP112" s="542">
        <v>-6105</v>
      </c>
      <c r="AQ112" s="542">
        <v>1133341</v>
      </c>
      <c r="AR112" s="542">
        <v>0</v>
      </c>
      <c r="AS112" s="542">
        <v>253927</v>
      </c>
      <c r="AT112" s="542">
        <v>0</v>
      </c>
      <c r="AU112" s="542">
        <v>253927</v>
      </c>
      <c r="AV112" s="542">
        <v>7556116</v>
      </c>
      <c r="AW112" s="542">
        <v>-2020843</v>
      </c>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c r="DD112" s="136"/>
      <c r="DE112" s="136"/>
      <c r="DF112" s="136"/>
      <c r="DG112" s="136"/>
      <c r="DH112" s="136"/>
      <c r="DI112" s="136"/>
      <c r="DJ112" s="136"/>
      <c r="DK112" s="136"/>
      <c r="DL112" s="136"/>
      <c r="DM112" s="136"/>
      <c r="DN112" s="136"/>
      <c r="DO112" s="136"/>
      <c r="DP112" s="136"/>
      <c r="DQ112" s="136"/>
      <c r="DR112" s="136"/>
      <c r="DS112" s="136"/>
      <c r="DT112" s="136"/>
      <c r="DU112" s="136"/>
      <c r="DV112" s="136"/>
      <c r="DW112" s="136"/>
      <c r="DX112" s="136"/>
      <c r="DY112" s="136"/>
      <c r="DZ112" s="136"/>
      <c r="EA112" s="136"/>
      <c r="EB112" s="136"/>
      <c r="EC112" s="136"/>
      <c r="ED112" s="136"/>
      <c r="EE112" s="136"/>
      <c r="EF112" s="136"/>
      <c r="EG112" s="136"/>
      <c r="EH112" s="136"/>
      <c r="EI112" s="136"/>
      <c r="EJ112" s="136"/>
      <c r="EK112" s="136"/>
      <c r="EL112" s="136"/>
      <c r="EM112" s="136"/>
      <c r="EN112" s="136"/>
      <c r="EO112" s="136"/>
      <c r="EP112" s="136"/>
      <c r="EQ112" s="136"/>
      <c r="ER112" s="136"/>
      <c r="ES112" s="136"/>
      <c r="ET112" s="136"/>
      <c r="EU112" s="136"/>
      <c r="EV112" s="136"/>
      <c r="EW112" s="136"/>
      <c r="EX112" s="136"/>
      <c r="EY112" s="136"/>
      <c r="EZ112" s="136"/>
      <c r="FA112" s="136"/>
      <c r="FB112" s="136"/>
      <c r="FC112" s="136"/>
      <c r="FD112" s="136"/>
      <c r="FE112" s="137"/>
      <c r="FF112" s="138"/>
    </row>
    <row r="113" spans="1:162" ht="12.75" x14ac:dyDescent="0.2">
      <c r="A113" s="93">
        <v>107</v>
      </c>
      <c r="B113" s="145" t="s">
        <v>92</v>
      </c>
      <c r="C113" s="141" t="s">
        <v>866</v>
      </c>
      <c r="D113" s="142" t="s">
        <v>869</v>
      </c>
      <c r="E113" s="149" t="s">
        <v>91</v>
      </c>
      <c r="F113" s="542">
        <v>20741902</v>
      </c>
      <c r="G113" s="542">
        <v>0</v>
      </c>
      <c r="H113" s="542">
        <v>20741902</v>
      </c>
      <c r="I113" s="542">
        <v>-2248</v>
      </c>
      <c r="J113" s="542">
        <v>0</v>
      </c>
      <c r="K113" s="542">
        <v>-2248</v>
      </c>
      <c r="L113" s="542">
        <v>136210</v>
      </c>
      <c r="M113" s="542">
        <v>0</v>
      </c>
      <c r="N113" s="542">
        <v>136210</v>
      </c>
      <c r="O113" s="542">
        <v>-184456</v>
      </c>
      <c r="P113" s="542">
        <v>0</v>
      </c>
      <c r="Q113" s="542">
        <v>-184456</v>
      </c>
      <c r="R113" s="542">
        <v>0</v>
      </c>
      <c r="S113" s="542">
        <v>0</v>
      </c>
      <c r="T113" s="542">
        <v>0</v>
      </c>
      <c r="U113" s="542">
        <v>-103796</v>
      </c>
      <c r="V113" s="542">
        <v>0</v>
      </c>
      <c r="W113" s="542">
        <v>-103796</v>
      </c>
      <c r="X113" s="542">
        <v>761972</v>
      </c>
      <c r="Y113" s="542">
        <v>0</v>
      </c>
      <c r="Z113" s="542">
        <v>761972</v>
      </c>
      <c r="AA113" s="542">
        <v>-1983070</v>
      </c>
      <c r="AB113" s="542">
        <v>0</v>
      </c>
      <c r="AC113" s="542">
        <v>-1983070</v>
      </c>
      <c r="AD113" s="542">
        <v>19550970</v>
      </c>
      <c r="AE113" s="542">
        <v>0</v>
      </c>
      <c r="AF113" s="542">
        <v>19550970</v>
      </c>
      <c r="AG113" s="542">
        <v>0</v>
      </c>
      <c r="AH113" s="542">
        <v>0</v>
      </c>
      <c r="AI113" s="542">
        <v>0</v>
      </c>
      <c r="AJ113" s="542">
        <v>0</v>
      </c>
      <c r="AK113" s="542">
        <v>0</v>
      </c>
      <c r="AL113" s="542">
        <v>0</v>
      </c>
      <c r="AM113" s="542">
        <v>0</v>
      </c>
      <c r="AN113" s="542">
        <v>0</v>
      </c>
      <c r="AO113" s="542">
        <v>0</v>
      </c>
      <c r="AP113" s="542">
        <v>0</v>
      </c>
      <c r="AQ113" s="542">
        <v>0</v>
      </c>
      <c r="AR113" s="542">
        <v>0</v>
      </c>
      <c r="AS113" s="542">
        <v>0</v>
      </c>
      <c r="AT113" s="542">
        <v>0</v>
      </c>
      <c r="AU113" s="542">
        <v>0</v>
      </c>
      <c r="AV113" s="542">
        <v>274709</v>
      </c>
      <c r="AW113" s="542">
        <v>-133155</v>
      </c>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c r="DD113" s="136"/>
      <c r="DE113" s="136"/>
      <c r="DF113" s="136"/>
      <c r="DG113" s="136"/>
      <c r="DH113" s="136"/>
      <c r="DI113" s="136"/>
      <c r="DJ113" s="136"/>
      <c r="DK113" s="136"/>
      <c r="DL113" s="136"/>
      <c r="DM113" s="136"/>
      <c r="DN113" s="136"/>
      <c r="DO113" s="136"/>
      <c r="DP113" s="136"/>
      <c r="DQ113" s="136"/>
      <c r="DR113" s="136"/>
      <c r="DS113" s="136"/>
      <c r="DT113" s="136"/>
      <c r="DU113" s="136"/>
      <c r="DV113" s="136"/>
      <c r="DW113" s="136"/>
      <c r="DX113" s="136"/>
      <c r="DY113" s="136"/>
      <c r="DZ113" s="136"/>
      <c r="EA113" s="136"/>
      <c r="EB113" s="136"/>
      <c r="EC113" s="136"/>
      <c r="ED113" s="136"/>
      <c r="EE113" s="136"/>
      <c r="EF113" s="136"/>
      <c r="EG113" s="136"/>
      <c r="EH113" s="136"/>
      <c r="EI113" s="136"/>
      <c r="EJ113" s="136"/>
      <c r="EK113" s="136"/>
      <c r="EL113" s="136"/>
      <c r="EM113" s="136"/>
      <c r="EN113" s="136"/>
      <c r="EO113" s="136"/>
      <c r="EP113" s="136"/>
      <c r="EQ113" s="136"/>
      <c r="ER113" s="136"/>
      <c r="ES113" s="136"/>
      <c r="ET113" s="136"/>
      <c r="EU113" s="136"/>
      <c r="EV113" s="136"/>
      <c r="EW113" s="136"/>
      <c r="EX113" s="136"/>
      <c r="EY113" s="136"/>
      <c r="EZ113" s="136"/>
      <c r="FA113" s="136"/>
      <c r="FB113" s="136"/>
      <c r="FC113" s="136"/>
      <c r="FD113" s="136"/>
      <c r="FE113" s="137"/>
      <c r="FF113" s="138"/>
    </row>
    <row r="114" spans="1:162" ht="12.75" x14ac:dyDescent="0.2">
      <c r="A114" s="93">
        <v>108</v>
      </c>
      <c r="B114" s="145" t="s">
        <v>94</v>
      </c>
      <c r="C114" s="141" t="s">
        <v>866</v>
      </c>
      <c r="D114" s="142" t="s">
        <v>875</v>
      </c>
      <c r="E114" s="149" t="s">
        <v>93</v>
      </c>
      <c r="F114" s="542">
        <v>51821726</v>
      </c>
      <c r="G114" s="542">
        <v>0</v>
      </c>
      <c r="H114" s="542">
        <v>51821726</v>
      </c>
      <c r="I114" s="542">
        <v>0</v>
      </c>
      <c r="J114" s="542">
        <v>0</v>
      </c>
      <c r="K114" s="542">
        <v>0</v>
      </c>
      <c r="L114" s="542">
        <v>1271</v>
      </c>
      <c r="M114" s="542">
        <v>0</v>
      </c>
      <c r="N114" s="542">
        <v>1271</v>
      </c>
      <c r="O114" s="542">
        <v>-1894753</v>
      </c>
      <c r="P114" s="542">
        <v>0</v>
      </c>
      <c r="Q114" s="542">
        <v>-1894753</v>
      </c>
      <c r="R114" s="542">
        <v>0</v>
      </c>
      <c r="S114" s="542">
        <v>0</v>
      </c>
      <c r="T114" s="542">
        <v>0</v>
      </c>
      <c r="U114" s="542">
        <v>-294405</v>
      </c>
      <c r="V114" s="542">
        <v>0</v>
      </c>
      <c r="W114" s="542">
        <v>-294405</v>
      </c>
      <c r="X114" s="542">
        <v>1161038</v>
      </c>
      <c r="Y114" s="542">
        <v>0</v>
      </c>
      <c r="Z114" s="542">
        <v>1161038</v>
      </c>
      <c r="AA114" s="542">
        <v>-1374523</v>
      </c>
      <c r="AB114" s="542">
        <v>0</v>
      </c>
      <c r="AC114" s="542">
        <v>-1374523</v>
      </c>
      <c r="AD114" s="542">
        <v>51315107</v>
      </c>
      <c r="AE114" s="542">
        <v>0</v>
      </c>
      <c r="AF114" s="542">
        <v>51315107</v>
      </c>
      <c r="AG114" s="542">
        <v>0</v>
      </c>
      <c r="AH114" s="542">
        <v>0</v>
      </c>
      <c r="AI114" s="542">
        <v>0</v>
      </c>
      <c r="AJ114" s="542">
        <v>0</v>
      </c>
      <c r="AK114" s="542">
        <v>0</v>
      </c>
      <c r="AL114" s="542">
        <v>0</v>
      </c>
      <c r="AM114" s="542">
        <v>0</v>
      </c>
      <c r="AN114" s="542">
        <v>0</v>
      </c>
      <c r="AO114" s="542">
        <v>0</v>
      </c>
      <c r="AP114" s="542">
        <v>0</v>
      </c>
      <c r="AQ114" s="542">
        <v>0</v>
      </c>
      <c r="AR114" s="542">
        <v>0</v>
      </c>
      <c r="AS114" s="542">
        <v>0</v>
      </c>
      <c r="AT114" s="542">
        <v>0</v>
      </c>
      <c r="AU114" s="542">
        <v>0</v>
      </c>
      <c r="AV114" s="542">
        <v>2749177</v>
      </c>
      <c r="AW114" s="542">
        <v>-864911</v>
      </c>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c r="DD114" s="136"/>
      <c r="DE114" s="136"/>
      <c r="DF114" s="136"/>
      <c r="DG114" s="136"/>
      <c r="DH114" s="136"/>
      <c r="DI114" s="136"/>
      <c r="DJ114" s="136"/>
      <c r="DK114" s="136"/>
      <c r="DL114" s="136"/>
      <c r="DM114" s="136"/>
      <c r="DN114" s="136"/>
      <c r="DO114" s="136"/>
      <c r="DP114" s="136"/>
      <c r="DQ114" s="136"/>
      <c r="DR114" s="136"/>
      <c r="DS114" s="136"/>
      <c r="DT114" s="136"/>
      <c r="DU114" s="136"/>
      <c r="DV114" s="136"/>
      <c r="DW114" s="136"/>
      <c r="DX114" s="136"/>
      <c r="DY114" s="136"/>
      <c r="DZ114" s="136"/>
      <c r="EA114" s="136"/>
      <c r="EB114" s="136"/>
      <c r="EC114" s="136"/>
      <c r="ED114" s="136"/>
      <c r="EE114" s="136"/>
      <c r="EF114" s="136"/>
      <c r="EG114" s="136"/>
      <c r="EH114" s="136"/>
      <c r="EI114" s="136"/>
      <c r="EJ114" s="136"/>
      <c r="EK114" s="136"/>
      <c r="EL114" s="136"/>
      <c r="EM114" s="136"/>
      <c r="EN114" s="136"/>
      <c r="EO114" s="136"/>
      <c r="EP114" s="136"/>
      <c r="EQ114" s="136"/>
      <c r="ER114" s="136"/>
      <c r="ES114" s="136"/>
      <c r="ET114" s="136"/>
      <c r="EU114" s="136"/>
      <c r="EV114" s="136"/>
      <c r="EW114" s="136"/>
      <c r="EX114" s="136"/>
      <c r="EY114" s="136"/>
      <c r="EZ114" s="136"/>
      <c r="FA114" s="136"/>
      <c r="FB114" s="136"/>
      <c r="FC114" s="136"/>
      <c r="FD114" s="136"/>
      <c r="FE114" s="137"/>
      <c r="FF114" s="138"/>
    </row>
    <row r="115" spans="1:162" ht="12.75" x14ac:dyDescent="0.2">
      <c r="A115" s="93">
        <v>109</v>
      </c>
      <c r="B115" s="145" t="s">
        <v>96</v>
      </c>
      <c r="C115" s="141" t="s">
        <v>866</v>
      </c>
      <c r="D115" s="142" t="s">
        <v>867</v>
      </c>
      <c r="E115" s="149" t="s">
        <v>95</v>
      </c>
      <c r="F115" s="542">
        <v>15402272</v>
      </c>
      <c r="G115" s="542">
        <v>308774</v>
      </c>
      <c r="H115" s="542">
        <v>15711046</v>
      </c>
      <c r="I115" s="542">
        <v>-106</v>
      </c>
      <c r="J115" s="542">
        <v>0</v>
      </c>
      <c r="K115" s="542">
        <v>-106</v>
      </c>
      <c r="L115" s="542">
        <v>76494</v>
      </c>
      <c r="M115" s="542">
        <v>0</v>
      </c>
      <c r="N115" s="542">
        <v>76494</v>
      </c>
      <c r="O115" s="542">
        <v>-44298</v>
      </c>
      <c r="P115" s="542">
        <v>0</v>
      </c>
      <c r="Q115" s="542">
        <v>-44298</v>
      </c>
      <c r="R115" s="542">
        <v>0</v>
      </c>
      <c r="S115" s="542">
        <v>0</v>
      </c>
      <c r="T115" s="542">
        <v>0</v>
      </c>
      <c r="U115" s="542">
        <v>-115698</v>
      </c>
      <c r="V115" s="542">
        <v>0</v>
      </c>
      <c r="W115" s="542">
        <v>-115698</v>
      </c>
      <c r="X115" s="542">
        <v>236259</v>
      </c>
      <c r="Y115" s="542">
        <v>0</v>
      </c>
      <c r="Z115" s="542">
        <v>236259</v>
      </c>
      <c r="AA115" s="542">
        <v>-425505</v>
      </c>
      <c r="AB115" s="542">
        <v>0</v>
      </c>
      <c r="AC115" s="542">
        <v>-425505</v>
      </c>
      <c r="AD115" s="542">
        <v>15173716</v>
      </c>
      <c r="AE115" s="542">
        <v>308774</v>
      </c>
      <c r="AF115" s="542">
        <v>15482490</v>
      </c>
      <c r="AG115" s="542">
        <v>308774</v>
      </c>
      <c r="AH115" s="542">
        <v>0</v>
      </c>
      <c r="AI115" s="542">
        <v>308774</v>
      </c>
      <c r="AJ115" s="542">
        <v>0</v>
      </c>
      <c r="AK115" s="542">
        <v>0</v>
      </c>
      <c r="AL115" s="542">
        <v>0</v>
      </c>
      <c r="AM115" s="542">
        <v>0</v>
      </c>
      <c r="AN115" s="542">
        <v>-4323</v>
      </c>
      <c r="AO115" s="542">
        <v>0</v>
      </c>
      <c r="AP115" s="542">
        <v>-4323</v>
      </c>
      <c r="AQ115" s="542">
        <v>427495</v>
      </c>
      <c r="AR115" s="542">
        <v>0</v>
      </c>
      <c r="AS115" s="542">
        <v>0</v>
      </c>
      <c r="AT115" s="542">
        <v>0</v>
      </c>
      <c r="AU115" s="542">
        <v>0</v>
      </c>
      <c r="AV115" s="542">
        <v>1106894</v>
      </c>
      <c r="AW115" s="542">
        <v>-102611</v>
      </c>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c r="DD115" s="136"/>
      <c r="DE115" s="136"/>
      <c r="DF115" s="136"/>
      <c r="DG115" s="136"/>
      <c r="DH115" s="136"/>
      <c r="DI115" s="136"/>
      <c r="DJ115" s="136"/>
      <c r="DK115" s="136"/>
      <c r="DL115" s="136"/>
      <c r="DM115" s="136"/>
      <c r="DN115" s="136"/>
      <c r="DO115" s="136"/>
      <c r="DP115" s="136"/>
      <c r="DQ115" s="136"/>
      <c r="DR115" s="136"/>
      <c r="DS115" s="136"/>
      <c r="DT115" s="136"/>
      <c r="DU115" s="136"/>
      <c r="DV115" s="136"/>
      <c r="DW115" s="136"/>
      <c r="DX115" s="136"/>
      <c r="DY115" s="136"/>
      <c r="DZ115" s="136"/>
      <c r="EA115" s="136"/>
      <c r="EB115" s="136"/>
      <c r="EC115" s="136"/>
      <c r="ED115" s="136"/>
      <c r="EE115" s="136"/>
      <c r="EF115" s="136"/>
      <c r="EG115" s="136"/>
      <c r="EH115" s="136"/>
      <c r="EI115" s="136"/>
      <c r="EJ115" s="136"/>
      <c r="EK115" s="136"/>
      <c r="EL115" s="136"/>
      <c r="EM115" s="136"/>
      <c r="EN115" s="136"/>
      <c r="EO115" s="136"/>
      <c r="EP115" s="136"/>
      <c r="EQ115" s="136"/>
      <c r="ER115" s="136"/>
      <c r="ES115" s="136"/>
      <c r="ET115" s="136"/>
      <c r="EU115" s="136"/>
      <c r="EV115" s="136"/>
      <c r="EW115" s="136"/>
      <c r="EX115" s="136"/>
      <c r="EY115" s="136"/>
      <c r="EZ115" s="136"/>
      <c r="FA115" s="136"/>
      <c r="FB115" s="136"/>
      <c r="FC115" s="136"/>
      <c r="FD115" s="136"/>
      <c r="FE115" s="137"/>
      <c r="FF115" s="138"/>
    </row>
    <row r="116" spans="1:162" ht="12.75" x14ac:dyDescent="0.2">
      <c r="A116" s="93">
        <v>110</v>
      </c>
      <c r="B116" s="145" t="s">
        <v>98</v>
      </c>
      <c r="C116" s="141" t="s">
        <v>866</v>
      </c>
      <c r="D116" s="142" t="s">
        <v>867</v>
      </c>
      <c r="E116" s="149" t="s">
        <v>97</v>
      </c>
      <c r="F116" s="542">
        <v>23185766</v>
      </c>
      <c r="G116" s="542">
        <v>0</v>
      </c>
      <c r="H116" s="542">
        <v>23185766</v>
      </c>
      <c r="I116" s="542">
        <v>0</v>
      </c>
      <c r="J116" s="542">
        <v>0</v>
      </c>
      <c r="K116" s="542">
        <v>0</v>
      </c>
      <c r="L116" s="542">
        <v>123431</v>
      </c>
      <c r="M116" s="542">
        <v>0</v>
      </c>
      <c r="N116" s="542">
        <v>123431</v>
      </c>
      <c r="O116" s="542">
        <v>-103038</v>
      </c>
      <c r="P116" s="542">
        <v>0</v>
      </c>
      <c r="Q116" s="542">
        <v>-103038</v>
      </c>
      <c r="R116" s="542">
        <v>-1551</v>
      </c>
      <c r="S116" s="542">
        <v>0</v>
      </c>
      <c r="T116" s="542">
        <v>-1551</v>
      </c>
      <c r="U116" s="542">
        <v>-661048</v>
      </c>
      <c r="V116" s="542">
        <v>0</v>
      </c>
      <c r="W116" s="542">
        <v>-661048</v>
      </c>
      <c r="X116" s="542">
        <v>544414</v>
      </c>
      <c r="Y116" s="542">
        <v>0</v>
      </c>
      <c r="Z116" s="542">
        <v>544414</v>
      </c>
      <c r="AA116" s="542">
        <v>-2801853</v>
      </c>
      <c r="AB116" s="542">
        <v>0</v>
      </c>
      <c r="AC116" s="542">
        <v>-2801853</v>
      </c>
      <c r="AD116" s="542">
        <v>20389159</v>
      </c>
      <c r="AE116" s="542">
        <v>0</v>
      </c>
      <c r="AF116" s="542">
        <v>20389159</v>
      </c>
      <c r="AG116" s="542">
        <v>0</v>
      </c>
      <c r="AH116" s="542">
        <v>0</v>
      </c>
      <c r="AI116" s="542">
        <v>0</v>
      </c>
      <c r="AJ116" s="542">
        <v>0</v>
      </c>
      <c r="AK116" s="542">
        <v>0</v>
      </c>
      <c r="AL116" s="542">
        <v>0</v>
      </c>
      <c r="AM116" s="542">
        <v>0</v>
      </c>
      <c r="AN116" s="542">
        <v>0</v>
      </c>
      <c r="AO116" s="542">
        <v>0</v>
      </c>
      <c r="AP116" s="542">
        <v>0</v>
      </c>
      <c r="AQ116" s="542">
        <v>0</v>
      </c>
      <c r="AR116" s="542">
        <v>0</v>
      </c>
      <c r="AS116" s="542">
        <v>0</v>
      </c>
      <c r="AT116" s="542">
        <v>0</v>
      </c>
      <c r="AU116" s="542">
        <v>0</v>
      </c>
      <c r="AV116" s="542">
        <v>2116197</v>
      </c>
      <c r="AW116" s="542">
        <v>-306489</v>
      </c>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c r="DD116" s="136"/>
      <c r="DE116" s="136"/>
      <c r="DF116" s="136"/>
      <c r="DG116" s="136"/>
      <c r="DH116" s="136"/>
      <c r="DI116" s="136"/>
      <c r="DJ116" s="136"/>
      <c r="DK116" s="136"/>
      <c r="DL116" s="136"/>
      <c r="DM116" s="136"/>
      <c r="DN116" s="136"/>
      <c r="DO116" s="136"/>
      <c r="DP116" s="136"/>
      <c r="DQ116" s="136"/>
      <c r="DR116" s="136"/>
      <c r="DS116" s="136"/>
      <c r="DT116" s="136"/>
      <c r="DU116" s="136"/>
      <c r="DV116" s="136"/>
      <c r="DW116" s="136"/>
      <c r="DX116" s="136"/>
      <c r="DY116" s="136"/>
      <c r="DZ116" s="136"/>
      <c r="EA116" s="136"/>
      <c r="EB116" s="136"/>
      <c r="EC116" s="136"/>
      <c r="ED116" s="136"/>
      <c r="EE116" s="136"/>
      <c r="EF116" s="136"/>
      <c r="EG116" s="136"/>
      <c r="EH116" s="136"/>
      <c r="EI116" s="136"/>
      <c r="EJ116" s="136"/>
      <c r="EK116" s="136"/>
      <c r="EL116" s="136"/>
      <c r="EM116" s="136"/>
      <c r="EN116" s="136"/>
      <c r="EO116" s="136"/>
      <c r="EP116" s="136"/>
      <c r="EQ116" s="136"/>
      <c r="ER116" s="136"/>
      <c r="ES116" s="136"/>
      <c r="ET116" s="136"/>
      <c r="EU116" s="136"/>
      <c r="EV116" s="136"/>
      <c r="EW116" s="136"/>
      <c r="EX116" s="136"/>
      <c r="EY116" s="136"/>
      <c r="EZ116" s="136"/>
      <c r="FA116" s="136"/>
      <c r="FB116" s="136"/>
      <c r="FC116" s="136"/>
      <c r="FD116" s="136"/>
      <c r="FE116" s="137"/>
      <c r="FF116" s="138"/>
    </row>
    <row r="117" spans="1:162" ht="12.75" x14ac:dyDescent="0.2">
      <c r="A117" s="93">
        <v>111</v>
      </c>
      <c r="B117" s="145" t="s">
        <v>100</v>
      </c>
      <c r="C117" s="141" t="s">
        <v>866</v>
      </c>
      <c r="D117" s="142" t="s">
        <v>870</v>
      </c>
      <c r="E117" s="149" t="s">
        <v>99</v>
      </c>
      <c r="F117" s="542">
        <v>25615625</v>
      </c>
      <c r="G117" s="542">
        <v>107817</v>
      </c>
      <c r="H117" s="542">
        <v>25723442</v>
      </c>
      <c r="I117" s="542">
        <v>-111000</v>
      </c>
      <c r="J117" s="542">
        <v>0</v>
      </c>
      <c r="K117" s="542">
        <v>-111000</v>
      </c>
      <c r="L117" s="542">
        <v>93000</v>
      </c>
      <c r="M117" s="542">
        <v>0</v>
      </c>
      <c r="N117" s="542">
        <v>93000</v>
      </c>
      <c r="O117" s="542">
        <v>-292866</v>
      </c>
      <c r="P117" s="542">
        <v>0</v>
      </c>
      <c r="Q117" s="542">
        <v>-292866</v>
      </c>
      <c r="R117" s="542">
        <v>0</v>
      </c>
      <c r="S117" s="542">
        <v>0</v>
      </c>
      <c r="T117" s="542">
        <v>0</v>
      </c>
      <c r="U117" s="542">
        <v>97875</v>
      </c>
      <c r="V117" s="542">
        <v>0</v>
      </c>
      <c r="W117" s="542">
        <v>97875</v>
      </c>
      <c r="X117" s="542">
        <v>489465</v>
      </c>
      <c r="Y117" s="542">
        <v>0</v>
      </c>
      <c r="Z117" s="542">
        <v>489465</v>
      </c>
      <c r="AA117" s="542">
        <v>-2700198</v>
      </c>
      <c r="AB117" s="542">
        <v>0</v>
      </c>
      <c r="AC117" s="542">
        <v>-2700198</v>
      </c>
      <c r="AD117" s="542">
        <v>23484767</v>
      </c>
      <c r="AE117" s="542">
        <v>107817</v>
      </c>
      <c r="AF117" s="542">
        <v>23592584</v>
      </c>
      <c r="AG117" s="542">
        <v>107817</v>
      </c>
      <c r="AH117" s="542">
        <v>0</v>
      </c>
      <c r="AI117" s="542">
        <v>107817</v>
      </c>
      <c r="AJ117" s="542">
        <v>54707</v>
      </c>
      <c r="AK117" s="542">
        <v>0</v>
      </c>
      <c r="AL117" s="542">
        <v>0</v>
      </c>
      <c r="AM117" s="542">
        <v>54707</v>
      </c>
      <c r="AN117" s="542">
        <v>-38429</v>
      </c>
      <c r="AO117" s="542">
        <v>0</v>
      </c>
      <c r="AP117" s="542">
        <v>-38429</v>
      </c>
      <c r="AQ117" s="542">
        <v>272687</v>
      </c>
      <c r="AR117" s="542">
        <v>0</v>
      </c>
      <c r="AS117" s="542">
        <v>0</v>
      </c>
      <c r="AT117" s="542">
        <v>0</v>
      </c>
      <c r="AU117" s="542">
        <v>0</v>
      </c>
      <c r="AV117" s="542">
        <v>955886</v>
      </c>
      <c r="AW117" s="542">
        <v>-108574</v>
      </c>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c r="DD117" s="136"/>
      <c r="DE117" s="136"/>
      <c r="DF117" s="136"/>
      <c r="DG117" s="136"/>
      <c r="DH117" s="136"/>
      <c r="DI117" s="136"/>
      <c r="DJ117" s="136"/>
      <c r="DK117" s="136"/>
      <c r="DL117" s="136"/>
      <c r="DM117" s="136"/>
      <c r="DN117" s="136"/>
      <c r="DO117" s="136"/>
      <c r="DP117" s="136"/>
      <c r="DQ117" s="136"/>
      <c r="DR117" s="136"/>
      <c r="DS117" s="136"/>
      <c r="DT117" s="136"/>
      <c r="DU117" s="136"/>
      <c r="DV117" s="136"/>
      <c r="DW117" s="136"/>
      <c r="DX117" s="136"/>
      <c r="DY117" s="136"/>
      <c r="DZ117" s="136"/>
      <c r="EA117" s="136"/>
      <c r="EB117" s="136"/>
      <c r="EC117" s="136"/>
      <c r="ED117" s="136"/>
      <c r="EE117" s="136"/>
      <c r="EF117" s="136"/>
      <c r="EG117" s="136"/>
      <c r="EH117" s="136"/>
      <c r="EI117" s="136"/>
      <c r="EJ117" s="136"/>
      <c r="EK117" s="136"/>
      <c r="EL117" s="136"/>
      <c r="EM117" s="136"/>
      <c r="EN117" s="136"/>
      <c r="EO117" s="136"/>
      <c r="EP117" s="136"/>
      <c r="EQ117" s="136"/>
      <c r="ER117" s="136"/>
      <c r="ES117" s="136"/>
      <c r="ET117" s="136"/>
      <c r="EU117" s="136"/>
      <c r="EV117" s="136"/>
      <c r="EW117" s="136"/>
      <c r="EX117" s="136"/>
      <c r="EY117" s="136"/>
      <c r="EZ117" s="136"/>
      <c r="FA117" s="136"/>
      <c r="FB117" s="136"/>
      <c r="FC117" s="136"/>
      <c r="FD117" s="136"/>
      <c r="FE117" s="137"/>
      <c r="FF117" s="138"/>
    </row>
    <row r="118" spans="1:162" ht="12.75" x14ac:dyDescent="0.2">
      <c r="A118" s="93">
        <v>112</v>
      </c>
      <c r="B118" s="145" t="s">
        <v>102</v>
      </c>
      <c r="C118" s="141" t="s">
        <v>877</v>
      </c>
      <c r="D118" s="142" t="s">
        <v>872</v>
      </c>
      <c r="E118" s="149" t="s">
        <v>101</v>
      </c>
      <c r="F118" s="542">
        <v>67311253</v>
      </c>
      <c r="G118" s="542">
        <v>0</v>
      </c>
      <c r="H118" s="542">
        <v>67311253</v>
      </c>
      <c r="I118" s="542">
        <v>-9622</v>
      </c>
      <c r="J118" s="542">
        <v>0</v>
      </c>
      <c r="K118" s="542">
        <v>-9622</v>
      </c>
      <c r="L118" s="542">
        <v>258366</v>
      </c>
      <c r="M118" s="542">
        <v>0</v>
      </c>
      <c r="N118" s="542">
        <v>258366</v>
      </c>
      <c r="O118" s="542">
        <v>-722873</v>
      </c>
      <c r="P118" s="542">
        <v>0</v>
      </c>
      <c r="Q118" s="542">
        <v>-722873</v>
      </c>
      <c r="R118" s="542">
        <v>0</v>
      </c>
      <c r="S118" s="542">
        <v>0</v>
      </c>
      <c r="T118" s="542">
        <v>0</v>
      </c>
      <c r="U118" s="542">
        <v>-397665</v>
      </c>
      <c r="V118" s="542">
        <v>0</v>
      </c>
      <c r="W118" s="542">
        <v>-397665</v>
      </c>
      <c r="X118" s="542">
        <v>1052000</v>
      </c>
      <c r="Y118" s="542">
        <v>0</v>
      </c>
      <c r="Z118" s="542">
        <v>1052000</v>
      </c>
      <c r="AA118" s="542">
        <v>-1082000</v>
      </c>
      <c r="AB118" s="542">
        <v>0</v>
      </c>
      <c r="AC118" s="542">
        <v>-1082000</v>
      </c>
      <c r="AD118" s="542">
        <v>67132332</v>
      </c>
      <c r="AE118" s="542">
        <v>0</v>
      </c>
      <c r="AF118" s="542">
        <v>67132332</v>
      </c>
      <c r="AG118" s="542">
        <v>0</v>
      </c>
      <c r="AH118" s="542">
        <v>0</v>
      </c>
      <c r="AI118" s="542">
        <v>0</v>
      </c>
      <c r="AJ118" s="542">
        <v>0</v>
      </c>
      <c r="AK118" s="542">
        <v>0</v>
      </c>
      <c r="AL118" s="542">
        <v>0</v>
      </c>
      <c r="AM118" s="542">
        <v>0</v>
      </c>
      <c r="AN118" s="542">
        <v>0</v>
      </c>
      <c r="AO118" s="542">
        <v>0</v>
      </c>
      <c r="AP118" s="542">
        <v>0</v>
      </c>
      <c r="AQ118" s="542">
        <v>0</v>
      </c>
      <c r="AR118" s="542">
        <v>0</v>
      </c>
      <c r="AS118" s="542">
        <v>0</v>
      </c>
      <c r="AT118" s="542">
        <v>0</v>
      </c>
      <c r="AU118" s="542">
        <v>0</v>
      </c>
      <c r="AV118" s="542">
        <v>2928060</v>
      </c>
      <c r="AW118" s="542">
        <v>-2969455</v>
      </c>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c r="DD118" s="136"/>
      <c r="DE118" s="136"/>
      <c r="DF118" s="136"/>
      <c r="DG118" s="136"/>
      <c r="DH118" s="136"/>
      <c r="DI118" s="136"/>
      <c r="DJ118" s="136"/>
      <c r="DK118" s="136"/>
      <c r="DL118" s="136"/>
      <c r="DM118" s="136"/>
      <c r="DN118" s="136"/>
      <c r="DO118" s="136"/>
      <c r="DP118" s="136"/>
      <c r="DQ118" s="136"/>
      <c r="DR118" s="136"/>
      <c r="DS118" s="136"/>
      <c r="DT118" s="136"/>
      <c r="DU118" s="136"/>
      <c r="DV118" s="136"/>
      <c r="DW118" s="136"/>
      <c r="DX118" s="136"/>
      <c r="DY118" s="136"/>
      <c r="DZ118" s="136"/>
      <c r="EA118" s="136"/>
      <c r="EB118" s="136"/>
      <c r="EC118" s="136"/>
      <c r="ED118" s="136"/>
      <c r="EE118" s="136"/>
      <c r="EF118" s="136"/>
      <c r="EG118" s="136"/>
      <c r="EH118" s="136"/>
      <c r="EI118" s="136"/>
      <c r="EJ118" s="136"/>
      <c r="EK118" s="136"/>
      <c r="EL118" s="136"/>
      <c r="EM118" s="136"/>
      <c r="EN118" s="136"/>
      <c r="EO118" s="136"/>
      <c r="EP118" s="136"/>
      <c r="EQ118" s="136"/>
      <c r="ER118" s="136"/>
      <c r="ES118" s="136"/>
      <c r="ET118" s="136"/>
      <c r="EU118" s="136"/>
      <c r="EV118" s="136"/>
      <c r="EW118" s="136"/>
      <c r="EX118" s="136"/>
      <c r="EY118" s="136"/>
      <c r="EZ118" s="136"/>
      <c r="FA118" s="136"/>
      <c r="FB118" s="136"/>
      <c r="FC118" s="136"/>
      <c r="FD118" s="136"/>
      <c r="FE118" s="137"/>
      <c r="FF118" s="138"/>
    </row>
    <row r="119" spans="1:162" ht="12.75" x14ac:dyDescent="0.2">
      <c r="A119" s="93">
        <v>113</v>
      </c>
      <c r="B119" s="145" t="s">
        <v>104</v>
      </c>
      <c r="C119" s="141" t="s">
        <v>866</v>
      </c>
      <c r="D119" s="142" t="s">
        <v>867</v>
      </c>
      <c r="E119" s="149" t="s">
        <v>103</v>
      </c>
      <c r="F119" s="542">
        <v>79764303</v>
      </c>
      <c r="G119" s="542">
        <v>0</v>
      </c>
      <c r="H119" s="542">
        <v>79764303</v>
      </c>
      <c r="I119" s="542">
        <v>-2539</v>
      </c>
      <c r="J119" s="542">
        <v>0</v>
      </c>
      <c r="K119" s="542">
        <v>-2539</v>
      </c>
      <c r="L119" s="542">
        <v>243609</v>
      </c>
      <c r="M119" s="542">
        <v>0</v>
      </c>
      <c r="N119" s="542">
        <v>243609</v>
      </c>
      <c r="O119" s="542">
        <v>0</v>
      </c>
      <c r="P119" s="542">
        <v>0</v>
      </c>
      <c r="Q119" s="542">
        <v>0</v>
      </c>
      <c r="R119" s="542">
        <v>0</v>
      </c>
      <c r="S119" s="542">
        <v>0</v>
      </c>
      <c r="T119" s="542">
        <v>0</v>
      </c>
      <c r="U119" s="542">
        <v>-149000</v>
      </c>
      <c r="V119" s="542">
        <v>0</v>
      </c>
      <c r="W119" s="542">
        <v>-149000</v>
      </c>
      <c r="X119" s="542">
        <v>1241132</v>
      </c>
      <c r="Y119" s="542">
        <v>0</v>
      </c>
      <c r="Z119" s="542">
        <v>1241132</v>
      </c>
      <c r="AA119" s="542">
        <v>-5568735</v>
      </c>
      <c r="AB119" s="542">
        <v>0</v>
      </c>
      <c r="AC119" s="542">
        <v>-5568735</v>
      </c>
      <c r="AD119" s="542">
        <v>75528770</v>
      </c>
      <c r="AE119" s="542">
        <v>0</v>
      </c>
      <c r="AF119" s="542">
        <v>75528770</v>
      </c>
      <c r="AG119" s="542">
        <v>0</v>
      </c>
      <c r="AH119" s="542">
        <v>0</v>
      </c>
      <c r="AI119" s="542">
        <v>0</v>
      </c>
      <c r="AJ119" s="542">
        <v>0</v>
      </c>
      <c r="AK119" s="542">
        <v>0</v>
      </c>
      <c r="AL119" s="542">
        <v>0</v>
      </c>
      <c r="AM119" s="542">
        <v>0</v>
      </c>
      <c r="AN119" s="542">
        <v>0</v>
      </c>
      <c r="AO119" s="542">
        <v>0</v>
      </c>
      <c r="AP119" s="542">
        <v>0</v>
      </c>
      <c r="AQ119" s="542">
        <v>0</v>
      </c>
      <c r="AR119" s="542">
        <v>0</v>
      </c>
      <c r="AS119" s="542">
        <v>0</v>
      </c>
      <c r="AT119" s="542">
        <v>0</v>
      </c>
      <c r="AU119" s="542">
        <v>0</v>
      </c>
      <c r="AV119" s="542">
        <v>1544292</v>
      </c>
      <c r="AW119" s="542">
        <v>-2228613</v>
      </c>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c r="DD119" s="136"/>
      <c r="DE119" s="136"/>
      <c r="DF119" s="136"/>
      <c r="DG119" s="136"/>
      <c r="DH119" s="136"/>
      <c r="DI119" s="136"/>
      <c r="DJ119" s="136"/>
      <c r="DK119" s="136"/>
      <c r="DL119" s="136"/>
      <c r="DM119" s="136"/>
      <c r="DN119" s="136"/>
      <c r="DO119" s="136"/>
      <c r="DP119" s="136"/>
      <c r="DQ119" s="136"/>
      <c r="DR119" s="136"/>
      <c r="DS119" s="136"/>
      <c r="DT119" s="136"/>
      <c r="DU119" s="136"/>
      <c r="DV119" s="136"/>
      <c r="DW119" s="136"/>
      <c r="DX119" s="136"/>
      <c r="DY119" s="136"/>
      <c r="DZ119" s="136"/>
      <c r="EA119" s="136"/>
      <c r="EB119" s="136"/>
      <c r="EC119" s="136"/>
      <c r="ED119" s="136"/>
      <c r="EE119" s="136"/>
      <c r="EF119" s="136"/>
      <c r="EG119" s="136"/>
      <c r="EH119" s="136"/>
      <c r="EI119" s="136"/>
      <c r="EJ119" s="136"/>
      <c r="EK119" s="136"/>
      <c r="EL119" s="136"/>
      <c r="EM119" s="136"/>
      <c r="EN119" s="136"/>
      <c r="EO119" s="136"/>
      <c r="EP119" s="136"/>
      <c r="EQ119" s="136"/>
      <c r="ER119" s="136"/>
      <c r="ES119" s="136"/>
      <c r="ET119" s="136"/>
      <c r="EU119" s="136"/>
      <c r="EV119" s="136"/>
      <c r="EW119" s="136"/>
      <c r="EX119" s="136"/>
      <c r="EY119" s="136"/>
      <c r="EZ119" s="136"/>
      <c r="FA119" s="136"/>
      <c r="FB119" s="136"/>
      <c r="FC119" s="136"/>
      <c r="FD119" s="136"/>
      <c r="FE119" s="137"/>
      <c r="FF119" s="138"/>
    </row>
    <row r="120" spans="1:162" ht="12.75" x14ac:dyDescent="0.2">
      <c r="A120" s="93">
        <v>114</v>
      </c>
      <c r="B120" s="145" t="s">
        <v>106</v>
      </c>
      <c r="C120" s="141" t="s">
        <v>877</v>
      </c>
      <c r="D120" s="142" t="s">
        <v>872</v>
      </c>
      <c r="E120" s="149" t="s">
        <v>105</v>
      </c>
      <c r="F120" s="542">
        <v>91463094</v>
      </c>
      <c r="G120" s="542">
        <v>0</v>
      </c>
      <c r="H120" s="542">
        <v>91463094</v>
      </c>
      <c r="I120" s="542">
        <v>-19522</v>
      </c>
      <c r="J120" s="542">
        <v>0</v>
      </c>
      <c r="K120" s="542">
        <v>-19522</v>
      </c>
      <c r="L120" s="542">
        <v>50116</v>
      </c>
      <c r="M120" s="542">
        <v>0</v>
      </c>
      <c r="N120" s="542">
        <v>50116</v>
      </c>
      <c r="O120" s="542">
        <v>0</v>
      </c>
      <c r="P120" s="542">
        <v>0</v>
      </c>
      <c r="Q120" s="542">
        <v>0</v>
      </c>
      <c r="R120" s="542">
        <v>0</v>
      </c>
      <c r="S120" s="542">
        <v>0</v>
      </c>
      <c r="T120" s="542">
        <v>0</v>
      </c>
      <c r="U120" s="542">
        <v>-1321101</v>
      </c>
      <c r="V120" s="542">
        <v>0</v>
      </c>
      <c r="W120" s="542">
        <v>-1321101</v>
      </c>
      <c r="X120" s="542">
        <v>961604</v>
      </c>
      <c r="Y120" s="542">
        <v>0</v>
      </c>
      <c r="Z120" s="542">
        <v>961604</v>
      </c>
      <c r="AA120" s="542">
        <v>-7509559</v>
      </c>
      <c r="AB120" s="542">
        <v>0</v>
      </c>
      <c r="AC120" s="542">
        <v>-7509559</v>
      </c>
      <c r="AD120" s="542">
        <v>83624632</v>
      </c>
      <c r="AE120" s="542">
        <v>0</v>
      </c>
      <c r="AF120" s="542">
        <v>83624632</v>
      </c>
      <c r="AG120" s="542">
        <v>0</v>
      </c>
      <c r="AH120" s="542">
        <v>0</v>
      </c>
      <c r="AI120" s="542">
        <v>0</v>
      </c>
      <c r="AJ120" s="542">
        <v>0</v>
      </c>
      <c r="AK120" s="542">
        <v>0</v>
      </c>
      <c r="AL120" s="542">
        <v>0</v>
      </c>
      <c r="AM120" s="542">
        <v>0</v>
      </c>
      <c r="AN120" s="542">
        <v>0</v>
      </c>
      <c r="AO120" s="542">
        <v>0</v>
      </c>
      <c r="AP120" s="542">
        <v>0</v>
      </c>
      <c r="AQ120" s="542">
        <v>0</v>
      </c>
      <c r="AR120" s="542">
        <v>0</v>
      </c>
      <c r="AS120" s="542">
        <v>0</v>
      </c>
      <c r="AT120" s="542">
        <v>0</v>
      </c>
      <c r="AU120" s="542">
        <v>0</v>
      </c>
      <c r="AV120" s="542">
        <v>23724640</v>
      </c>
      <c r="AW120" s="542">
        <v>-9100596</v>
      </c>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c r="EF120" s="136"/>
      <c r="EG120" s="136"/>
      <c r="EH120" s="136"/>
      <c r="EI120" s="136"/>
      <c r="EJ120" s="136"/>
      <c r="EK120" s="136"/>
      <c r="EL120" s="136"/>
      <c r="EM120" s="136"/>
      <c r="EN120" s="136"/>
      <c r="EO120" s="136"/>
      <c r="EP120" s="136"/>
      <c r="EQ120" s="136"/>
      <c r="ER120" s="136"/>
      <c r="ES120" s="136"/>
      <c r="ET120" s="136"/>
      <c r="EU120" s="136"/>
      <c r="EV120" s="136"/>
      <c r="EW120" s="136"/>
      <c r="EX120" s="136"/>
      <c r="EY120" s="136"/>
      <c r="EZ120" s="136"/>
      <c r="FA120" s="136"/>
      <c r="FB120" s="136"/>
      <c r="FC120" s="136"/>
      <c r="FD120" s="136"/>
      <c r="FE120" s="137"/>
      <c r="FF120" s="138"/>
    </row>
    <row r="121" spans="1:162" ht="12.75" x14ac:dyDescent="0.2">
      <c r="A121" s="93">
        <v>115</v>
      </c>
      <c r="B121" s="145" t="s">
        <v>108</v>
      </c>
      <c r="C121" s="141" t="s">
        <v>770</v>
      </c>
      <c r="D121" s="142" t="s">
        <v>868</v>
      </c>
      <c r="E121" s="149" t="s">
        <v>697</v>
      </c>
      <c r="F121" s="542">
        <v>51175769</v>
      </c>
      <c r="G121" s="542">
        <v>0</v>
      </c>
      <c r="H121" s="542">
        <v>51175769</v>
      </c>
      <c r="I121" s="542">
        <v>0</v>
      </c>
      <c r="J121" s="542">
        <v>0</v>
      </c>
      <c r="K121" s="542">
        <v>0</v>
      </c>
      <c r="L121" s="542">
        <v>170972</v>
      </c>
      <c r="M121" s="542">
        <v>0</v>
      </c>
      <c r="N121" s="542">
        <v>170972</v>
      </c>
      <c r="O121" s="542">
        <v>-487273</v>
      </c>
      <c r="P121" s="542">
        <v>0</v>
      </c>
      <c r="Q121" s="542">
        <v>-487273</v>
      </c>
      <c r="R121" s="542">
        <v>0</v>
      </c>
      <c r="S121" s="542">
        <v>0</v>
      </c>
      <c r="T121" s="542">
        <v>0</v>
      </c>
      <c r="U121" s="542">
        <v>-129898</v>
      </c>
      <c r="V121" s="542">
        <v>0</v>
      </c>
      <c r="W121" s="542">
        <v>-129898</v>
      </c>
      <c r="X121" s="542">
        <v>0</v>
      </c>
      <c r="Y121" s="542">
        <v>0</v>
      </c>
      <c r="Z121" s="542">
        <v>0</v>
      </c>
      <c r="AA121" s="542">
        <v>-4407925</v>
      </c>
      <c r="AB121" s="542">
        <v>0</v>
      </c>
      <c r="AC121" s="542">
        <v>-4407925</v>
      </c>
      <c r="AD121" s="542">
        <v>46808918</v>
      </c>
      <c r="AE121" s="542">
        <v>0</v>
      </c>
      <c r="AF121" s="542">
        <v>46808918</v>
      </c>
      <c r="AG121" s="542">
        <v>0</v>
      </c>
      <c r="AH121" s="542">
        <v>0</v>
      </c>
      <c r="AI121" s="542">
        <v>0</v>
      </c>
      <c r="AJ121" s="542">
        <v>0</v>
      </c>
      <c r="AK121" s="542">
        <v>0</v>
      </c>
      <c r="AL121" s="542">
        <v>0</v>
      </c>
      <c r="AM121" s="542">
        <v>0</v>
      </c>
      <c r="AN121" s="542">
        <v>0</v>
      </c>
      <c r="AO121" s="542">
        <v>0</v>
      </c>
      <c r="AP121" s="542">
        <v>0</v>
      </c>
      <c r="AQ121" s="542">
        <v>32629</v>
      </c>
      <c r="AR121" s="542">
        <v>0</v>
      </c>
      <c r="AS121" s="542">
        <v>0</v>
      </c>
      <c r="AT121" s="542">
        <v>0</v>
      </c>
      <c r="AU121" s="542">
        <v>0</v>
      </c>
      <c r="AV121" s="542">
        <v>3637398</v>
      </c>
      <c r="AW121" s="542">
        <v>-1133165</v>
      </c>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c r="DD121" s="136"/>
      <c r="DE121" s="136"/>
      <c r="DF121" s="136"/>
      <c r="DG121" s="136"/>
      <c r="DH121" s="136"/>
      <c r="DI121" s="136"/>
      <c r="DJ121" s="136"/>
      <c r="DK121" s="136"/>
      <c r="DL121" s="136"/>
      <c r="DM121" s="136"/>
      <c r="DN121" s="136"/>
      <c r="DO121" s="136"/>
      <c r="DP121" s="136"/>
      <c r="DQ121" s="136"/>
      <c r="DR121" s="136"/>
      <c r="DS121" s="136"/>
      <c r="DT121" s="136"/>
      <c r="DU121" s="136"/>
      <c r="DV121" s="136"/>
      <c r="DW121" s="136"/>
      <c r="DX121" s="136"/>
      <c r="DY121" s="136"/>
      <c r="DZ121" s="136"/>
      <c r="EA121" s="136"/>
      <c r="EB121" s="136"/>
      <c r="EC121" s="136"/>
      <c r="ED121" s="136"/>
      <c r="EE121" s="136"/>
      <c r="EF121" s="136"/>
      <c r="EG121" s="136"/>
      <c r="EH121" s="136"/>
      <c r="EI121" s="136"/>
      <c r="EJ121" s="136"/>
      <c r="EK121" s="136"/>
      <c r="EL121" s="136"/>
      <c r="EM121" s="136"/>
      <c r="EN121" s="136"/>
      <c r="EO121" s="136"/>
      <c r="EP121" s="136"/>
      <c r="EQ121" s="136"/>
      <c r="ER121" s="136"/>
      <c r="ES121" s="136"/>
      <c r="ET121" s="136"/>
      <c r="EU121" s="136"/>
      <c r="EV121" s="136"/>
      <c r="EW121" s="136"/>
      <c r="EX121" s="136"/>
      <c r="EY121" s="136"/>
      <c r="EZ121" s="136"/>
      <c r="FA121" s="136"/>
      <c r="FB121" s="136"/>
      <c r="FC121" s="136"/>
      <c r="FD121" s="136"/>
      <c r="FE121" s="137"/>
      <c r="FF121" s="138"/>
    </row>
    <row r="122" spans="1:162" ht="12.75" x14ac:dyDescent="0.2">
      <c r="A122" s="93">
        <v>116</v>
      </c>
      <c r="B122" s="145" t="s">
        <v>110</v>
      </c>
      <c r="C122" s="141" t="s">
        <v>866</v>
      </c>
      <c r="D122" s="142" t="s">
        <v>874</v>
      </c>
      <c r="E122" s="149" t="s">
        <v>109</v>
      </c>
      <c r="F122" s="542">
        <v>26746640</v>
      </c>
      <c r="G122" s="542">
        <v>0</v>
      </c>
      <c r="H122" s="542">
        <v>26746640</v>
      </c>
      <c r="I122" s="542">
        <v>0</v>
      </c>
      <c r="J122" s="542">
        <v>0</v>
      </c>
      <c r="K122" s="542">
        <v>0</v>
      </c>
      <c r="L122" s="542">
        <v>55886</v>
      </c>
      <c r="M122" s="542">
        <v>0</v>
      </c>
      <c r="N122" s="542">
        <v>55886</v>
      </c>
      <c r="O122" s="542">
        <v>-85710</v>
      </c>
      <c r="P122" s="542">
        <v>0</v>
      </c>
      <c r="Q122" s="542">
        <v>-85710</v>
      </c>
      <c r="R122" s="542">
        <v>0</v>
      </c>
      <c r="S122" s="542">
        <v>0</v>
      </c>
      <c r="T122" s="542">
        <v>0</v>
      </c>
      <c r="U122" s="542">
        <v>-74841</v>
      </c>
      <c r="V122" s="542">
        <v>0</v>
      </c>
      <c r="W122" s="542">
        <v>-74841</v>
      </c>
      <c r="X122" s="542">
        <v>1343750</v>
      </c>
      <c r="Y122" s="542">
        <v>0</v>
      </c>
      <c r="Z122" s="542">
        <v>1343750</v>
      </c>
      <c r="AA122" s="542">
        <v>-2239460</v>
      </c>
      <c r="AB122" s="542">
        <v>0</v>
      </c>
      <c r="AC122" s="542">
        <v>-2239460</v>
      </c>
      <c r="AD122" s="542">
        <v>25831975</v>
      </c>
      <c r="AE122" s="542">
        <v>0</v>
      </c>
      <c r="AF122" s="542">
        <v>25831975</v>
      </c>
      <c r="AG122" s="542">
        <v>0</v>
      </c>
      <c r="AH122" s="542">
        <v>0</v>
      </c>
      <c r="AI122" s="542">
        <v>0</v>
      </c>
      <c r="AJ122" s="542">
        <v>0</v>
      </c>
      <c r="AK122" s="542">
        <v>0</v>
      </c>
      <c r="AL122" s="542">
        <v>0</v>
      </c>
      <c r="AM122" s="542">
        <v>0</v>
      </c>
      <c r="AN122" s="542">
        <v>0</v>
      </c>
      <c r="AO122" s="542">
        <v>0</v>
      </c>
      <c r="AP122" s="542">
        <v>0</v>
      </c>
      <c r="AQ122" s="542">
        <v>0</v>
      </c>
      <c r="AR122" s="542">
        <v>0</v>
      </c>
      <c r="AS122" s="542">
        <v>0</v>
      </c>
      <c r="AT122" s="542">
        <v>0</v>
      </c>
      <c r="AU122" s="542">
        <v>0</v>
      </c>
      <c r="AV122" s="542">
        <v>47926</v>
      </c>
      <c r="AW122" s="542">
        <v>-88932</v>
      </c>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c r="DD122" s="136"/>
      <c r="DE122" s="136"/>
      <c r="DF122" s="136"/>
      <c r="DG122" s="136"/>
      <c r="DH122" s="136"/>
      <c r="DI122" s="136"/>
      <c r="DJ122" s="136"/>
      <c r="DK122" s="136"/>
      <c r="DL122" s="136"/>
      <c r="DM122" s="136"/>
      <c r="DN122" s="136"/>
      <c r="DO122" s="136"/>
      <c r="DP122" s="136"/>
      <c r="DQ122" s="136"/>
      <c r="DR122" s="136"/>
      <c r="DS122" s="136"/>
      <c r="DT122" s="136"/>
      <c r="DU122" s="136"/>
      <c r="DV122" s="136"/>
      <c r="DW122" s="136"/>
      <c r="DX122" s="136"/>
      <c r="DY122" s="136"/>
      <c r="DZ122" s="136"/>
      <c r="EA122" s="136"/>
      <c r="EB122" s="136"/>
      <c r="EC122" s="136"/>
      <c r="ED122" s="136"/>
      <c r="EE122" s="136"/>
      <c r="EF122" s="136"/>
      <c r="EG122" s="136"/>
      <c r="EH122" s="136"/>
      <c r="EI122" s="136"/>
      <c r="EJ122" s="136"/>
      <c r="EK122" s="136"/>
      <c r="EL122" s="136"/>
      <c r="EM122" s="136"/>
      <c r="EN122" s="136"/>
      <c r="EO122" s="136"/>
      <c r="EP122" s="136"/>
      <c r="EQ122" s="136"/>
      <c r="ER122" s="136"/>
      <c r="ES122" s="136"/>
      <c r="ET122" s="136"/>
      <c r="EU122" s="136"/>
      <c r="EV122" s="136"/>
      <c r="EW122" s="136"/>
      <c r="EX122" s="136"/>
      <c r="EY122" s="136"/>
      <c r="EZ122" s="136"/>
      <c r="FA122" s="136"/>
      <c r="FB122" s="136"/>
      <c r="FC122" s="136"/>
      <c r="FD122" s="136"/>
      <c r="FE122" s="137"/>
      <c r="FF122" s="138"/>
    </row>
    <row r="123" spans="1:162" ht="12.75" x14ac:dyDescent="0.2">
      <c r="A123" s="93">
        <v>117</v>
      </c>
      <c r="B123" s="145" t="s">
        <v>112</v>
      </c>
      <c r="C123" s="141" t="s">
        <v>877</v>
      </c>
      <c r="D123" s="142" t="s">
        <v>872</v>
      </c>
      <c r="E123" s="149" t="s">
        <v>698</v>
      </c>
      <c r="F123" s="542">
        <v>191844001</v>
      </c>
      <c r="G123" s="542">
        <v>0</v>
      </c>
      <c r="H123" s="542">
        <v>191844001</v>
      </c>
      <c r="I123" s="542">
        <v>-96368</v>
      </c>
      <c r="J123" s="542">
        <v>0</v>
      </c>
      <c r="K123" s="542">
        <v>-96368</v>
      </c>
      <c r="L123" s="542">
        <v>337220</v>
      </c>
      <c r="M123" s="542">
        <v>0</v>
      </c>
      <c r="N123" s="542">
        <v>337220</v>
      </c>
      <c r="O123" s="542">
        <v>0</v>
      </c>
      <c r="P123" s="542">
        <v>0</v>
      </c>
      <c r="Q123" s="542">
        <v>0</v>
      </c>
      <c r="R123" s="542">
        <v>-3079190</v>
      </c>
      <c r="S123" s="542">
        <v>0</v>
      </c>
      <c r="T123" s="542">
        <v>-3079190</v>
      </c>
      <c r="U123" s="542">
        <v>4314560</v>
      </c>
      <c r="V123" s="542">
        <v>0</v>
      </c>
      <c r="W123" s="542">
        <v>4314560</v>
      </c>
      <c r="X123" s="542">
        <v>10784412</v>
      </c>
      <c r="Y123" s="542">
        <v>0</v>
      </c>
      <c r="Z123" s="542">
        <v>10784412</v>
      </c>
      <c r="AA123" s="542">
        <v>-29965918</v>
      </c>
      <c r="AB123" s="542">
        <v>0</v>
      </c>
      <c r="AC123" s="542">
        <v>-29965918</v>
      </c>
      <c r="AD123" s="542">
        <v>174138717</v>
      </c>
      <c r="AE123" s="542">
        <v>0</v>
      </c>
      <c r="AF123" s="542">
        <v>174138717</v>
      </c>
      <c r="AG123" s="542">
        <v>0</v>
      </c>
      <c r="AH123" s="542">
        <v>0</v>
      </c>
      <c r="AI123" s="542">
        <v>0</v>
      </c>
      <c r="AJ123" s="542">
        <v>0</v>
      </c>
      <c r="AK123" s="542">
        <v>0</v>
      </c>
      <c r="AL123" s="542">
        <v>0</v>
      </c>
      <c r="AM123" s="542">
        <v>0</v>
      </c>
      <c r="AN123" s="542">
        <v>0</v>
      </c>
      <c r="AO123" s="542">
        <v>0</v>
      </c>
      <c r="AP123" s="542">
        <v>0</v>
      </c>
      <c r="AQ123" s="542">
        <v>0</v>
      </c>
      <c r="AR123" s="542">
        <v>0</v>
      </c>
      <c r="AS123" s="542">
        <v>0</v>
      </c>
      <c r="AT123" s="542">
        <v>0</v>
      </c>
      <c r="AU123" s="542">
        <v>0</v>
      </c>
      <c r="AV123" s="542">
        <v>22647080</v>
      </c>
      <c r="AW123" s="542">
        <v>-15570700</v>
      </c>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c r="DD123" s="136"/>
      <c r="DE123" s="136"/>
      <c r="DF123" s="136"/>
      <c r="DG123" s="136"/>
      <c r="DH123" s="136"/>
      <c r="DI123" s="136"/>
      <c r="DJ123" s="136"/>
      <c r="DK123" s="136"/>
      <c r="DL123" s="136"/>
      <c r="DM123" s="136"/>
      <c r="DN123" s="136"/>
      <c r="DO123" s="136"/>
      <c r="DP123" s="136"/>
      <c r="DQ123" s="136"/>
      <c r="DR123" s="136"/>
      <c r="DS123" s="136"/>
      <c r="DT123" s="136"/>
      <c r="DU123" s="136"/>
      <c r="DV123" s="136"/>
      <c r="DW123" s="136"/>
      <c r="DX123" s="136"/>
      <c r="DY123" s="136"/>
      <c r="DZ123" s="136"/>
      <c r="EA123" s="136"/>
      <c r="EB123" s="136"/>
      <c r="EC123" s="136"/>
      <c r="ED123" s="136"/>
      <c r="EE123" s="136"/>
      <c r="EF123" s="136"/>
      <c r="EG123" s="136"/>
      <c r="EH123" s="136"/>
      <c r="EI123" s="136"/>
      <c r="EJ123" s="136"/>
      <c r="EK123" s="136"/>
      <c r="EL123" s="136"/>
      <c r="EM123" s="136"/>
      <c r="EN123" s="136"/>
      <c r="EO123" s="136"/>
      <c r="EP123" s="136"/>
      <c r="EQ123" s="136"/>
      <c r="ER123" s="136"/>
      <c r="ES123" s="136"/>
      <c r="ET123" s="136"/>
      <c r="EU123" s="136"/>
      <c r="EV123" s="136"/>
      <c r="EW123" s="136"/>
      <c r="EX123" s="136"/>
      <c r="EY123" s="136"/>
      <c r="EZ123" s="136"/>
      <c r="FA123" s="136"/>
      <c r="FB123" s="136"/>
      <c r="FC123" s="136"/>
      <c r="FD123" s="136"/>
      <c r="FE123" s="137"/>
      <c r="FF123" s="138"/>
    </row>
    <row r="124" spans="1:162" ht="12.75" x14ac:dyDescent="0.2">
      <c r="A124" s="93">
        <v>118</v>
      </c>
      <c r="B124" s="145" t="s">
        <v>114</v>
      </c>
      <c r="C124" s="141" t="s">
        <v>866</v>
      </c>
      <c r="D124" s="142" t="s">
        <v>869</v>
      </c>
      <c r="E124" s="149" t="s">
        <v>113</v>
      </c>
      <c r="F124" s="542">
        <v>38158176</v>
      </c>
      <c r="G124" s="542">
        <v>0</v>
      </c>
      <c r="H124" s="542">
        <v>38158176</v>
      </c>
      <c r="I124" s="542">
        <v>0</v>
      </c>
      <c r="J124" s="542">
        <v>0</v>
      </c>
      <c r="K124" s="542">
        <v>0</v>
      </c>
      <c r="L124" s="542">
        <v>49957</v>
      </c>
      <c r="M124" s="542">
        <v>0</v>
      </c>
      <c r="N124" s="542">
        <v>49957</v>
      </c>
      <c r="O124" s="542">
        <v>-138412</v>
      </c>
      <c r="P124" s="542">
        <v>0</v>
      </c>
      <c r="Q124" s="542">
        <v>-138412</v>
      </c>
      <c r="R124" s="542">
        <v>-1425</v>
      </c>
      <c r="S124" s="542">
        <v>0</v>
      </c>
      <c r="T124" s="542">
        <v>-1425</v>
      </c>
      <c r="U124" s="542">
        <v>-152265</v>
      </c>
      <c r="V124" s="542">
        <v>0</v>
      </c>
      <c r="W124" s="542">
        <v>-152265</v>
      </c>
      <c r="X124" s="542">
        <v>0</v>
      </c>
      <c r="Y124" s="542">
        <v>0</v>
      </c>
      <c r="Z124" s="542">
        <v>0</v>
      </c>
      <c r="AA124" s="542">
        <v>-3317599</v>
      </c>
      <c r="AB124" s="542">
        <v>0</v>
      </c>
      <c r="AC124" s="542">
        <v>-3317599</v>
      </c>
      <c r="AD124" s="542">
        <v>34736844</v>
      </c>
      <c r="AE124" s="542">
        <v>0</v>
      </c>
      <c r="AF124" s="542">
        <v>34736844</v>
      </c>
      <c r="AG124" s="542">
        <v>0</v>
      </c>
      <c r="AH124" s="542">
        <v>0</v>
      </c>
      <c r="AI124" s="542">
        <v>0</v>
      </c>
      <c r="AJ124" s="542">
        <v>0</v>
      </c>
      <c r="AK124" s="542">
        <v>0</v>
      </c>
      <c r="AL124" s="542">
        <v>0</v>
      </c>
      <c r="AM124" s="542">
        <v>0</v>
      </c>
      <c r="AN124" s="542">
        <v>0</v>
      </c>
      <c r="AO124" s="542">
        <v>0</v>
      </c>
      <c r="AP124" s="542">
        <v>0</v>
      </c>
      <c r="AQ124" s="542">
        <v>0</v>
      </c>
      <c r="AR124" s="542">
        <v>0</v>
      </c>
      <c r="AS124" s="542">
        <v>0</v>
      </c>
      <c r="AT124" s="542">
        <v>0</v>
      </c>
      <c r="AU124" s="542">
        <v>0</v>
      </c>
      <c r="AV124" s="542">
        <v>669565</v>
      </c>
      <c r="AW124" s="542">
        <v>-275892</v>
      </c>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c r="DD124" s="136"/>
      <c r="DE124" s="136"/>
      <c r="DF124" s="136"/>
      <c r="DG124" s="136"/>
      <c r="DH124" s="136"/>
      <c r="DI124" s="136"/>
      <c r="DJ124" s="136"/>
      <c r="DK124" s="136"/>
      <c r="DL124" s="136"/>
      <c r="DM124" s="136"/>
      <c r="DN124" s="136"/>
      <c r="DO124" s="136"/>
      <c r="DP124" s="136"/>
      <c r="DQ124" s="136"/>
      <c r="DR124" s="136"/>
      <c r="DS124" s="136"/>
      <c r="DT124" s="136"/>
      <c r="DU124" s="136"/>
      <c r="DV124" s="136"/>
      <c r="DW124" s="136"/>
      <c r="DX124" s="136"/>
      <c r="DY124" s="136"/>
      <c r="DZ124" s="136"/>
      <c r="EA124" s="136"/>
      <c r="EB124" s="136"/>
      <c r="EC124" s="136"/>
      <c r="ED124" s="136"/>
      <c r="EE124" s="136"/>
      <c r="EF124" s="136"/>
      <c r="EG124" s="136"/>
      <c r="EH124" s="136"/>
      <c r="EI124" s="136"/>
      <c r="EJ124" s="136"/>
      <c r="EK124" s="136"/>
      <c r="EL124" s="136"/>
      <c r="EM124" s="136"/>
      <c r="EN124" s="136"/>
      <c r="EO124" s="136"/>
      <c r="EP124" s="136"/>
      <c r="EQ124" s="136"/>
      <c r="ER124" s="136"/>
      <c r="ES124" s="136"/>
      <c r="ET124" s="136"/>
      <c r="EU124" s="136"/>
      <c r="EV124" s="136"/>
      <c r="EW124" s="136"/>
      <c r="EX124" s="136"/>
      <c r="EY124" s="136"/>
      <c r="EZ124" s="136"/>
      <c r="FA124" s="136"/>
      <c r="FB124" s="136"/>
      <c r="FC124" s="136"/>
      <c r="FD124" s="136"/>
      <c r="FE124" s="137"/>
      <c r="FF124" s="138"/>
    </row>
    <row r="125" spans="1:162" ht="12.75" x14ac:dyDescent="0.2">
      <c r="A125" s="93">
        <v>119</v>
      </c>
      <c r="B125" s="145" t="s">
        <v>116</v>
      </c>
      <c r="C125" s="141" t="s">
        <v>871</v>
      </c>
      <c r="D125" s="142" t="s">
        <v>872</v>
      </c>
      <c r="E125" s="149" t="s">
        <v>115</v>
      </c>
      <c r="F125" s="542">
        <v>62808976</v>
      </c>
      <c r="G125" s="542">
        <v>0</v>
      </c>
      <c r="H125" s="542">
        <v>62808976</v>
      </c>
      <c r="I125" s="542">
        <v>0</v>
      </c>
      <c r="J125" s="542">
        <v>0</v>
      </c>
      <c r="K125" s="542">
        <v>0</v>
      </c>
      <c r="L125" s="542">
        <v>0</v>
      </c>
      <c r="M125" s="542">
        <v>0</v>
      </c>
      <c r="N125" s="542">
        <v>0</v>
      </c>
      <c r="O125" s="542">
        <v>-2070000</v>
      </c>
      <c r="P125" s="542">
        <v>0</v>
      </c>
      <c r="Q125" s="542">
        <v>-2070000</v>
      </c>
      <c r="R125" s="542">
        <v>-815196</v>
      </c>
      <c r="S125" s="542">
        <v>0</v>
      </c>
      <c r="T125" s="542">
        <v>-815196</v>
      </c>
      <c r="U125" s="542">
        <v>-5167394</v>
      </c>
      <c r="V125" s="542">
        <v>0</v>
      </c>
      <c r="W125" s="542">
        <v>-5167394</v>
      </c>
      <c r="X125" s="542">
        <v>1729175</v>
      </c>
      <c r="Y125" s="542">
        <v>0</v>
      </c>
      <c r="Z125" s="542">
        <v>1729175</v>
      </c>
      <c r="AA125" s="542">
        <v>-8453194</v>
      </c>
      <c r="AB125" s="542">
        <v>0</v>
      </c>
      <c r="AC125" s="542">
        <v>-8453194</v>
      </c>
      <c r="AD125" s="542">
        <v>50102367</v>
      </c>
      <c r="AE125" s="542">
        <v>0</v>
      </c>
      <c r="AF125" s="542">
        <v>50102367</v>
      </c>
      <c r="AG125" s="542">
        <v>0</v>
      </c>
      <c r="AH125" s="542">
        <v>0</v>
      </c>
      <c r="AI125" s="542">
        <v>0</v>
      </c>
      <c r="AJ125" s="542">
        <v>0</v>
      </c>
      <c r="AK125" s="542">
        <v>0</v>
      </c>
      <c r="AL125" s="542">
        <v>0</v>
      </c>
      <c r="AM125" s="542">
        <v>0</v>
      </c>
      <c r="AN125" s="542">
        <v>0</v>
      </c>
      <c r="AO125" s="542">
        <v>0</v>
      </c>
      <c r="AP125" s="542">
        <v>0</v>
      </c>
      <c r="AQ125" s="542">
        <v>0</v>
      </c>
      <c r="AR125" s="542">
        <v>0</v>
      </c>
      <c r="AS125" s="542">
        <v>0</v>
      </c>
      <c r="AT125" s="542">
        <v>0</v>
      </c>
      <c r="AU125" s="542">
        <v>0</v>
      </c>
      <c r="AV125" s="542">
        <v>9536526.6600000001</v>
      </c>
      <c r="AW125" s="542">
        <v>-9860252.5</v>
      </c>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c r="DD125" s="136"/>
      <c r="DE125" s="136"/>
      <c r="DF125" s="136"/>
      <c r="DG125" s="136"/>
      <c r="DH125" s="136"/>
      <c r="DI125" s="136"/>
      <c r="DJ125" s="136"/>
      <c r="DK125" s="136"/>
      <c r="DL125" s="136"/>
      <c r="DM125" s="136"/>
      <c r="DN125" s="136"/>
      <c r="DO125" s="136"/>
      <c r="DP125" s="136"/>
      <c r="DQ125" s="136"/>
      <c r="DR125" s="136"/>
      <c r="DS125" s="136"/>
      <c r="DT125" s="136"/>
      <c r="DU125" s="136"/>
      <c r="DV125" s="136"/>
      <c r="DW125" s="136"/>
      <c r="DX125" s="136"/>
      <c r="DY125" s="136"/>
      <c r="DZ125" s="136"/>
      <c r="EA125" s="136"/>
      <c r="EB125" s="136"/>
      <c r="EC125" s="136"/>
      <c r="ED125" s="136"/>
      <c r="EE125" s="136"/>
      <c r="EF125" s="136"/>
      <c r="EG125" s="136"/>
      <c r="EH125" s="136"/>
      <c r="EI125" s="136"/>
      <c r="EJ125" s="136"/>
      <c r="EK125" s="136"/>
      <c r="EL125" s="136"/>
      <c r="EM125" s="136"/>
      <c r="EN125" s="136"/>
      <c r="EO125" s="136"/>
      <c r="EP125" s="136"/>
      <c r="EQ125" s="136"/>
      <c r="ER125" s="136"/>
      <c r="ES125" s="136"/>
      <c r="ET125" s="136"/>
      <c r="EU125" s="136"/>
      <c r="EV125" s="136"/>
      <c r="EW125" s="136"/>
      <c r="EX125" s="136"/>
      <c r="EY125" s="136"/>
      <c r="EZ125" s="136"/>
      <c r="FA125" s="136"/>
      <c r="FB125" s="136"/>
      <c r="FC125" s="136"/>
      <c r="FD125" s="136"/>
      <c r="FE125" s="137"/>
      <c r="FF125" s="138"/>
    </row>
    <row r="126" spans="1:162" ht="12.75" x14ac:dyDescent="0.2">
      <c r="A126" s="93">
        <v>120</v>
      </c>
      <c r="B126" s="145" t="s">
        <v>118</v>
      </c>
      <c r="C126" s="141" t="s">
        <v>866</v>
      </c>
      <c r="D126" s="142" t="s">
        <v>870</v>
      </c>
      <c r="E126" s="149" t="s">
        <v>117</v>
      </c>
      <c r="F126" s="542">
        <v>42415336</v>
      </c>
      <c r="G126" s="542">
        <v>2356269</v>
      </c>
      <c r="H126" s="542">
        <v>44771605</v>
      </c>
      <c r="I126" s="542">
        <v>0</v>
      </c>
      <c r="J126" s="542">
        <v>0</v>
      </c>
      <c r="K126" s="542">
        <v>0</v>
      </c>
      <c r="L126" s="542">
        <v>236454</v>
      </c>
      <c r="M126" s="542">
        <v>0</v>
      </c>
      <c r="N126" s="542">
        <v>236454</v>
      </c>
      <c r="O126" s="542">
        <v>-233542</v>
      </c>
      <c r="P126" s="542">
        <v>-24041</v>
      </c>
      <c r="Q126" s="542">
        <v>-257583</v>
      </c>
      <c r="R126" s="542">
        <v>0</v>
      </c>
      <c r="S126" s="542">
        <v>0</v>
      </c>
      <c r="T126" s="542">
        <v>0</v>
      </c>
      <c r="U126" s="542">
        <v>533000</v>
      </c>
      <c r="V126" s="542">
        <v>0</v>
      </c>
      <c r="W126" s="542">
        <v>533000</v>
      </c>
      <c r="X126" s="542">
        <v>1557000</v>
      </c>
      <c r="Y126" s="542">
        <v>0</v>
      </c>
      <c r="Z126" s="542">
        <v>1557000</v>
      </c>
      <c r="AA126" s="542">
        <v>-4279000</v>
      </c>
      <c r="AB126" s="542">
        <v>0</v>
      </c>
      <c r="AC126" s="542">
        <v>-4279000</v>
      </c>
      <c r="AD126" s="542">
        <v>40462790</v>
      </c>
      <c r="AE126" s="542">
        <v>2356269</v>
      </c>
      <c r="AF126" s="542">
        <v>42819059</v>
      </c>
      <c r="AG126" s="542">
        <v>2356269</v>
      </c>
      <c r="AH126" s="542">
        <v>0</v>
      </c>
      <c r="AI126" s="542">
        <v>2356269</v>
      </c>
      <c r="AJ126" s="542">
        <v>0</v>
      </c>
      <c r="AK126" s="542">
        <v>0</v>
      </c>
      <c r="AL126" s="542">
        <v>0</v>
      </c>
      <c r="AM126" s="542">
        <v>0</v>
      </c>
      <c r="AN126" s="542">
        <v>-575</v>
      </c>
      <c r="AO126" s="542">
        <v>0</v>
      </c>
      <c r="AP126" s="542">
        <v>-575</v>
      </c>
      <c r="AQ126" s="542">
        <v>2883461</v>
      </c>
      <c r="AR126" s="542">
        <v>0</v>
      </c>
      <c r="AS126" s="542">
        <v>0</v>
      </c>
      <c r="AT126" s="542">
        <v>0</v>
      </c>
      <c r="AU126" s="542">
        <v>0</v>
      </c>
      <c r="AV126" s="542">
        <v>2481492</v>
      </c>
      <c r="AW126" s="542">
        <v>-542915</v>
      </c>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c r="DD126" s="136"/>
      <c r="DE126" s="136"/>
      <c r="DF126" s="136"/>
      <c r="DG126" s="136"/>
      <c r="DH126" s="136"/>
      <c r="DI126" s="136"/>
      <c r="DJ126" s="136"/>
      <c r="DK126" s="136"/>
      <c r="DL126" s="136"/>
      <c r="DM126" s="136"/>
      <c r="DN126" s="136"/>
      <c r="DO126" s="136"/>
      <c r="DP126" s="136"/>
      <c r="DQ126" s="136"/>
      <c r="DR126" s="136"/>
      <c r="DS126" s="136"/>
      <c r="DT126" s="136"/>
      <c r="DU126" s="136"/>
      <c r="DV126" s="136"/>
      <c r="DW126" s="136"/>
      <c r="DX126" s="136"/>
      <c r="DY126" s="136"/>
      <c r="DZ126" s="136"/>
      <c r="EA126" s="136"/>
      <c r="EB126" s="136"/>
      <c r="EC126" s="136"/>
      <c r="ED126" s="136"/>
      <c r="EE126" s="136"/>
      <c r="EF126" s="136"/>
      <c r="EG126" s="136"/>
      <c r="EH126" s="136"/>
      <c r="EI126" s="136"/>
      <c r="EJ126" s="136"/>
      <c r="EK126" s="136"/>
      <c r="EL126" s="136"/>
      <c r="EM126" s="136"/>
      <c r="EN126" s="136"/>
      <c r="EO126" s="136"/>
      <c r="EP126" s="136"/>
      <c r="EQ126" s="136"/>
      <c r="ER126" s="136"/>
      <c r="ES126" s="136"/>
      <c r="ET126" s="136"/>
      <c r="EU126" s="136"/>
      <c r="EV126" s="136"/>
      <c r="EW126" s="136"/>
      <c r="EX126" s="136"/>
      <c r="EY126" s="136"/>
      <c r="EZ126" s="136"/>
      <c r="FA126" s="136"/>
      <c r="FB126" s="136"/>
      <c r="FC126" s="136"/>
      <c r="FD126" s="136"/>
      <c r="FE126" s="137"/>
      <c r="FF126" s="138"/>
    </row>
    <row r="127" spans="1:162" ht="12.75" x14ac:dyDescent="0.2">
      <c r="A127" s="93">
        <v>121</v>
      </c>
      <c r="B127" s="145" t="s">
        <v>120</v>
      </c>
      <c r="C127" s="141" t="s">
        <v>866</v>
      </c>
      <c r="D127" s="142" t="s">
        <v>874</v>
      </c>
      <c r="E127" s="149" t="s">
        <v>119</v>
      </c>
      <c r="F127" s="542">
        <v>61318106</v>
      </c>
      <c r="G127" s="542">
        <v>0</v>
      </c>
      <c r="H127" s="542">
        <v>61318106</v>
      </c>
      <c r="I127" s="542">
        <v>-5680</v>
      </c>
      <c r="J127" s="542">
        <v>0</v>
      </c>
      <c r="K127" s="542">
        <v>-5680</v>
      </c>
      <c r="L127" s="542">
        <v>284624</v>
      </c>
      <c r="M127" s="542">
        <v>0</v>
      </c>
      <c r="N127" s="542">
        <v>284624</v>
      </c>
      <c r="O127" s="542">
        <v>0</v>
      </c>
      <c r="P127" s="542">
        <v>0</v>
      </c>
      <c r="Q127" s="542">
        <v>0</v>
      </c>
      <c r="R127" s="542">
        <v>-539879</v>
      </c>
      <c r="S127" s="542">
        <v>0</v>
      </c>
      <c r="T127" s="542">
        <v>-539879</v>
      </c>
      <c r="U127" s="542">
        <v>154136</v>
      </c>
      <c r="V127" s="542">
        <v>0</v>
      </c>
      <c r="W127" s="542">
        <v>154136</v>
      </c>
      <c r="X127" s="542">
        <v>0</v>
      </c>
      <c r="Y127" s="542">
        <v>0</v>
      </c>
      <c r="Z127" s="542">
        <v>0</v>
      </c>
      <c r="AA127" s="542">
        <v>-1054744</v>
      </c>
      <c r="AB127" s="542">
        <v>0</v>
      </c>
      <c r="AC127" s="542">
        <v>-1054744</v>
      </c>
      <c r="AD127" s="542">
        <v>60156563</v>
      </c>
      <c r="AE127" s="542">
        <v>0</v>
      </c>
      <c r="AF127" s="542">
        <v>60156563</v>
      </c>
      <c r="AG127" s="542">
        <v>0</v>
      </c>
      <c r="AH127" s="542">
        <v>0</v>
      </c>
      <c r="AI127" s="542">
        <v>0</v>
      </c>
      <c r="AJ127" s="542">
        <v>0</v>
      </c>
      <c r="AK127" s="542">
        <v>0</v>
      </c>
      <c r="AL127" s="542">
        <v>0</v>
      </c>
      <c r="AM127" s="542">
        <v>0</v>
      </c>
      <c r="AN127" s="542">
        <v>0</v>
      </c>
      <c r="AO127" s="542">
        <v>0</v>
      </c>
      <c r="AP127" s="542">
        <v>0</v>
      </c>
      <c r="AQ127" s="542">
        <v>0</v>
      </c>
      <c r="AR127" s="542">
        <v>0</v>
      </c>
      <c r="AS127" s="542">
        <v>0</v>
      </c>
      <c r="AT127" s="542">
        <v>0</v>
      </c>
      <c r="AU127" s="542">
        <v>0</v>
      </c>
      <c r="AV127" s="542">
        <v>1593408</v>
      </c>
      <c r="AW127" s="542">
        <v>-697688</v>
      </c>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c r="DD127" s="136"/>
      <c r="DE127" s="136"/>
      <c r="DF127" s="136"/>
      <c r="DG127" s="136"/>
      <c r="DH127" s="136"/>
      <c r="DI127" s="136"/>
      <c r="DJ127" s="136"/>
      <c r="DK127" s="136"/>
      <c r="DL127" s="136"/>
      <c r="DM127" s="136"/>
      <c r="DN127" s="136"/>
      <c r="DO127" s="136"/>
      <c r="DP127" s="136"/>
      <c r="DQ127" s="136"/>
      <c r="DR127" s="136"/>
      <c r="DS127" s="136"/>
      <c r="DT127" s="136"/>
      <c r="DU127" s="136"/>
      <c r="DV127" s="136"/>
      <c r="DW127" s="136"/>
      <c r="DX127" s="136"/>
      <c r="DY127" s="136"/>
      <c r="DZ127" s="136"/>
      <c r="EA127" s="136"/>
      <c r="EB127" s="136"/>
      <c r="EC127" s="136"/>
      <c r="ED127" s="136"/>
      <c r="EE127" s="136"/>
      <c r="EF127" s="136"/>
      <c r="EG127" s="136"/>
      <c r="EH127" s="136"/>
      <c r="EI127" s="136"/>
      <c r="EJ127" s="136"/>
      <c r="EK127" s="136"/>
      <c r="EL127" s="136"/>
      <c r="EM127" s="136"/>
      <c r="EN127" s="136"/>
      <c r="EO127" s="136"/>
      <c r="EP127" s="136"/>
      <c r="EQ127" s="136"/>
      <c r="ER127" s="136"/>
      <c r="ES127" s="136"/>
      <c r="ET127" s="136"/>
      <c r="EU127" s="136"/>
      <c r="EV127" s="136"/>
      <c r="EW127" s="136"/>
      <c r="EX127" s="136"/>
      <c r="EY127" s="136"/>
      <c r="EZ127" s="136"/>
      <c r="FA127" s="136"/>
      <c r="FB127" s="136"/>
      <c r="FC127" s="136"/>
      <c r="FD127" s="136"/>
      <c r="FE127" s="137"/>
      <c r="FF127" s="138"/>
    </row>
    <row r="128" spans="1:162" ht="12.75" x14ac:dyDescent="0.2">
      <c r="A128" s="93">
        <v>122</v>
      </c>
      <c r="B128" s="145" t="s">
        <v>122</v>
      </c>
      <c r="C128" s="141" t="s">
        <v>871</v>
      </c>
      <c r="D128" s="142" t="s">
        <v>872</v>
      </c>
      <c r="E128" s="149" t="s">
        <v>121</v>
      </c>
      <c r="F128" s="542">
        <v>49075378</v>
      </c>
      <c r="G128" s="542">
        <v>0</v>
      </c>
      <c r="H128" s="542">
        <v>49075378</v>
      </c>
      <c r="I128" s="542">
        <v>-4083</v>
      </c>
      <c r="J128" s="542">
        <v>0</v>
      </c>
      <c r="K128" s="542">
        <v>-4083</v>
      </c>
      <c r="L128" s="542">
        <v>0</v>
      </c>
      <c r="M128" s="542">
        <v>0</v>
      </c>
      <c r="N128" s="542">
        <v>0</v>
      </c>
      <c r="O128" s="542">
        <v>-1171168</v>
      </c>
      <c r="P128" s="542">
        <v>0</v>
      </c>
      <c r="Q128" s="542">
        <v>-1171168</v>
      </c>
      <c r="R128" s="542">
        <v>0</v>
      </c>
      <c r="S128" s="542">
        <v>0</v>
      </c>
      <c r="T128" s="542">
        <v>0</v>
      </c>
      <c r="U128" s="542">
        <v>-875992</v>
      </c>
      <c r="V128" s="542">
        <v>0</v>
      </c>
      <c r="W128" s="542">
        <v>-875992</v>
      </c>
      <c r="X128" s="542">
        <v>3270529</v>
      </c>
      <c r="Y128" s="542">
        <v>0</v>
      </c>
      <c r="Z128" s="542">
        <v>3270529</v>
      </c>
      <c r="AA128" s="542">
        <v>-6070529</v>
      </c>
      <c r="AB128" s="542">
        <v>0</v>
      </c>
      <c r="AC128" s="542">
        <v>-6070529</v>
      </c>
      <c r="AD128" s="542">
        <v>45395303</v>
      </c>
      <c r="AE128" s="542">
        <v>0</v>
      </c>
      <c r="AF128" s="542">
        <v>45395303</v>
      </c>
      <c r="AG128" s="542">
        <v>0</v>
      </c>
      <c r="AH128" s="542">
        <v>0</v>
      </c>
      <c r="AI128" s="542">
        <v>0</v>
      </c>
      <c r="AJ128" s="542">
        <v>0</v>
      </c>
      <c r="AK128" s="542">
        <v>0</v>
      </c>
      <c r="AL128" s="542">
        <v>0</v>
      </c>
      <c r="AM128" s="542">
        <v>0</v>
      </c>
      <c r="AN128" s="542">
        <v>0</v>
      </c>
      <c r="AO128" s="542">
        <v>0</v>
      </c>
      <c r="AP128" s="542">
        <v>0</v>
      </c>
      <c r="AQ128" s="542">
        <v>0</v>
      </c>
      <c r="AR128" s="542">
        <v>0</v>
      </c>
      <c r="AS128" s="542">
        <v>0</v>
      </c>
      <c r="AT128" s="542">
        <v>0</v>
      </c>
      <c r="AU128" s="542">
        <v>0</v>
      </c>
      <c r="AV128" s="542">
        <v>3331277</v>
      </c>
      <c r="AW128" s="542">
        <v>-509084</v>
      </c>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c r="DD128" s="136"/>
      <c r="DE128" s="136"/>
      <c r="DF128" s="136"/>
      <c r="DG128" s="136"/>
      <c r="DH128" s="136"/>
      <c r="DI128" s="136"/>
      <c r="DJ128" s="136"/>
      <c r="DK128" s="136"/>
      <c r="DL128" s="136"/>
      <c r="DM128" s="136"/>
      <c r="DN128" s="136"/>
      <c r="DO128" s="136"/>
      <c r="DP128" s="136"/>
      <c r="DQ128" s="136"/>
      <c r="DR128" s="136"/>
      <c r="DS128" s="136"/>
      <c r="DT128" s="136"/>
      <c r="DU128" s="136"/>
      <c r="DV128" s="136"/>
      <c r="DW128" s="136"/>
      <c r="DX128" s="136"/>
      <c r="DY128" s="136"/>
      <c r="DZ128" s="136"/>
      <c r="EA128" s="136"/>
      <c r="EB128" s="136"/>
      <c r="EC128" s="136"/>
      <c r="ED128" s="136"/>
      <c r="EE128" s="136"/>
      <c r="EF128" s="136"/>
      <c r="EG128" s="136"/>
      <c r="EH128" s="136"/>
      <c r="EI128" s="136"/>
      <c r="EJ128" s="136"/>
      <c r="EK128" s="136"/>
      <c r="EL128" s="136"/>
      <c r="EM128" s="136"/>
      <c r="EN128" s="136"/>
      <c r="EO128" s="136"/>
      <c r="EP128" s="136"/>
      <c r="EQ128" s="136"/>
      <c r="ER128" s="136"/>
      <c r="ES128" s="136"/>
      <c r="ET128" s="136"/>
      <c r="EU128" s="136"/>
      <c r="EV128" s="136"/>
      <c r="EW128" s="136"/>
      <c r="EX128" s="136"/>
      <c r="EY128" s="136"/>
      <c r="EZ128" s="136"/>
      <c r="FA128" s="136"/>
      <c r="FB128" s="136"/>
      <c r="FC128" s="136"/>
      <c r="FD128" s="136"/>
      <c r="FE128" s="137"/>
      <c r="FF128" s="138"/>
    </row>
    <row r="129" spans="1:162" ht="12.75" x14ac:dyDescent="0.2">
      <c r="A129" s="93">
        <v>123</v>
      </c>
      <c r="B129" s="145" t="s">
        <v>124</v>
      </c>
      <c r="C129" s="141" t="s">
        <v>866</v>
      </c>
      <c r="D129" s="142" t="s">
        <v>867</v>
      </c>
      <c r="E129" s="149" t="s">
        <v>123</v>
      </c>
      <c r="F129" s="542">
        <v>28635748</v>
      </c>
      <c r="G129" s="542">
        <v>0</v>
      </c>
      <c r="H129" s="542">
        <v>28635748</v>
      </c>
      <c r="I129" s="542">
        <v>0</v>
      </c>
      <c r="J129" s="542">
        <v>0</v>
      </c>
      <c r="K129" s="542">
        <v>0</v>
      </c>
      <c r="L129" s="542">
        <v>190</v>
      </c>
      <c r="M129" s="542">
        <v>0</v>
      </c>
      <c r="N129" s="542">
        <v>190</v>
      </c>
      <c r="O129" s="542">
        <v>-234964</v>
      </c>
      <c r="P129" s="542">
        <v>0</v>
      </c>
      <c r="Q129" s="542">
        <v>-234964</v>
      </c>
      <c r="R129" s="542">
        <v>0</v>
      </c>
      <c r="S129" s="542">
        <v>0</v>
      </c>
      <c r="T129" s="542">
        <v>0</v>
      </c>
      <c r="U129" s="542">
        <v>-210432</v>
      </c>
      <c r="V129" s="542">
        <v>0</v>
      </c>
      <c r="W129" s="542">
        <v>-210432</v>
      </c>
      <c r="X129" s="542">
        <v>716235</v>
      </c>
      <c r="Y129" s="542">
        <v>0</v>
      </c>
      <c r="Z129" s="542">
        <v>716235</v>
      </c>
      <c r="AA129" s="542">
        <v>-827325</v>
      </c>
      <c r="AB129" s="542">
        <v>0</v>
      </c>
      <c r="AC129" s="542">
        <v>-827325</v>
      </c>
      <c r="AD129" s="542">
        <v>28314416</v>
      </c>
      <c r="AE129" s="542">
        <v>0</v>
      </c>
      <c r="AF129" s="542">
        <v>28314416</v>
      </c>
      <c r="AG129" s="542">
        <v>0</v>
      </c>
      <c r="AH129" s="542">
        <v>0</v>
      </c>
      <c r="AI129" s="542">
        <v>0</v>
      </c>
      <c r="AJ129" s="542">
        <v>0</v>
      </c>
      <c r="AK129" s="542">
        <v>0</v>
      </c>
      <c r="AL129" s="542">
        <v>0</v>
      </c>
      <c r="AM129" s="542">
        <v>0</v>
      </c>
      <c r="AN129" s="542">
        <v>0</v>
      </c>
      <c r="AO129" s="542">
        <v>0</v>
      </c>
      <c r="AP129" s="542">
        <v>0</v>
      </c>
      <c r="AQ129" s="542">
        <v>0</v>
      </c>
      <c r="AR129" s="542">
        <v>0</v>
      </c>
      <c r="AS129" s="542">
        <v>0</v>
      </c>
      <c r="AT129" s="542">
        <v>0</v>
      </c>
      <c r="AU129" s="542">
        <v>0</v>
      </c>
      <c r="AV129" s="542">
        <v>1402298</v>
      </c>
      <c r="AW129" s="542">
        <v>-357955</v>
      </c>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c r="DD129" s="136"/>
      <c r="DE129" s="136"/>
      <c r="DF129" s="136"/>
      <c r="DG129" s="136"/>
      <c r="DH129" s="136"/>
      <c r="DI129" s="136"/>
      <c r="DJ129" s="136"/>
      <c r="DK129" s="136"/>
      <c r="DL129" s="136"/>
      <c r="DM129" s="136"/>
      <c r="DN129" s="136"/>
      <c r="DO129" s="136"/>
      <c r="DP129" s="136"/>
      <c r="DQ129" s="136"/>
      <c r="DR129" s="136"/>
      <c r="DS129" s="136"/>
      <c r="DT129" s="136"/>
      <c r="DU129" s="136"/>
      <c r="DV129" s="136"/>
      <c r="DW129" s="136"/>
      <c r="DX129" s="136"/>
      <c r="DY129" s="136"/>
      <c r="DZ129" s="136"/>
      <c r="EA129" s="136"/>
      <c r="EB129" s="136"/>
      <c r="EC129" s="136"/>
      <c r="ED129" s="136"/>
      <c r="EE129" s="136"/>
      <c r="EF129" s="136"/>
      <c r="EG129" s="136"/>
      <c r="EH129" s="136"/>
      <c r="EI129" s="136"/>
      <c r="EJ129" s="136"/>
      <c r="EK129" s="136"/>
      <c r="EL129" s="136"/>
      <c r="EM129" s="136"/>
      <c r="EN129" s="136"/>
      <c r="EO129" s="136"/>
      <c r="EP129" s="136"/>
      <c r="EQ129" s="136"/>
      <c r="ER129" s="136"/>
      <c r="ES129" s="136"/>
      <c r="ET129" s="136"/>
      <c r="EU129" s="136"/>
      <c r="EV129" s="136"/>
      <c r="EW129" s="136"/>
      <c r="EX129" s="136"/>
      <c r="EY129" s="136"/>
      <c r="EZ129" s="136"/>
      <c r="FA129" s="136"/>
      <c r="FB129" s="136"/>
      <c r="FC129" s="136"/>
      <c r="FD129" s="136"/>
      <c r="FE129" s="137"/>
      <c r="FF129" s="138"/>
    </row>
    <row r="130" spans="1:162" ht="12.75" x14ac:dyDescent="0.2">
      <c r="A130" s="93">
        <v>124</v>
      </c>
      <c r="B130" s="145" t="s">
        <v>126</v>
      </c>
      <c r="C130" s="141" t="s">
        <v>770</v>
      </c>
      <c r="D130" s="142" t="s">
        <v>878</v>
      </c>
      <c r="E130" s="149" t="s">
        <v>699</v>
      </c>
      <c r="F130" s="542">
        <v>32870537</v>
      </c>
      <c r="G130" s="542">
        <v>0</v>
      </c>
      <c r="H130" s="542">
        <v>32870537</v>
      </c>
      <c r="I130" s="542">
        <v>0</v>
      </c>
      <c r="J130" s="542">
        <v>0</v>
      </c>
      <c r="K130" s="542">
        <v>0</v>
      </c>
      <c r="L130" s="542">
        <v>103831</v>
      </c>
      <c r="M130" s="542">
        <v>0</v>
      </c>
      <c r="N130" s="542">
        <v>103831</v>
      </c>
      <c r="O130" s="542">
        <v>-73704</v>
      </c>
      <c r="P130" s="542">
        <v>0</v>
      </c>
      <c r="Q130" s="542">
        <v>-73704</v>
      </c>
      <c r="R130" s="542">
        <v>0</v>
      </c>
      <c r="S130" s="542">
        <v>0</v>
      </c>
      <c r="T130" s="542">
        <v>0</v>
      </c>
      <c r="U130" s="542">
        <v>-221146</v>
      </c>
      <c r="V130" s="542">
        <v>0</v>
      </c>
      <c r="W130" s="542">
        <v>-221146</v>
      </c>
      <c r="X130" s="542">
        <v>114838</v>
      </c>
      <c r="Y130" s="542">
        <v>0</v>
      </c>
      <c r="Z130" s="542">
        <v>114838</v>
      </c>
      <c r="AA130" s="542">
        <v>2460752</v>
      </c>
      <c r="AB130" s="542">
        <v>0</v>
      </c>
      <c r="AC130" s="542">
        <v>2460752</v>
      </c>
      <c r="AD130" s="542">
        <v>35328812</v>
      </c>
      <c r="AE130" s="542">
        <v>0</v>
      </c>
      <c r="AF130" s="542">
        <v>35328812</v>
      </c>
      <c r="AG130" s="542">
        <v>0</v>
      </c>
      <c r="AH130" s="542">
        <v>0</v>
      </c>
      <c r="AI130" s="542">
        <v>0</v>
      </c>
      <c r="AJ130" s="542">
        <v>0</v>
      </c>
      <c r="AK130" s="542">
        <v>0</v>
      </c>
      <c r="AL130" s="542">
        <v>0</v>
      </c>
      <c r="AM130" s="542">
        <v>0</v>
      </c>
      <c r="AN130" s="542">
        <v>0</v>
      </c>
      <c r="AO130" s="542">
        <v>0</v>
      </c>
      <c r="AP130" s="542">
        <v>0</v>
      </c>
      <c r="AQ130" s="542">
        <v>0</v>
      </c>
      <c r="AR130" s="542">
        <v>0</v>
      </c>
      <c r="AS130" s="542">
        <v>0</v>
      </c>
      <c r="AT130" s="542">
        <v>0</v>
      </c>
      <c r="AU130" s="542">
        <v>0</v>
      </c>
      <c r="AV130" s="542">
        <v>1649015</v>
      </c>
      <c r="AW130" s="542">
        <v>-872866</v>
      </c>
      <c r="AX130" s="136"/>
      <c r="AY130" s="136"/>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c r="BT130" s="136"/>
      <c r="BU130" s="136"/>
      <c r="BV130" s="136"/>
      <c r="BW130" s="136"/>
      <c r="BX130" s="136"/>
      <c r="BY130" s="136"/>
      <c r="BZ130" s="136"/>
      <c r="CA130" s="136"/>
      <c r="CB130" s="136"/>
      <c r="CC130" s="136"/>
      <c r="CD130" s="136"/>
      <c r="CE130" s="136"/>
      <c r="CF130" s="136"/>
      <c r="CG130" s="136"/>
      <c r="CH130" s="136"/>
      <c r="CI130" s="136"/>
      <c r="CJ130" s="136"/>
      <c r="CK130" s="136"/>
      <c r="CL130" s="136"/>
      <c r="CM130" s="136"/>
      <c r="CN130" s="136"/>
      <c r="CO130" s="136"/>
      <c r="CP130" s="136"/>
      <c r="CQ130" s="136"/>
      <c r="CR130" s="136"/>
      <c r="CS130" s="136"/>
      <c r="CT130" s="136"/>
      <c r="CU130" s="136"/>
      <c r="CV130" s="136"/>
      <c r="CW130" s="136"/>
      <c r="CX130" s="136"/>
      <c r="CY130" s="136"/>
      <c r="CZ130" s="136"/>
      <c r="DA130" s="136"/>
      <c r="DB130" s="136"/>
      <c r="DC130" s="136"/>
      <c r="DD130" s="136"/>
      <c r="DE130" s="136"/>
      <c r="DF130" s="136"/>
      <c r="DG130" s="136"/>
      <c r="DH130" s="136"/>
      <c r="DI130" s="136"/>
      <c r="DJ130" s="136"/>
      <c r="DK130" s="136"/>
      <c r="DL130" s="136"/>
      <c r="DM130" s="136"/>
      <c r="DN130" s="136"/>
      <c r="DO130" s="136"/>
      <c r="DP130" s="136"/>
      <c r="DQ130" s="136"/>
      <c r="DR130" s="136"/>
      <c r="DS130" s="136"/>
      <c r="DT130" s="136"/>
      <c r="DU130" s="136"/>
      <c r="DV130" s="136"/>
      <c r="DW130" s="136"/>
      <c r="DX130" s="136"/>
      <c r="DY130" s="136"/>
      <c r="DZ130" s="136"/>
      <c r="EA130" s="136"/>
      <c r="EB130" s="136"/>
      <c r="EC130" s="136"/>
      <c r="ED130" s="136"/>
      <c r="EE130" s="136"/>
      <c r="EF130" s="136"/>
      <c r="EG130" s="136"/>
      <c r="EH130" s="136"/>
      <c r="EI130" s="136"/>
      <c r="EJ130" s="136"/>
      <c r="EK130" s="136"/>
      <c r="EL130" s="136"/>
      <c r="EM130" s="136"/>
      <c r="EN130" s="136"/>
      <c r="EO130" s="136"/>
      <c r="EP130" s="136"/>
      <c r="EQ130" s="136"/>
      <c r="ER130" s="136"/>
      <c r="ES130" s="136"/>
      <c r="ET130" s="136"/>
      <c r="EU130" s="136"/>
      <c r="EV130" s="136"/>
      <c r="EW130" s="136"/>
      <c r="EX130" s="136"/>
      <c r="EY130" s="136"/>
      <c r="EZ130" s="136"/>
      <c r="FA130" s="136"/>
      <c r="FB130" s="136"/>
      <c r="FC130" s="136"/>
      <c r="FD130" s="136"/>
      <c r="FE130" s="137"/>
      <c r="FF130" s="138"/>
    </row>
    <row r="131" spans="1:162" ht="12.75" x14ac:dyDescent="0.2">
      <c r="A131" s="93">
        <v>125</v>
      </c>
      <c r="B131" s="145" t="s">
        <v>128</v>
      </c>
      <c r="C131" s="141" t="s">
        <v>866</v>
      </c>
      <c r="D131" s="142" t="s">
        <v>867</v>
      </c>
      <c r="E131" s="149" t="s">
        <v>127</v>
      </c>
      <c r="F131" s="542">
        <v>20173468</v>
      </c>
      <c r="G131" s="542">
        <v>0</v>
      </c>
      <c r="H131" s="542">
        <v>20173468</v>
      </c>
      <c r="I131" s="542">
        <v>-4156</v>
      </c>
      <c r="J131" s="542">
        <v>0</v>
      </c>
      <c r="K131" s="542">
        <v>-4156</v>
      </c>
      <c r="L131" s="542">
        <v>0</v>
      </c>
      <c r="M131" s="542">
        <v>0</v>
      </c>
      <c r="N131" s="542">
        <v>0</v>
      </c>
      <c r="O131" s="542">
        <v>-91201</v>
      </c>
      <c r="P131" s="542">
        <v>0</v>
      </c>
      <c r="Q131" s="542">
        <v>-91201</v>
      </c>
      <c r="R131" s="542">
        <v>-5795</v>
      </c>
      <c r="S131" s="542">
        <v>0</v>
      </c>
      <c r="T131" s="542">
        <v>-5795</v>
      </c>
      <c r="U131" s="542">
        <v>-116825</v>
      </c>
      <c r="V131" s="542">
        <v>0</v>
      </c>
      <c r="W131" s="542">
        <v>-116825</v>
      </c>
      <c r="X131" s="542">
        <v>1799664</v>
      </c>
      <c r="Y131" s="542">
        <v>0</v>
      </c>
      <c r="Z131" s="542">
        <v>1799664</v>
      </c>
      <c r="AA131" s="542">
        <v>-2111000</v>
      </c>
      <c r="AB131" s="542">
        <v>0</v>
      </c>
      <c r="AC131" s="542">
        <v>-2111000</v>
      </c>
      <c r="AD131" s="542">
        <v>19735356</v>
      </c>
      <c r="AE131" s="542">
        <v>0</v>
      </c>
      <c r="AF131" s="542">
        <v>19735356</v>
      </c>
      <c r="AG131" s="542">
        <v>0</v>
      </c>
      <c r="AH131" s="542">
        <v>0</v>
      </c>
      <c r="AI131" s="542">
        <v>0</v>
      </c>
      <c r="AJ131" s="542">
        <v>0</v>
      </c>
      <c r="AK131" s="542">
        <v>0</v>
      </c>
      <c r="AL131" s="542">
        <v>0</v>
      </c>
      <c r="AM131" s="542">
        <v>0</v>
      </c>
      <c r="AN131" s="542">
        <v>0</v>
      </c>
      <c r="AO131" s="542">
        <v>0</v>
      </c>
      <c r="AP131" s="542">
        <v>0</v>
      </c>
      <c r="AQ131" s="542">
        <v>0</v>
      </c>
      <c r="AR131" s="542">
        <v>0</v>
      </c>
      <c r="AS131" s="542">
        <v>0</v>
      </c>
      <c r="AT131" s="542">
        <v>0</v>
      </c>
      <c r="AU131" s="542">
        <v>0</v>
      </c>
      <c r="AV131" s="542">
        <v>1294463</v>
      </c>
      <c r="AW131" s="542">
        <v>-417256</v>
      </c>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c r="BS131" s="136"/>
      <c r="BT131" s="136"/>
      <c r="BU131" s="136"/>
      <c r="BV131" s="136"/>
      <c r="BW131" s="136"/>
      <c r="BX131" s="136"/>
      <c r="BY131" s="136"/>
      <c r="BZ131" s="136"/>
      <c r="CA131" s="136"/>
      <c r="CB131" s="136"/>
      <c r="CC131" s="136"/>
      <c r="CD131" s="136"/>
      <c r="CE131" s="136"/>
      <c r="CF131" s="136"/>
      <c r="CG131" s="136"/>
      <c r="CH131" s="136"/>
      <c r="CI131" s="136"/>
      <c r="CJ131" s="136"/>
      <c r="CK131" s="136"/>
      <c r="CL131" s="136"/>
      <c r="CM131" s="136"/>
      <c r="CN131" s="136"/>
      <c r="CO131" s="136"/>
      <c r="CP131" s="136"/>
      <c r="CQ131" s="136"/>
      <c r="CR131" s="136"/>
      <c r="CS131" s="136"/>
      <c r="CT131" s="136"/>
      <c r="CU131" s="136"/>
      <c r="CV131" s="136"/>
      <c r="CW131" s="136"/>
      <c r="CX131" s="136"/>
      <c r="CY131" s="136"/>
      <c r="CZ131" s="136"/>
      <c r="DA131" s="136"/>
      <c r="DB131" s="136"/>
      <c r="DC131" s="136"/>
      <c r="DD131" s="136"/>
      <c r="DE131" s="136"/>
      <c r="DF131" s="136"/>
      <c r="DG131" s="136"/>
      <c r="DH131" s="136"/>
      <c r="DI131" s="136"/>
      <c r="DJ131" s="136"/>
      <c r="DK131" s="136"/>
      <c r="DL131" s="136"/>
      <c r="DM131" s="136"/>
      <c r="DN131" s="136"/>
      <c r="DO131" s="136"/>
      <c r="DP131" s="136"/>
      <c r="DQ131" s="136"/>
      <c r="DR131" s="136"/>
      <c r="DS131" s="136"/>
      <c r="DT131" s="136"/>
      <c r="DU131" s="136"/>
      <c r="DV131" s="136"/>
      <c r="DW131" s="136"/>
      <c r="DX131" s="136"/>
      <c r="DY131" s="136"/>
      <c r="DZ131" s="136"/>
      <c r="EA131" s="136"/>
      <c r="EB131" s="136"/>
      <c r="EC131" s="136"/>
      <c r="ED131" s="136"/>
      <c r="EE131" s="136"/>
      <c r="EF131" s="136"/>
      <c r="EG131" s="136"/>
      <c r="EH131" s="136"/>
      <c r="EI131" s="136"/>
      <c r="EJ131" s="136"/>
      <c r="EK131" s="136"/>
      <c r="EL131" s="136"/>
      <c r="EM131" s="136"/>
      <c r="EN131" s="136"/>
      <c r="EO131" s="136"/>
      <c r="EP131" s="136"/>
      <c r="EQ131" s="136"/>
      <c r="ER131" s="136"/>
      <c r="ES131" s="136"/>
      <c r="ET131" s="136"/>
      <c r="EU131" s="136"/>
      <c r="EV131" s="136"/>
      <c r="EW131" s="136"/>
      <c r="EX131" s="136"/>
      <c r="EY131" s="136"/>
      <c r="EZ131" s="136"/>
      <c r="FA131" s="136"/>
      <c r="FB131" s="136"/>
      <c r="FC131" s="136"/>
      <c r="FD131" s="136"/>
      <c r="FE131" s="137"/>
      <c r="FF131" s="138"/>
    </row>
    <row r="132" spans="1:162" ht="12.75" x14ac:dyDescent="0.2">
      <c r="A132" s="93">
        <v>126</v>
      </c>
      <c r="B132" s="145" t="s">
        <v>130</v>
      </c>
      <c r="C132" s="141" t="s">
        <v>866</v>
      </c>
      <c r="D132" s="142" t="s">
        <v>867</v>
      </c>
      <c r="E132" s="149" t="s">
        <v>129</v>
      </c>
      <c r="F132" s="542">
        <v>33045692</v>
      </c>
      <c r="G132" s="542">
        <v>0</v>
      </c>
      <c r="H132" s="542">
        <v>33045692</v>
      </c>
      <c r="I132" s="542">
        <v>0</v>
      </c>
      <c r="J132" s="542">
        <v>0</v>
      </c>
      <c r="K132" s="542">
        <v>0</v>
      </c>
      <c r="L132" s="542">
        <v>131240</v>
      </c>
      <c r="M132" s="542">
        <v>0</v>
      </c>
      <c r="N132" s="542">
        <v>131240</v>
      </c>
      <c r="O132" s="542">
        <v>-227790</v>
      </c>
      <c r="P132" s="542">
        <v>0</v>
      </c>
      <c r="Q132" s="542">
        <v>-227790</v>
      </c>
      <c r="R132" s="542">
        <v>0</v>
      </c>
      <c r="S132" s="542">
        <v>0</v>
      </c>
      <c r="T132" s="542">
        <v>0</v>
      </c>
      <c r="U132" s="542">
        <v>-408173</v>
      </c>
      <c r="V132" s="542">
        <v>0</v>
      </c>
      <c r="W132" s="542">
        <v>-408173</v>
      </c>
      <c r="X132" s="542">
        <v>0</v>
      </c>
      <c r="Y132" s="542">
        <v>0</v>
      </c>
      <c r="Z132" s="542">
        <v>0</v>
      </c>
      <c r="AA132" s="542">
        <v>772160</v>
      </c>
      <c r="AB132" s="542">
        <v>0</v>
      </c>
      <c r="AC132" s="542">
        <v>772160</v>
      </c>
      <c r="AD132" s="542">
        <v>33540919</v>
      </c>
      <c r="AE132" s="542">
        <v>0</v>
      </c>
      <c r="AF132" s="542">
        <v>33540919</v>
      </c>
      <c r="AG132" s="542">
        <v>0</v>
      </c>
      <c r="AH132" s="542">
        <v>0</v>
      </c>
      <c r="AI132" s="542">
        <v>0</v>
      </c>
      <c r="AJ132" s="542">
        <v>0</v>
      </c>
      <c r="AK132" s="542">
        <v>0</v>
      </c>
      <c r="AL132" s="542">
        <v>0</v>
      </c>
      <c r="AM132" s="542">
        <v>0</v>
      </c>
      <c r="AN132" s="542">
        <v>0</v>
      </c>
      <c r="AO132" s="542">
        <v>0</v>
      </c>
      <c r="AP132" s="542">
        <v>0</v>
      </c>
      <c r="AQ132" s="542">
        <v>0</v>
      </c>
      <c r="AR132" s="542">
        <v>0</v>
      </c>
      <c r="AS132" s="542">
        <v>0</v>
      </c>
      <c r="AT132" s="542">
        <v>0</v>
      </c>
      <c r="AU132" s="542">
        <v>0</v>
      </c>
      <c r="AV132" s="542">
        <v>454877</v>
      </c>
      <c r="AW132" s="542">
        <v>-690759</v>
      </c>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c r="CA132" s="136"/>
      <c r="CB132" s="136"/>
      <c r="CC132" s="136"/>
      <c r="CD132" s="136"/>
      <c r="CE132" s="136"/>
      <c r="CF132" s="136"/>
      <c r="CG132" s="136"/>
      <c r="CH132" s="136"/>
      <c r="CI132" s="136"/>
      <c r="CJ132" s="136"/>
      <c r="CK132" s="136"/>
      <c r="CL132" s="136"/>
      <c r="CM132" s="136"/>
      <c r="CN132" s="136"/>
      <c r="CO132" s="136"/>
      <c r="CP132" s="136"/>
      <c r="CQ132" s="136"/>
      <c r="CR132" s="136"/>
      <c r="CS132" s="136"/>
      <c r="CT132" s="136"/>
      <c r="CU132" s="136"/>
      <c r="CV132" s="136"/>
      <c r="CW132" s="136"/>
      <c r="CX132" s="136"/>
      <c r="CY132" s="136"/>
      <c r="CZ132" s="136"/>
      <c r="DA132" s="136"/>
      <c r="DB132" s="136"/>
      <c r="DC132" s="136"/>
      <c r="DD132" s="136"/>
      <c r="DE132" s="136"/>
      <c r="DF132" s="136"/>
      <c r="DG132" s="136"/>
      <c r="DH132" s="136"/>
      <c r="DI132" s="136"/>
      <c r="DJ132" s="136"/>
      <c r="DK132" s="136"/>
      <c r="DL132" s="136"/>
      <c r="DM132" s="136"/>
      <c r="DN132" s="136"/>
      <c r="DO132" s="136"/>
      <c r="DP132" s="136"/>
      <c r="DQ132" s="136"/>
      <c r="DR132" s="136"/>
      <c r="DS132" s="136"/>
      <c r="DT132" s="136"/>
      <c r="DU132" s="136"/>
      <c r="DV132" s="136"/>
      <c r="DW132" s="136"/>
      <c r="DX132" s="136"/>
      <c r="DY132" s="136"/>
      <c r="DZ132" s="136"/>
      <c r="EA132" s="136"/>
      <c r="EB132" s="136"/>
      <c r="EC132" s="136"/>
      <c r="ED132" s="136"/>
      <c r="EE132" s="136"/>
      <c r="EF132" s="136"/>
      <c r="EG132" s="136"/>
      <c r="EH132" s="136"/>
      <c r="EI132" s="136"/>
      <c r="EJ132" s="136"/>
      <c r="EK132" s="136"/>
      <c r="EL132" s="136"/>
      <c r="EM132" s="136"/>
      <c r="EN132" s="136"/>
      <c r="EO132" s="136"/>
      <c r="EP132" s="136"/>
      <c r="EQ132" s="136"/>
      <c r="ER132" s="136"/>
      <c r="ES132" s="136"/>
      <c r="ET132" s="136"/>
      <c r="EU132" s="136"/>
      <c r="EV132" s="136"/>
      <c r="EW132" s="136"/>
      <c r="EX132" s="136"/>
      <c r="EY132" s="136"/>
      <c r="EZ132" s="136"/>
      <c r="FA132" s="136"/>
      <c r="FB132" s="136"/>
      <c r="FC132" s="136"/>
      <c r="FD132" s="136"/>
      <c r="FE132" s="137"/>
      <c r="FF132" s="138"/>
    </row>
    <row r="133" spans="1:162" ht="12.75" x14ac:dyDescent="0.2">
      <c r="A133" s="93">
        <v>127</v>
      </c>
      <c r="B133" s="145" t="s">
        <v>132</v>
      </c>
      <c r="C133" s="141" t="s">
        <v>871</v>
      </c>
      <c r="D133" s="142" t="s">
        <v>872</v>
      </c>
      <c r="E133" s="149" t="s">
        <v>131</v>
      </c>
      <c r="F133" s="542">
        <v>71015458</v>
      </c>
      <c r="G133" s="542">
        <v>0</v>
      </c>
      <c r="H133" s="542">
        <v>71015458</v>
      </c>
      <c r="I133" s="542">
        <v>-1202</v>
      </c>
      <c r="J133" s="542">
        <v>0</v>
      </c>
      <c r="K133" s="542">
        <v>-1202</v>
      </c>
      <c r="L133" s="542">
        <v>123307</v>
      </c>
      <c r="M133" s="542">
        <v>0</v>
      </c>
      <c r="N133" s="542">
        <v>123307</v>
      </c>
      <c r="O133" s="542">
        <v>-1198762</v>
      </c>
      <c r="P133" s="542">
        <v>0</v>
      </c>
      <c r="Q133" s="542">
        <v>-1198762</v>
      </c>
      <c r="R133" s="542">
        <v>-24346</v>
      </c>
      <c r="S133" s="542">
        <v>0</v>
      </c>
      <c r="T133" s="542">
        <v>-24346</v>
      </c>
      <c r="U133" s="542">
        <v>-1190641</v>
      </c>
      <c r="V133" s="542">
        <v>0</v>
      </c>
      <c r="W133" s="542">
        <v>-1190641</v>
      </c>
      <c r="X133" s="542">
        <v>4887099</v>
      </c>
      <c r="Y133" s="542">
        <v>0</v>
      </c>
      <c r="Z133" s="542">
        <v>4887099</v>
      </c>
      <c r="AA133" s="542">
        <v>-1985553</v>
      </c>
      <c r="AB133" s="542">
        <v>0</v>
      </c>
      <c r="AC133" s="542">
        <v>-1985553</v>
      </c>
      <c r="AD133" s="542">
        <v>72824122</v>
      </c>
      <c r="AE133" s="542">
        <v>0</v>
      </c>
      <c r="AF133" s="542">
        <v>72824122</v>
      </c>
      <c r="AG133" s="542">
        <v>0</v>
      </c>
      <c r="AH133" s="542">
        <v>0</v>
      </c>
      <c r="AI133" s="542">
        <v>0</v>
      </c>
      <c r="AJ133" s="542">
        <v>0</v>
      </c>
      <c r="AK133" s="542">
        <v>0</v>
      </c>
      <c r="AL133" s="542">
        <v>0</v>
      </c>
      <c r="AM133" s="542">
        <v>0</v>
      </c>
      <c r="AN133" s="542">
        <v>0</v>
      </c>
      <c r="AO133" s="542">
        <v>0</v>
      </c>
      <c r="AP133" s="542">
        <v>0</v>
      </c>
      <c r="AQ133" s="542">
        <v>0</v>
      </c>
      <c r="AR133" s="542">
        <v>0</v>
      </c>
      <c r="AS133" s="542">
        <v>0</v>
      </c>
      <c r="AT133" s="542">
        <v>0</v>
      </c>
      <c r="AU133" s="542">
        <v>0</v>
      </c>
      <c r="AV133" s="542">
        <v>6187303</v>
      </c>
      <c r="AW133" s="542">
        <v>-3703409</v>
      </c>
      <c r="AX133" s="136"/>
      <c r="AY133" s="136"/>
      <c r="AZ133" s="136"/>
      <c r="BA133" s="136"/>
      <c r="BB133" s="136"/>
      <c r="BC133" s="136"/>
      <c r="BD133" s="136"/>
      <c r="BE133" s="136"/>
      <c r="BF133" s="136"/>
      <c r="BG133" s="136"/>
      <c r="BH133" s="136"/>
      <c r="BI133" s="136"/>
      <c r="BJ133" s="136"/>
      <c r="BK133" s="136"/>
      <c r="BL133" s="136"/>
      <c r="BM133" s="136"/>
      <c r="BN133" s="136"/>
      <c r="BO133" s="136"/>
      <c r="BP133" s="136"/>
      <c r="BQ133" s="136"/>
      <c r="BR133" s="136"/>
      <c r="BS133" s="136"/>
      <c r="BT133" s="136"/>
      <c r="BU133" s="136"/>
      <c r="BV133" s="136"/>
      <c r="BW133" s="136"/>
      <c r="BX133" s="136"/>
      <c r="BY133" s="136"/>
      <c r="BZ133" s="136"/>
      <c r="CA133" s="136"/>
      <c r="CB133" s="136"/>
      <c r="CC133" s="136"/>
      <c r="CD133" s="136"/>
      <c r="CE133" s="136"/>
      <c r="CF133" s="136"/>
      <c r="CG133" s="136"/>
      <c r="CH133" s="136"/>
      <c r="CI133" s="136"/>
      <c r="CJ133" s="136"/>
      <c r="CK133" s="136"/>
      <c r="CL133" s="136"/>
      <c r="CM133" s="136"/>
      <c r="CN133" s="136"/>
      <c r="CO133" s="136"/>
      <c r="CP133" s="136"/>
      <c r="CQ133" s="136"/>
      <c r="CR133" s="136"/>
      <c r="CS133" s="136"/>
      <c r="CT133" s="136"/>
      <c r="CU133" s="136"/>
      <c r="CV133" s="136"/>
      <c r="CW133" s="136"/>
      <c r="CX133" s="136"/>
      <c r="CY133" s="136"/>
      <c r="CZ133" s="136"/>
      <c r="DA133" s="136"/>
      <c r="DB133" s="136"/>
      <c r="DC133" s="136"/>
      <c r="DD133" s="136"/>
      <c r="DE133" s="136"/>
      <c r="DF133" s="136"/>
      <c r="DG133" s="136"/>
      <c r="DH133" s="136"/>
      <c r="DI133" s="136"/>
      <c r="DJ133" s="136"/>
      <c r="DK133" s="136"/>
      <c r="DL133" s="136"/>
      <c r="DM133" s="136"/>
      <c r="DN133" s="136"/>
      <c r="DO133" s="136"/>
      <c r="DP133" s="136"/>
      <c r="DQ133" s="136"/>
      <c r="DR133" s="136"/>
      <c r="DS133" s="136"/>
      <c r="DT133" s="136"/>
      <c r="DU133" s="136"/>
      <c r="DV133" s="136"/>
      <c r="DW133" s="136"/>
      <c r="DX133" s="136"/>
      <c r="DY133" s="136"/>
      <c r="DZ133" s="136"/>
      <c r="EA133" s="136"/>
      <c r="EB133" s="136"/>
      <c r="EC133" s="136"/>
      <c r="ED133" s="136"/>
      <c r="EE133" s="136"/>
      <c r="EF133" s="136"/>
      <c r="EG133" s="136"/>
      <c r="EH133" s="136"/>
      <c r="EI133" s="136"/>
      <c r="EJ133" s="136"/>
      <c r="EK133" s="136"/>
      <c r="EL133" s="136"/>
      <c r="EM133" s="136"/>
      <c r="EN133" s="136"/>
      <c r="EO133" s="136"/>
      <c r="EP133" s="136"/>
      <c r="EQ133" s="136"/>
      <c r="ER133" s="136"/>
      <c r="ES133" s="136"/>
      <c r="ET133" s="136"/>
      <c r="EU133" s="136"/>
      <c r="EV133" s="136"/>
      <c r="EW133" s="136"/>
      <c r="EX133" s="136"/>
      <c r="EY133" s="136"/>
      <c r="EZ133" s="136"/>
      <c r="FA133" s="136"/>
      <c r="FB133" s="136"/>
      <c r="FC133" s="136"/>
      <c r="FD133" s="136"/>
      <c r="FE133" s="137"/>
      <c r="FF133" s="138"/>
    </row>
    <row r="134" spans="1:162" ht="12.75" x14ac:dyDescent="0.2">
      <c r="A134" s="93">
        <v>128</v>
      </c>
      <c r="B134" s="145" t="s">
        <v>134</v>
      </c>
      <c r="C134" s="141" t="s">
        <v>770</v>
      </c>
      <c r="D134" s="142" t="s">
        <v>876</v>
      </c>
      <c r="E134" s="149" t="s">
        <v>700</v>
      </c>
      <c r="F134" s="542">
        <v>46329211</v>
      </c>
      <c r="G134" s="542">
        <v>174063</v>
      </c>
      <c r="H134" s="542">
        <v>46503274</v>
      </c>
      <c r="I134" s="542">
        <v>-16762</v>
      </c>
      <c r="J134" s="542">
        <v>0</v>
      </c>
      <c r="K134" s="542">
        <v>-16762</v>
      </c>
      <c r="L134" s="542">
        <v>105900</v>
      </c>
      <c r="M134" s="542">
        <v>0</v>
      </c>
      <c r="N134" s="542">
        <v>105900</v>
      </c>
      <c r="O134" s="542">
        <v>-456717</v>
      </c>
      <c r="P134" s="542">
        <v>-262</v>
      </c>
      <c r="Q134" s="542">
        <v>-456979</v>
      </c>
      <c r="R134" s="542">
        <v>0</v>
      </c>
      <c r="S134" s="542">
        <v>0</v>
      </c>
      <c r="T134" s="542">
        <v>0</v>
      </c>
      <c r="U134" s="542">
        <v>-368838</v>
      </c>
      <c r="V134" s="542">
        <v>0</v>
      </c>
      <c r="W134" s="542">
        <v>-368838</v>
      </c>
      <c r="X134" s="542">
        <v>1159037</v>
      </c>
      <c r="Y134" s="542">
        <v>0</v>
      </c>
      <c r="Z134" s="542">
        <v>1159037</v>
      </c>
      <c r="AA134" s="542">
        <v>-5003612</v>
      </c>
      <c r="AB134" s="542">
        <v>0</v>
      </c>
      <c r="AC134" s="542">
        <v>-5003612</v>
      </c>
      <c r="AD134" s="542">
        <v>42204936</v>
      </c>
      <c r="AE134" s="542">
        <v>174063</v>
      </c>
      <c r="AF134" s="542">
        <v>42378999</v>
      </c>
      <c r="AG134" s="542">
        <v>174063</v>
      </c>
      <c r="AH134" s="542">
        <v>0</v>
      </c>
      <c r="AI134" s="542">
        <v>174063</v>
      </c>
      <c r="AJ134" s="542">
        <v>42598</v>
      </c>
      <c r="AK134" s="542">
        <v>0</v>
      </c>
      <c r="AL134" s="542">
        <v>0</v>
      </c>
      <c r="AM134" s="542">
        <v>42598</v>
      </c>
      <c r="AN134" s="542">
        <v>0</v>
      </c>
      <c r="AO134" s="542">
        <v>0</v>
      </c>
      <c r="AP134" s="542">
        <v>0</v>
      </c>
      <c r="AQ134" s="542">
        <v>230140</v>
      </c>
      <c r="AR134" s="542">
        <v>0</v>
      </c>
      <c r="AS134" s="542">
        <v>0</v>
      </c>
      <c r="AT134" s="542">
        <v>0</v>
      </c>
      <c r="AU134" s="542">
        <v>0</v>
      </c>
      <c r="AV134" s="542">
        <v>929442</v>
      </c>
      <c r="AW134" s="542">
        <v>-1080074</v>
      </c>
      <c r="AX134" s="136"/>
      <c r="AY134" s="136"/>
      <c r="AZ134" s="136"/>
      <c r="BA134" s="136"/>
      <c r="BB134" s="136"/>
      <c r="BC134" s="136"/>
      <c r="BD134" s="136"/>
      <c r="BE134" s="136"/>
      <c r="BF134" s="136"/>
      <c r="BG134" s="136"/>
      <c r="BH134" s="136"/>
      <c r="BI134" s="136"/>
      <c r="BJ134" s="136"/>
      <c r="BK134" s="136"/>
      <c r="BL134" s="136"/>
      <c r="BM134" s="136"/>
      <c r="BN134" s="136"/>
      <c r="BO134" s="136"/>
      <c r="BP134" s="136"/>
      <c r="BQ134" s="136"/>
      <c r="BR134" s="136"/>
      <c r="BS134" s="136"/>
      <c r="BT134" s="136"/>
      <c r="BU134" s="136"/>
      <c r="BV134" s="136"/>
      <c r="BW134" s="136"/>
      <c r="BX134" s="136"/>
      <c r="BY134" s="136"/>
      <c r="BZ134" s="136"/>
      <c r="CA134" s="136"/>
      <c r="CB134" s="136"/>
      <c r="CC134" s="136"/>
      <c r="CD134" s="136"/>
      <c r="CE134" s="136"/>
      <c r="CF134" s="136"/>
      <c r="CG134" s="136"/>
      <c r="CH134" s="136"/>
      <c r="CI134" s="136"/>
      <c r="CJ134" s="136"/>
      <c r="CK134" s="136"/>
      <c r="CL134" s="136"/>
      <c r="CM134" s="136"/>
      <c r="CN134" s="136"/>
      <c r="CO134" s="136"/>
      <c r="CP134" s="136"/>
      <c r="CQ134" s="136"/>
      <c r="CR134" s="136"/>
      <c r="CS134" s="136"/>
      <c r="CT134" s="136"/>
      <c r="CU134" s="136"/>
      <c r="CV134" s="136"/>
      <c r="CW134" s="136"/>
      <c r="CX134" s="136"/>
      <c r="CY134" s="136"/>
      <c r="CZ134" s="136"/>
      <c r="DA134" s="136"/>
      <c r="DB134" s="136"/>
      <c r="DC134" s="136"/>
      <c r="DD134" s="136"/>
      <c r="DE134" s="136"/>
      <c r="DF134" s="136"/>
      <c r="DG134" s="136"/>
      <c r="DH134" s="136"/>
      <c r="DI134" s="136"/>
      <c r="DJ134" s="136"/>
      <c r="DK134" s="136"/>
      <c r="DL134" s="136"/>
      <c r="DM134" s="136"/>
      <c r="DN134" s="136"/>
      <c r="DO134" s="136"/>
      <c r="DP134" s="136"/>
      <c r="DQ134" s="136"/>
      <c r="DR134" s="136"/>
      <c r="DS134" s="136"/>
      <c r="DT134" s="136"/>
      <c r="DU134" s="136"/>
      <c r="DV134" s="136"/>
      <c r="DW134" s="136"/>
      <c r="DX134" s="136"/>
      <c r="DY134" s="136"/>
      <c r="DZ134" s="136"/>
      <c r="EA134" s="136"/>
      <c r="EB134" s="136"/>
      <c r="EC134" s="136"/>
      <c r="ED134" s="136"/>
      <c r="EE134" s="136"/>
      <c r="EF134" s="136"/>
      <c r="EG134" s="136"/>
      <c r="EH134" s="136"/>
      <c r="EI134" s="136"/>
      <c r="EJ134" s="136"/>
      <c r="EK134" s="136"/>
      <c r="EL134" s="136"/>
      <c r="EM134" s="136"/>
      <c r="EN134" s="136"/>
      <c r="EO134" s="136"/>
      <c r="EP134" s="136"/>
      <c r="EQ134" s="136"/>
      <c r="ER134" s="136"/>
      <c r="ES134" s="136"/>
      <c r="ET134" s="136"/>
      <c r="EU134" s="136"/>
      <c r="EV134" s="136"/>
      <c r="EW134" s="136"/>
      <c r="EX134" s="136"/>
      <c r="EY134" s="136"/>
      <c r="EZ134" s="136"/>
      <c r="FA134" s="136"/>
      <c r="FB134" s="136"/>
      <c r="FC134" s="136"/>
      <c r="FD134" s="136"/>
      <c r="FE134" s="137"/>
      <c r="FF134" s="138"/>
    </row>
    <row r="135" spans="1:162" ht="12.75" x14ac:dyDescent="0.2">
      <c r="A135" s="93">
        <v>129</v>
      </c>
      <c r="B135" s="145" t="s">
        <v>136</v>
      </c>
      <c r="C135" s="141" t="s">
        <v>866</v>
      </c>
      <c r="D135" s="142" t="s">
        <v>870</v>
      </c>
      <c r="E135" s="149" t="s">
        <v>135</v>
      </c>
      <c r="F135" s="542">
        <v>45822691</v>
      </c>
      <c r="G135" s="542">
        <v>0</v>
      </c>
      <c r="H135" s="542">
        <v>45822691</v>
      </c>
      <c r="I135" s="542">
        <v>-360</v>
      </c>
      <c r="J135" s="542">
        <v>0</v>
      </c>
      <c r="K135" s="542">
        <v>-360</v>
      </c>
      <c r="L135" s="542">
        <v>189147</v>
      </c>
      <c r="M135" s="542">
        <v>0</v>
      </c>
      <c r="N135" s="542">
        <v>189147</v>
      </c>
      <c r="O135" s="542">
        <v>-396759</v>
      </c>
      <c r="P135" s="542">
        <v>0</v>
      </c>
      <c r="Q135" s="542">
        <v>-396759</v>
      </c>
      <c r="R135" s="542">
        <v>0</v>
      </c>
      <c r="S135" s="542">
        <v>0</v>
      </c>
      <c r="T135" s="542">
        <v>0</v>
      </c>
      <c r="U135" s="542">
        <v>-90260.44</v>
      </c>
      <c r="V135" s="542">
        <v>0</v>
      </c>
      <c r="W135" s="542">
        <v>-90260.44</v>
      </c>
      <c r="X135" s="542">
        <v>2122166</v>
      </c>
      <c r="Y135" s="542">
        <v>0</v>
      </c>
      <c r="Z135" s="542">
        <v>2122166</v>
      </c>
      <c r="AA135" s="542">
        <v>113254</v>
      </c>
      <c r="AB135" s="542">
        <v>0</v>
      </c>
      <c r="AC135" s="542">
        <v>113254</v>
      </c>
      <c r="AD135" s="542">
        <v>48156637.5</v>
      </c>
      <c r="AE135" s="542">
        <v>0</v>
      </c>
      <c r="AF135" s="542">
        <v>48156637.5</v>
      </c>
      <c r="AG135" s="542">
        <v>0</v>
      </c>
      <c r="AH135" s="542">
        <v>0</v>
      </c>
      <c r="AI135" s="542">
        <v>0</v>
      </c>
      <c r="AJ135" s="542">
        <v>0</v>
      </c>
      <c r="AK135" s="542">
        <v>0</v>
      </c>
      <c r="AL135" s="542">
        <v>0</v>
      </c>
      <c r="AM135" s="542">
        <v>0</v>
      </c>
      <c r="AN135" s="542">
        <v>0</v>
      </c>
      <c r="AO135" s="542">
        <v>0</v>
      </c>
      <c r="AP135" s="542">
        <v>0</v>
      </c>
      <c r="AQ135" s="542">
        <v>0</v>
      </c>
      <c r="AR135" s="542">
        <v>0</v>
      </c>
      <c r="AS135" s="542">
        <v>0</v>
      </c>
      <c r="AT135" s="542">
        <v>0</v>
      </c>
      <c r="AU135" s="542">
        <v>0</v>
      </c>
      <c r="AV135" s="542">
        <v>1041959</v>
      </c>
      <c r="AW135" s="542">
        <v>-908877</v>
      </c>
      <c r="AX135" s="136"/>
      <c r="AY135" s="136"/>
      <c r="AZ135" s="136"/>
      <c r="BA135" s="136"/>
      <c r="BB135" s="136"/>
      <c r="BC135" s="136"/>
      <c r="BD135" s="136"/>
      <c r="BE135" s="136"/>
      <c r="BF135" s="136"/>
      <c r="BG135" s="136"/>
      <c r="BH135" s="136"/>
      <c r="BI135" s="136"/>
      <c r="BJ135" s="136"/>
      <c r="BK135" s="136"/>
      <c r="BL135" s="136"/>
      <c r="BM135" s="136"/>
      <c r="BN135" s="136"/>
      <c r="BO135" s="136"/>
      <c r="BP135" s="136"/>
      <c r="BQ135" s="136"/>
      <c r="BR135" s="136"/>
      <c r="BS135" s="136"/>
      <c r="BT135" s="136"/>
      <c r="BU135" s="136"/>
      <c r="BV135" s="136"/>
      <c r="BW135" s="136"/>
      <c r="BX135" s="136"/>
      <c r="BY135" s="136"/>
      <c r="BZ135" s="136"/>
      <c r="CA135" s="136"/>
      <c r="CB135" s="136"/>
      <c r="CC135" s="136"/>
      <c r="CD135" s="136"/>
      <c r="CE135" s="136"/>
      <c r="CF135" s="136"/>
      <c r="CG135" s="136"/>
      <c r="CH135" s="136"/>
      <c r="CI135" s="136"/>
      <c r="CJ135" s="136"/>
      <c r="CK135" s="136"/>
      <c r="CL135" s="136"/>
      <c r="CM135" s="136"/>
      <c r="CN135" s="136"/>
      <c r="CO135" s="136"/>
      <c r="CP135" s="136"/>
      <c r="CQ135" s="136"/>
      <c r="CR135" s="136"/>
      <c r="CS135" s="136"/>
      <c r="CT135" s="136"/>
      <c r="CU135" s="136"/>
      <c r="CV135" s="136"/>
      <c r="CW135" s="136"/>
      <c r="CX135" s="136"/>
      <c r="CY135" s="136"/>
      <c r="CZ135" s="136"/>
      <c r="DA135" s="136"/>
      <c r="DB135" s="136"/>
      <c r="DC135" s="136"/>
      <c r="DD135" s="136"/>
      <c r="DE135" s="136"/>
      <c r="DF135" s="136"/>
      <c r="DG135" s="136"/>
      <c r="DH135" s="136"/>
      <c r="DI135" s="136"/>
      <c r="DJ135" s="136"/>
      <c r="DK135" s="136"/>
      <c r="DL135" s="136"/>
      <c r="DM135" s="136"/>
      <c r="DN135" s="136"/>
      <c r="DO135" s="136"/>
      <c r="DP135" s="136"/>
      <c r="DQ135" s="136"/>
      <c r="DR135" s="136"/>
      <c r="DS135" s="136"/>
      <c r="DT135" s="136"/>
      <c r="DU135" s="136"/>
      <c r="DV135" s="136"/>
      <c r="DW135" s="136"/>
      <c r="DX135" s="136"/>
      <c r="DY135" s="136"/>
      <c r="DZ135" s="136"/>
      <c r="EA135" s="136"/>
      <c r="EB135" s="136"/>
      <c r="EC135" s="136"/>
      <c r="ED135" s="136"/>
      <c r="EE135" s="136"/>
      <c r="EF135" s="136"/>
      <c r="EG135" s="136"/>
      <c r="EH135" s="136"/>
      <c r="EI135" s="136"/>
      <c r="EJ135" s="136"/>
      <c r="EK135" s="136"/>
      <c r="EL135" s="136"/>
      <c r="EM135" s="136"/>
      <c r="EN135" s="136"/>
      <c r="EO135" s="136"/>
      <c r="EP135" s="136"/>
      <c r="EQ135" s="136"/>
      <c r="ER135" s="136"/>
      <c r="ES135" s="136"/>
      <c r="ET135" s="136"/>
      <c r="EU135" s="136"/>
      <c r="EV135" s="136"/>
      <c r="EW135" s="136"/>
      <c r="EX135" s="136"/>
      <c r="EY135" s="136"/>
      <c r="EZ135" s="136"/>
      <c r="FA135" s="136"/>
      <c r="FB135" s="136"/>
      <c r="FC135" s="136"/>
      <c r="FD135" s="136"/>
      <c r="FE135" s="137"/>
      <c r="FF135" s="138"/>
    </row>
    <row r="136" spans="1:162" ht="12.75" x14ac:dyDescent="0.2">
      <c r="A136" s="93">
        <v>130</v>
      </c>
      <c r="B136" s="145" t="s">
        <v>138</v>
      </c>
      <c r="C136" s="141" t="s">
        <v>866</v>
      </c>
      <c r="D136" s="142" t="s">
        <v>869</v>
      </c>
      <c r="E136" s="149" t="s">
        <v>137</v>
      </c>
      <c r="F136" s="542">
        <v>24305855</v>
      </c>
      <c r="G136" s="542">
        <v>0</v>
      </c>
      <c r="H136" s="542">
        <v>24305855</v>
      </c>
      <c r="I136" s="542">
        <v>-2464</v>
      </c>
      <c r="J136" s="542">
        <v>0</v>
      </c>
      <c r="K136" s="542">
        <v>-2464</v>
      </c>
      <c r="L136" s="542">
        <v>94858</v>
      </c>
      <c r="M136" s="542">
        <v>0</v>
      </c>
      <c r="N136" s="542">
        <v>94858</v>
      </c>
      <c r="O136" s="542">
        <v>-169033</v>
      </c>
      <c r="P136" s="542">
        <v>0</v>
      </c>
      <c r="Q136" s="542">
        <v>-169033</v>
      </c>
      <c r="R136" s="542">
        <v>0</v>
      </c>
      <c r="S136" s="542">
        <v>0</v>
      </c>
      <c r="T136" s="542">
        <v>0</v>
      </c>
      <c r="U136" s="542">
        <v>-442405</v>
      </c>
      <c r="V136" s="542">
        <v>0</v>
      </c>
      <c r="W136" s="542">
        <v>-442405</v>
      </c>
      <c r="X136" s="542">
        <v>216542</v>
      </c>
      <c r="Y136" s="542">
        <v>0</v>
      </c>
      <c r="Z136" s="542">
        <v>216542</v>
      </c>
      <c r="AA136" s="542">
        <v>-709897</v>
      </c>
      <c r="AB136" s="542">
        <v>0</v>
      </c>
      <c r="AC136" s="542">
        <v>-709897</v>
      </c>
      <c r="AD136" s="542">
        <v>23462489</v>
      </c>
      <c r="AE136" s="542">
        <v>0</v>
      </c>
      <c r="AF136" s="542">
        <v>23462489</v>
      </c>
      <c r="AG136" s="542">
        <v>0</v>
      </c>
      <c r="AH136" s="542">
        <v>0</v>
      </c>
      <c r="AI136" s="542">
        <v>0</v>
      </c>
      <c r="AJ136" s="542">
        <v>0</v>
      </c>
      <c r="AK136" s="542">
        <v>0</v>
      </c>
      <c r="AL136" s="542">
        <v>0</v>
      </c>
      <c r="AM136" s="542">
        <v>0</v>
      </c>
      <c r="AN136" s="542">
        <v>0</v>
      </c>
      <c r="AO136" s="542">
        <v>0</v>
      </c>
      <c r="AP136" s="542">
        <v>0</v>
      </c>
      <c r="AQ136" s="542">
        <v>0</v>
      </c>
      <c r="AR136" s="542">
        <v>0</v>
      </c>
      <c r="AS136" s="542">
        <v>0</v>
      </c>
      <c r="AT136" s="542">
        <v>0</v>
      </c>
      <c r="AU136" s="542">
        <v>0</v>
      </c>
      <c r="AV136" s="542">
        <v>1423175</v>
      </c>
      <c r="AW136" s="542">
        <v>-1050366</v>
      </c>
      <c r="AX136" s="136"/>
      <c r="AY136" s="136"/>
      <c r="AZ136" s="136"/>
      <c r="BA136" s="136"/>
      <c r="BB136" s="136"/>
      <c r="BC136" s="136"/>
      <c r="BD136" s="136"/>
      <c r="BE136" s="136"/>
      <c r="BF136" s="136"/>
      <c r="BG136" s="136"/>
      <c r="BH136" s="136"/>
      <c r="BI136" s="136"/>
      <c r="BJ136" s="136"/>
      <c r="BK136" s="136"/>
      <c r="BL136" s="136"/>
      <c r="BM136" s="136"/>
      <c r="BN136" s="136"/>
      <c r="BO136" s="136"/>
      <c r="BP136" s="136"/>
      <c r="BQ136" s="136"/>
      <c r="BR136" s="136"/>
      <c r="BS136" s="136"/>
      <c r="BT136" s="136"/>
      <c r="BU136" s="136"/>
      <c r="BV136" s="136"/>
      <c r="BW136" s="136"/>
      <c r="BX136" s="136"/>
      <c r="BY136" s="136"/>
      <c r="BZ136" s="136"/>
      <c r="CA136" s="136"/>
      <c r="CB136" s="136"/>
      <c r="CC136" s="136"/>
      <c r="CD136" s="136"/>
      <c r="CE136" s="136"/>
      <c r="CF136" s="136"/>
      <c r="CG136" s="136"/>
      <c r="CH136" s="136"/>
      <c r="CI136" s="136"/>
      <c r="CJ136" s="136"/>
      <c r="CK136" s="136"/>
      <c r="CL136" s="136"/>
      <c r="CM136" s="136"/>
      <c r="CN136" s="136"/>
      <c r="CO136" s="136"/>
      <c r="CP136" s="136"/>
      <c r="CQ136" s="136"/>
      <c r="CR136" s="136"/>
      <c r="CS136" s="136"/>
      <c r="CT136" s="136"/>
      <c r="CU136" s="136"/>
      <c r="CV136" s="136"/>
      <c r="CW136" s="136"/>
      <c r="CX136" s="136"/>
      <c r="CY136" s="136"/>
      <c r="CZ136" s="136"/>
      <c r="DA136" s="136"/>
      <c r="DB136" s="136"/>
      <c r="DC136" s="136"/>
      <c r="DD136" s="136"/>
      <c r="DE136" s="136"/>
      <c r="DF136" s="136"/>
      <c r="DG136" s="136"/>
      <c r="DH136" s="136"/>
      <c r="DI136" s="136"/>
      <c r="DJ136" s="136"/>
      <c r="DK136" s="136"/>
      <c r="DL136" s="136"/>
      <c r="DM136" s="136"/>
      <c r="DN136" s="136"/>
      <c r="DO136" s="136"/>
      <c r="DP136" s="136"/>
      <c r="DQ136" s="136"/>
      <c r="DR136" s="136"/>
      <c r="DS136" s="136"/>
      <c r="DT136" s="136"/>
      <c r="DU136" s="136"/>
      <c r="DV136" s="136"/>
      <c r="DW136" s="136"/>
      <c r="DX136" s="136"/>
      <c r="DY136" s="136"/>
      <c r="DZ136" s="136"/>
      <c r="EA136" s="136"/>
      <c r="EB136" s="136"/>
      <c r="EC136" s="136"/>
      <c r="ED136" s="136"/>
      <c r="EE136" s="136"/>
      <c r="EF136" s="136"/>
      <c r="EG136" s="136"/>
      <c r="EH136" s="136"/>
      <c r="EI136" s="136"/>
      <c r="EJ136" s="136"/>
      <c r="EK136" s="136"/>
      <c r="EL136" s="136"/>
      <c r="EM136" s="136"/>
      <c r="EN136" s="136"/>
      <c r="EO136" s="136"/>
      <c r="EP136" s="136"/>
      <c r="EQ136" s="136"/>
      <c r="ER136" s="136"/>
      <c r="ES136" s="136"/>
      <c r="ET136" s="136"/>
      <c r="EU136" s="136"/>
      <c r="EV136" s="136"/>
      <c r="EW136" s="136"/>
      <c r="EX136" s="136"/>
      <c r="EY136" s="136"/>
      <c r="EZ136" s="136"/>
      <c r="FA136" s="136"/>
      <c r="FB136" s="136"/>
      <c r="FC136" s="136"/>
      <c r="FD136" s="136"/>
      <c r="FE136" s="137"/>
      <c r="FF136" s="138"/>
    </row>
    <row r="137" spans="1:162" ht="12.75" x14ac:dyDescent="0.2">
      <c r="A137" s="93">
        <v>131</v>
      </c>
      <c r="B137" s="145" t="s">
        <v>140</v>
      </c>
      <c r="C137" s="141" t="s">
        <v>871</v>
      </c>
      <c r="D137" s="142" t="s">
        <v>872</v>
      </c>
      <c r="E137" s="149" t="s">
        <v>139</v>
      </c>
      <c r="F137" s="542">
        <v>344965004</v>
      </c>
      <c r="G137" s="542">
        <v>0</v>
      </c>
      <c r="H137" s="542">
        <v>344965004</v>
      </c>
      <c r="I137" s="542">
        <v>-9004</v>
      </c>
      <c r="J137" s="542">
        <v>0</v>
      </c>
      <c r="K137" s="542">
        <v>-9004</v>
      </c>
      <c r="L137" s="542">
        <v>0</v>
      </c>
      <c r="M137" s="542">
        <v>0</v>
      </c>
      <c r="N137" s="542">
        <v>0</v>
      </c>
      <c r="O137" s="542">
        <v>-696000</v>
      </c>
      <c r="P137" s="542">
        <v>0</v>
      </c>
      <c r="Q137" s="542">
        <v>-696000</v>
      </c>
      <c r="R137" s="542">
        <v>0</v>
      </c>
      <c r="S137" s="542">
        <v>0</v>
      </c>
      <c r="T137" s="542">
        <v>0</v>
      </c>
      <c r="U137" s="542">
        <v>-983213</v>
      </c>
      <c r="V137" s="542">
        <v>0</v>
      </c>
      <c r="W137" s="542">
        <v>-983213</v>
      </c>
      <c r="X137" s="542">
        <v>837662</v>
      </c>
      <c r="Y137" s="542">
        <v>0</v>
      </c>
      <c r="Z137" s="542">
        <v>837662</v>
      </c>
      <c r="AA137" s="542">
        <v>2046521</v>
      </c>
      <c r="AB137" s="542">
        <v>0</v>
      </c>
      <c r="AC137" s="542">
        <v>2046521</v>
      </c>
      <c r="AD137" s="542">
        <v>346856970</v>
      </c>
      <c r="AE137" s="542">
        <v>0</v>
      </c>
      <c r="AF137" s="542">
        <v>346856970</v>
      </c>
      <c r="AG137" s="542">
        <v>0</v>
      </c>
      <c r="AH137" s="542">
        <v>0</v>
      </c>
      <c r="AI137" s="542">
        <v>0</v>
      </c>
      <c r="AJ137" s="542">
        <v>0</v>
      </c>
      <c r="AK137" s="542">
        <v>0</v>
      </c>
      <c r="AL137" s="542">
        <v>0</v>
      </c>
      <c r="AM137" s="542">
        <v>0</v>
      </c>
      <c r="AN137" s="542">
        <v>0</v>
      </c>
      <c r="AO137" s="542">
        <v>0</v>
      </c>
      <c r="AP137" s="542">
        <v>0</v>
      </c>
      <c r="AQ137" s="542">
        <v>0</v>
      </c>
      <c r="AR137" s="542">
        <v>0</v>
      </c>
      <c r="AS137" s="542">
        <v>0</v>
      </c>
      <c r="AT137" s="542">
        <v>0</v>
      </c>
      <c r="AU137" s="542">
        <v>0</v>
      </c>
      <c r="AV137" s="542">
        <v>12198700</v>
      </c>
      <c r="AW137" s="542">
        <v>-9669364</v>
      </c>
      <c r="AX137" s="136"/>
      <c r="AY137" s="136"/>
      <c r="AZ137" s="136"/>
      <c r="BA137" s="136"/>
      <c r="BB137" s="136"/>
      <c r="BC137" s="136"/>
      <c r="BD137" s="136"/>
      <c r="BE137" s="136"/>
      <c r="BF137" s="136"/>
      <c r="BG137" s="136"/>
      <c r="BH137" s="136"/>
      <c r="BI137" s="136"/>
      <c r="BJ137" s="136"/>
      <c r="BK137" s="136"/>
      <c r="BL137" s="136"/>
      <c r="BM137" s="136"/>
      <c r="BN137" s="136"/>
      <c r="BO137" s="136"/>
      <c r="BP137" s="136"/>
      <c r="BQ137" s="136"/>
      <c r="BR137" s="136"/>
      <c r="BS137" s="136"/>
      <c r="BT137" s="136"/>
      <c r="BU137" s="136"/>
      <c r="BV137" s="136"/>
      <c r="BW137" s="136"/>
      <c r="BX137" s="136"/>
      <c r="BY137" s="136"/>
      <c r="BZ137" s="136"/>
      <c r="CA137" s="136"/>
      <c r="CB137" s="136"/>
      <c r="CC137" s="136"/>
      <c r="CD137" s="136"/>
      <c r="CE137" s="136"/>
      <c r="CF137" s="136"/>
      <c r="CG137" s="136"/>
      <c r="CH137" s="136"/>
      <c r="CI137" s="136"/>
      <c r="CJ137" s="136"/>
      <c r="CK137" s="136"/>
      <c r="CL137" s="136"/>
      <c r="CM137" s="136"/>
      <c r="CN137" s="136"/>
      <c r="CO137" s="136"/>
      <c r="CP137" s="136"/>
      <c r="CQ137" s="136"/>
      <c r="CR137" s="136"/>
      <c r="CS137" s="136"/>
      <c r="CT137" s="136"/>
      <c r="CU137" s="136"/>
      <c r="CV137" s="136"/>
      <c r="CW137" s="136"/>
      <c r="CX137" s="136"/>
      <c r="CY137" s="136"/>
      <c r="CZ137" s="136"/>
      <c r="DA137" s="136"/>
      <c r="DB137" s="136"/>
      <c r="DC137" s="136"/>
      <c r="DD137" s="136"/>
      <c r="DE137" s="136"/>
      <c r="DF137" s="136"/>
      <c r="DG137" s="136"/>
      <c r="DH137" s="136"/>
      <c r="DI137" s="136"/>
      <c r="DJ137" s="136"/>
      <c r="DK137" s="136"/>
      <c r="DL137" s="136"/>
      <c r="DM137" s="136"/>
      <c r="DN137" s="136"/>
      <c r="DO137" s="136"/>
      <c r="DP137" s="136"/>
      <c r="DQ137" s="136"/>
      <c r="DR137" s="136"/>
      <c r="DS137" s="136"/>
      <c r="DT137" s="136"/>
      <c r="DU137" s="136"/>
      <c r="DV137" s="136"/>
      <c r="DW137" s="136"/>
      <c r="DX137" s="136"/>
      <c r="DY137" s="136"/>
      <c r="DZ137" s="136"/>
      <c r="EA137" s="136"/>
      <c r="EB137" s="136"/>
      <c r="EC137" s="136"/>
      <c r="ED137" s="136"/>
      <c r="EE137" s="136"/>
      <c r="EF137" s="136"/>
      <c r="EG137" s="136"/>
      <c r="EH137" s="136"/>
      <c r="EI137" s="136"/>
      <c r="EJ137" s="136"/>
      <c r="EK137" s="136"/>
      <c r="EL137" s="136"/>
      <c r="EM137" s="136"/>
      <c r="EN137" s="136"/>
      <c r="EO137" s="136"/>
      <c r="EP137" s="136"/>
      <c r="EQ137" s="136"/>
      <c r="ER137" s="136"/>
      <c r="ES137" s="136"/>
      <c r="ET137" s="136"/>
      <c r="EU137" s="136"/>
      <c r="EV137" s="136"/>
      <c r="EW137" s="136"/>
      <c r="EX137" s="136"/>
      <c r="EY137" s="136"/>
      <c r="EZ137" s="136"/>
      <c r="FA137" s="136"/>
      <c r="FB137" s="136"/>
      <c r="FC137" s="136"/>
      <c r="FD137" s="136"/>
      <c r="FE137" s="137"/>
      <c r="FF137" s="138"/>
    </row>
    <row r="138" spans="1:162" ht="12.75" x14ac:dyDescent="0.2">
      <c r="A138" s="93">
        <v>132</v>
      </c>
      <c r="B138" s="145" t="s">
        <v>142</v>
      </c>
      <c r="C138" s="141" t="s">
        <v>866</v>
      </c>
      <c r="D138" s="142" t="s">
        <v>869</v>
      </c>
      <c r="E138" s="149" t="s">
        <v>701</v>
      </c>
      <c r="F138" s="542">
        <v>26627840</v>
      </c>
      <c r="G138" s="542">
        <v>950243</v>
      </c>
      <c r="H138" s="542">
        <v>27578083</v>
      </c>
      <c r="I138" s="542">
        <v>0</v>
      </c>
      <c r="J138" s="542">
        <v>0</v>
      </c>
      <c r="K138" s="542">
        <v>0</v>
      </c>
      <c r="L138" s="542">
        <v>86603</v>
      </c>
      <c r="M138" s="542">
        <v>0</v>
      </c>
      <c r="N138" s="542">
        <v>86603</v>
      </c>
      <c r="O138" s="542">
        <v>-314292</v>
      </c>
      <c r="P138" s="542">
        <v>0</v>
      </c>
      <c r="Q138" s="542">
        <v>-314292</v>
      </c>
      <c r="R138" s="542">
        <v>0</v>
      </c>
      <c r="S138" s="542">
        <v>0</v>
      </c>
      <c r="T138" s="542">
        <v>0</v>
      </c>
      <c r="U138" s="542">
        <v>-341105</v>
      </c>
      <c r="V138" s="542">
        <v>0</v>
      </c>
      <c r="W138" s="542">
        <v>-341105</v>
      </c>
      <c r="X138" s="542">
        <v>538094</v>
      </c>
      <c r="Y138" s="542">
        <v>0</v>
      </c>
      <c r="Z138" s="542">
        <v>538094</v>
      </c>
      <c r="AA138" s="542">
        <v>-839430</v>
      </c>
      <c r="AB138" s="542">
        <v>0</v>
      </c>
      <c r="AC138" s="542">
        <v>-839430</v>
      </c>
      <c r="AD138" s="542">
        <v>26072002</v>
      </c>
      <c r="AE138" s="542">
        <v>950243</v>
      </c>
      <c r="AF138" s="542">
        <v>27022245</v>
      </c>
      <c r="AG138" s="542">
        <v>950243</v>
      </c>
      <c r="AH138" s="542">
        <v>0</v>
      </c>
      <c r="AI138" s="542">
        <v>950243</v>
      </c>
      <c r="AJ138" s="542">
        <v>0</v>
      </c>
      <c r="AK138" s="542">
        <v>0</v>
      </c>
      <c r="AL138" s="542">
        <v>0</v>
      </c>
      <c r="AM138" s="542">
        <v>0</v>
      </c>
      <c r="AN138" s="542">
        <v>0</v>
      </c>
      <c r="AO138" s="542">
        <v>0</v>
      </c>
      <c r="AP138" s="542">
        <v>0</v>
      </c>
      <c r="AQ138" s="542">
        <v>890435</v>
      </c>
      <c r="AR138" s="542">
        <v>0</v>
      </c>
      <c r="AS138" s="542">
        <v>59808</v>
      </c>
      <c r="AT138" s="542">
        <v>0</v>
      </c>
      <c r="AU138" s="542">
        <v>59808</v>
      </c>
      <c r="AV138" s="542">
        <v>549042</v>
      </c>
      <c r="AW138" s="542">
        <v>-368254</v>
      </c>
      <c r="AX138" s="136"/>
      <c r="AY138" s="136"/>
      <c r="AZ138" s="136"/>
      <c r="BA138" s="136"/>
      <c r="BB138" s="136"/>
      <c r="BC138" s="136"/>
      <c r="BD138" s="136"/>
      <c r="BE138" s="136"/>
      <c r="BF138" s="136"/>
      <c r="BG138" s="136"/>
      <c r="BH138" s="136"/>
      <c r="BI138" s="136"/>
      <c r="BJ138" s="136"/>
      <c r="BK138" s="136"/>
      <c r="BL138" s="136"/>
      <c r="BM138" s="136"/>
      <c r="BN138" s="136"/>
      <c r="BO138" s="136"/>
      <c r="BP138" s="136"/>
      <c r="BQ138" s="136"/>
      <c r="BR138" s="136"/>
      <c r="BS138" s="136"/>
      <c r="BT138" s="136"/>
      <c r="BU138" s="136"/>
      <c r="BV138" s="136"/>
      <c r="BW138" s="136"/>
      <c r="BX138" s="136"/>
      <c r="BY138" s="136"/>
      <c r="BZ138" s="136"/>
      <c r="CA138" s="136"/>
      <c r="CB138" s="136"/>
      <c r="CC138" s="136"/>
      <c r="CD138" s="136"/>
      <c r="CE138" s="136"/>
      <c r="CF138" s="136"/>
      <c r="CG138" s="136"/>
      <c r="CH138" s="136"/>
      <c r="CI138" s="136"/>
      <c r="CJ138" s="136"/>
      <c r="CK138" s="136"/>
      <c r="CL138" s="136"/>
      <c r="CM138" s="136"/>
      <c r="CN138" s="136"/>
      <c r="CO138" s="136"/>
      <c r="CP138" s="136"/>
      <c r="CQ138" s="136"/>
      <c r="CR138" s="136"/>
      <c r="CS138" s="136"/>
      <c r="CT138" s="136"/>
      <c r="CU138" s="136"/>
      <c r="CV138" s="136"/>
      <c r="CW138" s="136"/>
      <c r="CX138" s="136"/>
      <c r="CY138" s="136"/>
      <c r="CZ138" s="136"/>
      <c r="DA138" s="136"/>
      <c r="DB138" s="136"/>
      <c r="DC138" s="136"/>
      <c r="DD138" s="136"/>
      <c r="DE138" s="136"/>
      <c r="DF138" s="136"/>
      <c r="DG138" s="136"/>
      <c r="DH138" s="136"/>
      <c r="DI138" s="136"/>
      <c r="DJ138" s="136"/>
      <c r="DK138" s="136"/>
      <c r="DL138" s="136"/>
      <c r="DM138" s="136"/>
      <c r="DN138" s="136"/>
      <c r="DO138" s="136"/>
      <c r="DP138" s="136"/>
      <c r="DQ138" s="136"/>
      <c r="DR138" s="136"/>
      <c r="DS138" s="136"/>
      <c r="DT138" s="136"/>
      <c r="DU138" s="136"/>
      <c r="DV138" s="136"/>
      <c r="DW138" s="136"/>
      <c r="DX138" s="136"/>
      <c r="DY138" s="136"/>
      <c r="DZ138" s="136"/>
      <c r="EA138" s="136"/>
      <c r="EB138" s="136"/>
      <c r="EC138" s="136"/>
      <c r="ED138" s="136"/>
      <c r="EE138" s="136"/>
      <c r="EF138" s="136"/>
      <c r="EG138" s="136"/>
      <c r="EH138" s="136"/>
      <c r="EI138" s="136"/>
      <c r="EJ138" s="136"/>
      <c r="EK138" s="136"/>
      <c r="EL138" s="136"/>
      <c r="EM138" s="136"/>
      <c r="EN138" s="136"/>
      <c r="EO138" s="136"/>
      <c r="EP138" s="136"/>
      <c r="EQ138" s="136"/>
      <c r="ER138" s="136"/>
      <c r="ES138" s="136"/>
      <c r="ET138" s="136"/>
      <c r="EU138" s="136"/>
      <c r="EV138" s="136"/>
      <c r="EW138" s="136"/>
      <c r="EX138" s="136"/>
      <c r="EY138" s="136"/>
      <c r="EZ138" s="136"/>
      <c r="FA138" s="136"/>
      <c r="FB138" s="136"/>
      <c r="FC138" s="136"/>
      <c r="FD138" s="136"/>
      <c r="FE138" s="137"/>
      <c r="FF138" s="138"/>
    </row>
    <row r="139" spans="1:162" ht="12.75" x14ac:dyDescent="0.2">
      <c r="A139" s="93">
        <v>133</v>
      </c>
      <c r="B139" s="145" t="s">
        <v>144</v>
      </c>
      <c r="C139" s="141" t="s">
        <v>866</v>
      </c>
      <c r="D139" s="142" t="s">
        <v>867</v>
      </c>
      <c r="E139" s="149" t="s">
        <v>143</v>
      </c>
      <c r="F139" s="542">
        <v>39399825</v>
      </c>
      <c r="G139" s="542">
        <v>0</v>
      </c>
      <c r="H139" s="542">
        <v>39399825</v>
      </c>
      <c r="I139" s="542">
        <v>0</v>
      </c>
      <c r="J139" s="542">
        <v>0</v>
      </c>
      <c r="K139" s="542">
        <v>0</v>
      </c>
      <c r="L139" s="542">
        <v>92351</v>
      </c>
      <c r="M139" s="542">
        <v>0</v>
      </c>
      <c r="N139" s="542">
        <v>92351</v>
      </c>
      <c r="O139" s="542">
        <v>-523769</v>
      </c>
      <c r="P139" s="542">
        <v>0</v>
      </c>
      <c r="Q139" s="542">
        <v>-523769</v>
      </c>
      <c r="R139" s="542">
        <v>0</v>
      </c>
      <c r="S139" s="542">
        <v>0</v>
      </c>
      <c r="T139" s="542">
        <v>0</v>
      </c>
      <c r="U139" s="542">
        <v>-644392</v>
      </c>
      <c r="V139" s="542">
        <v>0</v>
      </c>
      <c r="W139" s="542">
        <v>-644392</v>
      </c>
      <c r="X139" s="542">
        <v>935938</v>
      </c>
      <c r="Y139" s="542">
        <v>0</v>
      </c>
      <c r="Z139" s="542">
        <v>935938</v>
      </c>
      <c r="AA139" s="542">
        <v>-2493136</v>
      </c>
      <c r="AB139" s="542">
        <v>0</v>
      </c>
      <c r="AC139" s="542">
        <v>-2493136</v>
      </c>
      <c r="AD139" s="542">
        <v>37290586</v>
      </c>
      <c r="AE139" s="542">
        <v>0</v>
      </c>
      <c r="AF139" s="542">
        <v>37290586</v>
      </c>
      <c r="AG139" s="542">
        <v>0</v>
      </c>
      <c r="AH139" s="542">
        <v>0</v>
      </c>
      <c r="AI139" s="542">
        <v>0</v>
      </c>
      <c r="AJ139" s="542">
        <v>0</v>
      </c>
      <c r="AK139" s="542">
        <v>0</v>
      </c>
      <c r="AL139" s="542">
        <v>0</v>
      </c>
      <c r="AM139" s="542">
        <v>0</v>
      </c>
      <c r="AN139" s="542">
        <v>0</v>
      </c>
      <c r="AO139" s="542">
        <v>0</v>
      </c>
      <c r="AP139" s="542">
        <v>0</v>
      </c>
      <c r="AQ139" s="542">
        <v>0</v>
      </c>
      <c r="AR139" s="542">
        <v>0</v>
      </c>
      <c r="AS139" s="542">
        <v>0</v>
      </c>
      <c r="AT139" s="542">
        <v>0</v>
      </c>
      <c r="AU139" s="542">
        <v>0</v>
      </c>
      <c r="AV139" s="542">
        <v>2514399</v>
      </c>
      <c r="AW139" s="542">
        <v>-1513776</v>
      </c>
      <c r="AX139" s="136"/>
      <c r="AY139" s="136"/>
      <c r="AZ139" s="136"/>
      <c r="BA139" s="136"/>
      <c r="BB139" s="136"/>
      <c r="BC139" s="136"/>
      <c r="BD139" s="136"/>
      <c r="BE139" s="136"/>
      <c r="BF139" s="136"/>
      <c r="BG139" s="136"/>
      <c r="BH139" s="136"/>
      <c r="BI139" s="136"/>
      <c r="BJ139" s="136"/>
      <c r="BK139" s="136"/>
      <c r="BL139" s="136"/>
      <c r="BM139" s="136"/>
      <c r="BN139" s="136"/>
      <c r="BO139" s="136"/>
      <c r="BP139" s="136"/>
      <c r="BQ139" s="136"/>
      <c r="BR139" s="136"/>
      <c r="BS139" s="136"/>
      <c r="BT139" s="136"/>
      <c r="BU139" s="136"/>
      <c r="BV139" s="136"/>
      <c r="BW139" s="136"/>
      <c r="BX139" s="136"/>
      <c r="BY139" s="136"/>
      <c r="BZ139" s="136"/>
      <c r="CA139" s="136"/>
      <c r="CB139" s="136"/>
      <c r="CC139" s="136"/>
      <c r="CD139" s="136"/>
      <c r="CE139" s="136"/>
      <c r="CF139" s="136"/>
      <c r="CG139" s="136"/>
      <c r="CH139" s="136"/>
      <c r="CI139" s="136"/>
      <c r="CJ139" s="136"/>
      <c r="CK139" s="136"/>
      <c r="CL139" s="136"/>
      <c r="CM139" s="136"/>
      <c r="CN139" s="136"/>
      <c r="CO139" s="136"/>
      <c r="CP139" s="136"/>
      <c r="CQ139" s="136"/>
      <c r="CR139" s="136"/>
      <c r="CS139" s="136"/>
      <c r="CT139" s="136"/>
      <c r="CU139" s="136"/>
      <c r="CV139" s="136"/>
      <c r="CW139" s="136"/>
      <c r="CX139" s="136"/>
      <c r="CY139" s="136"/>
      <c r="CZ139" s="136"/>
      <c r="DA139" s="136"/>
      <c r="DB139" s="136"/>
      <c r="DC139" s="136"/>
      <c r="DD139" s="136"/>
      <c r="DE139" s="136"/>
      <c r="DF139" s="136"/>
      <c r="DG139" s="136"/>
      <c r="DH139" s="136"/>
      <c r="DI139" s="136"/>
      <c r="DJ139" s="136"/>
      <c r="DK139" s="136"/>
      <c r="DL139" s="136"/>
      <c r="DM139" s="136"/>
      <c r="DN139" s="136"/>
      <c r="DO139" s="136"/>
      <c r="DP139" s="136"/>
      <c r="DQ139" s="136"/>
      <c r="DR139" s="136"/>
      <c r="DS139" s="136"/>
      <c r="DT139" s="136"/>
      <c r="DU139" s="136"/>
      <c r="DV139" s="136"/>
      <c r="DW139" s="136"/>
      <c r="DX139" s="136"/>
      <c r="DY139" s="136"/>
      <c r="DZ139" s="136"/>
      <c r="EA139" s="136"/>
      <c r="EB139" s="136"/>
      <c r="EC139" s="136"/>
      <c r="ED139" s="136"/>
      <c r="EE139" s="136"/>
      <c r="EF139" s="136"/>
      <c r="EG139" s="136"/>
      <c r="EH139" s="136"/>
      <c r="EI139" s="136"/>
      <c r="EJ139" s="136"/>
      <c r="EK139" s="136"/>
      <c r="EL139" s="136"/>
      <c r="EM139" s="136"/>
      <c r="EN139" s="136"/>
      <c r="EO139" s="136"/>
      <c r="EP139" s="136"/>
      <c r="EQ139" s="136"/>
      <c r="ER139" s="136"/>
      <c r="ES139" s="136"/>
      <c r="ET139" s="136"/>
      <c r="EU139" s="136"/>
      <c r="EV139" s="136"/>
      <c r="EW139" s="136"/>
      <c r="EX139" s="136"/>
      <c r="EY139" s="136"/>
      <c r="EZ139" s="136"/>
      <c r="FA139" s="136"/>
      <c r="FB139" s="136"/>
      <c r="FC139" s="136"/>
      <c r="FD139" s="136"/>
      <c r="FE139" s="137"/>
      <c r="FF139" s="138"/>
    </row>
    <row r="140" spans="1:162" ht="12.75" x14ac:dyDescent="0.2">
      <c r="A140" s="93">
        <v>134</v>
      </c>
      <c r="B140" s="145" t="s">
        <v>146</v>
      </c>
      <c r="C140" s="141" t="s">
        <v>871</v>
      </c>
      <c r="D140" s="142" t="s">
        <v>872</v>
      </c>
      <c r="E140" s="149" t="s">
        <v>145</v>
      </c>
      <c r="F140" s="542">
        <v>153917410</v>
      </c>
      <c r="G140" s="542">
        <v>0</v>
      </c>
      <c r="H140" s="542">
        <v>153917410</v>
      </c>
      <c r="I140" s="542">
        <v>-9809</v>
      </c>
      <c r="J140" s="542">
        <v>0</v>
      </c>
      <c r="K140" s="542">
        <v>-9809</v>
      </c>
      <c r="L140" s="542">
        <v>462073</v>
      </c>
      <c r="M140" s="542">
        <v>0</v>
      </c>
      <c r="N140" s="542">
        <v>462073</v>
      </c>
      <c r="O140" s="542">
        <v>-14180</v>
      </c>
      <c r="P140" s="542">
        <v>0</v>
      </c>
      <c r="Q140" s="542">
        <v>-14180</v>
      </c>
      <c r="R140" s="542">
        <v>0</v>
      </c>
      <c r="S140" s="542">
        <v>0</v>
      </c>
      <c r="T140" s="542">
        <v>0</v>
      </c>
      <c r="U140" s="542">
        <v>-3500000</v>
      </c>
      <c r="V140" s="542">
        <v>0</v>
      </c>
      <c r="W140" s="542">
        <v>-3500000</v>
      </c>
      <c r="X140" s="542">
        <v>7226400</v>
      </c>
      <c r="Y140" s="542">
        <v>0</v>
      </c>
      <c r="Z140" s="542">
        <v>7226400</v>
      </c>
      <c r="AA140" s="542">
        <v>-14226400</v>
      </c>
      <c r="AB140" s="542">
        <v>0</v>
      </c>
      <c r="AC140" s="542">
        <v>-14226400</v>
      </c>
      <c r="AD140" s="542">
        <v>143869674</v>
      </c>
      <c r="AE140" s="542">
        <v>0</v>
      </c>
      <c r="AF140" s="542">
        <v>143869674</v>
      </c>
      <c r="AG140" s="542">
        <v>0</v>
      </c>
      <c r="AH140" s="542">
        <v>0</v>
      </c>
      <c r="AI140" s="542">
        <v>0</v>
      </c>
      <c r="AJ140" s="542">
        <v>0</v>
      </c>
      <c r="AK140" s="542">
        <v>0</v>
      </c>
      <c r="AL140" s="542">
        <v>0</v>
      </c>
      <c r="AM140" s="542">
        <v>0</v>
      </c>
      <c r="AN140" s="542">
        <v>0</v>
      </c>
      <c r="AO140" s="542">
        <v>0</v>
      </c>
      <c r="AP140" s="542">
        <v>0</v>
      </c>
      <c r="AQ140" s="542">
        <v>0</v>
      </c>
      <c r="AR140" s="542">
        <v>0</v>
      </c>
      <c r="AS140" s="542">
        <v>0</v>
      </c>
      <c r="AT140" s="542">
        <v>0</v>
      </c>
      <c r="AU140" s="542">
        <v>0</v>
      </c>
      <c r="AV140" s="542">
        <v>12306055</v>
      </c>
      <c r="AW140" s="542">
        <v>-11938675</v>
      </c>
      <c r="AX140" s="136"/>
      <c r="AY140" s="136"/>
      <c r="AZ140" s="136"/>
      <c r="BA140" s="136"/>
      <c r="BB140" s="136"/>
      <c r="BC140" s="136"/>
      <c r="BD140" s="136"/>
      <c r="BE140" s="136"/>
      <c r="BF140" s="136"/>
      <c r="BG140" s="136"/>
      <c r="BH140" s="136"/>
      <c r="BI140" s="136"/>
      <c r="BJ140" s="136"/>
      <c r="BK140" s="136"/>
      <c r="BL140" s="136"/>
      <c r="BM140" s="136"/>
      <c r="BN140" s="136"/>
      <c r="BO140" s="136"/>
      <c r="BP140" s="136"/>
      <c r="BQ140" s="136"/>
      <c r="BR140" s="136"/>
      <c r="BS140" s="136"/>
      <c r="BT140" s="136"/>
      <c r="BU140" s="136"/>
      <c r="BV140" s="136"/>
      <c r="BW140" s="136"/>
      <c r="BX140" s="136"/>
      <c r="BY140" s="136"/>
      <c r="BZ140" s="136"/>
      <c r="CA140" s="136"/>
      <c r="CB140" s="136"/>
      <c r="CC140" s="136"/>
      <c r="CD140" s="136"/>
      <c r="CE140" s="136"/>
      <c r="CF140" s="136"/>
      <c r="CG140" s="136"/>
      <c r="CH140" s="136"/>
      <c r="CI140" s="136"/>
      <c r="CJ140" s="136"/>
      <c r="CK140" s="136"/>
      <c r="CL140" s="136"/>
      <c r="CM140" s="136"/>
      <c r="CN140" s="136"/>
      <c r="CO140" s="136"/>
      <c r="CP140" s="136"/>
      <c r="CQ140" s="136"/>
      <c r="CR140" s="136"/>
      <c r="CS140" s="136"/>
      <c r="CT140" s="136"/>
      <c r="CU140" s="136"/>
      <c r="CV140" s="136"/>
      <c r="CW140" s="136"/>
      <c r="CX140" s="136"/>
      <c r="CY140" s="136"/>
      <c r="CZ140" s="136"/>
      <c r="DA140" s="136"/>
      <c r="DB140" s="136"/>
      <c r="DC140" s="136"/>
      <c r="DD140" s="136"/>
      <c r="DE140" s="136"/>
      <c r="DF140" s="136"/>
      <c r="DG140" s="136"/>
      <c r="DH140" s="136"/>
      <c r="DI140" s="136"/>
      <c r="DJ140" s="136"/>
      <c r="DK140" s="136"/>
      <c r="DL140" s="136"/>
      <c r="DM140" s="136"/>
      <c r="DN140" s="136"/>
      <c r="DO140" s="136"/>
      <c r="DP140" s="136"/>
      <c r="DQ140" s="136"/>
      <c r="DR140" s="136"/>
      <c r="DS140" s="136"/>
      <c r="DT140" s="136"/>
      <c r="DU140" s="136"/>
      <c r="DV140" s="136"/>
      <c r="DW140" s="136"/>
      <c r="DX140" s="136"/>
      <c r="DY140" s="136"/>
      <c r="DZ140" s="136"/>
      <c r="EA140" s="136"/>
      <c r="EB140" s="136"/>
      <c r="EC140" s="136"/>
      <c r="ED140" s="136"/>
      <c r="EE140" s="136"/>
      <c r="EF140" s="136"/>
      <c r="EG140" s="136"/>
      <c r="EH140" s="136"/>
      <c r="EI140" s="136"/>
      <c r="EJ140" s="136"/>
      <c r="EK140" s="136"/>
      <c r="EL140" s="136"/>
      <c r="EM140" s="136"/>
      <c r="EN140" s="136"/>
      <c r="EO140" s="136"/>
      <c r="EP140" s="136"/>
      <c r="EQ140" s="136"/>
      <c r="ER140" s="136"/>
      <c r="ES140" s="136"/>
      <c r="ET140" s="136"/>
      <c r="EU140" s="136"/>
      <c r="EV140" s="136"/>
      <c r="EW140" s="136"/>
      <c r="EX140" s="136"/>
      <c r="EY140" s="136"/>
      <c r="EZ140" s="136"/>
      <c r="FA140" s="136"/>
      <c r="FB140" s="136"/>
      <c r="FC140" s="136"/>
      <c r="FD140" s="136"/>
      <c r="FE140" s="137"/>
      <c r="FF140" s="138"/>
    </row>
    <row r="141" spans="1:162" ht="12.75" x14ac:dyDescent="0.2">
      <c r="A141" s="93">
        <v>135</v>
      </c>
      <c r="B141" s="145" t="s">
        <v>148</v>
      </c>
      <c r="C141" s="141" t="s">
        <v>866</v>
      </c>
      <c r="D141" s="142" t="s">
        <v>870</v>
      </c>
      <c r="E141" s="149" t="s">
        <v>881</v>
      </c>
      <c r="F141" s="542">
        <v>56602560</v>
      </c>
      <c r="G141" s="542">
        <v>319429</v>
      </c>
      <c r="H141" s="542">
        <v>56921989</v>
      </c>
      <c r="I141" s="542">
        <v>-5816</v>
      </c>
      <c r="J141" s="542">
        <v>0</v>
      </c>
      <c r="K141" s="542">
        <v>-5816</v>
      </c>
      <c r="L141" s="542">
        <v>81713</v>
      </c>
      <c r="M141" s="542">
        <v>0</v>
      </c>
      <c r="N141" s="542">
        <v>81713</v>
      </c>
      <c r="O141" s="542">
        <v>-322513</v>
      </c>
      <c r="P141" s="542">
        <v>-487</v>
      </c>
      <c r="Q141" s="542">
        <v>-323000</v>
      </c>
      <c r="R141" s="542">
        <v>-72932</v>
      </c>
      <c r="S141" s="542">
        <v>0</v>
      </c>
      <c r="T141" s="542">
        <v>-72932</v>
      </c>
      <c r="U141" s="542">
        <v>-150500</v>
      </c>
      <c r="V141" s="542">
        <v>-4500</v>
      </c>
      <c r="W141" s="542">
        <v>-155000</v>
      </c>
      <c r="X141" s="542">
        <v>3527705</v>
      </c>
      <c r="Y141" s="542">
        <v>0</v>
      </c>
      <c r="Z141" s="542">
        <v>3527705</v>
      </c>
      <c r="AA141" s="542">
        <v>-6691367</v>
      </c>
      <c r="AB141" s="542">
        <v>0</v>
      </c>
      <c r="AC141" s="542">
        <v>-6691367</v>
      </c>
      <c r="AD141" s="542">
        <v>53291363</v>
      </c>
      <c r="AE141" s="542">
        <v>314929</v>
      </c>
      <c r="AF141" s="542">
        <v>53606292</v>
      </c>
      <c r="AG141" s="542">
        <v>314929</v>
      </c>
      <c r="AH141" s="542">
        <v>0</v>
      </c>
      <c r="AI141" s="542">
        <v>314929</v>
      </c>
      <c r="AJ141" s="542">
        <v>223074</v>
      </c>
      <c r="AK141" s="542">
        <v>0</v>
      </c>
      <c r="AL141" s="542">
        <v>0</v>
      </c>
      <c r="AM141" s="542">
        <v>223074</v>
      </c>
      <c r="AN141" s="542">
        <v>10</v>
      </c>
      <c r="AO141" s="542">
        <v>0</v>
      </c>
      <c r="AP141" s="542">
        <v>10</v>
      </c>
      <c r="AQ141" s="542">
        <v>624861</v>
      </c>
      <c r="AR141" s="542">
        <v>0</v>
      </c>
      <c r="AS141" s="542">
        <v>0</v>
      </c>
      <c r="AT141" s="542">
        <v>0</v>
      </c>
      <c r="AU141" s="542">
        <v>0</v>
      </c>
      <c r="AV141" s="542">
        <v>612816</v>
      </c>
      <c r="AW141" s="542">
        <v>-64179</v>
      </c>
      <c r="AX141" s="136"/>
      <c r="AY141" s="136"/>
      <c r="AZ141" s="136"/>
      <c r="BA141" s="136"/>
      <c r="BB141" s="136"/>
      <c r="BC141" s="136"/>
      <c r="BD141" s="136"/>
      <c r="BE141" s="136"/>
      <c r="BF141" s="136"/>
      <c r="BG141" s="136"/>
      <c r="BH141" s="136"/>
      <c r="BI141" s="136"/>
      <c r="BJ141" s="136"/>
      <c r="BK141" s="136"/>
      <c r="BL141" s="136"/>
      <c r="BM141" s="136"/>
      <c r="BN141" s="136"/>
      <c r="BO141" s="136"/>
      <c r="BP141" s="136"/>
      <c r="BQ141" s="136"/>
      <c r="BR141" s="136"/>
      <c r="BS141" s="136"/>
      <c r="BT141" s="136"/>
      <c r="BU141" s="136"/>
      <c r="BV141" s="136"/>
      <c r="BW141" s="136"/>
      <c r="BX141" s="136"/>
      <c r="BY141" s="136"/>
      <c r="BZ141" s="136"/>
      <c r="CA141" s="136"/>
      <c r="CB141" s="136"/>
      <c r="CC141" s="136"/>
      <c r="CD141" s="136"/>
      <c r="CE141" s="136"/>
      <c r="CF141" s="136"/>
      <c r="CG141" s="136"/>
      <c r="CH141" s="136"/>
      <c r="CI141" s="136"/>
      <c r="CJ141" s="136"/>
      <c r="CK141" s="136"/>
      <c r="CL141" s="136"/>
      <c r="CM141" s="136"/>
      <c r="CN141" s="136"/>
      <c r="CO141" s="136"/>
      <c r="CP141" s="136"/>
      <c r="CQ141" s="136"/>
      <c r="CR141" s="136"/>
      <c r="CS141" s="136"/>
      <c r="CT141" s="136"/>
      <c r="CU141" s="136"/>
      <c r="CV141" s="136"/>
      <c r="CW141" s="136"/>
      <c r="CX141" s="136"/>
      <c r="CY141" s="136"/>
      <c r="CZ141" s="136"/>
      <c r="DA141" s="136"/>
      <c r="DB141" s="136"/>
      <c r="DC141" s="136"/>
      <c r="DD141" s="136"/>
      <c r="DE141" s="136"/>
      <c r="DF141" s="136"/>
      <c r="DG141" s="136"/>
      <c r="DH141" s="136"/>
      <c r="DI141" s="136"/>
      <c r="DJ141" s="136"/>
      <c r="DK141" s="136"/>
      <c r="DL141" s="136"/>
      <c r="DM141" s="136"/>
      <c r="DN141" s="136"/>
      <c r="DO141" s="136"/>
      <c r="DP141" s="136"/>
      <c r="DQ141" s="136"/>
      <c r="DR141" s="136"/>
      <c r="DS141" s="136"/>
      <c r="DT141" s="136"/>
      <c r="DU141" s="136"/>
      <c r="DV141" s="136"/>
      <c r="DW141" s="136"/>
      <c r="DX141" s="136"/>
      <c r="DY141" s="136"/>
      <c r="DZ141" s="136"/>
      <c r="EA141" s="136"/>
      <c r="EB141" s="136"/>
      <c r="EC141" s="136"/>
      <c r="ED141" s="136"/>
      <c r="EE141" s="136"/>
      <c r="EF141" s="136"/>
      <c r="EG141" s="136"/>
      <c r="EH141" s="136"/>
      <c r="EI141" s="136"/>
      <c r="EJ141" s="136"/>
      <c r="EK141" s="136"/>
      <c r="EL141" s="136"/>
      <c r="EM141" s="136"/>
      <c r="EN141" s="136"/>
      <c r="EO141" s="136"/>
      <c r="EP141" s="136"/>
      <c r="EQ141" s="136"/>
      <c r="ER141" s="136"/>
      <c r="ES141" s="136"/>
      <c r="ET141" s="136"/>
      <c r="EU141" s="136"/>
      <c r="EV141" s="136"/>
      <c r="EW141" s="136"/>
      <c r="EX141" s="136"/>
      <c r="EY141" s="136"/>
      <c r="EZ141" s="136"/>
      <c r="FA141" s="136"/>
      <c r="FB141" s="136"/>
      <c r="FC141" s="136"/>
      <c r="FD141" s="136"/>
      <c r="FE141" s="137"/>
      <c r="FF141" s="138"/>
    </row>
    <row r="142" spans="1:162" ht="12.75" x14ac:dyDescent="0.2">
      <c r="A142" s="93">
        <v>136</v>
      </c>
      <c r="B142" s="145" t="s">
        <v>150</v>
      </c>
      <c r="C142" s="141" t="s">
        <v>866</v>
      </c>
      <c r="D142" s="142" t="s">
        <v>868</v>
      </c>
      <c r="E142" s="149" t="s">
        <v>149</v>
      </c>
      <c r="F142" s="542">
        <v>21587036</v>
      </c>
      <c r="G142" s="542">
        <v>0</v>
      </c>
      <c r="H142" s="542">
        <v>21587036</v>
      </c>
      <c r="I142" s="542">
        <v>0</v>
      </c>
      <c r="J142" s="542">
        <v>0</v>
      </c>
      <c r="K142" s="542">
        <v>0</v>
      </c>
      <c r="L142" s="542">
        <v>104012</v>
      </c>
      <c r="M142" s="542">
        <v>0</v>
      </c>
      <c r="N142" s="542">
        <v>104012</v>
      </c>
      <c r="O142" s="542">
        <v>-44453</v>
      </c>
      <c r="P142" s="542">
        <v>0</v>
      </c>
      <c r="Q142" s="542">
        <v>-44453</v>
      </c>
      <c r="R142" s="542">
        <v>0</v>
      </c>
      <c r="S142" s="542">
        <v>0</v>
      </c>
      <c r="T142" s="542">
        <v>0</v>
      </c>
      <c r="U142" s="542">
        <v>31034</v>
      </c>
      <c r="V142" s="542">
        <v>0</v>
      </c>
      <c r="W142" s="542">
        <v>31034</v>
      </c>
      <c r="X142" s="542">
        <v>216320</v>
      </c>
      <c r="Y142" s="542">
        <v>0</v>
      </c>
      <c r="Z142" s="542">
        <v>216320</v>
      </c>
      <c r="AA142" s="542">
        <v>-1256468</v>
      </c>
      <c r="AB142" s="542">
        <v>0</v>
      </c>
      <c r="AC142" s="542">
        <v>-1256468</v>
      </c>
      <c r="AD142" s="542">
        <v>20681934</v>
      </c>
      <c r="AE142" s="542">
        <v>0</v>
      </c>
      <c r="AF142" s="542">
        <v>20681934</v>
      </c>
      <c r="AG142" s="542">
        <v>0</v>
      </c>
      <c r="AH142" s="542">
        <v>0</v>
      </c>
      <c r="AI142" s="542">
        <v>0</v>
      </c>
      <c r="AJ142" s="542">
        <v>0</v>
      </c>
      <c r="AK142" s="542">
        <v>0</v>
      </c>
      <c r="AL142" s="542">
        <v>0</v>
      </c>
      <c r="AM142" s="542">
        <v>0</v>
      </c>
      <c r="AN142" s="542">
        <v>0</v>
      </c>
      <c r="AO142" s="542">
        <v>0</v>
      </c>
      <c r="AP142" s="542">
        <v>0</v>
      </c>
      <c r="AQ142" s="542">
        <v>0</v>
      </c>
      <c r="AR142" s="542">
        <v>0</v>
      </c>
      <c r="AS142" s="542">
        <v>0</v>
      </c>
      <c r="AT142" s="542">
        <v>0</v>
      </c>
      <c r="AU142" s="542">
        <v>0</v>
      </c>
      <c r="AV142" s="542">
        <v>4053112</v>
      </c>
      <c r="AW142" s="542">
        <v>-714378</v>
      </c>
      <c r="AX142" s="136"/>
      <c r="AY142" s="136"/>
      <c r="AZ142" s="136"/>
      <c r="BA142" s="136"/>
      <c r="BB142" s="136"/>
      <c r="BC142" s="136"/>
      <c r="BD142" s="136"/>
      <c r="BE142" s="136"/>
      <c r="BF142" s="136"/>
      <c r="BG142" s="136"/>
      <c r="BH142" s="136"/>
      <c r="BI142" s="136"/>
      <c r="BJ142" s="136"/>
      <c r="BK142" s="136"/>
      <c r="BL142" s="136"/>
      <c r="BM142" s="136"/>
      <c r="BN142" s="136"/>
      <c r="BO142" s="136"/>
      <c r="BP142" s="136"/>
      <c r="BQ142" s="136"/>
      <c r="BR142" s="136"/>
      <c r="BS142" s="136"/>
      <c r="BT142" s="136"/>
      <c r="BU142" s="136"/>
      <c r="BV142" s="136"/>
      <c r="BW142" s="136"/>
      <c r="BX142" s="136"/>
      <c r="BY142" s="136"/>
      <c r="BZ142" s="136"/>
      <c r="CA142" s="136"/>
      <c r="CB142" s="136"/>
      <c r="CC142" s="136"/>
      <c r="CD142" s="136"/>
      <c r="CE142" s="136"/>
      <c r="CF142" s="136"/>
      <c r="CG142" s="136"/>
      <c r="CH142" s="136"/>
      <c r="CI142" s="136"/>
      <c r="CJ142" s="136"/>
      <c r="CK142" s="136"/>
      <c r="CL142" s="136"/>
      <c r="CM142" s="136"/>
      <c r="CN142" s="136"/>
      <c r="CO142" s="136"/>
      <c r="CP142" s="136"/>
      <c r="CQ142" s="136"/>
      <c r="CR142" s="136"/>
      <c r="CS142" s="136"/>
      <c r="CT142" s="136"/>
      <c r="CU142" s="136"/>
      <c r="CV142" s="136"/>
      <c r="CW142" s="136"/>
      <c r="CX142" s="136"/>
      <c r="CY142" s="136"/>
      <c r="CZ142" s="136"/>
      <c r="DA142" s="136"/>
      <c r="DB142" s="136"/>
      <c r="DC142" s="136"/>
      <c r="DD142" s="136"/>
      <c r="DE142" s="136"/>
      <c r="DF142" s="136"/>
      <c r="DG142" s="136"/>
      <c r="DH142" s="136"/>
      <c r="DI142" s="136"/>
      <c r="DJ142" s="136"/>
      <c r="DK142" s="136"/>
      <c r="DL142" s="136"/>
      <c r="DM142" s="136"/>
      <c r="DN142" s="136"/>
      <c r="DO142" s="136"/>
      <c r="DP142" s="136"/>
      <c r="DQ142" s="136"/>
      <c r="DR142" s="136"/>
      <c r="DS142" s="136"/>
      <c r="DT142" s="136"/>
      <c r="DU142" s="136"/>
      <c r="DV142" s="136"/>
      <c r="DW142" s="136"/>
      <c r="DX142" s="136"/>
      <c r="DY142" s="136"/>
      <c r="DZ142" s="136"/>
      <c r="EA142" s="136"/>
      <c r="EB142" s="136"/>
      <c r="EC142" s="136"/>
      <c r="ED142" s="136"/>
      <c r="EE142" s="136"/>
      <c r="EF142" s="136"/>
      <c r="EG142" s="136"/>
      <c r="EH142" s="136"/>
      <c r="EI142" s="136"/>
      <c r="EJ142" s="136"/>
      <c r="EK142" s="136"/>
      <c r="EL142" s="136"/>
      <c r="EM142" s="136"/>
      <c r="EN142" s="136"/>
      <c r="EO142" s="136"/>
      <c r="EP142" s="136"/>
      <c r="EQ142" s="136"/>
      <c r="ER142" s="136"/>
      <c r="ES142" s="136"/>
      <c r="ET142" s="136"/>
      <c r="EU142" s="136"/>
      <c r="EV142" s="136"/>
      <c r="EW142" s="136"/>
      <c r="EX142" s="136"/>
      <c r="EY142" s="136"/>
      <c r="EZ142" s="136"/>
      <c r="FA142" s="136"/>
      <c r="FB142" s="136"/>
      <c r="FC142" s="136"/>
      <c r="FD142" s="136"/>
      <c r="FE142" s="137"/>
      <c r="FF142" s="138"/>
    </row>
    <row r="143" spans="1:162" ht="12.75" x14ac:dyDescent="0.2">
      <c r="A143" s="93">
        <v>137</v>
      </c>
      <c r="B143" s="145" t="s">
        <v>152</v>
      </c>
      <c r="C143" s="141" t="s">
        <v>866</v>
      </c>
      <c r="D143" s="142" t="s">
        <v>870</v>
      </c>
      <c r="E143" s="149" t="s">
        <v>151</v>
      </c>
      <c r="F143" s="542">
        <v>55634293</v>
      </c>
      <c r="G143" s="542">
        <v>0</v>
      </c>
      <c r="H143" s="542">
        <v>55634293</v>
      </c>
      <c r="I143" s="542">
        <v>0</v>
      </c>
      <c r="J143" s="542">
        <v>0</v>
      </c>
      <c r="K143" s="542">
        <v>0</v>
      </c>
      <c r="L143" s="542">
        <v>918004</v>
      </c>
      <c r="M143" s="542">
        <v>0</v>
      </c>
      <c r="N143" s="542">
        <v>918004</v>
      </c>
      <c r="O143" s="542">
        <v>-694960</v>
      </c>
      <c r="P143" s="542">
        <v>0</v>
      </c>
      <c r="Q143" s="542">
        <v>-694960</v>
      </c>
      <c r="R143" s="542">
        <v>0</v>
      </c>
      <c r="S143" s="542">
        <v>0</v>
      </c>
      <c r="T143" s="542">
        <v>0</v>
      </c>
      <c r="U143" s="542">
        <v>-477048</v>
      </c>
      <c r="V143" s="542">
        <v>0</v>
      </c>
      <c r="W143" s="542">
        <v>-477048</v>
      </c>
      <c r="X143" s="542">
        <v>392580</v>
      </c>
      <c r="Y143" s="542">
        <v>0</v>
      </c>
      <c r="Z143" s="542">
        <v>392580</v>
      </c>
      <c r="AA143" s="542">
        <v>-983125</v>
      </c>
      <c r="AB143" s="542">
        <v>0</v>
      </c>
      <c r="AC143" s="542">
        <v>-983125</v>
      </c>
      <c r="AD143" s="542">
        <v>55484704</v>
      </c>
      <c r="AE143" s="542">
        <v>0</v>
      </c>
      <c r="AF143" s="542">
        <v>55484704</v>
      </c>
      <c r="AG143" s="542">
        <v>0</v>
      </c>
      <c r="AH143" s="542">
        <v>0</v>
      </c>
      <c r="AI143" s="542">
        <v>0</v>
      </c>
      <c r="AJ143" s="542">
        <v>0</v>
      </c>
      <c r="AK143" s="542">
        <v>0</v>
      </c>
      <c r="AL143" s="542">
        <v>0</v>
      </c>
      <c r="AM143" s="542">
        <v>0</v>
      </c>
      <c r="AN143" s="542">
        <v>0</v>
      </c>
      <c r="AO143" s="542">
        <v>0</v>
      </c>
      <c r="AP143" s="542">
        <v>0</v>
      </c>
      <c r="AQ143" s="542">
        <v>0</v>
      </c>
      <c r="AR143" s="542">
        <v>0</v>
      </c>
      <c r="AS143" s="542">
        <v>0</v>
      </c>
      <c r="AT143" s="542">
        <v>0</v>
      </c>
      <c r="AU143" s="542">
        <v>0</v>
      </c>
      <c r="AV143" s="542">
        <v>1411176</v>
      </c>
      <c r="AW143" s="542">
        <v>-498530</v>
      </c>
      <c r="AX143" s="136"/>
      <c r="AY143" s="136"/>
      <c r="AZ143" s="136"/>
      <c r="BA143" s="136"/>
      <c r="BB143" s="136"/>
      <c r="BC143" s="136"/>
      <c r="BD143" s="136"/>
      <c r="BE143" s="136"/>
      <c r="BF143" s="136"/>
      <c r="BG143" s="136"/>
      <c r="BH143" s="136"/>
      <c r="BI143" s="136"/>
      <c r="BJ143" s="136"/>
      <c r="BK143" s="136"/>
      <c r="BL143" s="136"/>
      <c r="BM143" s="136"/>
      <c r="BN143" s="136"/>
      <c r="BO143" s="136"/>
      <c r="BP143" s="136"/>
      <c r="BQ143" s="136"/>
      <c r="BR143" s="136"/>
      <c r="BS143" s="136"/>
      <c r="BT143" s="136"/>
      <c r="BU143" s="136"/>
      <c r="BV143" s="136"/>
      <c r="BW143" s="136"/>
      <c r="BX143" s="136"/>
      <c r="BY143" s="136"/>
      <c r="BZ143" s="136"/>
      <c r="CA143" s="136"/>
      <c r="CB143" s="136"/>
      <c r="CC143" s="136"/>
      <c r="CD143" s="136"/>
      <c r="CE143" s="136"/>
      <c r="CF143" s="136"/>
      <c r="CG143" s="136"/>
      <c r="CH143" s="136"/>
      <c r="CI143" s="136"/>
      <c r="CJ143" s="136"/>
      <c r="CK143" s="136"/>
      <c r="CL143" s="136"/>
      <c r="CM143" s="136"/>
      <c r="CN143" s="136"/>
      <c r="CO143" s="136"/>
      <c r="CP143" s="136"/>
      <c r="CQ143" s="136"/>
      <c r="CR143" s="136"/>
      <c r="CS143" s="136"/>
      <c r="CT143" s="136"/>
      <c r="CU143" s="136"/>
      <c r="CV143" s="136"/>
      <c r="CW143" s="136"/>
      <c r="CX143" s="136"/>
      <c r="CY143" s="136"/>
      <c r="CZ143" s="136"/>
      <c r="DA143" s="136"/>
      <c r="DB143" s="136"/>
      <c r="DC143" s="136"/>
      <c r="DD143" s="136"/>
      <c r="DE143" s="136"/>
      <c r="DF143" s="136"/>
      <c r="DG143" s="136"/>
      <c r="DH143" s="136"/>
      <c r="DI143" s="136"/>
      <c r="DJ143" s="136"/>
      <c r="DK143" s="136"/>
      <c r="DL143" s="136"/>
      <c r="DM143" s="136"/>
      <c r="DN143" s="136"/>
      <c r="DO143" s="136"/>
      <c r="DP143" s="136"/>
      <c r="DQ143" s="136"/>
      <c r="DR143" s="136"/>
      <c r="DS143" s="136"/>
      <c r="DT143" s="136"/>
      <c r="DU143" s="136"/>
      <c r="DV143" s="136"/>
      <c r="DW143" s="136"/>
      <c r="DX143" s="136"/>
      <c r="DY143" s="136"/>
      <c r="DZ143" s="136"/>
      <c r="EA143" s="136"/>
      <c r="EB143" s="136"/>
      <c r="EC143" s="136"/>
      <c r="ED143" s="136"/>
      <c r="EE143" s="136"/>
      <c r="EF143" s="136"/>
      <c r="EG143" s="136"/>
      <c r="EH143" s="136"/>
      <c r="EI143" s="136"/>
      <c r="EJ143" s="136"/>
      <c r="EK143" s="136"/>
      <c r="EL143" s="136"/>
      <c r="EM143" s="136"/>
      <c r="EN143" s="136"/>
      <c r="EO143" s="136"/>
      <c r="EP143" s="136"/>
      <c r="EQ143" s="136"/>
      <c r="ER143" s="136"/>
      <c r="ES143" s="136"/>
      <c r="ET143" s="136"/>
      <c r="EU143" s="136"/>
      <c r="EV143" s="136"/>
      <c r="EW143" s="136"/>
      <c r="EX143" s="136"/>
      <c r="EY143" s="136"/>
      <c r="EZ143" s="136"/>
      <c r="FA143" s="136"/>
      <c r="FB143" s="136"/>
      <c r="FC143" s="136"/>
      <c r="FD143" s="136"/>
      <c r="FE143" s="137"/>
      <c r="FF143" s="138"/>
    </row>
    <row r="144" spans="1:162" ht="12.75" x14ac:dyDescent="0.2">
      <c r="A144" s="93">
        <v>138</v>
      </c>
      <c r="B144" s="145" t="s">
        <v>154</v>
      </c>
      <c r="C144" s="141" t="s">
        <v>770</v>
      </c>
      <c r="D144" s="142" t="s">
        <v>867</v>
      </c>
      <c r="E144" s="149" t="s">
        <v>882</v>
      </c>
      <c r="F144" s="542">
        <v>34303090</v>
      </c>
      <c r="G144" s="542">
        <v>0</v>
      </c>
      <c r="H144" s="542">
        <v>34303090</v>
      </c>
      <c r="I144" s="542">
        <v>0</v>
      </c>
      <c r="J144" s="542">
        <v>0</v>
      </c>
      <c r="K144" s="542">
        <v>0</v>
      </c>
      <c r="L144" s="542">
        <v>178709</v>
      </c>
      <c r="M144" s="542">
        <v>0</v>
      </c>
      <c r="N144" s="542">
        <v>178709</v>
      </c>
      <c r="O144" s="542">
        <v>-275221</v>
      </c>
      <c r="P144" s="542">
        <v>0</v>
      </c>
      <c r="Q144" s="542">
        <v>-275221</v>
      </c>
      <c r="R144" s="542">
        <v>0</v>
      </c>
      <c r="S144" s="542">
        <v>0</v>
      </c>
      <c r="T144" s="542">
        <v>0</v>
      </c>
      <c r="U144" s="542">
        <v>-328624</v>
      </c>
      <c r="V144" s="542">
        <v>0</v>
      </c>
      <c r="W144" s="542">
        <v>-328624</v>
      </c>
      <c r="X144" s="542">
        <v>1550466</v>
      </c>
      <c r="Y144" s="542">
        <v>0</v>
      </c>
      <c r="Z144" s="542">
        <v>1550466</v>
      </c>
      <c r="AA144" s="542">
        <v>-2485557</v>
      </c>
      <c r="AB144" s="542">
        <v>0</v>
      </c>
      <c r="AC144" s="542">
        <v>-2485557</v>
      </c>
      <c r="AD144" s="542">
        <v>33218084</v>
      </c>
      <c r="AE144" s="542">
        <v>0</v>
      </c>
      <c r="AF144" s="542">
        <v>33218084</v>
      </c>
      <c r="AG144" s="542">
        <v>0</v>
      </c>
      <c r="AH144" s="542">
        <v>0</v>
      </c>
      <c r="AI144" s="542">
        <v>0</v>
      </c>
      <c r="AJ144" s="542">
        <v>140658</v>
      </c>
      <c r="AK144" s="542">
        <v>0</v>
      </c>
      <c r="AL144" s="542">
        <v>0</v>
      </c>
      <c r="AM144" s="542">
        <v>140658</v>
      </c>
      <c r="AN144" s="542">
        <v>0</v>
      </c>
      <c r="AO144" s="542">
        <v>0</v>
      </c>
      <c r="AP144" s="542">
        <v>0</v>
      </c>
      <c r="AQ144" s="542">
        <v>0</v>
      </c>
      <c r="AR144" s="542">
        <v>0</v>
      </c>
      <c r="AS144" s="542">
        <v>0</v>
      </c>
      <c r="AT144" s="542">
        <v>0</v>
      </c>
      <c r="AU144" s="542">
        <v>0</v>
      </c>
      <c r="AV144" s="542">
        <v>1128822</v>
      </c>
      <c r="AW144" s="542">
        <v>-558121</v>
      </c>
      <c r="AX144" s="136"/>
      <c r="AY144" s="136"/>
      <c r="AZ144" s="136"/>
      <c r="BA144" s="136"/>
      <c r="BB144" s="136"/>
      <c r="BC144" s="136"/>
      <c r="BD144" s="136"/>
      <c r="BE144" s="136"/>
      <c r="BF144" s="136"/>
      <c r="BG144" s="136"/>
      <c r="BH144" s="136"/>
      <c r="BI144" s="136"/>
      <c r="BJ144" s="136"/>
      <c r="BK144" s="136"/>
      <c r="BL144" s="136"/>
      <c r="BM144" s="136"/>
      <c r="BN144" s="136"/>
      <c r="BO144" s="136"/>
      <c r="BP144" s="136"/>
      <c r="BQ144" s="136"/>
      <c r="BR144" s="136"/>
      <c r="BS144" s="136"/>
      <c r="BT144" s="136"/>
      <c r="BU144" s="136"/>
      <c r="BV144" s="136"/>
      <c r="BW144" s="136"/>
      <c r="BX144" s="136"/>
      <c r="BY144" s="136"/>
      <c r="BZ144" s="136"/>
      <c r="CA144" s="136"/>
      <c r="CB144" s="136"/>
      <c r="CC144" s="136"/>
      <c r="CD144" s="136"/>
      <c r="CE144" s="136"/>
      <c r="CF144" s="136"/>
      <c r="CG144" s="136"/>
      <c r="CH144" s="136"/>
      <c r="CI144" s="136"/>
      <c r="CJ144" s="136"/>
      <c r="CK144" s="136"/>
      <c r="CL144" s="136"/>
      <c r="CM144" s="136"/>
      <c r="CN144" s="136"/>
      <c r="CO144" s="136"/>
      <c r="CP144" s="136"/>
      <c r="CQ144" s="136"/>
      <c r="CR144" s="136"/>
      <c r="CS144" s="136"/>
      <c r="CT144" s="136"/>
      <c r="CU144" s="136"/>
      <c r="CV144" s="136"/>
      <c r="CW144" s="136"/>
      <c r="CX144" s="136"/>
      <c r="CY144" s="136"/>
      <c r="CZ144" s="136"/>
      <c r="DA144" s="136"/>
      <c r="DB144" s="136"/>
      <c r="DC144" s="136"/>
      <c r="DD144" s="136"/>
      <c r="DE144" s="136"/>
      <c r="DF144" s="136"/>
      <c r="DG144" s="136"/>
      <c r="DH144" s="136"/>
      <c r="DI144" s="136"/>
      <c r="DJ144" s="136"/>
      <c r="DK144" s="136"/>
      <c r="DL144" s="136"/>
      <c r="DM144" s="136"/>
      <c r="DN144" s="136"/>
      <c r="DO144" s="136"/>
      <c r="DP144" s="136"/>
      <c r="DQ144" s="136"/>
      <c r="DR144" s="136"/>
      <c r="DS144" s="136"/>
      <c r="DT144" s="136"/>
      <c r="DU144" s="136"/>
      <c r="DV144" s="136"/>
      <c r="DW144" s="136"/>
      <c r="DX144" s="136"/>
      <c r="DY144" s="136"/>
      <c r="DZ144" s="136"/>
      <c r="EA144" s="136"/>
      <c r="EB144" s="136"/>
      <c r="EC144" s="136"/>
      <c r="ED144" s="136"/>
      <c r="EE144" s="136"/>
      <c r="EF144" s="136"/>
      <c r="EG144" s="136"/>
      <c r="EH144" s="136"/>
      <c r="EI144" s="136"/>
      <c r="EJ144" s="136"/>
      <c r="EK144" s="136"/>
      <c r="EL144" s="136"/>
      <c r="EM144" s="136"/>
      <c r="EN144" s="136"/>
      <c r="EO144" s="136"/>
      <c r="EP144" s="136"/>
      <c r="EQ144" s="136"/>
      <c r="ER144" s="136"/>
      <c r="ES144" s="136"/>
      <c r="ET144" s="136"/>
      <c r="EU144" s="136"/>
      <c r="EV144" s="136"/>
      <c r="EW144" s="136"/>
      <c r="EX144" s="136"/>
      <c r="EY144" s="136"/>
      <c r="EZ144" s="136"/>
      <c r="FA144" s="136"/>
      <c r="FB144" s="136"/>
      <c r="FC144" s="136"/>
      <c r="FD144" s="136"/>
      <c r="FE144" s="137"/>
      <c r="FF144" s="138"/>
    </row>
    <row r="145" spans="1:162" ht="12.75" x14ac:dyDescent="0.2">
      <c r="A145" s="93">
        <v>139</v>
      </c>
      <c r="B145" s="145" t="s">
        <v>156</v>
      </c>
      <c r="C145" s="141" t="s">
        <v>770</v>
      </c>
      <c r="D145" s="142" t="s">
        <v>875</v>
      </c>
      <c r="E145" s="149" t="s">
        <v>155</v>
      </c>
      <c r="F145" s="542">
        <v>1563936</v>
      </c>
      <c r="G145" s="542">
        <v>0</v>
      </c>
      <c r="H145" s="542">
        <v>1563936</v>
      </c>
      <c r="I145" s="542">
        <v>0</v>
      </c>
      <c r="J145" s="542">
        <v>0</v>
      </c>
      <c r="K145" s="542">
        <v>0</v>
      </c>
      <c r="L145" s="542">
        <v>0</v>
      </c>
      <c r="M145" s="542">
        <v>0</v>
      </c>
      <c r="N145" s="542">
        <v>0</v>
      </c>
      <c r="O145" s="542">
        <v>-179779</v>
      </c>
      <c r="P145" s="542">
        <v>0</v>
      </c>
      <c r="Q145" s="542">
        <v>-179779</v>
      </c>
      <c r="R145" s="542">
        <v>0</v>
      </c>
      <c r="S145" s="542">
        <v>0</v>
      </c>
      <c r="T145" s="542">
        <v>0</v>
      </c>
      <c r="U145" s="542">
        <v>0</v>
      </c>
      <c r="V145" s="542">
        <v>0</v>
      </c>
      <c r="W145" s="542">
        <v>0</v>
      </c>
      <c r="X145" s="542">
        <v>0</v>
      </c>
      <c r="Y145" s="542">
        <v>0</v>
      </c>
      <c r="Z145" s="542">
        <v>0</v>
      </c>
      <c r="AA145" s="542">
        <v>0</v>
      </c>
      <c r="AB145" s="542">
        <v>0</v>
      </c>
      <c r="AC145" s="542">
        <v>0</v>
      </c>
      <c r="AD145" s="542">
        <v>1563936</v>
      </c>
      <c r="AE145" s="542">
        <v>0</v>
      </c>
      <c r="AF145" s="542">
        <v>1563936</v>
      </c>
      <c r="AG145" s="542">
        <v>0</v>
      </c>
      <c r="AH145" s="542">
        <v>0</v>
      </c>
      <c r="AI145" s="542">
        <v>0</v>
      </c>
      <c r="AJ145" s="542">
        <v>0</v>
      </c>
      <c r="AK145" s="542">
        <v>0</v>
      </c>
      <c r="AL145" s="542">
        <v>0</v>
      </c>
      <c r="AM145" s="542">
        <v>0</v>
      </c>
      <c r="AN145" s="542">
        <v>0</v>
      </c>
      <c r="AO145" s="542">
        <v>0</v>
      </c>
      <c r="AP145" s="542">
        <v>0</v>
      </c>
      <c r="AQ145" s="542">
        <v>0</v>
      </c>
      <c r="AR145" s="542">
        <v>0</v>
      </c>
      <c r="AS145" s="542">
        <v>0</v>
      </c>
      <c r="AT145" s="542">
        <v>0</v>
      </c>
      <c r="AU145" s="542">
        <v>0</v>
      </c>
      <c r="AV145" s="542">
        <v>50350</v>
      </c>
      <c r="AW145" s="542">
        <v>-28598</v>
      </c>
      <c r="AX145" s="136"/>
      <c r="AY145" s="136"/>
      <c r="AZ145" s="136"/>
      <c r="BA145" s="136"/>
      <c r="BB145" s="136"/>
      <c r="BC145" s="136"/>
      <c r="BD145" s="136"/>
      <c r="BE145" s="136"/>
      <c r="BF145" s="136"/>
      <c r="BG145" s="136"/>
      <c r="BH145" s="136"/>
      <c r="BI145" s="136"/>
      <c r="BJ145" s="136"/>
      <c r="BK145" s="136"/>
      <c r="BL145" s="136"/>
      <c r="BM145" s="136"/>
      <c r="BN145" s="136"/>
      <c r="BO145" s="136"/>
      <c r="BP145" s="136"/>
      <c r="BQ145" s="136"/>
      <c r="BR145" s="136"/>
      <c r="BS145" s="136"/>
      <c r="BT145" s="136"/>
      <c r="BU145" s="136"/>
      <c r="BV145" s="136"/>
      <c r="BW145" s="136"/>
      <c r="BX145" s="136"/>
      <c r="BY145" s="136"/>
      <c r="BZ145" s="136"/>
      <c r="CA145" s="136"/>
      <c r="CB145" s="136"/>
      <c r="CC145" s="136"/>
      <c r="CD145" s="136"/>
      <c r="CE145" s="136"/>
      <c r="CF145" s="136"/>
      <c r="CG145" s="136"/>
      <c r="CH145" s="136"/>
      <c r="CI145" s="136"/>
      <c r="CJ145" s="136"/>
      <c r="CK145" s="136"/>
      <c r="CL145" s="136"/>
      <c r="CM145" s="136"/>
      <c r="CN145" s="136"/>
      <c r="CO145" s="136"/>
      <c r="CP145" s="136"/>
      <c r="CQ145" s="136"/>
      <c r="CR145" s="136"/>
      <c r="CS145" s="136"/>
      <c r="CT145" s="136"/>
      <c r="CU145" s="136"/>
      <c r="CV145" s="136"/>
      <c r="CW145" s="136"/>
      <c r="CX145" s="136"/>
      <c r="CY145" s="136"/>
      <c r="CZ145" s="136"/>
      <c r="DA145" s="136"/>
      <c r="DB145" s="136"/>
      <c r="DC145" s="136"/>
      <c r="DD145" s="136"/>
      <c r="DE145" s="136"/>
      <c r="DF145" s="136"/>
      <c r="DG145" s="136"/>
      <c r="DH145" s="136"/>
      <c r="DI145" s="136"/>
      <c r="DJ145" s="136"/>
      <c r="DK145" s="136"/>
      <c r="DL145" s="136"/>
      <c r="DM145" s="136"/>
      <c r="DN145" s="136"/>
      <c r="DO145" s="136"/>
      <c r="DP145" s="136"/>
      <c r="DQ145" s="136"/>
      <c r="DR145" s="136"/>
      <c r="DS145" s="136"/>
      <c r="DT145" s="136"/>
      <c r="DU145" s="136"/>
      <c r="DV145" s="136"/>
      <c r="DW145" s="136"/>
      <c r="DX145" s="136"/>
      <c r="DY145" s="136"/>
      <c r="DZ145" s="136"/>
      <c r="EA145" s="136"/>
      <c r="EB145" s="136"/>
      <c r="EC145" s="136"/>
      <c r="ED145" s="136"/>
      <c r="EE145" s="136"/>
      <c r="EF145" s="136"/>
      <c r="EG145" s="136"/>
      <c r="EH145" s="136"/>
      <c r="EI145" s="136"/>
      <c r="EJ145" s="136"/>
      <c r="EK145" s="136"/>
      <c r="EL145" s="136"/>
      <c r="EM145" s="136"/>
      <c r="EN145" s="136"/>
      <c r="EO145" s="136"/>
      <c r="EP145" s="136"/>
      <c r="EQ145" s="136"/>
      <c r="ER145" s="136"/>
      <c r="ES145" s="136"/>
      <c r="ET145" s="136"/>
      <c r="EU145" s="136"/>
      <c r="EV145" s="136"/>
      <c r="EW145" s="136"/>
      <c r="EX145" s="136"/>
      <c r="EY145" s="136"/>
      <c r="EZ145" s="136"/>
      <c r="FA145" s="136"/>
      <c r="FB145" s="136"/>
      <c r="FC145" s="136"/>
      <c r="FD145" s="136"/>
      <c r="FE145" s="137"/>
      <c r="FF145" s="138"/>
    </row>
    <row r="146" spans="1:162" ht="12.75" x14ac:dyDescent="0.2">
      <c r="A146" s="93">
        <v>140</v>
      </c>
      <c r="B146" s="145" t="s">
        <v>158</v>
      </c>
      <c r="C146" s="141" t="s">
        <v>877</v>
      </c>
      <c r="D146" s="142" t="s">
        <v>872</v>
      </c>
      <c r="E146" s="149" t="s">
        <v>157</v>
      </c>
      <c r="F146" s="542">
        <v>199268155</v>
      </c>
      <c r="G146" s="542">
        <v>0</v>
      </c>
      <c r="H146" s="542">
        <v>199268155</v>
      </c>
      <c r="I146" s="542">
        <v>-198</v>
      </c>
      <c r="J146" s="542">
        <v>0</v>
      </c>
      <c r="K146" s="542">
        <v>-198</v>
      </c>
      <c r="L146" s="542">
        <v>61174</v>
      </c>
      <c r="M146" s="542">
        <v>0</v>
      </c>
      <c r="N146" s="542">
        <v>61174</v>
      </c>
      <c r="O146" s="542">
        <v>-3304115</v>
      </c>
      <c r="P146" s="542">
        <v>0</v>
      </c>
      <c r="Q146" s="542">
        <v>-3304115</v>
      </c>
      <c r="R146" s="542">
        <v>-75132</v>
      </c>
      <c r="S146" s="542">
        <v>0</v>
      </c>
      <c r="T146" s="542">
        <v>-75132</v>
      </c>
      <c r="U146" s="542">
        <v>-2472081</v>
      </c>
      <c r="V146" s="542">
        <v>0</v>
      </c>
      <c r="W146" s="542">
        <v>-2472081</v>
      </c>
      <c r="X146" s="542">
        <v>1830931</v>
      </c>
      <c r="Y146" s="542">
        <v>0</v>
      </c>
      <c r="Z146" s="542">
        <v>1830931</v>
      </c>
      <c r="AA146" s="542">
        <v>-5264462</v>
      </c>
      <c r="AB146" s="542">
        <v>0</v>
      </c>
      <c r="AC146" s="542">
        <v>-5264462</v>
      </c>
      <c r="AD146" s="542">
        <v>193348387</v>
      </c>
      <c r="AE146" s="542">
        <v>0</v>
      </c>
      <c r="AF146" s="542">
        <v>193348387</v>
      </c>
      <c r="AG146" s="542">
        <v>0</v>
      </c>
      <c r="AH146" s="542">
        <v>0</v>
      </c>
      <c r="AI146" s="542">
        <v>0</v>
      </c>
      <c r="AJ146" s="542">
        <v>60240</v>
      </c>
      <c r="AK146" s="542">
        <v>0</v>
      </c>
      <c r="AL146" s="542">
        <v>0</v>
      </c>
      <c r="AM146" s="542">
        <v>60240</v>
      </c>
      <c r="AN146" s="542">
        <v>0</v>
      </c>
      <c r="AO146" s="542">
        <v>0</v>
      </c>
      <c r="AP146" s="542">
        <v>0</v>
      </c>
      <c r="AQ146" s="542">
        <v>0</v>
      </c>
      <c r="AR146" s="542">
        <v>0</v>
      </c>
      <c r="AS146" s="542">
        <v>0</v>
      </c>
      <c r="AT146" s="542">
        <v>0</v>
      </c>
      <c r="AU146" s="542">
        <v>0</v>
      </c>
      <c r="AV146" s="542">
        <v>21516432</v>
      </c>
      <c r="AW146" s="542">
        <v>-13894859</v>
      </c>
      <c r="AX146" s="136"/>
      <c r="AY146" s="136"/>
      <c r="AZ146" s="136"/>
      <c r="BA146" s="136"/>
      <c r="BB146" s="136"/>
      <c r="BC146" s="136"/>
      <c r="BD146" s="136"/>
      <c r="BE146" s="136"/>
      <c r="BF146" s="136"/>
      <c r="BG146" s="136"/>
      <c r="BH146" s="136"/>
      <c r="BI146" s="136"/>
      <c r="BJ146" s="136"/>
      <c r="BK146" s="136"/>
      <c r="BL146" s="136"/>
      <c r="BM146" s="136"/>
      <c r="BN146" s="136"/>
      <c r="BO146" s="136"/>
      <c r="BP146" s="136"/>
      <c r="BQ146" s="136"/>
      <c r="BR146" s="136"/>
      <c r="BS146" s="136"/>
      <c r="BT146" s="136"/>
      <c r="BU146" s="136"/>
      <c r="BV146" s="136"/>
      <c r="BW146" s="136"/>
      <c r="BX146" s="136"/>
      <c r="BY146" s="136"/>
      <c r="BZ146" s="136"/>
      <c r="CA146" s="136"/>
      <c r="CB146" s="136"/>
      <c r="CC146" s="136"/>
      <c r="CD146" s="136"/>
      <c r="CE146" s="136"/>
      <c r="CF146" s="136"/>
      <c r="CG146" s="136"/>
      <c r="CH146" s="136"/>
      <c r="CI146" s="136"/>
      <c r="CJ146" s="136"/>
      <c r="CK146" s="136"/>
      <c r="CL146" s="136"/>
      <c r="CM146" s="136"/>
      <c r="CN146" s="136"/>
      <c r="CO146" s="136"/>
      <c r="CP146" s="136"/>
      <c r="CQ146" s="136"/>
      <c r="CR146" s="136"/>
      <c r="CS146" s="136"/>
      <c r="CT146" s="136"/>
      <c r="CU146" s="136"/>
      <c r="CV146" s="136"/>
      <c r="CW146" s="136"/>
      <c r="CX146" s="136"/>
      <c r="CY146" s="136"/>
      <c r="CZ146" s="136"/>
      <c r="DA146" s="136"/>
      <c r="DB146" s="136"/>
      <c r="DC146" s="136"/>
      <c r="DD146" s="136"/>
      <c r="DE146" s="136"/>
      <c r="DF146" s="136"/>
      <c r="DG146" s="136"/>
      <c r="DH146" s="136"/>
      <c r="DI146" s="136"/>
      <c r="DJ146" s="136"/>
      <c r="DK146" s="136"/>
      <c r="DL146" s="136"/>
      <c r="DM146" s="136"/>
      <c r="DN146" s="136"/>
      <c r="DO146" s="136"/>
      <c r="DP146" s="136"/>
      <c r="DQ146" s="136"/>
      <c r="DR146" s="136"/>
      <c r="DS146" s="136"/>
      <c r="DT146" s="136"/>
      <c r="DU146" s="136"/>
      <c r="DV146" s="136"/>
      <c r="DW146" s="136"/>
      <c r="DX146" s="136"/>
      <c r="DY146" s="136"/>
      <c r="DZ146" s="136"/>
      <c r="EA146" s="136"/>
      <c r="EB146" s="136"/>
      <c r="EC146" s="136"/>
      <c r="ED146" s="136"/>
      <c r="EE146" s="136"/>
      <c r="EF146" s="136"/>
      <c r="EG146" s="136"/>
      <c r="EH146" s="136"/>
      <c r="EI146" s="136"/>
      <c r="EJ146" s="136"/>
      <c r="EK146" s="136"/>
      <c r="EL146" s="136"/>
      <c r="EM146" s="136"/>
      <c r="EN146" s="136"/>
      <c r="EO146" s="136"/>
      <c r="EP146" s="136"/>
      <c r="EQ146" s="136"/>
      <c r="ER146" s="136"/>
      <c r="ES146" s="136"/>
      <c r="ET146" s="136"/>
      <c r="EU146" s="136"/>
      <c r="EV146" s="136"/>
      <c r="EW146" s="136"/>
      <c r="EX146" s="136"/>
      <c r="EY146" s="136"/>
      <c r="EZ146" s="136"/>
      <c r="FA146" s="136"/>
      <c r="FB146" s="136"/>
      <c r="FC146" s="136"/>
      <c r="FD146" s="136"/>
      <c r="FE146" s="137"/>
      <c r="FF146" s="138"/>
    </row>
    <row r="147" spans="1:162" ht="12.75" x14ac:dyDescent="0.2">
      <c r="A147" s="93">
        <v>141</v>
      </c>
      <c r="B147" s="145" t="s">
        <v>160</v>
      </c>
      <c r="C147" s="141" t="s">
        <v>877</v>
      </c>
      <c r="D147" s="142" t="s">
        <v>872</v>
      </c>
      <c r="E147" s="149" t="s">
        <v>702</v>
      </c>
      <c r="F147" s="542">
        <v>276304889</v>
      </c>
      <c r="G147" s="542">
        <v>0</v>
      </c>
      <c r="H147" s="542">
        <v>276304889</v>
      </c>
      <c r="I147" s="542">
        <v>-7083</v>
      </c>
      <c r="J147" s="542">
        <v>0</v>
      </c>
      <c r="K147" s="542">
        <v>-7083</v>
      </c>
      <c r="L147" s="542">
        <v>494818</v>
      </c>
      <c r="M147" s="542">
        <v>0</v>
      </c>
      <c r="N147" s="542">
        <v>494818</v>
      </c>
      <c r="O147" s="542">
        <v>0</v>
      </c>
      <c r="P147" s="542">
        <v>0</v>
      </c>
      <c r="Q147" s="542">
        <v>0</v>
      </c>
      <c r="R147" s="542">
        <v>-1748647</v>
      </c>
      <c r="S147" s="542">
        <v>0</v>
      </c>
      <c r="T147" s="542">
        <v>-1748647</v>
      </c>
      <c r="U147" s="542">
        <v>324237</v>
      </c>
      <c r="V147" s="542">
        <v>0</v>
      </c>
      <c r="W147" s="542">
        <v>324237</v>
      </c>
      <c r="X147" s="542">
        <v>9954949.8000000007</v>
      </c>
      <c r="Y147" s="542">
        <v>0</v>
      </c>
      <c r="Z147" s="542">
        <v>9954949.8000000007</v>
      </c>
      <c r="AA147" s="542">
        <v>-15862532</v>
      </c>
      <c r="AB147" s="542">
        <v>0</v>
      </c>
      <c r="AC147" s="542">
        <v>-15862532</v>
      </c>
      <c r="AD147" s="542">
        <v>269460631</v>
      </c>
      <c r="AE147" s="542">
        <v>0</v>
      </c>
      <c r="AF147" s="542">
        <v>269460631</v>
      </c>
      <c r="AG147" s="542">
        <v>0</v>
      </c>
      <c r="AH147" s="542">
        <v>0</v>
      </c>
      <c r="AI147" s="542">
        <v>0</v>
      </c>
      <c r="AJ147" s="542">
        <v>0</v>
      </c>
      <c r="AK147" s="542">
        <v>0</v>
      </c>
      <c r="AL147" s="542">
        <v>0</v>
      </c>
      <c r="AM147" s="542">
        <v>0</v>
      </c>
      <c r="AN147" s="542">
        <v>0</v>
      </c>
      <c r="AO147" s="542">
        <v>0</v>
      </c>
      <c r="AP147" s="542">
        <v>0</v>
      </c>
      <c r="AQ147" s="542">
        <v>0</v>
      </c>
      <c r="AR147" s="542">
        <v>0</v>
      </c>
      <c r="AS147" s="542">
        <v>0</v>
      </c>
      <c r="AT147" s="542">
        <v>0</v>
      </c>
      <c r="AU147" s="542">
        <v>0</v>
      </c>
      <c r="AV147" s="542">
        <v>8158189</v>
      </c>
      <c r="AW147" s="542">
        <v>-8144050</v>
      </c>
      <c r="AX147" s="136"/>
      <c r="AY147" s="136"/>
      <c r="AZ147" s="136"/>
      <c r="BA147" s="136"/>
      <c r="BB147" s="136"/>
      <c r="BC147" s="136"/>
      <c r="BD147" s="136"/>
      <c r="BE147" s="136"/>
      <c r="BF147" s="136"/>
      <c r="BG147" s="136"/>
      <c r="BH147" s="136"/>
      <c r="BI147" s="136"/>
      <c r="BJ147" s="136"/>
      <c r="BK147" s="136"/>
      <c r="BL147" s="136"/>
      <c r="BM147" s="136"/>
      <c r="BN147" s="136"/>
      <c r="BO147" s="136"/>
      <c r="BP147" s="136"/>
      <c r="BQ147" s="136"/>
      <c r="BR147" s="136"/>
      <c r="BS147" s="136"/>
      <c r="BT147" s="136"/>
      <c r="BU147" s="136"/>
      <c r="BV147" s="136"/>
      <c r="BW147" s="136"/>
      <c r="BX147" s="136"/>
      <c r="BY147" s="136"/>
      <c r="BZ147" s="136"/>
      <c r="CA147" s="136"/>
      <c r="CB147" s="136"/>
      <c r="CC147" s="136"/>
      <c r="CD147" s="136"/>
      <c r="CE147" s="136"/>
      <c r="CF147" s="136"/>
      <c r="CG147" s="136"/>
      <c r="CH147" s="136"/>
      <c r="CI147" s="136"/>
      <c r="CJ147" s="136"/>
      <c r="CK147" s="136"/>
      <c r="CL147" s="136"/>
      <c r="CM147" s="136"/>
      <c r="CN147" s="136"/>
      <c r="CO147" s="136"/>
      <c r="CP147" s="136"/>
      <c r="CQ147" s="136"/>
      <c r="CR147" s="136"/>
      <c r="CS147" s="136"/>
      <c r="CT147" s="136"/>
      <c r="CU147" s="136"/>
      <c r="CV147" s="136"/>
      <c r="CW147" s="136"/>
      <c r="CX147" s="136"/>
      <c r="CY147" s="136"/>
      <c r="CZ147" s="136"/>
      <c r="DA147" s="136"/>
      <c r="DB147" s="136"/>
      <c r="DC147" s="136"/>
      <c r="DD147" s="136"/>
      <c r="DE147" s="136"/>
      <c r="DF147" s="136"/>
      <c r="DG147" s="136"/>
      <c r="DH147" s="136"/>
      <c r="DI147" s="136"/>
      <c r="DJ147" s="136"/>
      <c r="DK147" s="136"/>
      <c r="DL147" s="136"/>
      <c r="DM147" s="136"/>
      <c r="DN147" s="136"/>
      <c r="DO147" s="136"/>
      <c r="DP147" s="136"/>
      <c r="DQ147" s="136"/>
      <c r="DR147" s="136"/>
      <c r="DS147" s="136"/>
      <c r="DT147" s="136"/>
      <c r="DU147" s="136"/>
      <c r="DV147" s="136"/>
      <c r="DW147" s="136"/>
      <c r="DX147" s="136"/>
      <c r="DY147" s="136"/>
      <c r="DZ147" s="136"/>
      <c r="EA147" s="136"/>
      <c r="EB147" s="136"/>
      <c r="EC147" s="136"/>
      <c r="ED147" s="136"/>
      <c r="EE147" s="136"/>
      <c r="EF147" s="136"/>
      <c r="EG147" s="136"/>
      <c r="EH147" s="136"/>
      <c r="EI147" s="136"/>
      <c r="EJ147" s="136"/>
      <c r="EK147" s="136"/>
      <c r="EL147" s="136"/>
      <c r="EM147" s="136"/>
      <c r="EN147" s="136"/>
      <c r="EO147" s="136"/>
      <c r="EP147" s="136"/>
      <c r="EQ147" s="136"/>
      <c r="ER147" s="136"/>
      <c r="ES147" s="136"/>
      <c r="ET147" s="136"/>
      <c r="EU147" s="136"/>
      <c r="EV147" s="136"/>
      <c r="EW147" s="136"/>
      <c r="EX147" s="136"/>
      <c r="EY147" s="136"/>
      <c r="EZ147" s="136"/>
      <c r="FA147" s="136"/>
      <c r="FB147" s="136"/>
      <c r="FC147" s="136"/>
      <c r="FD147" s="136"/>
      <c r="FE147" s="137"/>
      <c r="FF147" s="138"/>
    </row>
    <row r="148" spans="1:162" ht="12.75" x14ac:dyDescent="0.2">
      <c r="A148" s="93">
        <v>142</v>
      </c>
      <c r="B148" s="145" t="s">
        <v>162</v>
      </c>
      <c r="C148" s="141" t="s">
        <v>866</v>
      </c>
      <c r="D148" s="142" t="s">
        <v>869</v>
      </c>
      <c r="E148" s="149" t="s">
        <v>161</v>
      </c>
      <c r="F148" s="542">
        <v>31455959</v>
      </c>
      <c r="G148" s="542">
        <v>0</v>
      </c>
      <c r="H148" s="542">
        <v>31455959</v>
      </c>
      <c r="I148" s="542">
        <v>0</v>
      </c>
      <c r="J148" s="542">
        <v>0</v>
      </c>
      <c r="K148" s="542">
        <v>0</v>
      </c>
      <c r="L148" s="542">
        <v>35757</v>
      </c>
      <c r="M148" s="542">
        <v>0</v>
      </c>
      <c r="N148" s="542">
        <v>35757</v>
      </c>
      <c r="O148" s="542">
        <v>-210067</v>
      </c>
      <c r="P148" s="542">
        <v>0</v>
      </c>
      <c r="Q148" s="542">
        <v>-210067</v>
      </c>
      <c r="R148" s="542">
        <v>0</v>
      </c>
      <c r="S148" s="542">
        <v>0</v>
      </c>
      <c r="T148" s="542">
        <v>0</v>
      </c>
      <c r="U148" s="542">
        <v>-100033</v>
      </c>
      <c r="V148" s="542">
        <v>0</v>
      </c>
      <c r="W148" s="542">
        <v>-100033</v>
      </c>
      <c r="X148" s="542">
        <v>420916</v>
      </c>
      <c r="Y148" s="542">
        <v>0</v>
      </c>
      <c r="Z148" s="542">
        <v>420916</v>
      </c>
      <c r="AA148" s="542">
        <v>-1144830</v>
      </c>
      <c r="AB148" s="542">
        <v>0</v>
      </c>
      <c r="AC148" s="542">
        <v>-1144830</v>
      </c>
      <c r="AD148" s="542">
        <v>30667769</v>
      </c>
      <c r="AE148" s="542">
        <v>0</v>
      </c>
      <c r="AF148" s="542">
        <v>30667769</v>
      </c>
      <c r="AG148" s="542">
        <v>0</v>
      </c>
      <c r="AH148" s="542">
        <v>0</v>
      </c>
      <c r="AI148" s="542">
        <v>0</v>
      </c>
      <c r="AJ148" s="542">
        <v>76638</v>
      </c>
      <c r="AK148" s="542">
        <v>0</v>
      </c>
      <c r="AL148" s="542">
        <v>0</v>
      </c>
      <c r="AM148" s="542">
        <v>76638</v>
      </c>
      <c r="AN148" s="542">
        <v>0</v>
      </c>
      <c r="AO148" s="542">
        <v>0</v>
      </c>
      <c r="AP148" s="542">
        <v>0</v>
      </c>
      <c r="AQ148" s="542">
        <v>0</v>
      </c>
      <c r="AR148" s="542">
        <v>0</v>
      </c>
      <c r="AS148" s="542">
        <v>0</v>
      </c>
      <c r="AT148" s="542">
        <v>0</v>
      </c>
      <c r="AU148" s="542">
        <v>0</v>
      </c>
      <c r="AV148" s="542">
        <v>258875</v>
      </c>
      <c r="AW148" s="542">
        <v>-449007</v>
      </c>
      <c r="AX148" s="136"/>
      <c r="AY148" s="136"/>
      <c r="AZ148" s="136"/>
      <c r="BA148" s="136"/>
      <c r="BB148" s="136"/>
      <c r="BC148" s="136"/>
      <c r="BD148" s="136"/>
      <c r="BE148" s="136"/>
      <c r="BF148" s="136"/>
      <c r="BG148" s="136"/>
      <c r="BH148" s="136"/>
      <c r="BI148" s="136"/>
      <c r="BJ148" s="136"/>
      <c r="BK148" s="136"/>
      <c r="BL148" s="136"/>
      <c r="BM148" s="136"/>
      <c r="BN148" s="136"/>
      <c r="BO148" s="136"/>
      <c r="BP148" s="136"/>
      <c r="BQ148" s="136"/>
      <c r="BR148" s="136"/>
      <c r="BS148" s="136"/>
      <c r="BT148" s="136"/>
      <c r="BU148" s="136"/>
      <c r="BV148" s="136"/>
      <c r="BW148" s="136"/>
      <c r="BX148" s="136"/>
      <c r="BY148" s="136"/>
      <c r="BZ148" s="136"/>
      <c r="CA148" s="136"/>
      <c r="CB148" s="136"/>
      <c r="CC148" s="136"/>
      <c r="CD148" s="136"/>
      <c r="CE148" s="136"/>
      <c r="CF148" s="136"/>
      <c r="CG148" s="136"/>
      <c r="CH148" s="136"/>
      <c r="CI148" s="136"/>
      <c r="CJ148" s="136"/>
      <c r="CK148" s="136"/>
      <c r="CL148" s="136"/>
      <c r="CM148" s="136"/>
      <c r="CN148" s="136"/>
      <c r="CO148" s="136"/>
      <c r="CP148" s="136"/>
      <c r="CQ148" s="136"/>
      <c r="CR148" s="136"/>
      <c r="CS148" s="136"/>
      <c r="CT148" s="136"/>
      <c r="CU148" s="136"/>
      <c r="CV148" s="136"/>
      <c r="CW148" s="136"/>
      <c r="CX148" s="136"/>
      <c r="CY148" s="136"/>
      <c r="CZ148" s="136"/>
      <c r="DA148" s="136"/>
      <c r="DB148" s="136"/>
      <c r="DC148" s="136"/>
      <c r="DD148" s="136"/>
      <c r="DE148" s="136"/>
      <c r="DF148" s="136"/>
      <c r="DG148" s="136"/>
      <c r="DH148" s="136"/>
      <c r="DI148" s="136"/>
      <c r="DJ148" s="136"/>
      <c r="DK148" s="136"/>
      <c r="DL148" s="136"/>
      <c r="DM148" s="136"/>
      <c r="DN148" s="136"/>
      <c r="DO148" s="136"/>
      <c r="DP148" s="136"/>
      <c r="DQ148" s="136"/>
      <c r="DR148" s="136"/>
      <c r="DS148" s="136"/>
      <c r="DT148" s="136"/>
      <c r="DU148" s="136"/>
      <c r="DV148" s="136"/>
      <c r="DW148" s="136"/>
      <c r="DX148" s="136"/>
      <c r="DY148" s="136"/>
      <c r="DZ148" s="136"/>
      <c r="EA148" s="136"/>
      <c r="EB148" s="136"/>
      <c r="EC148" s="136"/>
      <c r="ED148" s="136"/>
      <c r="EE148" s="136"/>
      <c r="EF148" s="136"/>
      <c r="EG148" s="136"/>
      <c r="EH148" s="136"/>
      <c r="EI148" s="136"/>
      <c r="EJ148" s="136"/>
      <c r="EK148" s="136"/>
      <c r="EL148" s="136"/>
      <c r="EM148" s="136"/>
      <c r="EN148" s="136"/>
      <c r="EO148" s="136"/>
      <c r="EP148" s="136"/>
      <c r="EQ148" s="136"/>
      <c r="ER148" s="136"/>
      <c r="ES148" s="136"/>
      <c r="ET148" s="136"/>
      <c r="EU148" s="136"/>
      <c r="EV148" s="136"/>
      <c r="EW148" s="136"/>
      <c r="EX148" s="136"/>
      <c r="EY148" s="136"/>
      <c r="EZ148" s="136"/>
      <c r="FA148" s="136"/>
      <c r="FB148" s="136"/>
      <c r="FC148" s="136"/>
      <c r="FD148" s="136"/>
      <c r="FE148" s="137"/>
      <c r="FF148" s="138"/>
    </row>
    <row r="149" spans="1:162" ht="12.75" x14ac:dyDescent="0.2">
      <c r="A149" s="93">
        <v>143</v>
      </c>
      <c r="B149" s="145" t="s">
        <v>164</v>
      </c>
      <c r="C149" s="141" t="s">
        <v>866</v>
      </c>
      <c r="D149" s="142" t="s">
        <v>870</v>
      </c>
      <c r="E149" s="149" t="s">
        <v>883</v>
      </c>
      <c r="F149" s="542">
        <v>42750269</v>
      </c>
      <c r="G149" s="542">
        <v>0</v>
      </c>
      <c r="H149" s="542">
        <v>42750269</v>
      </c>
      <c r="I149" s="542">
        <v>-7268</v>
      </c>
      <c r="J149" s="542">
        <v>0</v>
      </c>
      <c r="K149" s="542">
        <v>-7268</v>
      </c>
      <c r="L149" s="542">
        <v>66907</v>
      </c>
      <c r="M149" s="542">
        <v>0</v>
      </c>
      <c r="N149" s="542">
        <v>66907</v>
      </c>
      <c r="O149" s="542">
        <v>-335004</v>
      </c>
      <c r="P149" s="542">
        <v>0</v>
      </c>
      <c r="Q149" s="542">
        <v>-335004</v>
      </c>
      <c r="R149" s="542">
        <v>0</v>
      </c>
      <c r="S149" s="542">
        <v>0</v>
      </c>
      <c r="T149" s="542">
        <v>0</v>
      </c>
      <c r="U149" s="542">
        <v>-440835</v>
      </c>
      <c r="V149" s="542">
        <v>0</v>
      </c>
      <c r="W149" s="542">
        <v>-440835</v>
      </c>
      <c r="X149" s="542">
        <v>0</v>
      </c>
      <c r="Y149" s="542">
        <v>0</v>
      </c>
      <c r="Z149" s="542">
        <v>0</v>
      </c>
      <c r="AA149" s="542">
        <v>-775983</v>
      </c>
      <c r="AB149" s="542">
        <v>0</v>
      </c>
      <c r="AC149" s="542">
        <v>-775983</v>
      </c>
      <c r="AD149" s="542">
        <v>41593090</v>
      </c>
      <c r="AE149" s="542">
        <v>0</v>
      </c>
      <c r="AF149" s="542">
        <v>41593090</v>
      </c>
      <c r="AG149" s="542">
        <v>0</v>
      </c>
      <c r="AH149" s="542">
        <v>0</v>
      </c>
      <c r="AI149" s="542">
        <v>0</v>
      </c>
      <c r="AJ149" s="542">
        <v>555504</v>
      </c>
      <c r="AK149" s="542">
        <v>0</v>
      </c>
      <c r="AL149" s="542">
        <v>0</v>
      </c>
      <c r="AM149" s="542">
        <v>555504</v>
      </c>
      <c r="AN149" s="542">
        <v>0</v>
      </c>
      <c r="AO149" s="542">
        <v>0</v>
      </c>
      <c r="AP149" s="542">
        <v>0</v>
      </c>
      <c r="AQ149" s="542">
        <v>0</v>
      </c>
      <c r="AR149" s="542">
        <v>0</v>
      </c>
      <c r="AS149" s="542">
        <v>0</v>
      </c>
      <c r="AT149" s="542">
        <v>0</v>
      </c>
      <c r="AU149" s="542">
        <v>0</v>
      </c>
      <c r="AV149" s="542">
        <v>1111049</v>
      </c>
      <c r="AW149" s="542">
        <v>-249702</v>
      </c>
      <c r="AX149" s="136"/>
      <c r="AY149" s="136"/>
      <c r="AZ149" s="136"/>
      <c r="BA149" s="136"/>
      <c r="BB149" s="136"/>
      <c r="BC149" s="136"/>
      <c r="BD149" s="136"/>
      <c r="BE149" s="136"/>
      <c r="BF149" s="136"/>
      <c r="BG149" s="136"/>
      <c r="BH149" s="136"/>
      <c r="BI149" s="136"/>
      <c r="BJ149" s="136"/>
      <c r="BK149" s="136"/>
      <c r="BL149" s="136"/>
      <c r="BM149" s="136"/>
      <c r="BN149" s="136"/>
      <c r="BO149" s="136"/>
      <c r="BP149" s="136"/>
      <c r="BQ149" s="136"/>
      <c r="BR149" s="136"/>
      <c r="BS149" s="136"/>
      <c r="BT149" s="136"/>
      <c r="BU149" s="136"/>
      <c r="BV149" s="136"/>
      <c r="BW149" s="136"/>
      <c r="BX149" s="136"/>
      <c r="BY149" s="136"/>
      <c r="BZ149" s="136"/>
      <c r="CA149" s="136"/>
      <c r="CB149" s="136"/>
      <c r="CC149" s="136"/>
      <c r="CD149" s="136"/>
      <c r="CE149" s="136"/>
      <c r="CF149" s="136"/>
      <c r="CG149" s="136"/>
      <c r="CH149" s="136"/>
      <c r="CI149" s="136"/>
      <c r="CJ149" s="136"/>
      <c r="CK149" s="136"/>
      <c r="CL149" s="136"/>
      <c r="CM149" s="136"/>
      <c r="CN149" s="136"/>
      <c r="CO149" s="136"/>
      <c r="CP149" s="136"/>
      <c r="CQ149" s="136"/>
      <c r="CR149" s="136"/>
      <c r="CS149" s="136"/>
      <c r="CT149" s="136"/>
      <c r="CU149" s="136"/>
      <c r="CV149" s="136"/>
      <c r="CW149" s="136"/>
      <c r="CX149" s="136"/>
      <c r="CY149" s="136"/>
      <c r="CZ149" s="136"/>
      <c r="DA149" s="136"/>
      <c r="DB149" s="136"/>
      <c r="DC149" s="136"/>
      <c r="DD149" s="136"/>
      <c r="DE149" s="136"/>
      <c r="DF149" s="136"/>
      <c r="DG149" s="136"/>
      <c r="DH149" s="136"/>
      <c r="DI149" s="136"/>
      <c r="DJ149" s="136"/>
      <c r="DK149" s="136"/>
      <c r="DL149" s="136"/>
      <c r="DM149" s="136"/>
      <c r="DN149" s="136"/>
      <c r="DO149" s="136"/>
      <c r="DP149" s="136"/>
      <c r="DQ149" s="136"/>
      <c r="DR149" s="136"/>
      <c r="DS149" s="136"/>
      <c r="DT149" s="136"/>
      <c r="DU149" s="136"/>
      <c r="DV149" s="136"/>
      <c r="DW149" s="136"/>
      <c r="DX149" s="136"/>
      <c r="DY149" s="136"/>
      <c r="DZ149" s="136"/>
      <c r="EA149" s="136"/>
      <c r="EB149" s="136"/>
      <c r="EC149" s="136"/>
      <c r="ED149" s="136"/>
      <c r="EE149" s="136"/>
      <c r="EF149" s="136"/>
      <c r="EG149" s="136"/>
      <c r="EH149" s="136"/>
      <c r="EI149" s="136"/>
      <c r="EJ149" s="136"/>
      <c r="EK149" s="136"/>
      <c r="EL149" s="136"/>
      <c r="EM149" s="136"/>
      <c r="EN149" s="136"/>
      <c r="EO149" s="136"/>
      <c r="EP149" s="136"/>
      <c r="EQ149" s="136"/>
      <c r="ER149" s="136"/>
      <c r="ES149" s="136"/>
      <c r="ET149" s="136"/>
      <c r="EU149" s="136"/>
      <c r="EV149" s="136"/>
      <c r="EW149" s="136"/>
      <c r="EX149" s="136"/>
      <c r="EY149" s="136"/>
      <c r="EZ149" s="136"/>
      <c r="FA149" s="136"/>
      <c r="FB149" s="136"/>
      <c r="FC149" s="136"/>
      <c r="FD149" s="136"/>
      <c r="FE149" s="137"/>
      <c r="FF149" s="138"/>
    </row>
    <row r="150" spans="1:162" ht="12.75" x14ac:dyDescent="0.2">
      <c r="A150" s="93">
        <v>144</v>
      </c>
      <c r="B150" s="145" t="s">
        <v>166</v>
      </c>
      <c r="C150" s="141" t="s">
        <v>770</v>
      </c>
      <c r="D150" s="142" t="s">
        <v>874</v>
      </c>
      <c r="E150" s="149" t="s">
        <v>884</v>
      </c>
      <c r="F150" s="542">
        <v>86519329</v>
      </c>
      <c r="G150" s="542">
        <v>176291</v>
      </c>
      <c r="H150" s="542">
        <v>86695620</v>
      </c>
      <c r="I150" s="542">
        <v>-80744</v>
      </c>
      <c r="J150" s="542">
        <v>0</v>
      </c>
      <c r="K150" s="542">
        <v>-80744</v>
      </c>
      <c r="L150" s="542">
        <v>268874</v>
      </c>
      <c r="M150" s="542">
        <v>0</v>
      </c>
      <c r="N150" s="542">
        <v>268874</v>
      </c>
      <c r="O150" s="542">
        <v>-1604702</v>
      </c>
      <c r="P150" s="542">
        <v>0</v>
      </c>
      <c r="Q150" s="542">
        <v>-1604702</v>
      </c>
      <c r="R150" s="542">
        <v>0</v>
      </c>
      <c r="S150" s="542">
        <v>0</v>
      </c>
      <c r="T150" s="542">
        <v>0</v>
      </c>
      <c r="U150" s="542">
        <v>-1605371</v>
      </c>
      <c r="V150" s="542">
        <v>0</v>
      </c>
      <c r="W150" s="542">
        <v>-1605371</v>
      </c>
      <c r="X150" s="542">
        <v>5000000</v>
      </c>
      <c r="Y150" s="542">
        <v>0</v>
      </c>
      <c r="Z150" s="542">
        <v>5000000</v>
      </c>
      <c r="AA150" s="542">
        <v>-6000000</v>
      </c>
      <c r="AB150" s="542">
        <v>0</v>
      </c>
      <c r="AC150" s="542">
        <v>-6000000</v>
      </c>
      <c r="AD150" s="542">
        <v>84102088</v>
      </c>
      <c r="AE150" s="542">
        <v>176291</v>
      </c>
      <c r="AF150" s="542">
        <v>84278379</v>
      </c>
      <c r="AG150" s="542">
        <v>0</v>
      </c>
      <c r="AH150" s="542">
        <v>176291</v>
      </c>
      <c r="AI150" s="542">
        <v>176291</v>
      </c>
      <c r="AJ150" s="542">
        <v>0</v>
      </c>
      <c r="AK150" s="542">
        <v>0</v>
      </c>
      <c r="AL150" s="542">
        <v>0</v>
      </c>
      <c r="AM150" s="542">
        <v>0</v>
      </c>
      <c r="AN150" s="542">
        <v>0</v>
      </c>
      <c r="AO150" s="542">
        <v>0</v>
      </c>
      <c r="AP150" s="542">
        <v>0</v>
      </c>
      <c r="AQ150" s="542">
        <v>0</v>
      </c>
      <c r="AR150" s="542">
        <v>157485</v>
      </c>
      <c r="AS150" s="542">
        <v>0</v>
      </c>
      <c r="AT150" s="542">
        <v>18806</v>
      </c>
      <c r="AU150" s="542">
        <v>18806</v>
      </c>
      <c r="AV150" s="542">
        <v>5985779</v>
      </c>
      <c r="AW150" s="542">
        <v>-732333</v>
      </c>
      <c r="AX150" s="136"/>
      <c r="AY150" s="136"/>
      <c r="AZ150" s="136"/>
      <c r="BA150" s="136"/>
      <c r="BB150" s="136"/>
      <c r="BC150" s="136"/>
      <c r="BD150" s="136"/>
      <c r="BE150" s="136"/>
      <c r="BF150" s="136"/>
      <c r="BG150" s="136"/>
      <c r="BH150" s="136"/>
      <c r="BI150" s="136"/>
      <c r="BJ150" s="136"/>
      <c r="BK150" s="136"/>
      <c r="BL150" s="136"/>
      <c r="BM150" s="136"/>
      <c r="BN150" s="136"/>
      <c r="BO150" s="136"/>
      <c r="BP150" s="136"/>
      <c r="BQ150" s="136"/>
      <c r="BR150" s="136"/>
      <c r="BS150" s="136"/>
      <c r="BT150" s="136"/>
      <c r="BU150" s="136"/>
      <c r="BV150" s="136"/>
      <c r="BW150" s="136"/>
      <c r="BX150" s="136"/>
      <c r="BY150" s="136"/>
      <c r="BZ150" s="136"/>
      <c r="CA150" s="136"/>
      <c r="CB150" s="136"/>
      <c r="CC150" s="136"/>
      <c r="CD150" s="136"/>
      <c r="CE150" s="136"/>
      <c r="CF150" s="136"/>
      <c r="CG150" s="136"/>
      <c r="CH150" s="136"/>
      <c r="CI150" s="136"/>
      <c r="CJ150" s="136"/>
      <c r="CK150" s="136"/>
      <c r="CL150" s="136"/>
      <c r="CM150" s="136"/>
      <c r="CN150" s="136"/>
      <c r="CO150" s="136"/>
      <c r="CP150" s="136"/>
      <c r="CQ150" s="136"/>
      <c r="CR150" s="136"/>
      <c r="CS150" s="136"/>
      <c r="CT150" s="136"/>
      <c r="CU150" s="136"/>
      <c r="CV150" s="136"/>
      <c r="CW150" s="136"/>
      <c r="CX150" s="136"/>
      <c r="CY150" s="136"/>
      <c r="CZ150" s="136"/>
      <c r="DA150" s="136"/>
      <c r="DB150" s="136"/>
      <c r="DC150" s="136"/>
      <c r="DD150" s="136"/>
      <c r="DE150" s="136"/>
      <c r="DF150" s="136"/>
      <c r="DG150" s="136"/>
      <c r="DH150" s="136"/>
      <c r="DI150" s="136"/>
      <c r="DJ150" s="136"/>
      <c r="DK150" s="136"/>
      <c r="DL150" s="136"/>
      <c r="DM150" s="136"/>
      <c r="DN150" s="136"/>
      <c r="DO150" s="136"/>
      <c r="DP150" s="136"/>
      <c r="DQ150" s="136"/>
      <c r="DR150" s="136"/>
      <c r="DS150" s="136"/>
      <c r="DT150" s="136"/>
      <c r="DU150" s="136"/>
      <c r="DV150" s="136"/>
      <c r="DW150" s="136"/>
      <c r="DX150" s="136"/>
      <c r="DY150" s="136"/>
      <c r="DZ150" s="136"/>
      <c r="EA150" s="136"/>
      <c r="EB150" s="136"/>
      <c r="EC150" s="136"/>
      <c r="ED150" s="136"/>
      <c r="EE150" s="136"/>
      <c r="EF150" s="136"/>
      <c r="EG150" s="136"/>
      <c r="EH150" s="136"/>
      <c r="EI150" s="136"/>
      <c r="EJ150" s="136"/>
      <c r="EK150" s="136"/>
      <c r="EL150" s="136"/>
      <c r="EM150" s="136"/>
      <c r="EN150" s="136"/>
      <c r="EO150" s="136"/>
      <c r="EP150" s="136"/>
      <c r="EQ150" s="136"/>
      <c r="ER150" s="136"/>
      <c r="ES150" s="136"/>
      <c r="ET150" s="136"/>
      <c r="EU150" s="136"/>
      <c r="EV150" s="136"/>
      <c r="EW150" s="136"/>
      <c r="EX150" s="136"/>
      <c r="EY150" s="136"/>
      <c r="EZ150" s="136"/>
      <c r="FA150" s="136"/>
      <c r="FB150" s="136"/>
      <c r="FC150" s="136"/>
      <c r="FD150" s="136"/>
      <c r="FE150" s="137"/>
      <c r="FF150" s="138"/>
    </row>
    <row r="151" spans="1:162" ht="12.75" x14ac:dyDescent="0.2">
      <c r="A151" s="93">
        <v>145</v>
      </c>
      <c r="B151" s="145" t="s">
        <v>168</v>
      </c>
      <c r="C151" s="141" t="s">
        <v>871</v>
      </c>
      <c r="D151" s="142" t="s">
        <v>872</v>
      </c>
      <c r="E151" s="149" t="s">
        <v>167</v>
      </c>
      <c r="F151" s="542">
        <v>81091574</v>
      </c>
      <c r="G151" s="542">
        <v>0</v>
      </c>
      <c r="H151" s="542">
        <v>81091574</v>
      </c>
      <c r="I151" s="542">
        <v>-11161</v>
      </c>
      <c r="J151" s="542">
        <v>0</v>
      </c>
      <c r="K151" s="542">
        <v>-11161</v>
      </c>
      <c r="L151" s="542">
        <v>360957</v>
      </c>
      <c r="M151" s="542">
        <v>0</v>
      </c>
      <c r="N151" s="542">
        <v>360957</v>
      </c>
      <c r="O151" s="542">
        <v>-623338</v>
      </c>
      <c r="P151" s="542">
        <v>0</v>
      </c>
      <c r="Q151" s="542">
        <v>-623338</v>
      </c>
      <c r="R151" s="542">
        <v>-9322</v>
      </c>
      <c r="S151" s="542">
        <v>0</v>
      </c>
      <c r="T151" s="542">
        <v>-9322</v>
      </c>
      <c r="U151" s="542">
        <v>-892859</v>
      </c>
      <c r="V151" s="542">
        <v>0</v>
      </c>
      <c r="W151" s="542">
        <v>-892859</v>
      </c>
      <c r="X151" s="542">
        <v>2877853</v>
      </c>
      <c r="Y151" s="542">
        <v>0</v>
      </c>
      <c r="Z151" s="542">
        <v>2877853</v>
      </c>
      <c r="AA151" s="542">
        <v>-2300904</v>
      </c>
      <c r="AB151" s="542">
        <v>0</v>
      </c>
      <c r="AC151" s="542">
        <v>-2300904</v>
      </c>
      <c r="AD151" s="542">
        <v>81116138</v>
      </c>
      <c r="AE151" s="542">
        <v>0</v>
      </c>
      <c r="AF151" s="542">
        <v>81116138</v>
      </c>
      <c r="AG151" s="542">
        <v>0</v>
      </c>
      <c r="AH151" s="542">
        <v>0</v>
      </c>
      <c r="AI151" s="542">
        <v>0</v>
      </c>
      <c r="AJ151" s="542">
        <v>0</v>
      </c>
      <c r="AK151" s="542">
        <v>0</v>
      </c>
      <c r="AL151" s="542">
        <v>0</v>
      </c>
      <c r="AM151" s="542">
        <v>0</v>
      </c>
      <c r="AN151" s="542">
        <v>0</v>
      </c>
      <c r="AO151" s="542">
        <v>0</v>
      </c>
      <c r="AP151" s="542">
        <v>0</v>
      </c>
      <c r="AQ151" s="542">
        <v>0</v>
      </c>
      <c r="AR151" s="542">
        <v>0</v>
      </c>
      <c r="AS151" s="542">
        <v>0</v>
      </c>
      <c r="AT151" s="542">
        <v>0</v>
      </c>
      <c r="AU151" s="542">
        <v>0</v>
      </c>
      <c r="AV151" s="542">
        <v>3635762</v>
      </c>
      <c r="AW151" s="542">
        <v>-661216</v>
      </c>
      <c r="AX151" s="136"/>
      <c r="AY151" s="136"/>
      <c r="AZ151" s="136"/>
      <c r="BA151" s="136"/>
      <c r="BB151" s="136"/>
      <c r="BC151" s="136"/>
      <c r="BD151" s="136"/>
      <c r="BE151" s="136"/>
      <c r="BF151" s="136"/>
      <c r="BG151" s="136"/>
      <c r="BH151" s="136"/>
      <c r="BI151" s="136"/>
      <c r="BJ151" s="136"/>
      <c r="BK151" s="136"/>
      <c r="BL151" s="136"/>
      <c r="BM151" s="136"/>
      <c r="BN151" s="136"/>
      <c r="BO151" s="136"/>
      <c r="BP151" s="136"/>
      <c r="BQ151" s="136"/>
      <c r="BR151" s="136"/>
      <c r="BS151" s="136"/>
      <c r="BT151" s="136"/>
      <c r="BU151" s="136"/>
      <c r="BV151" s="136"/>
      <c r="BW151" s="136"/>
      <c r="BX151" s="136"/>
      <c r="BY151" s="136"/>
      <c r="BZ151" s="136"/>
      <c r="CA151" s="136"/>
      <c r="CB151" s="136"/>
      <c r="CC151" s="136"/>
      <c r="CD151" s="136"/>
      <c r="CE151" s="136"/>
      <c r="CF151" s="136"/>
      <c r="CG151" s="136"/>
      <c r="CH151" s="136"/>
      <c r="CI151" s="136"/>
      <c r="CJ151" s="136"/>
      <c r="CK151" s="136"/>
      <c r="CL151" s="136"/>
      <c r="CM151" s="136"/>
      <c r="CN151" s="136"/>
      <c r="CO151" s="136"/>
      <c r="CP151" s="136"/>
      <c r="CQ151" s="136"/>
      <c r="CR151" s="136"/>
      <c r="CS151" s="136"/>
      <c r="CT151" s="136"/>
      <c r="CU151" s="136"/>
      <c r="CV151" s="136"/>
      <c r="CW151" s="136"/>
      <c r="CX151" s="136"/>
      <c r="CY151" s="136"/>
      <c r="CZ151" s="136"/>
      <c r="DA151" s="136"/>
      <c r="DB151" s="136"/>
      <c r="DC151" s="136"/>
      <c r="DD151" s="136"/>
      <c r="DE151" s="136"/>
      <c r="DF151" s="136"/>
      <c r="DG151" s="136"/>
      <c r="DH151" s="136"/>
      <c r="DI151" s="136"/>
      <c r="DJ151" s="136"/>
      <c r="DK151" s="136"/>
      <c r="DL151" s="136"/>
      <c r="DM151" s="136"/>
      <c r="DN151" s="136"/>
      <c r="DO151" s="136"/>
      <c r="DP151" s="136"/>
      <c r="DQ151" s="136"/>
      <c r="DR151" s="136"/>
      <c r="DS151" s="136"/>
      <c r="DT151" s="136"/>
      <c r="DU151" s="136"/>
      <c r="DV151" s="136"/>
      <c r="DW151" s="136"/>
      <c r="DX151" s="136"/>
      <c r="DY151" s="136"/>
      <c r="DZ151" s="136"/>
      <c r="EA151" s="136"/>
      <c r="EB151" s="136"/>
      <c r="EC151" s="136"/>
      <c r="ED151" s="136"/>
      <c r="EE151" s="136"/>
      <c r="EF151" s="136"/>
      <c r="EG151" s="136"/>
      <c r="EH151" s="136"/>
      <c r="EI151" s="136"/>
      <c r="EJ151" s="136"/>
      <c r="EK151" s="136"/>
      <c r="EL151" s="136"/>
      <c r="EM151" s="136"/>
      <c r="EN151" s="136"/>
      <c r="EO151" s="136"/>
      <c r="EP151" s="136"/>
      <c r="EQ151" s="136"/>
      <c r="ER151" s="136"/>
      <c r="ES151" s="136"/>
      <c r="ET151" s="136"/>
      <c r="EU151" s="136"/>
      <c r="EV151" s="136"/>
      <c r="EW151" s="136"/>
      <c r="EX151" s="136"/>
      <c r="EY151" s="136"/>
      <c r="EZ151" s="136"/>
      <c r="FA151" s="136"/>
      <c r="FB151" s="136"/>
      <c r="FC151" s="136"/>
      <c r="FD151" s="136"/>
      <c r="FE151" s="137"/>
      <c r="FF151" s="138"/>
    </row>
    <row r="152" spans="1:162" ht="12.75" x14ac:dyDescent="0.2">
      <c r="A152" s="93">
        <v>146</v>
      </c>
      <c r="B152" s="145" t="s">
        <v>170</v>
      </c>
      <c r="C152" s="141" t="s">
        <v>873</v>
      </c>
      <c r="D152" s="142" t="s">
        <v>874</v>
      </c>
      <c r="E152" s="149" t="s">
        <v>169</v>
      </c>
      <c r="F152" s="542">
        <v>103497656</v>
      </c>
      <c r="G152" s="542">
        <v>0</v>
      </c>
      <c r="H152" s="542">
        <v>103497656</v>
      </c>
      <c r="I152" s="542">
        <v>-57862</v>
      </c>
      <c r="J152" s="542">
        <v>0</v>
      </c>
      <c r="K152" s="542">
        <v>-57862</v>
      </c>
      <c r="L152" s="542">
        <v>460803</v>
      </c>
      <c r="M152" s="542">
        <v>0</v>
      </c>
      <c r="N152" s="542">
        <v>460803</v>
      </c>
      <c r="O152" s="542">
        <v>-2047365</v>
      </c>
      <c r="P152" s="542">
        <v>0</v>
      </c>
      <c r="Q152" s="542">
        <v>-2047365</v>
      </c>
      <c r="R152" s="542">
        <v>0</v>
      </c>
      <c r="S152" s="542">
        <v>0</v>
      </c>
      <c r="T152" s="542">
        <v>0</v>
      </c>
      <c r="U152" s="542">
        <v>-1802392</v>
      </c>
      <c r="V152" s="542">
        <v>0</v>
      </c>
      <c r="W152" s="542">
        <v>-1802392</v>
      </c>
      <c r="X152" s="542">
        <v>0</v>
      </c>
      <c r="Y152" s="542">
        <v>0</v>
      </c>
      <c r="Z152" s="542">
        <v>0</v>
      </c>
      <c r="AA152" s="542">
        <v>-276868</v>
      </c>
      <c r="AB152" s="542">
        <v>0</v>
      </c>
      <c r="AC152" s="542">
        <v>-276868</v>
      </c>
      <c r="AD152" s="542">
        <v>101821337</v>
      </c>
      <c r="AE152" s="542">
        <v>0</v>
      </c>
      <c r="AF152" s="542">
        <v>101821337</v>
      </c>
      <c r="AG152" s="542">
        <v>0</v>
      </c>
      <c r="AH152" s="542">
        <v>0</v>
      </c>
      <c r="AI152" s="542">
        <v>0</v>
      </c>
      <c r="AJ152" s="542">
        <v>0</v>
      </c>
      <c r="AK152" s="542">
        <v>0</v>
      </c>
      <c r="AL152" s="542">
        <v>0</v>
      </c>
      <c r="AM152" s="542">
        <v>0</v>
      </c>
      <c r="AN152" s="542">
        <v>0</v>
      </c>
      <c r="AO152" s="542">
        <v>0</v>
      </c>
      <c r="AP152" s="542">
        <v>0</v>
      </c>
      <c r="AQ152" s="542">
        <v>0</v>
      </c>
      <c r="AR152" s="542">
        <v>0</v>
      </c>
      <c r="AS152" s="542">
        <v>0</v>
      </c>
      <c r="AT152" s="542">
        <v>0</v>
      </c>
      <c r="AU152" s="542">
        <v>0</v>
      </c>
      <c r="AV152" s="542">
        <v>5514201</v>
      </c>
      <c r="AW152" s="542">
        <v>-940973</v>
      </c>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c r="BT152" s="136"/>
      <c r="BU152" s="136"/>
      <c r="BV152" s="136"/>
      <c r="BW152" s="136"/>
      <c r="BX152" s="136"/>
      <c r="BY152" s="136"/>
      <c r="BZ152" s="136"/>
      <c r="CA152" s="136"/>
      <c r="CB152" s="136"/>
      <c r="CC152" s="136"/>
      <c r="CD152" s="136"/>
      <c r="CE152" s="136"/>
      <c r="CF152" s="136"/>
      <c r="CG152" s="136"/>
      <c r="CH152" s="136"/>
      <c r="CI152" s="136"/>
      <c r="CJ152" s="136"/>
      <c r="CK152" s="136"/>
      <c r="CL152" s="136"/>
      <c r="CM152" s="136"/>
      <c r="CN152" s="136"/>
      <c r="CO152" s="136"/>
      <c r="CP152" s="136"/>
      <c r="CQ152" s="136"/>
      <c r="CR152" s="136"/>
      <c r="CS152" s="136"/>
      <c r="CT152" s="136"/>
      <c r="CU152" s="136"/>
      <c r="CV152" s="136"/>
      <c r="CW152" s="136"/>
      <c r="CX152" s="136"/>
      <c r="CY152" s="136"/>
      <c r="CZ152" s="136"/>
      <c r="DA152" s="136"/>
      <c r="DB152" s="136"/>
      <c r="DC152" s="136"/>
      <c r="DD152" s="136"/>
      <c r="DE152" s="136"/>
      <c r="DF152" s="136"/>
      <c r="DG152" s="136"/>
      <c r="DH152" s="136"/>
      <c r="DI152" s="136"/>
      <c r="DJ152" s="136"/>
      <c r="DK152" s="136"/>
      <c r="DL152" s="136"/>
      <c r="DM152" s="136"/>
      <c r="DN152" s="136"/>
      <c r="DO152" s="136"/>
      <c r="DP152" s="136"/>
      <c r="DQ152" s="136"/>
      <c r="DR152" s="136"/>
      <c r="DS152" s="136"/>
      <c r="DT152" s="136"/>
      <c r="DU152" s="136"/>
      <c r="DV152" s="136"/>
      <c r="DW152" s="136"/>
      <c r="DX152" s="136"/>
      <c r="DY152" s="136"/>
      <c r="DZ152" s="136"/>
      <c r="EA152" s="136"/>
      <c r="EB152" s="136"/>
      <c r="EC152" s="136"/>
      <c r="ED152" s="136"/>
      <c r="EE152" s="136"/>
      <c r="EF152" s="136"/>
      <c r="EG152" s="136"/>
      <c r="EH152" s="136"/>
      <c r="EI152" s="136"/>
      <c r="EJ152" s="136"/>
      <c r="EK152" s="136"/>
      <c r="EL152" s="136"/>
      <c r="EM152" s="136"/>
      <c r="EN152" s="136"/>
      <c r="EO152" s="136"/>
      <c r="EP152" s="136"/>
      <c r="EQ152" s="136"/>
      <c r="ER152" s="136"/>
      <c r="ES152" s="136"/>
      <c r="ET152" s="136"/>
      <c r="EU152" s="136"/>
      <c r="EV152" s="136"/>
      <c r="EW152" s="136"/>
      <c r="EX152" s="136"/>
      <c r="EY152" s="136"/>
      <c r="EZ152" s="136"/>
      <c r="FA152" s="136"/>
      <c r="FB152" s="136"/>
      <c r="FC152" s="136"/>
      <c r="FD152" s="136"/>
      <c r="FE152" s="137"/>
      <c r="FF152" s="138"/>
    </row>
    <row r="153" spans="1:162" ht="12.75" x14ac:dyDescent="0.2">
      <c r="A153" s="93">
        <v>147</v>
      </c>
      <c r="B153" s="145" t="s">
        <v>172</v>
      </c>
      <c r="C153" s="141" t="s">
        <v>873</v>
      </c>
      <c r="D153" s="142" t="s">
        <v>868</v>
      </c>
      <c r="E153" s="149" t="s">
        <v>171</v>
      </c>
      <c r="F153" s="542">
        <v>39945719</v>
      </c>
      <c r="G153" s="542">
        <v>0</v>
      </c>
      <c r="H153" s="542">
        <v>39945719</v>
      </c>
      <c r="I153" s="542">
        <v>-61332</v>
      </c>
      <c r="J153" s="542">
        <v>0</v>
      </c>
      <c r="K153" s="542">
        <v>-61332</v>
      </c>
      <c r="L153" s="542">
        <v>73487</v>
      </c>
      <c r="M153" s="542">
        <v>0</v>
      </c>
      <c r="N153" s="542">
        <v>73487</v>
      </c>
      <c r="O153" s="542">
        <v>-47375</v>
      </c>
      <c r="P153" s="542">
        <v>0</v>
      </c>
      <c r="Q153" s="542">
        <v>-47375</v>
      </c>
      <c r="R153" s="542">
        <v>0</v>
      </c>
      <c r="S153" s="542">
        <v>0</v>
      </c>
      <c r="T153" s="542">
        <v>0</v>
      </c>
      <c r="U153" s="542">
        <v>-225444</v>
      </c>
      <c r="V153" s="542">
        <v>0</v>
      </c>
      <c r="W153" s="542">
        <v>-225444</v>
      </c>
      <c r="X153" s="542">
        <v>4302863</v>
      </c>
      <c r="Y153" s="542">
        <v>0</v>
      </c>
      <c r="Z153" s="542">
        <v>4302863</v>
      </c>
      <c r="AA153" s="542">
        <v>-1705340</v>
      </c>
      <c r="AB153" s="542">
        <v>0</v>
      </c>
      <c r="AC153" s="542">
        <v>-1705340</v>
      </c>
      <c r="AD153" s="542">
        <v>42329953</v>
      </c>
      <c r="AE153" s="542">
        <v>0</v>
      </c>
      <c r="AF153" s="542">
        <v>42329953</v>
      </c>
      <c r="AG153" s="542">
        <v>0</v>
      </c>
      <c r="AH153" s="542">
        <v>0</v>
      </c>
      <c r="AI153" s="542">
        <v>0</v>
      </c>
      <c r="AJ153" s="542">
        <v>0</v>
      </c>
      <c r="AK153" s="542">
        <v>0</v>
      </c>
      <c r="AL153" s="542">
        <v>0</v>
      </c>
      <c r="AM153" s="542">
        <v>0</v>
      </c>
      <c r="AN153" s="542">
        <v>0</v>
      </c>
      <c r="AO153" s="542">
        <v>0</v>
      </c>
      <c r="AP153" s="542">
        <v>0</v>
      </c>
      <c r="AQ153" s="542">
        <v>0</v>
      </c>
      <c r="AR153" s="542">
        <v>0</v>
      </c>
      <c r="AS153" s="542">
        <v>0</v>
      </c>
      <c r="AT153" s="542">
        <v>0</v>
      </c>
      <c r="AU153" s="542">
        <v>0</v>
      </c>
      <c r="AV153" s="542">
        <v>3921044</v>
      </c>
      <c r="AW153" s="542">
        <v>-1208441</v>
      </c>
      <c r="AX153" s="136"/>
      <c r="AY153" s="136"/>
      <c r="AZ153" s="136"/>
      <c r="BA153" s="136"/>
      <c r="BB153" s="136"/>
      <c r="BC153" s="136"/>
      <c r="BD153" s="136"/>
      <c r="BE153" s="136"/>
      <c r="BF153" s="136"/>
      <c r="BG153" s="136"/>
      <c r="BH153" s="136"/>
      <c r="BI153" s="136"/>
      <c r="BJ153" s="136"/>
      <c r="BK153" s="136"/>
      <c r="BL153" s="136"/>
      <c r="BM153" s="136"/>
      <c r="BN153" s="136"/>
      <c r="BO153" s="136"/>
      <c r="BP153" s="136"/>
      <c r="BQ153" s="136"/>
      <c r="BR153" s="136"/>
      <c r="BS153" s="136"/>
      <c r="BT153" s="136"/>
      <c r="BU153" s="136"/>
      <c r="BV153" s="136"/>
      <c r="BW153" s="136"/>
      <c r="BX153" s="136"/>
      <c r="BY153" s="136"/>
      <c r="BZ153" s="136"/>
      <c r="CA153" s="136"/>
      <c r="CB153" s="136"/>
      <c r="CC153" s="136"/>
      <c r="CD153" s="136"/>
      <c r="CE153" s="136"/>
      <c r="CF153" s="136"/>
      <c r="CG153" s="136"/>
      <c r="CH153" s="136"/>
      <c r="CI153" s="136"/>
      <c r="CJ153" s="136"/>
      <c r="CK153" s="136"/>
      <c r="CL153" s="136"/>
      <c r="CM153" s="136"/>
      <c r="CN153" s="136"/>
      <c r="CO153" s="136"/>
      <c r="CP153" s="136"/>
      <c r="CQ153" s="136"/>
      <c r="CR153" s="136"/>
      <c r="CS153" s="136"/>
      <c r="CT153" s="136"/>
      <c r="CU153" s="136"/>
      <c r="CV153" s="136"/>
      <c r="CW153" s="136"/>
      <c r="CX153" s="136"/>
      <c r="CY153" s="136"/>
      <c r="CZ153" s="136"/>
      <c r="DA153" s="136"/>
      <c r="DB153" s="136"/>
      <c r="DC153" s="136"/>
      <c r="DD153" s="136"/>
      <c r="DE153" s="136"/>
      <c r="DF153" s="136"/>
      <c r="DG153" s="136"/>
      <c r="DH153" s="136"/>
      <c r="DI153" s="136"/>
      <c r="DJ153" s="136"/>
      <c r="DK153" s="136"/>
      <c r="DL153" s="136"/>
      <c r="DM153" s="136"/>
      <c r="DN153" s="136"/>
      <c r="DO153" s="136"/>
      <c r="DP153" s="136"/>
      <c r="DQ153" s="136"/>
      <c r="DR153" s="136"/>
      <c r="DS153" s="136"/>
      <c r="DT153" s="136"/>
      <c r="DU153" s="136"/>
      <c r="DV153" s="136"/>
      <c r="DW153" s="136"/>
      <c r="DX153" s="136"/>
      <c r="DY153" s="136"/>
      <c r="DZ153" s="136"/>
      <c r="EA153" s="136"/>
      <c r="EB153" s="136"/>
      <c r="EC153" s="136"/>
      <c r="ED153" s="136"/>
      <c r="EE153" s="136"/>
      <c r="EF153" s="136"/>
      <c r="EG153" s="136"/>
      <c r="EH153" s="136"/>
      <c r="EI153" s="136"/>
      <c r="EJ153" s="136"/>
      <c r="EK153" s="136"/>
      <c r="EL153" s="136"/>
      <c r="EM153" s="136"/>
      <c r="EN153" s="136"/>
      <c r="EO153" s="136"/>
      <c r="EP153" s="136"/>
      <c r="EQ153" s="136"/>
      <c r="ER153" s="136"/>
      <c r="ES153" s="136"/>
      <c r="ET153" s="136"/>
      <c r="EU153" s="136"/>
      <c r="EV153" s="136"/>
      <c r="EW153" s="136"/>
      <c r="EX153" s="136"/>
      <c r="EY153" s="136"/>
      <c r="EZ153" s="136"/>
      <c r="FA153" s="136"/>
      <c r="FB153" s="136"/>
      <c r="FC153" s="136"/>
      <c r="FD153" s="136"/>
      <c r="FE153" s="137"/>
      <c r="FF153" s="138"/>
    </row>
    <row r="154" spans="1:162" ht="12.75" x14ac:dyDescent="0.2">
      <c r="A154" s="93">
        <v>148</v>
      </c>
      <c r="B154" s="145" t="s">
        <v>174</v>
      </c>
      <c r="C154" s="141" t="s">
        <v>877</v>
      </c>
      <c r="D154" s="142" t="s">
        <v>872</v>
      </c>
      <c r="E154" s="149" t="s">
        <v>173</v>
      </c>
      <c r="F154" s="542">
        <v>122132370</v>
      </c>
      <c r="G154" s="542">
        <v>0</v>
      </c>
      <c r="H154" s="542">
        <v>122132370</v>
      </c>
      <c r="I154" s="542">
        <v>-12</v>
      </c>
      <c r="J154" s="542">
        <v>0</v>
      </c>
      <c r="K154" s="542">
        <v>-12</v>
      </c>
      <c r="L154" s="542">
        <v>253817</v>
      </c>
      <c r="M154" s="542">
        <v>0</v>
      </c>
      <c r="N154" s="542">
        <v>253817</v>
      </c>
      <c r="O154" s="542">
        <v>-742885</v>
      </c>
      <c r="P154" s="542">
        <v>0</v>
      </c>
      <c r="Q154" s="542">
        <v>-742885</v>
      </c>
      <c r="R154" s="542">
        <v>0</v>
      </c>
      <c r="S154" s="542">
        <v>0</v>
      </c>
      <c r="T154" s="542">
        <v>0</v>
      </c>
      <c r="U154" s="542">
        <v>-797845</v>
      </c>
      <c r="V154" s="542">
        <v>0</v>
      </c>
      <c r="W154" s="542">
        <v>-797845</v>
      </c>
      <c r="X154" s="542">
        <v>3157982</v>
      </c>
      <c r="Y154" s="542">
        <v>0</v>
      </c>
      <c r="Z154" s="542">
        <v>3157982</v>
      </c>
      <c r="AA154" s="542">
        <v>-12012204</v>
      </c>
      <c r="AB154" s="542">
        <v>0</v>
      </c>
      <c r="AC154" s="542">
        <v>-12012204</v>
      </c>
      <c r="AD154" s="542">
        <v>112734108</v>
      </c>
      <c r="AE154" s="542">
        <v>0</v>
      </c>
      <c r="AF154" s="542">
        <v>112734108</v>
      </c>
      <c r="AG154" s="542">
        <v>0</v>
      </c>
      <c r="AH154" s="542">
        <v>0</v>
      </c>
      <c r="AI154" s="542">
        <v>0</v>
      </c>
      <c r="AJ154" s="542">
        <v>0</v>
      </c>
      <c r="AK154" s="542">
        <v>0</v>
      </c>
      <c r="AL154" s="542">
        <v>0</v>
      </c>
      <c r="AM154" s="542">
        <v>0</v>
      </c>
      <c r="AN154" s="542">
        <v>0</v>
      </c>
      <c r="AO154" s="542">
        <v>0</v>
      </c>
      <c r="AP154" s="542">
        <v>0</v>
      </c>
      <c r="AQ154" s="542">
        <v>0</v>
      </c>
      <c r="AR154" s="542">
        <v>0</v>
      </c>
      <c r="AS154" s="542">
        <v>0</v>
      </c>
      <c r="AT154" s="542">
        <v>0</v>
      </c>
      <c r="AU154" s="542">
        <v>0</v>
      </c>
      <c r="AV154" s="542">
        <v>5601100</v>
      </c>
      <c r="AW154" s="542">
        <v>-7493073</v>
      </c>
      <c r="AX154" s="136"/>
      <c r="AY154" s="136"/>
      <c r="AZ154" s="136"/>
      <c r="BA154" s="136"/>
      <c r="BB154" s="136"/>
      <c r="BC154" s="136"/>
      <c r="BD154" s="136"/>
      <c r="BE154" s="136"/>
      <c r="BF154" s="136"/>
      <c r="BG154" s="136"/>
      <c r="BH154" s="136"/>
      <c r="BI154" s="136"/>
      <c r="BJ154" s="136"/>
      <c r="BK154" s="136"/>
      <c r="BL154" s="136"/>
      <c r="BM154" s="136"/>
      <c r="BN154" s="136"/>
      <c r="BO154" s="136"/>
      <c r="BP154" s="136"/>
      <c r="BQ154" s="136"/>
      <c r="BR154" s="136"/>
      <c r="BS154" s="136"/>
      <c r="BT154" s="136"/>
      <c r="BU154" s="136"/>
      <c r="BV154" s="136"/>
      <c r="BW154" s="136"/>
      <c r="BX154" s="136"/>
      <c r="BY154" s="136"/>
      <c r="BZ154" s="136"/>
      <c r="CA154" s="136"/>
      <c r="CB154" s="136"/>
      <c r="CC154" s="136"/>
      <c r="CD154" s="136"/>
      <c r="CE154" s="136"/>
      <c r="CF154" s="136"/>
      <c r="CG154" s="136"/>
      <c r="CH154" s="136"/>
      <c r="CI154" s="136"/>
      <c r="CJ154" s="136"/>
      <c r="CK154" s="136"/>
      <c r="CL154" s="136"/>
      <c r="CM154" s="136"/>
      <c r="CN154" s="136"/>
      <c r="CO154" s="136"/>
      <c r="CP154" s="136"/>
      <c r="CQ154" s="136"/>
      <c r="CR154" s="136"/>
      <c r="CS154" s="136"/>
      <c r="CT154" s="136"/>
      <c r="CU154" s="136"/>
      <c r="CV154" s="136"/>
      <c r="CW154" s="136"/>
      <c r="CX154" s="136"/>
      <c r="CY154" s="136"/>
      <c r="CZ154" s="136"/>
      <c r="DA154" s="136"/>
      <c r="DB154" s="136"/>
      <c r="DC154" s="136"/>
      <c r="DD154" s="136"/>
      <c r="DE154" s="136"/>
      <c r="DF154" s="136"/>
      <c r="DG154" s="136"/>
      <c r="DH154" s="136"/>
      <c r="DI154" s="136"/>
      <c r="DJ154" s="136"/>
      <c r="DK154" s="136"/>
      <c r="DL154" s="136"/>
      <c r="DM154" s="136"/>
      <c r="DN154" s="136"/>
      <c r="DO154" s="136"/>
      <c r="DP154" s="136"/>
      <c r="DQ154" s="136"/>
      <c r="DR154" s="136"/>
      <c r="DS154" s="136"/>
      <c r="DT154" s="136"/>
      <c r="DU154" s="136"/>
      <c r="DV154" s="136"/>
      <c r="DW154" s="136"/>
      <c r="DX154" s="136"/>
      <c r="DY154" s="136"/>
      <c r="DZ154" s="136"/>
      <c r="EA154" s="136"/>
      <c r="EB154" s="136"/>
      <c r="EC154" s="136"/>
      <c r="ED154" s="136"/>
      <c r="EE154" s="136"/>
      <c r="EF154" s="136"/>
      <c r="EG154" s="136"/>
      <c r="EH154" s="136"/>
      <c r="EI154" s="136"/>
      <c r="EJ154" s="136"/>
      <c r="EK154" s="136"/>
      <c r="EL154" s="136"/>
      <c r="EM154" s="136"/>
      <c r="EN154" s="136"/>
      <c r="EO154" s="136"/>
      <c r="EP154" s="136"/>
      <c r="EQ154" s="136"/>
      <c r="ER154" s="136"/>
      <c r="ES154" s="136"/>
      <c r="ET154" s="136"/>
      <c r="EU154" s="136"/>
      <c r="EV154" s="136"/>
      <c r="EW154" s="136"/>
      <c r="EX154" s="136"/>
      <c r="EY154" s="136"/>
      <c r="EZ154" s="136"/>
      <c r="FA154" s="136"/>
      <c r="FB154" s="136"/>
      <c r="FC154" s="136"/>
      <c r="FD154" s="136"/>
      <c r="FE154" s="137"/>
      <c r="FF154" s="138"/>
    </row>
    <row r="155" spans="1:162" ht="12.75" x14ac:dyDescent="0.2">
      <c r="A155" s="93">
        <v>149</v>
      </c>
      <c r="B155" s="145" t="s">
        <v>176</v>
      </c>
      <c r="C155" s="141" t="s">
        <v>866</v>
      </c>
      <c r="D155" s="142" t="s">
        <v>868</v>
      </c>
      <c r="E155" s="149" t="s">
        <v>175</v>
      </c>
      <c r="F155" s="542">
        <v>52249998</v>
      </c>
      <c r="G155" s="542">
        <v>0</v>
      </c>
      <c r="H155" s="542">
        <v>52249998</v>
      </c>
      <c r="I155" s="542">
        <v>0</v>
      </c>
      <c r="J155" s="542">
        <v>0</v>
      </c>
      <c r="K155" s="542">
        <v>0</v>
      </c>
      <c r="L155" s="542">
        <v>148</v>
      </c>
      <c r="M155" s="542">
        <v>0</v>
      </c>
      <c r="N155" s="542">
        <v>148</v>
      </c>
      <c r="O155" s="542">
        <v>0</v>
      </c>
      <c r="P155" s="542">
        <v>0</v>
      </c>
      <c r="Q155" s="542">
        <v>0</v>
      </c>
      <c r="R155" s="542">
        <v>-433090</v>
      </c>
      <c r="S155" s="542">
        <v>0</v>
      </c>
      <c r="T155" s="542">
        <v>-433090</v>
      </c>
      <c r="U155" s="542">
        <v>95774</v>
      </c>
      <c r="V155" s="542">
        <v>0</v>
      </c>
      <c r="W155" s="542">
        <v>95774</v>
      </c>
      <c r="X155" s="542">
        <v>0</v>
      </c>
      <c r="Y155" s="542">
        <v>0</v>
      </c>
      <c r="Z155" s="542">
        <v>0</v>
      </c>
      <c r="AA155" s="542">
        <v>-18798118</v>
      </c>
      <c r="AB155" s="542">
        <v>0</v>
      </c>
      <c r="AC155" s="542">
        <v>-18798118</v>
      </c>
      <c r="AD155" s="542">
        <v>33114712</v>
      </c>
      <c r="AE155" s="542">
        <v>0</v>
      </c>
      <c r="AF155" s="542">
        <v>33114712</v>
      </c>
      <c r="AG155" s="542">
        <v>0</v>
      </c>
      <c r="AH155" s="542">
        <v>0</v>
      </c>
      <c r="AI155" s="542">
        <v>0</v>
      </c>
      <c r="AJ155" s="542">
        <v>661870</v>
      </c>
      <c r="AK155" s="542">
        <v>0</v>
      </c>
      <c r="AL155" s="542">
        <v>0</v>
      </c>
      <c r="AM155" s="542">
        <v>661870</v>
      </c>
      <c r="AN155" s="542">
        <v>0</v>
      </c>
      <c r="AO155" s="542">
        <v>0</v>
      </c>
      <c r="AP155" s="542">
        <v>0</v>
      </c>
      <c r="AQ155" s="542">
        <v>0</v>
      </c>
      <c r="AR155" s="542">
        <v>0</v>
      </c>
      <c r="AS155" s="542">
        <v>0</v>
      </c>
      <c r="AT155" s="542">
        <v>0</v>
      </c>
      <c r="AU155" s="542">
        <v>0</v>
      </c>
      <c r="AV155" s="542">
        <v>888039</v>
      </c>
      <c r="AW155" s="542">
        <v>-345369</v>
      </c>
      <c r="AX155" s="136"/>
      <c r="AY155" s="136"/>
      <c r="AZ155" s="136"/>
      <c r="BA155" s="136"/>
      <c r="BB155" s="136"/>
      <c r="BC155" s="136"/>
      <c r="BD155" s="136"/>
      <c r="BE155" s="136"/>
      <c r="BF155" s="136"/>
      <c r="BG155" s="136"/>
      <c r="BH155" s="136"/>
      <c r="BI155" s="136"/>
      <c r="BJ155" s="136"/>
      <c r="BK155" s="136"/>
      <c r="BL155" s="136"/>
      <c r="BM155" s="136"/>
      <c r="BN155" s="136"/>
      <c r="BO155" s="136"/>
      <c r="BP155" s="136"/>
      <c r="BQ155" s="136"/>
      <c r="BR155" s="136"/>
      <c r="BS155" s="136"/>
      <c r="BT155" s="136"/>
      <c r="BU155" s="136"/>
      <c r="BV155" s="136"/>
      <c r="BW155" s="136"/>
      <c r="BX155" s="136"/>
      <c r="BY155" s="136"/>
      <c r="BZ155" s="136"/>
      <c r="CA155" s="136"/>
      <c r="CB155" s="136"/>
      <c r="CC155" s="136"/>
      <c r="CD155" s="136"/>
      <c r="CE155" s="136"/>
      <c r="CF155" s="136"/>
      <c r="CG155" s="136"/>
      <c r="CH155" s="136"/>
      <c r="CI155" s="136"/>
      <c r="CJ155" s="136"/>
      <c r="CK155" s="136"/>
      <c r="CL155" s="136"/>
      <c r="CM155" s="136"/>
      <c r="CN155" s="136"/>
      <c r="CO155" s="136"/>
      <c r="CP155" s="136"/>
      <c r="CQ155" s="136"/>
      <c r="CR155" s="136"/>
      <c r="CS155" s="136"/>
      <c r="CT155" s="136"/>
      <c r="CU155" s="136"/>
      <c r="CV155" s="136"/>
      <c r="CW155" s="136"/>
      <c r="CX155" s="136"/>
      <c r="CY155" s="136"/>
      <c r="CZ155" s="136"/>
      <c r="DA155" s="136"/>
      <c r="DB155" s="136"/>
      <c r="DC155" s="136"/>
      <c r="DD155" s="136"/>
      <c r="DE155" s="136"/>
      <c r="DF155" s="136"/>
      <c r="DG155" s="136"/>
      <c r="DH155" s="136"/>
      <c r="DI155" s="136"/>
      <c r="DJ155" s="136"/>
      <c r="DK155" s="136"/>
      <c r="DL155" s="136"/>
      <c r="DM155" s="136"/>
      <c r="DN155" s="136"/>
      <c r="DO155" s="136"/>
      <c r="DP155" s="136"/>
      <c r="DQ155" s="136"/>
      <c r="DR155" s="136"/>
      <c r="DS155" s="136"/>
      <c r="DT155" s="136"/>
      <c r="DU155" s="136"/>
      <c r="DV155" s="136"/>
      <c r="DW155" s="136"/>
      <c r="DX155" s="136"/>
      <c r="DY155" s="136"/>
      <c r="DZ155" s="136"/>
      <c r="EA155" s="136"/>
      <c r="EB155" s="136"/>
      <c r="EC155" s="136"/>
      <c r="ED155" s="136"/>
      <c r="EE155" s="136"/>
      <c r="EF155" s="136"/>
      <c r="EG155" s="136"/>
      <c r="EH155" s="136"/>
      <c r="EI155" s="136"/>
      <c r="EJ155" s="136"/>
      <c r="EK155" s="136"/>
      <c r="EL155" s="136"/>
      <c r="EM155" s="136"/>
      <c r="EN155" s="136"/>
      <c r="EO155" s="136"/>
      <c r="EP155" s="136"/>
      <c r="EQ155" s="136"/>
      <c r="ER155" s="136"/>
      <c r="ES155" s="136"/>
      <c r="ET155" s="136"/>
      <c r="EU155" s="136"/>
      <c r="EV155" s="136"/>
      <c r="EW155" s="136"/>
      <c r="EX155" s="136"/>
      <c r="EY155" s="136"/>
      <c r="EZ155" s="136"/>
      <c r="FA155" s="136"/>
      <c r="FB155" s="136"/>
      <c r="FC155" s="136"/>
      <c r="FD155" s="136"/>
      <c r="FE155" s="137"/>
      <c r="FF155" s="138"/>
    </row>
    <row r="156" spans="1:162" ht="12.75" x14ac:dyDescent="0.2">
      <c r="A156" s="93">
        <v>150</v>
      </c>
      <c r="B156" s="145" t="s">
        <v>178</v>
      </c>
      <c r="C156" s="141" t="s">
        <v>873</v>
      </c>
      <c r="D156" s="142" t="s">
        <v>874</v>
      </c>
      <c r="E156" s="149" t="s">
        <v>177</v>
      </c>
      <c r="F156" s="542">
        <v>357969489</v>
      </c>
      <c r="G156" s="542">
        <v>772490</v>
      </c>
      <c r="H156" s="542">
        <v>358741979</v>
      </c>
      <c r="I156" s="542">
        <v>-49509</v>
      </c>
      <c r="J156" s="542">
        <v>0</v>
      </c>
      <c r="K156" s="542">
        <v>-49509</v>
      </c>
      <c r="L156" s="542">
        <v>1162657</v>
      </c>
      <c r="M156" s="542">
        <v>0</v>
      </c>
      <c r="N156" s="542">
        <v>1162657</v>
      </c>
      <c r="O156" s="542">
        <v>-2695996</v>
      </c>
      <c r="P156" s="542">
        <v>0</v>
      </c>
      <c r="Q156" s="542">
        <v>-2695996</v>
      </c>
      <c r="R156" s="542">
        <v>0</v>
      </c>
      <c r="S156" s="542">
        <v>0</v>
      </c>
      <c r="T156" s="542">
        <v>0</v>
      </c>
      <c r="U156" s="542">
        <v>-4365996</v>
      </c>
      <c r="V156" s="542">
        <v>0</v>
      </c>
      <c r="W156" s="542">
        <v>-4365996</v>
      </c>
      <c r="X156" s="542">
        <v>22589093</v>
      </c>
      <c r="Y156" s="542">
        <v>0</v>
      </c>
      <c r="Z156" s="542">
        <v>22589093</v>
      </c>
      <c r="AA156" s="542">
        <v>-40966799</v>
      </c>
      <c r="AB156" s="542">
        <v>0</v>
      </c>
      <c r="AC156" s="542">
        <v>-40966799</v>
      </c>
      <c r="AD156" s="542">
        <v>336338935</v>
      </c>
      <c r="AE156" s="542">
        <v>772490</v>
      </c>
      <c r="AF156" s="542">
        <v>337111425</v>
      </c>
      <c r="AG156" s="542">
        <v>772490</v>
      </c>
      <c r="AH156" s="542">
        <v>0</v>
      </c>
      <c r="AI156" s="542">
        <v>772490</v>
      </c>
      <c r="AJ156" s="542">
        <v>0</v>
      </c>
      <c r="AK156" s="542">
        <v>0</v>
      </c>
      <c r="AL156" s="542">
        <v>0</v>
      </c>
      <c r="AM156" s="542">
        <v>0</v>
      </c>
      <c r="AN156" s="542">
        <v>0</v>
      </c>
      <c r="AO156" s="542">
        <v>0</v>
      </c>
      <c r="AP156" s="542">
        <v>0</v>
      </c>
      <c r="AQ156" s="542">
        <v>922611</v>
      </c>
      <c r="AR156" s="542">
        <v>0</v>
      </c>
      <c r="AS156" s="542">
        <v>0</v>
      </c>
      <c r="AT156" s="542">
        <v>0</v>
      </c>
      <c r="AU156" s="542">
        <v>0</v>
      </c>
      <c r="AV156" s="542">
        <v>16099547</v>
      </c>
      <c r="AW156" s="542">
        <v>-7123963</v>
      </c>
      <c r="AX156" s="136"/>
      <c r="AY156" s="136"/>
      <c r="AZ156" s="136"/>
      <c r="BA156" s="136"/>
      <c r="BB156" s="136"/>
      <c r="BC156" s="136"/>
      <c r="BD156" s="136"/>
      <c r="BE156" s="136"/>
      <c r="BF156" s="136"/>
      <c r="BG156" s="136"/>
      <c r="BH156" s="136"/>
      <c r="BI156" s="136"/>
      <c r="BJ156" s="136"/>
      <c r="BK156" s="136"/>
      <c r="BL156" s="136"/>
      <c r="BM156" s="136"/>
      <c r="BN156" s="136"/>
      <c r="BO156" s="136"/>
      <c r="BP156" s="136"/>
      <c r="BQ156" s="136"/>
      <c r="BR156" s="136"/>
      <c r="BS156" s="136"/>
      <c r="BT156" s="136"/>
      <c r="BU156" s="136"/>
      <c r="BV156" s="136"/>
      <c r="BW156" s="136"/>
      <c r="BX156" s="136"/>
      <c r="BY156" s="136"/>
      <c r="BZ156" s="136"/>
      <c r="CA156" s="136"/>
      <c r="CB156" s="136"/>
      <c r="CC156" s="136"/>
      <c r="CD156" s="136"/>
      <c r="CE156" s="136"/>
      <c r="CF156" s="136"/>
      <c r="CG156" s="136"/>
      <c r="CH156" s="136"/>
      <c r="CI156" s="136"/>
      <c r="CJ156" s="136"/>
      <c r="CK156" s="136"/>
      <c r="CL156" s="136"/>
      <c r="CM156" s="136"/>
      <c r="CN156" s="136"/>
      <c r="CO156" s="136"/>
      <c r="CP156" s="136"/>
      <c r="CQ156" s="136"/>
      <c r="CR156" s="136"/>
      <c r="CS156" s="136"/>
      <c r="CT156" s="136"/>
      <c r="CU156" s="136"/>
      <c r="CV156" s="136"/>
      <c r="CW156" s="136"/>
      <c r="CX156" s="136"/>
      <c r="CY156" s="136"/>
      <c r="CZ156" s="136"/>
      <c r="DA156" s="136"/>
      <c r="DB156" s="136"/>
      <c r="DC156" s="136"/>
      <c r="DD156" s="136"/>
      <c r="DE156" s="136"/>
      <c r="DF156" s="136"/>
      <c r="DG156" s="136"/>
      <c r="DH156" s="136"/>
      <c r="DI156" s="136"/>
      <c r="DJ156" s="136"/>
      <c r="DK156" s="136"/>
      <c r="DL156" s="136"/>
      <c r="DM156" s="136"/>
      <c r="DN156" s="136"/>
      <c r="DO156" s="136"/>
      <c r="DP156" s="136"/>
      <c r="DQ156" s="136"/>
      <c r="DR156" s="136"/>
      <c r="DS156" s="136"/>
      <c r="DT156" s="136"/>
      <c r="DU156" s="136"/>
      <c r="DV156" s="136"/>
      <c r="DW156" s="136"/>
      <c r="DX156" s="136"/>
      <c r="DY156" s="136"/>
      <c r="DZ156" s="136"/>
      <c r="EA156" s="136"/>
      <c r="EB156" s="136"/>
      <c r="EC156" s="136"/>
      <c r="ED156" s="136"/>
      <c r="EE156" s="136"/>
      <c r="EF156" s="136"/>
      <c r="EG156" s="136"/>
      <c r="EH156" s="136"/>
      <c r="EI156" s="136"/>
      <c r="EJ156" s="136"/>
      <c r="EK156" s="136"/>
      <c r="EL156" s="136"/>
      <c r="EM156" s="136"/>
      <c r="EN156" s="136"/>
      <c r="EO156" s="136"/>
      <c r="EP156" s="136"/>
      <c r="EQ156" s="136"/>
      <c r="ER156" s="136"/>
      <c r="ES156" s="136"/>
      <c r="ET156" s="136"/>
      <c r="EU156" s="136"/>
      <c r="EV156" s="136"/>
      <c r="EW156" s="136"/>
      <c r="EX156" s="136"/>
      <c r="EY156" s="136"/>
      <c r="EZ156" s="136"/>
      <c r="FA156" s="136"/>
      <c r="FB156" s="136"/>
      <c r="FC156" s="136"/>
      <c r="FD156" s="136"/>
      <c r="FE156" s="137"/>
      <c r="FF156" s="138"/>
    </row>
    <row r="157" spans="1:162" ht="12.75" x14ac:dyDescent="0.2">
      <c r="A157" s="93">
        <v>151</v>
      </c>
      <c r="B157" s="145" t="s">
        <v>180</v>
      </c>
      <c r="C157" s="141" t="s">
        <v>770</v>
      </c>
      <c r="D157" s="142" t="s">
        <v>869</v>
      </c>
      <c r="E157" s="149" t="s">
        <v>703</v>
      </c>
      <c r="F157" s="542">
        <v>101319858</v>
      </c>
      <c r="G157" s="542">
        <v>0</v>
      </c>
      <c r="H157" s="542">
        <v>101319858</v>
      </c>
      <c r="I157" s="542">
        <v>-8521</v>
      </c>
      <c r="J157" s="542">
        <v>0</v>
      </c>
      <c r="K157" s="542">
        <v>-8521</v>
      </c>
      <c r="L157" s="542">
        <v>342762</v>
      </c>
      <c r="M157" s="542">
        <v>0</v>
      </c>
      <c r="N157" s="542">
        <v>342762</v>
      </c>
      <c r="O157" s="542">
        <v>-1468909</v>
      </c>
      <c r="P157" s="542">
        <v>0</v>
      </c>
      <c r="Q157" s="542">
        <v>-1468909</v>
      </c>
      <c r="R157" s="542">
        <v>0</v>
      </c>
      <c r="S157" s="542">
        <v>0</v>
      </c>
      <c r="T157" s="542">
        <v>0</v>
      </c>
      <c r="U157" s="542">
        <v>-1463288</v>
      </c>
      <c r="V157" s="542">
        <v>0</v>
      </c>
      <c r="W157" s="542">
        <v>-1463288</v>
      </c>
      <c r="X157" s="542">
        <v>2966785</v>
      </c>
      <c r="Y157" s="542">
        <v>0</v>
      </c>
      <c r="Z157" s="542">
        <v>2966785</v>
      </c>
      <c r="AA157" s="542">
        <v>-5343409</v>
      </c>
      <c r="AB157" s="542">
        <v>0</v>
      </c>
      <c r="AC157" s="542">
        <v>-5343409</v>
      </c>
      <c r="AD157" s="542">
        <v>97814187</v>
      </c>
      <c r="AE157" s="542">
        <v>0</v>
      </c>
      <c r="AF157" s="542">
        <v>97814187</v>
      </c>
      <c r="AG157" s="542">
        <v>0</v>
      </c>
      <c r="AH157" s="542">
        <v>0</v>
      </c>
      <c r="AI157" s="542">
        <v>0</v>
      </c>
      <c r="AJ157" s="542">
        <v>0</v>
      </c>
      <c r="AK157" s="542">
        <v>0</v>
      </c>
      <c r="AL157" s="542">
        <v>0</v>
      </c>
      <c r="AM157" s="542">
        <v>0</v>
      </c>
      <c r="AN157" s="542">
        <v>0</v>
      </c>
      <c r="AO157" s="542">
        <v>0</v>
      </c>
      <c r="AP157" s="542">
        <v>0</v>
      </c>
      <c r="AQ157" s="542">
        <v>0</v>
      </c>
      <c r="AR157" s="542">
        <v>0</v>
      </c>
      <c r="AS157" s="542">
        <v>0</v>
      </c>
      <c r="AT157" s="542">
        <v>0</v>
      </c>
      <c r="AU157" s="542">
        <v>0</v>
      </c>
      <c r="AV157" s="542">
        <v>6526098</v>
      </c>
      <c r="AW157" s="542">
        <v>-970006</v>
      </c>
      <c r="AX157" s="136"/>
      <c r="AY157" s="136"/>
      <c r="AZ157" s="136"/>
      <c r="BA157" s="136"/>
      <c r="BB157" s="136"/>
      <c r="BC157" s="136"/>
      <c r="BD157" s="136"/>
      <c r="BE157" s="136"/>
      <c r="BF157" s="136"/>
      <c r="BG157" s="136"/>
      <c r="BH157" s="136"/>
      <c r="BI157" s="136"/>
      <c r="BJ157" s="136"/>
      <c r="BK157" s="136"/>
      <c r="BL157" s="136"/>
      <c r="BM157" s="136"/>
      <c r="BN157" s="136"/>
      <c r="BO157" s="136"/>
      <c r="BP157" s="136"/>
      <c r="BQ157" s="136"/>
      <c r="BR157" s="136"/>
      <c r="BS157" s="136"/>
      <c r="BT157" s="136"/>
      <c r="BU157" s="136"/>
      <c r="BV157" s="136"/>
      <c r="BW157" s="136"/>
      <c r="BX157" s="136"/>
      <c r="BY157" s="136"/>
      <c r="BZ157" s="136"/>
      <c r="CA157" s="136"/>
      <c r="CB157" s="136"/>
      <c r="CC157" s="136"/>
      <c r="CD157" s="136"/>
      <c r="CE157" s="136"/>
      <c r="CF157" s="136"/>
      <c r="CG157" s="136"/>
      <c r="CH157" s="136"/>
      <c r="CI157" s="136"/>
      <c r="CJ157" s="136"/>
      <c r="CK157" s="136"/>
      <c r="CL157" s="136"/>
      <c r="CM157" s="136"/>
      <c r="CN157" s="136"/>
      <c r="CO157" s="136"/>
      <c r="CP157" s="136"/>
      <c r="CQ157" s="136"/>
      <c r="CR157" s="136"/>
      <c r="CS157" s="136"/>
      <c r="CT157" s="136"/>
      <c r="CU157" s="136"/>
      <c r="CV157" s="136"/>
      <c r="CW157" s="136"/>
      <c r="CX157" s="136"/>
      <c r="CY157" s="136"/>
      <c r="CZ157" s="136"/>
      <c r="DA157" s="136"/>
      <c r="DB157" s="136"/>
      <c r="DC157" s="136"/>
      <c r="DD157" s="136"/>
      <c r="DE157" s="136"/>
      <c r="DF157" s="136"/>
      <c r="DG157" s="136"/>
      <c r="DH157" s="136"/>
      <c r="DI157" s="136"/>
      <c r="DJ157" s="136"/>
      <c r="DK157" s="136"/>
      <c r="DL157" s="136"/>
      <c r="DM157" s="136"/>
      <c r="DN157" s="136"/>
      <c r="DO157" s="136"/>
      <c r="DP157" s="136"/>
      <c r="DQ157" s="136"/>
      <c r="DR157" s="136"/>
      <c r="DS157" s="136"/>
      <c r="DT157" s="136"/>
      <c r="DU157" s="136"/>
      <c r="DV157" s="136"/>
      <c r="DW157" s="136"/>
      <c r="DX157" s="136"/>
      <c r="DY157" s="136"/>
      <c r="DZ157" s="136"/>
      <c r="EA157" s="136"/>
      <c r="EB157" s="136"/>
      <c r="EC157" s="136"/>
      <c r="ED157" s="136"/>
      <c r="EE157" s="136"/>
      <c r="EF157" s="136"/>
      <c r="EG157" s="136"/>
      <c r="EH157" s="136"/>
      <c r="EI157" s="136"/>
      <c r="EJ157" s="136"/>
      <c r="EK157" s="136"/>
      <c r="EL157" s="136"/>
      <c r="EM157" s="136"/>
      <c r="EN157" s="136"/>
      <c r="EO157" s="136"/>
      <c r="EP157" s="136"/>
      <c r="EQ157" s="136"/>
      <c r="ER157" s="136"/>
      <c r="ES157" s="136"/>
      <c r="ET157" s="136"/>
      <c r="EU157" s="136"/>
      <c r="EV157" s="136"/>
      <c r="EW157" s="136"/>
      <c r="EX157" s="136"/>
      <c r="EY157" s="136"/>
      <c r="EZ157" s="136"/>
      <c r="FA157" s="136"/>
      <c r="FB157" s="136"/>
      <c r="FC157" s="136"/>
      <c r="FD157" s="136"/>
      <c r="FE157" s="137"/>
      <c r="FF157" s="138"/>
    </row>
    <row r="158" spans="1:162" ht="12.75" x14ac:dyDescent="0.2">
      <c r="A158" s="93">
        <v>152</v>
      </c>
      <c r="B158" s="145" t="s">
        <v>182</v>
      </c>
      <c r="C158" s="141" t="s">
        <v>866</v>
      </c>
      <c r="D158" s="142" t="s">
        <v>867</v>
      </c>
      <c r="E158" s="149" t="s">
        <v>181</v>
      </c>
      <c r="F158" s="542">
        <v>24272437</v>
      </c>
      <c r="G158" s="542">
        <v>0</v>
      </c>
      <c r="H158" s="542">
        <v>24272437</v>
      </c>
      <c r="I158" s="542">
        <v>0</v>
      </c>
      <c r="J158" s="542">
        <v>0</v>
      </c>
      <c r="K158" s="542">
        <v>0</v>
      </c>
      <c r="L158" s="542">
        <v>67066</v>
      </c>
      <c r="M158" s="542">
        <v>0</v>
      </c>
      <c r="N158" s="542">
        <v>67066</v>
      </c>
      <c r="O158" s="542">
        <v>-158433</v>
      </c>
      <c r="P158" s="542">
        <v>0</v>
      </c>
      <c r="Q158" s="542">
        <v>-158433</v>
      </c>
      <c r="R158" s="542">
        <v>0</v>
      </c>
      <c r="S158" s="542">
        <v>0</v>
      </c>
      <c r="T158" s="542">
        <v>0</v>
      </c>
      <c r="U158" s="542">
        <v>-113715</v>
      </c>
      <c r="V158" s="542">
        <v>0</v>
      </c>
      <c r="W158" s="542">
        <v>-113715</v>
      </c>
      <c r="X158" s="542">
        <v>0</v>
      </c>
      <c r="Y158" s="542">
        <v>0</v>
      </c>
      <c r="Z158" s="542">
        <v>0</v>
      </c>
      <c r="AA158" s="542">
        <v>-604775</v>
      </c>
      <c r="AB158" s="542">
        <v>0</v>
      </c>
      <c r="AC158" s="542">
        <v>-604775</v>
      </c>
      <c r="AD158" s="542">
        <v>23621013</v>
      </c>
      <c r="AE158" s="542">
        <v>0</v>
      </c>
      <c r="AF158" s="542">
        <v>23621013</v>
      </c>
      <c r="AG158" s="542">
        <v>0</v>
      </c>
      <c r="AH158" s="542">
        <v>0</v>
      </c>
      <c r="AI158" s="542">
        <v>0</v>
      </c>
      <c r="AJ158" s="542">
        <v>0</v>
      </c>
      <c r="AK158" s="542">
        <v>0</v>
      </c>
      <c r="AL158" s="542">
        <v>0</v>
      </c>
      <c r="AM158" s="542">
        <v>0</v>
      </c>
      <c r="AN158" s="542">
        <v>0</v>
      </c>
      <c r="AO158" s="542">
        <v>0</v>
      </c>
      <c r="AP158" s="542">
        <v>0</v>
      </c>
      <c r="AQ158" s="542">
        <v>0</v>
      </c>
      <c r="AR158" s="542">
        <v>0</v>
      </c>
      <c r="AS158" s="542">
        <v>0</v>
      </c>
      <c r="AT158" s="542">
        <v>0</v>
      </c>
      <c r="AU158" s="542">
        <v>0</v>
      </c>
      <c r="AV158" s="542">
        <v>625507</v>
      </c>
      <c r="AW158" s="542">
        <v>-53666</v>
      </c>
      <c r="AX158" s="136"/>
      <c r="AY158" s="136"/>
      <c r="AZ158" s="136"/>
      <c r="BA158" s="136"/>
      <c r="BB158" s="136"/>
      <c r="BC158" s="136"/>
      <c r="BD158" s="136"/>
      <c r="BE158" s="136"/>
      <c r="BF158" s="136"/>
      <c r="BG158" s="136"/>
      <c r="BH158" s="136"/>
      <c r="BI158" s="136"/>
      <c r="BJ158" s="136"/>
      <c r="BK158" s="136"/>
      <c r="BL158" s="136"/>
      <c r="BM158" s="136"/>
      <c r="BN158" s="136"/>
      <c r="BO158" s="136"/>
      <c r="BP158" s="136"/>
      <c r="BQ158" s="136"/>
      <c r="BR158" s="136"/>
      <c r="BS158" s="136"/>
      <c r="BT158" s="136"/>
      <c r="BU158" s="136"/>
      <c r="BV158" s="136"/>
      <c r="BW158" s="136"/>
      <c r="BX158" s="136"/>
      <c r="BY158" s="136"/>
      <c r="BZ158" s="136"/>
      <c r="CA158" s="136"/>
      <c r="CB158" s="136"/>
      <c r="CC158" s="136"/>
      <c r="CD158" s="136"/>
      <c r="CE158" s="136"/>
      <c r="CF158" s="136"/>
      <c r="CG158" s="136"/>
      <c r="CH158" s="136"/>
      <c r="CI158" s="136"/>
      <c r="CJ158" s="136"/>
      <c r="CK158" s="136"/>
      <c r="CL158" s="136"/>
      <c r="CM158" s="136"/>
      <c r="CN158" s="136"/>
      <c r="CO158" s="136"/>
      <c r="CP158" s="136"/>
      <c r="CQ158" s="136"/>
      <c r="CR158" s="136"/>
      <c r="CS158" s="136"/>
      <c r="CT158" s="136"/>
      <c r="CU158" s="136"/>
      <c r="CV158" s="136"/>
      <c r="CW158" s="136"/>
      <c r="CX158" s="136"/>
      <c r="CY158" s="136"/>
      <c r="CZ158" s="136"/>
      <c r="DA158" s="136"/>
      <c r="DB158" s="136"/>
      <c r="DC158" s="136"/>
      <c r="DD158" s="136"/>
      <c r="DE158" s="136"/>
      <c r="DF158" s="136"/>
      <c r="DG158" s="136"/>
      <c r="DH158" s="136"/>
      <c r="DI158" s="136"/>
      <c r="DJ158" s="136"/>
      <c r="DK158" s="136"/>
      <c r="DL158" s="136"/>
      <c r="DM158" s="136"/>
      <c r="DN158" s="136"/>
      <c r="DO158" s="136"/>
      <c r="DP158" s="136"/>
      <c r="DQ158" s="136"/>
      <c r="DR158" s="136"/>
      <c r="DS158" s="136"/>
      <c r="DT158" s="136"/>
      <c r="DU158" s="136"/>
      <c r="DV158" s="136"/>
      <c r="DW158" s="136"/>
      <c r="DX158" s="136"/>
      <c r="DY158" s="136"/>
      <c r="DZ158" s="136"/>
      <c r="EA158" s="136"/>
      <c r="EB158" s="136"/>
      <c r="EC158" s="136"/>
      <c r="ED158" s="136"/>
      <c r="EE158" s="136"/>
      <c r="EF158" s="136"/>
      <c r="EG158" s="136"/>
      <c r="EH158" s="136"/>
      <c r="EI158" s="136"/>
      <c r="EJ158" s="136"/>
      <c r="EK158" s="136"/>
      <c r="EL158" s="136"/>
      <c r="EM158" s="136"/>
      <c r="EN158" s="136"/>
      <c r="EO158" s="136"/>
      <c r="EP158" s="136"/>
      <c r="EQ158" s="136"/>
      <c r="ER158" s="136"/>
      <c r="ES158" s="136"/>
      <c r="ET158" s="136"/>
      <c r="EU158" s="136"/>
      <c r="EV158" s="136"/>
      <c r="EW158" s="136"/>
      <c r="EX158" s="136"/>
      <c r="EY158" s="136"/>
      <c r="EZ158" s="136"/>
      <c r="FA158" s="136"/>
      <c r="FB158" s="136"/>
      <c r="FC158" s="136"/>
      <c r="FD158" s="136"/>
      <c r="FE158" s="137"/>
      <c r="FF158" s="138"/>
    </row>
    <row r="159" spans="1:162" ht="12.75" x14ac:dyDescent="0.2">
      <c r="A159" s="93">
        <v>153</v>
      </c>
      <c r="B159" s="145" t="s">
        <v>184</v>
      </c>
      <c r="C159" s="141" t="s">
        <v>877</v>
      </c>
      <c r="D159" s="142" t="s">
        <v>872</v>
      </c>
      <c r="E159" s="149" t="s">
        <v>183</v>
      </c>
      <c r="F159" s="542">
        <v>53099859</v>
      </c>
      <c r="G159" s="542">
        <v>0</v>
      </c>
      <c r="H159" s="542">
        <v>53099859</v>
      </c>
      <c r="I159" s="542">
        <v>-765</v>
      </c>
      <c r="J159" s="542">
        <v>0</v>
      </c>
      <c r="K159" s="542">
        <v>-765</v>
      </c>
      <c r="L159" s="542">
        <v>363876</v>
      </c>
      <c r="M159" s="542">
        <v>0</v>
      </c>
      <c r="N159" s="542">
        <v>363876</v>
      </c>
      <c r="O159" s="542">
        <v>-535943</v>
      </c>
      <c r="P159" s="542">
        <v>0</v>
      </c>
      <c r="Q159" s="542">
        <v>-535943</v>
      </c>
      <c r="R159" s="542">
        <v>0</v>
      </c>
      <c r="S159" s="542">
        <v>0</v>
      </c>
      <c r="T159" s="542">
        <v>0</v>
      </c>
      <c r="U159" s="542">
        <v>-1089192</v>
      </c>
      <c r="V159" s="542">
        <v>0</v>
      </c>
      <c r="W159" s="542">
        <v>-1089192</v>
      </c>
      <c r="X159" s="542">
        <v>992407</v>
      </c>
      <c r="Y159" s="542">
        <v>0</v>
      </c>
      <c r="Z159" s="542">
        <v>992407</v>
      </c>
      <c r="AA159" s="542">
        <v>-1033194</v>
      </c>
      <c r="AB159" s="542">
        <v>0</v>
      </c>
      <c r="AC159" s="542">
        <v>-1033194</v>
      </c>
      <c r="AD159" s="542">
        <v>52332991</v>
      </c>
      <c r="AE159" s="542">
        <v>0</v>
      </c>
      <c r="AF159" s="542">
        <v>52332991</v>
      </c>
      <c r="AG159" s="542">
        <v>0</v>
      </c>
      <c r="AH159" s="542">
        <v>0</v>
      </c>
      <c r="AI159" s="542">
        <v>0</v>
      </c>
      <c r="AJ159" s="542">
        <v>0</v>
      </c>
      <c r="AK159" s="542">
        <v>0</v>
      </c>
      <c r="AL159" s="542">
        <v>0</v>
      </c>
      <c r="AM159" s="542">
        <v>0</v>
      </c>
      <c r="AN159" s="542">
        <v>0</v>
      </c>
      <c r="AO159" s="542">
        <v>0</v>
      </c>
      <c r="AP159" s="542">
        <v>0</v>
      </c>
      <c r="AQ159" s="542">
        <v>0</v>
      </c>
      <c r="AR159" s="542">
        <v>0</v>
      </c>
      <c r="AS159" s="542">
        <v>0</v>
      </c>
      <c r="AT159" s="542">
        <v>0</v>
      </c>
      <c r="AU159" s="542">
        <v>0</v>
      </c>
      <c r="AV159" s="542">
        <v>4807247</v>
      </c>
      <c r="AW159" s="542">
        <v>-4530201</v>
      </c>
      <c r="AX159" s="136"/>
      <c r="AY159" s="136"/>
      <c r="AZ159" s="136"/>
      <c r="BA159" s="136"/>
      <c r="BB159" s="136"/>
      <c r="BC159" s="136"/>
      <c r="BD159" s="136"/>
      <c r="BE159" s="136"/>
      <c r="BF159" s="136"/>
      <c r="BG159" s="136"/>
      <c r="BH159" s="136"/>
      <c r="BI159" s="136"/>
      <c r="BJ159" s="136"/>
      <c r="BK159" s="136"/>
      <c r="BL159" s="136"/>
      <c r="BM159" s="136"/>
      <c r="BN159" s="136"/>
      <c r="BO159" s="136"/>
      <c r="BP159" s="136"/>
      <c r="BQ159" s="136"/>
      <c r="BR159" s="136"/>
      <c r="BS159" s="136"/>
      <c r="BT159" s="136"/>
      <c r="BU159" s="136"/>
      <c r="BV159" s="136"/>
      <c r="BW159" s="136"/>
      <c r="BX159" s="136"/>
      <c r="BY159" s="136"/>
      <c r="BZ159" s="136"/>
      <c r="CA159" s="136"/>
      <c r="CB159" s="136"/>
      <c r="CC159" s="136"/>
      <c r="CD159" s="136"/>
      <c r="CE159" s="136"/>
      <c r="CF159" s="136"/>
      <c r="CG159" s="136"/>
      <c r="CH159" s="136"/>
      <c r="CI159" s="136"/>
      <c r="CJ159" s="136"/>
      <c r="CK159" s="136"/>
      <c r="CL159" s="136"/>
      <c r="CM159" s="136"/>
      <c r="CN159" s="136"/>
      <c r="CO159" s="136"/>
      <c r="CP159" s="136"/>
      <c r="CQ159" s="136"/>
      <c r="CR159" s="136"/>
      <c r="CS159" s="136"/>
      <c r="CT159" s="136"/>
      <c r="CU159" s="136"/>
      <c r="CV159" s="136"/>
      <c r="CW159" s="136"/>
      <c r="CX159" s="136"/>
      <c r="CY159" s="136"/>
      <c r="CZ159" s="136"/>
      <c r="DA159" s="136"/>
      <c r="DB159" s="136"/>
      <c r="DC159" s="136"/>
      <c r="DD159" s="136"/>
      <c r="DE159" s="136"/>
      <c r="DF159" s="136"/>
      <c r="DG159" s="136"/>
      <c r="DH159" s="136"/>
      <c r="DI159" s="136"/>
      <c r="DJ159" s="136"/>
      <c r="DK159" s="136"/>
      <c r="DL159" s="136"/>
      <c r="DM159" s="136"/>
      <c r="DN159" s="136"/>
      <c r="DO159" s="136"/>
      <c r="DP159" s="136"/>
      <c r="DQ159" s="136"/>
      <c r="DR159" s="136"/>
      <c r="DS159" s="136"/>
      <c r="DT159" s="136"/>
      <c r="DU159" s="136"/>
      <c r="DV159" s="136"/>
      <c r="DW159" s="136"/>
      <c r="DX159" s="136"/>
      <c r="DY159" s="136"/>
      <c r="DZ159" s="136"/>
      <c r="EA159" s="136"/>
      <c r="EB159" s="136"/>
      <c r="EC159" s="136"/>
      <c r="ED159" s="136"/>
      <c r="EE159" s="136"/>
      <c r="EF159" s="136"/>
      <c r="EG159" s="136"/>
      <c r="EH159" s="136"/>
      <c r="EI159" s="136"/>
      <c r="EJ159" s="136"/>
      <c r="EK159" s="136"/>
      <c r="EL159" s="136"/>
      <c r="EM159" s="136"/>
      <c r="EN159" s="136"/>
      <c r="EO159" s="136"/>
      <c r="EP159" s="136"/>
      <c r="EQ159" s="136"/>
      <c r="ER159" s="136"/>
      <c r="ES159" s="136"/>
      <c r="ET159" s="136"/>
      <c r="EU159" s="136"/>
      <c r="EV159" s="136"/>
      <c r="EW159" s="136"/>
      <c r="EX159" s="136"/>
      <c r="EY159" s="136"/>
      <c r="EZ159" s="136"/>
      <c r="FA159" s="136"/>
      <c r="FB159" s="136"/>
      <c r="FC159" s="136"/>
      <c r="FD159" s="136"/>
      <c r="FE159" s="137"/>
      <c r="FF159" s="138"/>
    </row>
    <row r="160" spans="1:162" ht="12.75" x14ac:dyDescent="0.2">
      <c r="A160" s="93">
        <v>154</v>
      </c>
      <c r="B160" s="145" t="s">
        <v>186</v>
      </c>
      <c r="C160" s="141" t="s">
        <v>866</v>
      </c>
      <c r="D160" s="142" t="s">
        <v>876</v>
      </c>
      <c r="E160" s="149" t="s">
        <v>185</v>
      </c>
      <c r="F160" s="542">
        <v>33116100</v>
      </c>
      <c r="G160" s="542">
        <v>0</v>
      </c>
      <c r="H160" s="542">
        <v>33116100</v>
      </c>
      <c r="I160" s="542">
        <v>0</v>
      </c>
      <c r="J160" s="542">
        <v>0</v>
      </c>
      <c r="K160" s="542">
        <v>0</v>
      </c>
      <c r="L160" s="542">
        <v>327407</v>
      </c>
      <c r="M160" s="542">
        <v>0</v>
      </c>
      <c r="N160" s="542">
        <v>327407</v>
      </c>
      <c r="O160" s="542">
        <v>-68451</v>
      </c>
      <c r="P160" s="542">
        <v>0</v>
      </c>
      <c r="Q160" s="542">
        <v>-68451</v>
      </c>
      <c r="R160" s="542">
        <v>0</v>
      </c>
      <c r="S160" s="542">
        <v>0</v>
      </c>
      <c r="T160" s="542">
        <v>0</v>
      </c>
      <c r="U160" s="542">
        <v>-303606</v>
      </c>
      <c r="V160" s="542">
        <v>0</v>
      </c>
      <c r="W160" s="542">
        <v>-303606</v>
      </c>
      <c r="X160" s="542">
        <v>202127</v>
      </c>
      <c r="Y160" s="542">
        <v>0</v>
      </c>
      <c r="Z160" s="542">
        <v>202127</v>
      </c>
      <c r="AA160" s="542">
        <v>-2772084</v>
      </c>
      <c r="AB160" s="542">
        <v>0</v>
      </c>
      <c r="AC160" s="542">
        <v>-2772084</v>
      </c>
      <c r="AD160" s="542">
        <v>30569944</v>
      </c>
      <c r="AE160" s="542">
        <v>0</v>
      </c>
      <c r="AF160" s="542">
        <v>30569944</v>
      </c>
      <c r="AG160" s="542">
        <v>0</v>
      </c>
      <c r="AH160" s="542">
        <v>0</v>
      </c>
      <c r="AI160" s="542">
        <v>0</v>
      </c>
      <c r="AJ160" s="542">
        <v>0</v>
      </c>
      <c r="AK160" s="542">
        <v>0</v>
      </c>
      <c r="AL160" s="542">
        <v>0</v>
      </c>
      <c r="AM160" s="542">
        <v>0</v>
      </c>
      <c r="AN160" s="542">
        <v>0</v>
      </c>
      <c r="AO160" s="542">
        <v>0</v>
      </c>
      <c r="AP160" s="542">
        <v>0</v>
      </c>
      <c r="AQ160" s="542">
        <v>0</v>
      </c>
      <c r="AR160" s="542">
        <v>0</v>
      </c>
      <c r="AS160" s="542">
        <v>0</v>
      </c>
      <c r="AT160" s="542">
        <v>0</v>
      </c>
      <c r="AU160" s="542">
        <v>0</v>
      </c>
      <c r="AV160" s="542">
        <v>1351067</v>
      </c>
      <c r="AW160" s="542">
        <v>-771842</v>
      </c>
      <c r="AX160" s="136"/>
      <c r="AY160" s="136"/>
      <c r="AZ160" s="136"/>
      <c r="BA160" s="136"/>
      <c r="BB160" s="136"/>
      <c r="BC160" s="136"/>
      <c r="BD160" s="136"/>
      <c r="BE160" s="136"/>
      <c r="BF160" s="136"/>
      <c r="BG160" s="136"/>
      <c r="BH160" s="136"/>
      <c r="BI160" s="136"/>
      <c r="BJ160" s="136"/>
      <c r="BK160" s="136"/>
      <c r="BL160" s="136"/>
      <c r="BM160" s="136"/>
      <c r="BN160" s="136"/>
      <c r="BO160" s="136"/>
      <c r="BP160" s="136"/>
      <c r="BQ160" s="136"/>
      <c r="BR160" s="136"/>
      <c r="BS160" s="136"/>
      <c r="BT160" s="136"/>
      <c r="BU160" s="136"/>
      <c r="BV160" s="136"/>
      <c r="BW160" s="136"/>
      <c r="BX160" s="136"/>
      <c r="BY160" s="136"/>
      <c r="BZ160" s="136"/>
      <c r="CA160" s="136"/>
      <c r="CB160" s="136"/>
      <c r="CC160" s="136"/>
      <c r="CD160" s="136"/>
      <c r="CE160" s="136"/>
      <c r="CF160" s="136"/>
      <c r="CG160" s="136"/>
      <c r="CH160" s="136"/>
      <c r="CI160" s="136"/>
      <c r="CJ160" s="136"/>
      <c r="CK160" s="136"/>
      <c r="CL160" s="136"/>
      <c r="CM160" s="136"/>
      <c r="CN160" s="136"/>
      <c r="CO160" s="136"/>
      <c r="CP160" s="136"/>
      <c r="CQ160" s="136"/>
      <c r="CR160" s="136"/>
      <c r="CS160" s="136"/>
      <c r="CT160" s="136"/>
      <c r="CU160" s="136"/>
      <c r="CV160" s="136"/>
      <c r="CW160" s="136"/>
      <c r="CX160" s="136"/>
      <c r="CY160" s="136"/>
      <c r="CZ160" s="136"/>
      <c r="DA160" s="136"/>
      <c r="DB160" s="136"/>
      <c r="DC160" s="136"/>
      <c r="DD160" s="136"/>
      <c r="DE160" s="136"/>
      <c r="DF160" s="136"/>
      <c r="DG160" s="136"/>
      <c r="DH160" s="136"/>
      <c r="DI160" s="136"/>
      <c r="DJ160" s="136"/>
      <c r="DK160" s="136"/>
      <c r="DL160" s="136"/>
      <c r="DM160" s="136"/>
      <c r="DN160" s="136"/>
      <c r="DO160" s="136"/>
      <c r="DP160" s="136"/>
      <c r="DQ160" s="136"/>
      <c r="DR160" s="136"/>
      <c r="DS160" s="136"/>
      <c r="DT160" s="136"/>
      <c r="DU160" s="136"/>
      <c r="DV160" s="136"/>
      <c r="DW160" s="136"/>
      <c r="DX160" s="136"/>
      <c r="DY160" s="136"/>
      <c r="DZ160" s="136"/>
      <c r="EA160" s="136"/>
      <c r="EB160" s="136"/>
      <c r="EC160" s="136"/>
      <c r="ED160" s="136"/>
      <c r="EE160" s="136"/>
      <c r="EF160" s="136"/>
      <c r="EG160" s="136"/>
      <c r="EH160" s="136"/>
      <c r="EI160" s="136"/>
      <c r="EJ160" s="136"/>
      <c r="EK160" s="136"/>
      <c r="EL160" s="136"/>
      <c r="EM160" s="136"/>
      <c r="EN160" s="136"/>
      <c r="EO160" s="136"/>
      <c r="EP160" s="136"/>
      <c r="EQ160" s="136"/>
      <c r="ER160" s="136"/>
      <c r="ES160" s="136"/>
      <c r="ET160" s="136"/>
      <c r="EU160" s="136"/>
      <c r="EV160" s="136"/>
      <c r="EW160" s="136"/>
      <c r="EX160" s="136"/>
      <c r="EY160" s="136"/>
      <c r="EZ160" s="136"/>
      <c r="FA160" s="136"/>
      <c r="FB160" s="136"/>
      <c r="FC160" s="136"/>
      <c r="FD160" s="136"/>
      <c r="FE160" s="137"/>
      <c r="FF160" s="138"/>
    </row>
    <row r="161" spans="1:162" ht="12.75" x14ac:dyDescent="0.2">
      <c r="A161" s="93">
        <v>155</v>
      </c>
      <c r="B161" s="145" t="s">
        <v>188</v>
      </c>
      <c r="C161" s="141" t="s">
        <v>866</v>
      </c>
      <c r="D161" s="142" t="s">
        <v>869</v>
      </c>
      <c r="E161" s="149" t="s">
        <v>187</v>
      </c>
      <c r="F161" s="542">
        <v>41540998</v>
      </c>
      <c r="G161" s="542">
        <v>0</v>
      </c>
      <c r="H161" s="542">
        <v>41540998</v>
      </c>
      <c r="I161" s="542">
        <v>0</v>
      </c>
      <c r="J161" s="542">
        <v>0</v>
      </c>
      <c r="K161" s="542">
        <v>0</v>
      </c>
      <c r="L161" s="542">
        <v>230576</v>
      </c>
      <c r="M161" s="542">
        <v>0</v>
      </c>
      <c r="N161" s="542">
        <v>230576</v>
      </c>
      <c r="O161" s="542">
        <v>-283219</v>
      </c>
      <c r="P161" s="542">
        <v>0</v>
      </c>
      <c r="Q161" s="542">
        <v>-283219</v>
      </c>
      <c r="R161" s="542">
        <v>0</v>
      </c>
      <c r="S161" s="542">
        <v>0</v>
      </c>
      <c r="T161" s="542">
        <v>0</v>
      </c>
      <c r="U161" s="542">
        <v>-251726</v>
      </c>
      <c r="V161" s="542">
        <v>0</v>
      </c>
      <c r="W161" s="542">
        <v>-251726</v>
      </c>
      <c r="X161" s="542">
        <v>1074541</v>
      </c>
      <c r="Y161" s="542">
        <v>0</v>
      </c>
      <c r="Z161" s="542">
        <v>1074541</v>
      </c>
      <c r="AA161" s="542">
        <v>-2784578</v>
      </c>
      <c r="AB161" s="542">
        <v>0</v>
      </c>
      <c r="AC161" s="542">
        <v>-2784578</v>
      </c>
      <c r="AD161" s="542">
        <v>39809811</v>
      </c>
      <c r="AE161" s="542">
        <v>0</v>
      </c>
      <c r="AF161" s="542">
        <v>39809811</v>
      </c>
      <c r="AG161" s="542">
        <v>0</v>
      </c>
      <c r="AH161" s="542">
        <v>0</v>
      </c>
      <c r="AI161" s="542">
        <v>0</v>
      </c>
      <c r="AJ161" s="542">
        <v>0</v>
      </c>
      <c r="AK161" s="542">
        <v>0</v>
      </c>
      <c r="AL161" s="542">
        <v>0</v>
      </c>
      <c r="AM161" s="542">
        <v>0</v>
      </c>
      <c r="AN161" s="542">
        <v>0</v>
      </c>
      <c r="AO161" s="542">
        <v>0</v>
      </c>
      <c r="AP161" s="542">
        <v>0</v>
      </c>
      <c r="AQ161" s="542">
        <v>0</v>
      </c>
      <c r="AR161" s="542">
        <v>0</v>
      </c>
      <c r="AS161" s="542">
        <v>0</v>
      </c>
      <c r="AT161" s="542">
        <v>0</v>
      </c>
      <c r="AU161" s="542">
        <v>0</v>
      </c>
      <c r="AV161" s="542">
        <v>867207</v>
      </c>
      <c r="AW161" s="542">
        <v>-1894083</v>
      </c>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c r="EF161" s="136"/>
      <c r="EG161" s="136"/>
      <c r="EH161" s="136"/>
      <c r="EI161" s="136"/>
      <c r="EJ161" s="136"/>
      <c r="EK161" s="136"/>
      <c r="EL161" s="136"/>
      <c r="EM161" s="136"/>
      <c r="EN161" s="136"/>
      <c r="EO161" s="136"/>
      <c r="EP161" s="136"/>
      <c r="EQ161" s="136"/>
      <c r="ER161" s="136"/>
      <c r="ES161" s="136"/>
      <c r="ET161" s="136"/>
      <c r="EU161" s="136"/>
      <c r="EV161" s="136"/>
      <c r="EW161" s="136"/>
      <c r="EX161" s="136"/>
      <c r="EY161" s="136"/>
      <c r="EZ161" s="136"/>
      <c r="FA161" s="136"/>
      <c r="FB161" s="136"/>
      <c r="FC161" s="136"/>
      <c r="FD161" s="136"/>
      <c r="FE161" s="137"/>
      <c r="FF161" s="138"/>
    </row>
    <row r="162" spans="1:162" ht="12.75" x14ac:dyDescent="0.2">
      <c r="A162" s="93">
        <v>156</v>
      </c>
      <c r="B162" s="145" t="s">
        <v>190</v>
      </c>
      <c r="C162" s="141" t="s">
        <v>873</v>
      </c>
      <c r="D162" s="142" t="s">
        <v>868</v>
      </c>
      <c r="E162" s="149" t="s">
        <v>189</v>
      </c>
      <c r="F162" s="542">
        <v>159566549</v>
      </c>
      <c r="G162" s="542">
        <v>23411773</v>
      </c>
      <c r="H162" s="542">
        <v>182978322</v>
      </c>
      <c r="I162" s="542">
        <v>-12983</v>
      </c>
      <c r="J162" s="542">
        <v>0</v>
      </c>
      <c r="K162" s="542">
        <v>-12983</v>
      </c>
      <c r="L162" s="542">
        <v>782519</v>
      </c>
      <c r="M162" s="542">
        <v>0</v>
      </c>
      <c r="N162" s="542">
        <v>782519</v>
      </c>
      <c r="O162" s="542">
        <v>-176113</v>
      </c>
      <c r="P162" s="542">
        <v>-7966</v>
      </c>
      <c r="Q162" s="542">
        <v>-184079</v>
      </c>
      <c r="R162" s="542">
        <v>0</v>
      </c>
      <c r="S162" s="542">
        <v>0</v>
      </c>
      <c r="T162" s="542">
        <v>0</v>
      </c>
      <c r="U162" s="542">
        <v>-2345990</v>
      </c>
      <c r="V162" s="542">
        <v>0</v>
      </c>
      <c r="W162" s="542">
        <v>-2345990</v>
      </c>
      <c r="X162" s="542">
        <v>16795745</v>
      </c>
      <c r="Y162" s="542">
        <v>0</v>
      </c>
      <c r="Z162" s="542">
        <v>16795745</v>
      </c>
      <c r="AA162" s="542">
        <v>-15733960</v>
      </c>
      <c r="AB162" s="542">
        <v>0</v>
      </c>
      <c r="AC162" s="542">
        <v>-15733960</v>
      </c>
      <c r="AD162" s="542">
        <v>159051880</v>
      </c>
      <c r="AE162" s="542">
        <v>23411773</v>
      </c>
      <c r="AF162" s="542">
        <v>182463653</v>
      </c>
      <c r="AG162" s="542">
        <v>2159307</v>
      </c>
      <c r="AH162" s="542">
        <v>21252466</v>
      </c>
      <c r="AI162" s="542">
        <v>23411773</v>
      </c>
      <c r="AJ162" s="542">
        <v>0</v>
      </c>
      <c r="AK162" s="542">
        <v>0</v>
      </c>
      <c r="AL162" s="542">
        <v>0</v>
      </c>
      <c r="AM162" s="542">
        <v>0</v>
      </c>
      <c r="AN162" s="542">
        <v>14610</v>
      </c>
      <c r="AO162" s="542">
        <v>-475366</v>
      </c>
      <c r="AP162" s="542">
        <v>-460756</v>
      </c>
      <c r="AQ162" s="542">
        <v>3594668</v>
      </c>
      <c r="AR162" s="542">
        <v>30797953</v>
      </c>
      <c r="AS162" s="542">
        <v>0</v>
      </c>
      <c r="AT162" s="542">
        <v>0</v>
      </c>
      <c r="AU162" s="542">
        <v>0</v>
      </c>
      <c r="AV162" s="542">
        <v>67964612</v>
      </c>
      <c r="AW162" s="542">
        <v>-10938257</v>
      </c>
      <c r="AX162" s="136"/>
      <c r="AY162" s="136"/>
      <c r="AZ162" s="136"/>
      <c r="BA162" s="136"/>
      <c r="BB162" s="136"/>
      <c r="BC162" s="136"/>
      <c r="BD162" s="136"/>
      <c r="BE162" s="136"/>
      <c r="BF162" s="136"/>
      <c r="BG162" s="136"/>
      <c r="BH162" s="136"/>
      <c r="BI162" s="136"/>
      <c r="BJ162" s="136"/>
      <c r="BK162" s="136"/>
      <c r="BL162" s="136"/>
      <c r="BM162" s="136"/>
      <c r="BN162" s="136"/>
      <c r="BO162" s="136"/>
      <c r="BP162" s="136"/>
      <c r="BQ162" s="136"/>
      <c r="BR162" s="136"/>
      <c r="BS162" s="136"/>
      <c r="BT162" s="136"/>
      <c r="BU162" s="136"/>
      <c r="BV162" s="136"/>
      <c r="BW162" s="136"/>
      <c r="BX162" s="136"/>
      <c r="BY162" s="136"/>
      <c r="BZ162" s="136"/>
      <c r="CA162" s="136"/>
      <c r="CB162" s="136"/>
      <c r="CC162" s="136"/>
      <c r="CD162" s="136"/>
      <c r="CE162" s="136"/>
      <c r="CF162" s="136"/>
      <c r="CG162" s="136"/>
      <c r="CH162" s="136"/>
      <c r="CI162" s="136"/>
      <c r="CJ162" s="136"/>
      <c r="CK162" s="136"/>
      <c r="CL162" s="136"/>
      <c r="CM162" s="136"/>
      <c r="CN162" s="136"/>
      <c r="CO162" s="136"/>
      <c r="CP162" s="136"/>
      <c r="CQ162" s="136"/>
      <c r="CR162" s="136"/>
      <c r="CS162" s="136"/>
      <c r="CT162" s="136"/>
      <c r="CU162" s="136"/>
      <c r="CV162" s="136"/>
      <c r="CW162" s="136"/>
      <c r="CX162" s="136"/>
      <c r="CY162" s="136"/>
      <c r="CZ162" s="136"/>
      <c r="DA162" s="136"/>
      <c r="DB162" s="136"/>
      <c r="DC162" s="136"/>
      <c r="DD162" s="136"/>
      <c r="DE162" s="136"/>
      <c r="DF162" s="136"/>
      <c r="DG162" s="136"/>
      <c r="DH162" s="136"/>
      <c r="DI162" s="136"/>
      <c r="DJ162" s="136"/>
      <c r="DK162" s="136"/>
      <c r="DL162" s="136"/>
      <c r="DM162" s="136"/>
      <c r="DN162" s="136"/>
      <c r="DO162" s="136"/>
      <c r="DP162" s="136"/>
      <c r="DQ162" s="136"/>
      <c r="DR162" s="136"/>
      <c r="DS162" s="136"/>
      <c r="DT162" s="136"/>
      <c r="DU162" s="136"/>
      <c r="DV162" s="136"/>
      <c r="DW162" s="136"/>
      <c r="DX162" s="136"/>
      <c r="DY162" s="136"/>
      <c r="DZ162" s="136"/>
      <c r="EA162" s="136"/>
      <c r="EB162" s="136"/>
      <c r="EC162" s="136"/>
      <c r="ED162" s="136"/>
      <c r="EE162" s="136"/>
      <c r="EF162" s="136"/>
      <c r="EG162" s="136"/>
      <c r="EH162" s="136"/>
      <c r="EI162" s="136"/>
      <c r="EJ162" s="136"/>
      <c r="EK162" s="136"/>
      <c r="EL162" s="136"/>
      <c r="EM162" s="136"/>
      <c r="EN162" s="136"/>
      <c r="EO162" s="136"/>
      <c r="EP162" s="136"/>
      <c r="EQ162" s="136"/>
      <c r="ER162" s="136"/>
      <c r="ES162" s="136"/>
      <c r="ET162" s="136"/>
      <c r="EU162" s="136"/>
      <c r="EV162" s="136"/>
      <c r="EW162" s="136"/>
      <c r="EX162" s="136"/>
      <c r="EY162" s="136"/>
      <c r="EZ162" s="136"/>
      <c r="FA162" s="136"/>
      <c r="FB162" s="136"/>
      <c r="FC162" s="136"/>
      <c r="FD162" s="136"/>
      <c r="FE162" s="137"/>
      <c r="FF162" s="138"/>
    </row>
    <row r="163" spans="1:162" ht="12.75" x14ac:dyDescent="0.2">
      <c r="A163" s="93">
        <v>157</v>
      </c>
      <c r="B163" s="145" t="s">
        <v>192</v>
      </c>
      <c r="C163" s="141" t="s">
        <v>770</v>
      </c>
      <c r="D163" s="142" t="s">
        <v>870</v>
      </c>
      <c r="E163" s="149" t="s">
        <v>704</v>
      </c>
      <c r="F163" s="542">
        <v>68426448</v>
      </c>
      <c r="G163" s="542">
        <v>0</v>
      </c>
      <c r="H163" s="542">
        <v>68426448</v>
      </c>
      <c r="I163" s="542">
        <v>0</v>
      </c>
      <c r="J163" s="542">
        <v>0</v>
      </c>
      <c r="K163" s="542">
        <v>0</v>
      </c>
      <c r="L163" s="542">
        <v>94224</v>
      </c>
      <c r="M163" s="542">
        <v>0</v>
      </c>
      <c r="N163" s="542">
        <v>94224</v>
      </c>
      <c r="O163" s="542">
        <v>-647337</v>
      </c>
      <c r="P163" s="542">
        <v>0</v>
      </c>
      <c r="Q163" s="542">
        <v>-647337</v>
      </c>
      <c r="R163" s="542">
        <v>0</v>
      </c>
      <c r="S163" s="542">
        <v>0</v>
      </c>
      <c r="T163" s="542">
        <v>0</v>
      </c>
      <c r="U163" s="542">
        <v>-1297337</v>
      </c>
      <c r="V163" s="542">
        <v>0</v>
      </c>
      <c r="W163" s="542">
        <v>-1297337</v>
      </c>
      <c r="X163" s="542">
        <v>506718</v>
      </c>
      <c r="Y163" s="542">
        <v>0</v>
      </c>
      <c r="Z163" s="542">
        <v>506718</v>
      </c>
      <c r="AA163" s="542">
        <v>-7311131</v>
      </c>
      <c r="AB163" s="542">
        <v>0</v>
      </c>
      <c r="AC163" s="542">
        <v>-7311131</v>
      </c>
      <c r="AD163" s="542">
        <v>60418922</v>
      </c>
      <c r="AE163" s="542">
        <v>0</v>
      </c>
      <c r="AF163" s="542">
        <v>60418922</v>
      </c>
      <c r="AG163" s="542">
        <v>0</v>
      </c>
      <c r="AH163" s="542">
        <v>0</v>
      </c>
      <c r="AI163" s="542">
        <v>0</v>
      </c>
      <c r="AJ163" s="542">
        <v>0</v>
      </c>
      <c r="AK163" s="542">
        <v>0</v>
      </c>
      <c r="AL163" s="542">
        <v>0</v>
      </c>
      <c r="AM163" s="542">
        <v>0</v>
      </c>
      <c r="AN163" s="542">
        <v>0</v>
      </c>
      <c r="AO163" s="542">
        <v>0</v>
      </c>
      <c r="AP163" s="542">
        <v>0</v>
      </c>
      <c r="AQ163" s="542">
        <v>0</v>
      </c>
      <c r="AR163" s="542">
        <v>0</v>
      </c>
      <c r="AS163" s="542">
        <v>0</v>
      </c>
      <c r="AT163" s="542">
        <v>0</v>
      </c>
      <c r="AU163" s="542">
        <v>0</v>
      </c>
      <c r="AV163" s="542">
        <v>11066931</v>
      </c>
      <c r="AW163" s="542">
        <v>-2064922</v>
      </c>
      <c r="AX163" s="136"/>
      <c r="AY163" s="136"/>
      <c r="AZ163" s="136"/>
      <c r="BA163" s="136"/>
      <c r="BB163" s="136"/>
      <c r="BC163" s="136"/>
      <c r="BD163" s="136"/>
      <c r="BE163" s="136"/>
      <c r="BF163" s="136"/>
      <c r="BG163" s="136"/>
      <c r="BH163" s="136"/>
      <c r="BI163" s="136"/>
      <c r="BJ163" s="136"/>
      <c r="BK163" s="136"/>
      <c r="BL163" s="136"/>
      <c r="BM163" s="136"/>
      <c r="BN163" s="136"/>
      <c r="BO163" s="136"/>
      <c r="BP163" s="136"/>
      <c r="BQ163" s="136"/>
      <c r="BR163" s="136"/>
      <c r="BS163" s="136"/>
      <c r="BT163" s="136"/>
      <c r="BU163" s="136"/>
      <c r="BV163" s="136"/>
      <c r="BW163" s="136"/>
      <c r="BX163" s="136"/>
      <c r="BY163" s="136"/>
      <c r="BZ163" s="136"/>
      <c r="CA163" s="136"/>
      <c r="CB163" s="136"/>
      <c r="CC163" s="136"/>
      <c r="CD163" s="136"/>
      <c r="CE163" s="136"/>
      <c r="CF163" s="136"/>
      <c r="CG163" s="136"/>
      <c r="CH163" s="136"/>
      <c r="CI163" s="136"/>
      <c r="CJ163" s="136"/>
      <c r="CK163" s="136"/>
      <c r="CL163" s="136"/>
      <c r="CM163" s="136"/>
      <c r="CN163" s="136"/>
      <c r="CO163" s="136"/>
      <c r="CP163" s="136"/>
      <c r="CQ163" s="136"/>
      <c r="CR163" s="136"/>
      <c r="CS163" s="136"/>
      <c r="CT163" s="136"/>
      <c r="CU163" s="136"/>
      <c r="CV163" s="136"/>
      <c r="CW163" s="136"/>
      <c r="CX163" s="136"/>
      <c r="CY163" s="136"/>
      <c r="CZ163" s="136"/>
      <c r="DA163" s="136"/>
      <c r="DB163" s="136"/>
      <c r="DC163" s="136"/>
      <c r="DD163" s="136"/>
      <c r="DE163" s="136"/>
      <c r="DF163" s="136"/>
      <c r="DG163" s="136"/>
      <c r="DH163" s="136"/>
      <c r="DI163" s="136"/>
      <c r="DJ163" s="136"/>
      <c r="DK163" s="136"/>
      <c r="DL163" s="136"/>
      <c r="DM163" s="136"/>
      <c r="DN163" s="136"/>
      <c r="DO163" s="136"/>
      <c r="DP163" s="136"/>
      <c r="DQ163" s="136"/>
      <c r="DR163" s="136"/>
      <c r="DS163" s="136"/>
      <c r="DT163" s="136"/>
      <c r="DU163" s="136"/>
      <c r="DV163" s="136"/>
      <c r="DW163" s="136"/>
      <c r="DX163" s="136"/>
      <c r="DY163" s="136"/>
      <c r="DZ163" s="136"/>
      <c r="EA163" s="136"/>
      <c r="EB163" s="136"/>
      <c r="EC163" s="136"/>
      <c r="ED163" s="136"/>
      <c r="EE163" s="136"/>
      <c r="EF163" s="136"/>
      <c r="EG163" s="136"/>
      <c r="EH163" s="136"/>
      <c r="EI163" s="136"/>
      <c r="EJ163" s="136"/>
      <c r="EK163" s="136"/>
      <c r="EL163" s="136"/>
      <c r="EM163" s="136"/>
      <c r="EN163" s="136"/>
      <c r="EO163" s="136"/>
      <c r="EP163" s="136"/>
      <c r="EQ163" s="136"/>
      <c r="ER163" s="136"/>
      <c r="ES163" s="136"/>
      <c r="ET163" s="136"/>
      <c r="EU163" s="136"/>
      <c r="EV163" s="136"/>
      <c r="EW163" s="136"/>
      <c r="EX163" s="136"/>
      <c r="EY163" s="136"/>
      <c r="EZ163" s="136"/>
      <c r="FA163" s="136"/>
      <c r="FB163" s="136"/>
      <c r="FC163" s="136"/>
      <c r="FD163" s="136"/>
      <c r="FE163" s="137"/>
      <c r="FF163" s="138"/>
    </row>
    <row r="164" spans="1:162" ht="12.75" x14ac:dyDescent="0.2">
      <c r="A164" s="93">
        <v>158</v>
      </c>
      <c r="B164" s="145" t="s">
        <v>194</v>
      </c>
      <c r="C164" s="141" t="s">
        <v>866</v>
      </c>
      <c r="D164" s="142" t="s">
        <v>867</v>
      </c>
      <c r="E164" s="149" t="s">
        <v>193</v>
      </c>
      <c r="F164" s="542">
        <v>56907650</v>
      </c>
      <c r="G164" s="542">
        <v>0</v>
      </c>
      <c r="H164" s="542">
        <v>56907650</v>
      </c>
      <c r="I164" s="542">
        <v>0</v>
      </c>
      <c r="J164" s="542">
        <v>0</v>
      </c>
      <c r="K164" s="542">
        <v>0</v>
      </c>
      <c r="L164" s="542">
        <v>184833</v>
      </c>
      <c r="M164" s="542">
        <v>0</v>
      </c>
      <c r="N164" s="542">
        <v>184833</v>
      </c>
      <c r="O164" s="542">
        <v>-344264</v>
      </c>
      <c r="P164" s="542">
        <v>0</v>
      </c>
      <c r="Q164" s="542">
        <v>-344264</v>
      </c>
      <c r="R164" s="542">
        <v>0</v>
      </c>
      <c r="S164" s="542">
        <v>0</v>
      </c>
      <c r="T164" s="542">
        <v>0</v>
      </c>
      <c r="U164" s="542">
        <v>-718500.91</v>
      </c>
      <c r="V164" s="542">
        <v>0</v>
      </c>
      <c r="W164" s="542">
        <v>-718500.91</v>
      </c>
      <c r="X164" s="542">
        <v>2696703</v>
      </c>
      <c r="Y164" s="542">
        <v>0</v>
      </c>
      <c r="Z164" s="542">
        <v>2696703</v>
      </c>
      <c r="AA164" s="542">
        <v>-2489717</v>
      </c>
      <c r="AB164" s="542">
        <v>0</v>
      </c>
      <c r="AC164" s="542">
        <v>-2489717</v>
      </c>
      <c r="AD164" s="542">
        <v>56580968</v>
      </c>
      <c r="AE164" s="542">
        <v>0</v>
      </c>
      <c r="AF164" s="542">
        <v>56580968</v>
      </c>
      <c r="AG164" s="542">
        <v>0</v>
      </c>
      <c r="AH164" s="542">
        <v>0</v>
      </c>
      <c r="AI164" s="542">
        <v>0</v>
      </c>
      <c r="AJ164" s="542">
        <v>0</v>
      </c>
      <c r="AK164" s="542">
        <v>0</v>
      </c>
      <c r="AL164" s="542">
        <v>0</v>
      </c>
      <c r="AM164" s="542">
        <v>0</v>
      </c>
      <c r="AN164" s="542">
        <v>0</v>
      </c>
      <c r="AO164" s="542">
        <v>0</v>
      </c>
      <c r="AP164" s="542">
        <v>0</v>
      </c>
      <c r="AQ164" s="542">
        <v>0</v>
      </c>
      <c r="AR164" s="542">
        <v>0</v>
      </c>
      <c r="AS164" s="542">
        <v>0</v>
      </c>
      <c r="AT164" s="542">
        <v>0</v>
      </c>
      <c r="AU164" s="542">
        <v>0</v>
      </c>
      <c r="AV164" s="542">
        <v>3573405</v>
      </c>
      <c r="AW164" s="542">
        <v>-429961</v>
      </c>
      <c r="AX164" s="136"/>
      <c r="AY164" s="136"/>
      <c r="AZ164" s="136"/>
      <c r="BA164" s="136"/>
      <c r="BB164" s="136"/>
      <c r="BC164" s="136"/>
      <c r="BD164" s="136"/>
      <c r="BE164" s="136"/>
      <c r="BF164" s="136"/>
      <c r="BG164" s="136"/>
      <c r="BH164" s="136"/>
      <c r="BI164" s="136"/>
      <c r="BJ164" s="136"/>
      <c r="BK164" s="136"/>
      <c r="BL164" s="136"/>
      <c r="BM164" s="136"/>
      <c r="BN164" s="136"/>
      <c r="BO164" s="136"/>
      <c r="BP164" s="136"/>
      <c r="BQ164" s="136"/>
      <c r="BR164" s="136"/>
      <c r="BS164" s="136"/>
      <c r="BT164" s="136"/>
      <c r="BU164" s="136"/>
      <c r="BV164" s="136"/>
      <c r="BW164" s="136"/>
      <c r="BX164" s="136"/>
      <c r="BY164" s="136"/>
      <c r="BZ164" s="136"/>
      <c r="CA164" s="136"/>
      <c r="CB164" s="136"/>
      <c r="CC164" s="136"/>
      <c r="CD164" s="136"/>
      <c r="CE164" s="136"/>
      <c r="CF164" s="136"/>
      <c r="CG164" s="136"/>
      <c r="CH164" s="136"/>
      <c r="CI164" s="136"/>
      <c r="CJ164" s="136"/>
      <c r="CK164" s="136"/>
      <c r="CL164" s="136"/>
      <c r="CM164" s="136"/>
      <c r="CN164" s="136"/>
      <c r="CO164" s="136"/>
      <c r="CP164" s="136"/>
      <c r="CQ164" s="136"/>
      <c r="CR164" s="136"/>
      <c r="CS164" s="136"/>
      <c r="CT164" s="136"/>
      <c r="CU164" s="136"/>
      <c r="CV164" s="136"/>
      <c r="CW164" s="136"/>
      <c r="CX164" s="136"/>
      <c r="CY164" s="136"/>
      <c r="CZ164" s="136"/>
      <c r="DA164" s="136"/>
      <c r="DB164" s="136"/>
      <c r="DC164" s="136"/>
      <c r="DD164" s="136"/>
      <c r="DE164" s="136"/>
      <c r="DF164" s="136"/>
      <c r="DG164" s="136"/>
      <c r="DH164" s="136"/>
      <c r="DI164" s="136"/>
      <c r="DJ164" s="136"/>
      <c r="DK164" s="136"/>
      <c r="DL164" s="136"/>
      <c r="DM164" s="136"/>
      <c r="DN164" s="136"/>
      <c r="DO164" s="136"/>
      <c r="DP164" s="136"/>
      <c r="DQ164" s="136"/>
      <c r="DR164" s="136"/>
      <c r="DS164" s="136"/>
      <c r="DT164" s="136"/>
      <c r="DU164" s="136"/>
      <c r="DV164" s="136"/>
      <c r="DW164" s="136"/>
      <c r="DX164" s="136"/>
      <c r="DY164" s="136"/>
      <c r="DZ164" s="136"/>
      <c r="EA164" s="136"/>
      <c r="EB164" s="136"/>
      <c r="EC164" s="136"/>
      <c r="ED164" s="136"/>
      <c r="EE164" s="136"/>
      <c r="EF164" s="136"/>
      <c r="EG164" s="136"/>
      <c r="EH164" s="136"/>
      <c r="EI164" s="136"/>
      <c r="EJ164" s="136"/>
      <c r="EK164" s="136"/>
      <c r="EL164" s="136"/>
      <c r="EM164" s="136"/>
      <c r="EN164" s="136"/>
      <c r="EO164" s="136"/>
      <c r="EP164" s="136"/>
      <c r="EQ164" s="136"/>
      <c r="ER164" s="136"/>
      <c r="ES164" s="136"/>
      <c r="ET164" s="136"/>
      <c r="EU164" s="136"/>
      <c r="EV164" s="136"/>
      <c r="EW164" s="136"/>
      <c r="EX164" s="136"/>
      <c r="EY164" s="136"/>
      <c r="EZ164" s="136"/>
      <c r="FA164" s="136"/>
      <c r="FB164" s="136"/>
      <c r="FC164" s="136"/>
      <c r="FD164" s="136"/>
      <c r="FE164" s="137"/>
      <c r="FF164" s="138"/>
    </row>
    <row r="165" spans="1:162" ht="12.75" x14ac:dyDescent="0.2">
      <c r="A165" s="93">
        <v>159</v>
      </c>
      <c r="B165" s="145" t="s">
        <v>196</v>
      </c>
      <c r="C165" s="141" t="s">
        <v>866</v>
      </c>
      <c r="D165" s="142" t="s">
        <v>870</v>
      </c>
      <c r="E165" s="149" t="s">
        <v>195</v>
      </c>
      <c r="F165" s="542">
        <v>13694913</v>
      </c>
      <c r="G165" s="542">
        <v>0</v>
      </c>
      <c r="H165" s="542">
        <v>13694913</v>
      </c>
      <c r="I165" s="542">
        <v>0</v>
      </c>
      <c r="J165" s="542">
        <v>0</v>
      </c>
      <c r="K165" s="542">
        <v>0</v>
      </c>
      <c r="L165" s="542">
        <v>16813</v>
      </c>
      <c r="M165" s="542">
        <v>0</v>
      </c>
      <c r="N165" s="542">
        <v>16813</v>
      </c>
      <c r="O165" s="542">
        <v>-31206</v>
      </c>
      <c r="P165" s="542">
        <v>0</v>
      </c>
      <c r="Q165" s="542">
        <v>-31206</v>
      </c>
      <c r="R165" s="542">
        <v>0</v>
      </c>
      <c r="S165" s="542">
        <v>0</v>
      </c>
      <c r="T165" s="542">
        <v>0</v>
      </c>
      <c r="U165" s="542">
        <v>0</v>
      </c>
      <c r="V165" s="542">
        <v>0</v>
      </c>
      <c r="W165" s="542">
        <v>0</v>
      </c>
      <c r="X165" s="542">
        <v>98649</v>
      </c>
      <c r="Y165" s="542">
        <v>0</v>
      </c>
      <c r="Z165" s="542">
        <v>98649</v>
      </c>
      <c r="AA165" s="542">
        <v>-700020</v>
      </c>
      <c r="AB165" s="542">
        <v>0</v>
      </c>
      <c r="AC165" s="542">
        <v>-700020</v>
      </c>
      <c r="AD165" s="542">
        <v>13110355</v>
      </c>
      <c r="AE165" s="542">
        <v>0</v>
      </c>
      <c r="AF165" s="542">
        <v>13110355</v>
      </c>
      <c r="AG165" s="542">
        <v>0</v>
      </c>
      <c r="AH165" s="542">
        <v>0</v>
      </c>
      <c r="AI165" s="542">
        <v>0</v>
      </c>
      <c r="AJ165" s="542">
        <v>400899</v>
      </c>
      <c r="AK165" s="542">
        <v>0</v>
      </c>
      <c r="AL165" s="542">
        <v>0</v>
      </c>
      <c r="AM165" s="542">
        <v>400899</v>
      </c>
      <c r="AN165" s="542">
        <v>0</v>
      </c>
      <c r="AO165" s="542">
        <v>0</v>
      </c>
      <c r="AP165" s="542">
        <v>0</v>
      </c>
      <c r="AQ165" s="542">
        <v>0</v>
      </c>
      <c r="AR165" s="542">
        <v>0</v>
      </c>
      <c r="AS165" s="542">
        <v>0</v>
      </c>
      <c r="AT165" s="542">
        <v>0</v>
      </c>
      <c r="AU165" s="542">
        <v>0</v>
      </c>
      <c r="AV165" s="542">
        <v>728753</v>
      </c>
      <c r="AW165" s="542">
        <v>-245700</v>
      </c>
      <c r="AX165" s="136"/>
      <c r="AY165" s="136"/>
      <c r="AZ165" s="136"/>
      <c r="BA165" s="136"/>
      <c r="BB165" s="136"/>
      <c r="BC165" s="136"/>
      <c r="BD165" s="136"/>
      <c r="BE165" s="136"/>
      <c r="BF165" s="136"/>
      <c r="BG165" s="136"/>
      <c r="BH165" s="136"/>
      <c r="BI165" s="136"/>
      <c r="BJ165" s="136"/>
      <c r="BK165" s="136"/>
      <c r="BL165" s="136"/>
      <c r="BM165" s="136"/>
      <c r="BN165" s="136"/>
      <c r="BO165" s="136"/>
      <c r="BP165" s="136"/>
      <c r="BQ165" s="136"/>
      <c r="BR165" s="136"/>
      <c r="BS165" s="136"/>
      <c r="BT165" s="136"/>
      <c r="BU165" s="136"/>
      <c r="BV165" s="136"/>
      <c r="BW165" s="136"/>
      <c r="BX165" s="136"/>
      <c r="BY165" s="136"/>
      <c r="BZ165" s="136"/>
      <c r="CA165" s="136"/>
      <c r="CB165" s="136"/>
      <c r="CC165" s="136"/>
      <c r="CD165" s="136"/>
      <c r="CE165" s="136"/>
      <c r="CF165" s="136"/>
      <c r="CG165" s="136"/>
      <c r="CH165" s="136"/>
      <c r="CI165" s="136"/>
      <c r="CJ165" s="136"/>
      <c r="CK165" s="136"/>
      <c r="CL165" s="136"/>
      <c r="CM165" s="136"/>
      <c r="CN165" s="136"/>
      <c r="CO165" s="136"/>
      <c r="CP165" s="136"/>
      <c r="CQ165" s="136"/>
      <c r="CR165" s="136"/>
      <c r="CS165" s="136"/>
      <c r="CT165" s="136"/>
      <c r="CU165" s="136"/>
      <c r="CV165" s="136"/>
      <c r="CW165" s="136"/>
      <c r="CX165" s="136"/>
      <c r="CY165" s="136"/>
      <c r="CZ165" s="136"/>
      <c r="DA165" s="136"/>
      <c r="DB165" s="136"/>
      <c r="DC165" s="136"/>
      <c r="DD165" s="136"/>
      <c r="DE165" s="136"/>
      <c r="DF165" s="136"/>
      <c r="DG165" s="136"/>
      <c r="DH165" s="136"/>
      <c r="DI165" s="136"/>
      <c r="DJ165" s="136"/>
      <c r="DK165" s="136"/>
      <c r="DL165" s="136"/>
      <c r="DM165" s="136"/>
      <c r="DN165" s="136"/>
      <c r="DO165" s="136"/>
      <c r="DP165" s="136"/>
      <c r="DQ165" s="136"/>
      <c r="DR165" s="136"/>
      <c r="DS165" s="136"/>
      <c r="DT165" s="136"/>
      <c r="DU165" s="136"/>
      <c r="DV165" s="136"/>
      <c r="DW165" s="136"/>
      <c r="DX165" s="136"/>
      <c r="DY165" s="136"/>
      <c r="DZ165" s="136"/>
      <c r="EA165" s="136"/>
      <c r="EB165" s="136"/>
      <c r="EC165" s="136"/>
      <c r="ED165" s="136"/>
      <c r="EE165" s="136"/>
      <c r="EF165" s="136"/>
      <c r="EG165" s="136"/>
      <c r="EH165" s="136"/>
      <c r="EI165" s="136"/>
      <c r="EJ165" s="136"/>
      <c r="EK165" s="136"/>
      <c r="EL165" s="136"/>
      <c r="EM165" s="136"/>
      <c r="EN165" s="136"/>
      <c r="EO165" s="136"/>
      <c r="EP165" s="136"/>
      <c r="EQ165" s="136"/>
      <c r="ER165" s="136"/>
      <c r="ES165" s="136"/>
      <c r="ET165" s="136"/>
      <c r="EU165" s="136"/>
      <c r="EV165" s="136"/>
      <c r="EW165" s="136"/>
      <c r="EX165" s="136"/>
      <c r="EY165" s="136"/>
      <c r="EZ165" s="136"/>
      <c r="FA165" s="136"/>
      <c r="FB165" s="136"/>
      <c r="FC165" s="136"/>
      <c r="FD165" s="136"/>
      <c r="FE165" s="137"/>
      <c r="FF165" s="138"/>
    </row>
    <row r="166" spans="1:162" ht="12.75" x14ac:dyDescent="0.2">
      <c r="A166" s="93">
        <v>160</v>
      </c>
      <c r="B166" s="145" t="s">
        <v>198</v>
      </c>
      <c r="C166" s="141" t="s">
        <v>866</v>
      </c>
      <c r="D166" s="142" t="s">
        <v>876</v>
      </c>
      <c r="E166" s="149" t="s">
        <v>885</v>
      </c>
      <c r="F166" s="542">
        <v>14889737</v>
      </c>
      <c r="G166" s="542">
        <v>0</v>
      </c>
      <c r="H166" s="542">
        <v>14889737</v>
      </c>
      <c r="I166" s="542">
        <v>0</v>
      </c>
      <c r="J166" s="542">
        <v>0</v>
      </c>
      <c r="K166" s="542">
        <v>0</v>
      </c>
      <c r="L166" s="542">
        <v>37490</v>
      </c>
      <c r="M166" s="542">
        <v>0</v>
      </c>
      <c r="N166" s="542">
        <v>37490</v>
      </c>
      <c r="O166" s="542">
        <v>0</v>
      </c>
      <c r="P166" s="542">
        <v>0</v>
      </c>
      <c r="Q166" s="542">
        <v>0</v>
      </c>
      <c r="R166" s="542">
        <v>-15258</v>
      </c>
      <c r="S166" s="542">
        <v>0</v>
      </c>
      <c r="T166" s="542">
        <v>-15258</v>
      </c>
      <c r="U166" s="542">
        <v>0</v>
      </c>
      <c r="V166" s="542">
        <v>0</v>
      </c>
      <c r="W166" s="542">
        <v>0</v>
      </c>
      <c r="X166" s="542">
        <v>261560</v>
      </c>
      <c r="Y166" s="542">
        <v>0</v>
      </c>
      <c r="Z166" s="542">
        <v>261560</v>
      </c>
      <c r="AA166" s="542">
        <v>-4002305.4</v>
      </c>
      <c r="AB166" s="542">
        <v>0</v>
      </c>
      <c r="AC166" s="542">
        <v>-4002305.4</v>
      </c>
      <c r="AD166" s="542">
        <v>11171223.5</v>
      </c>
      <c r="AE166" s="542">
        <v>0</v>
      </c>
      <c r="AF166" s="542">
        <v>11171223.5</v>
      </c>
      <c r="AG166" s="542">
        <v>0</v>
      </c>
      <c r="AH166" s="542">
        <v>0</v>
      </c>
      <c r="AI166" s="542">
        <v>0</v>
      </c>
      <c r="AJ166" s="542">
        <v>0</v>
      </c>
      <c r="AK166" s="542">
        <v>0</v>
      </c>
      <c r="AL166" s="542">
        <v>0</v>
      </c>
      <c r="AM166" s="542">
        <v>0</v>
      </c>
      <c r="AN166" s="542">
        <v>0</v>
      </c>
      <c r="AO166" s="542">
        <v>0</v>
      </c>
      <c r="AP166" s="542">
        <v>0</v>
      </c>
      <c r="AQ166" s="542">
        <v>0</v>
      </c>
      <c r="AR166" s="542">
        <v>0</v>
      </c>
      <c r="AS166" s="542">
        <v>0</v>
      </c>
      <c r="AT166" s="542">
        <v>0</v>
      </c>
      <c r="AU166" s="542">
        <v>0</v>
      </c>
      <c r="AV166" s="542">
        <v>428234</v>
      </c>
      <c r="AW166" s="542">
        <v>-121866</v>
      </c>
      <c r="AX166" s="136"/>
      <c r="AY166" s="136"/>
      <c r="AZ166" s="136"/>
      <c r="BA166" s="136"/>
      <c r="BB166" s="136"/>
      <c r="BC166" s="136"/>
      <c r="BD166" s="136"/>
      <c r="BE166" s="136"/>
      <c r="BF166" s="136"/>
      <c r="BG166" s="136"/>
      <c r="BH166" s="136"/>
      <c r="BI166" s="136"/>
      <c r="BJ166" s="136"/>
      <c r="BK166" s="136"/>
      <c r="BL166" s="136"/>
      <c r="BM166" s="136"/>
      <c r="BN166" s="136"/>
      <c r="BO166" s="136"/>
      <c r="BP166" s="136"/>
      <c r="BQ166" s="136"/>
      <c r="BR166" s="136"/>
      <c r="BS166" s="136"/>
      <c r="BT166" s="136"/>
      <c r="BU166" s="136"/>
      <c r="BV166" s="136"/>
      <c r="BW166" s="136"/>
      <c r="BX166" s="136"/>
      <c r="BY166" s="136"/>
      <c r="BZ166" s="136"/>
      <c r="CA166" s="136"/>
      <c r="CB166" s="136"/>
      <c r="CC166" s="136"/>
      <c r="CD166" s="136"/>
      <c r="CE166" s="136"/>
      <c r="CF166" s="136"/>
      <c r="CG166" s="136"/>
      <c r="CH166" s="136"/>
      <c r="CI166" s="136"/>
      <c r="CJ166" s="136"/>
      <c r="CK166" s="136"/>
      <c r="CL166" s="136"/>
      <c r="CM166" s="136"/>
      <c r="CN166" s="136"/>
      <c r="CO166" s="136"/>
      <c r="CP166" s="136"/>
      <c r="CQ166" s="136"/>
      <c r="CR166" s="136"/>
      <c r="CS166" s="136"/>
      <c r="CT166" s="136"/>
      <c r="CU166" s="136"/>
      <c r="CV166" s="136"/>
      <c r="CW166" s="136"/>
      <c r="CX166" s="136"/>
      <c r="CY166" s="136"/>
      <c r="CZ166" s="136"/>
      <c r="DA166" s="136"/>
      <c r="DB166" s="136"/>
      <c r="DC166" s="136"/>
      <c r="DD166" s="136"/>
      <c r="DE166" s="136"/>
      <c r="DF166" s="136"/>
      <c r="DG166" s="136"/>
      <c r="DH166" s="136"/>
      <c r="DI166" s="136"/>
      <c r="DJ166" s="136"/>
      <c r="DK166" s="136"/>
      <c r="DL166" s="136"/>
      <c r="DM166" s="136"/>
      <c r="DN166" s="136"/>
      <c r="DO166" s="136"/>
      <c r="DP166" s="136"/>
      <c r="DQ166" s="136"/>
      <c r="DR166" s="136"/>
      <c r="DS166" s="136"/>
      <c r="DT166" s="136"/>
      <c r="DU166" s="136"/>
      <c r="DV166" s="136"/>
      <c r="DW166" s="136"/>
      <c r="DX166" s="136"/>
      <c r="DY166" s="136"/>
      <c r="DZ166" s="136"/>
      <c r="EA166" s="136"/>
      <c r="EB166" s="136"/>
      <c r="EC166" s="136"/>
      <c r="ED166" s="136"/>
      <c r="EE166" s="136"/>
      <c r="EF166" s="136"/>
      <c r="EG166" s="136"/>
      <c r="EH166" s="136"/>
      <c r="EI166" s="136"/>
      <c r="EJ166" s="136"/>
      <c r="EK166" s="136"/>
      <c r="EL166" s="136"/>
      <c r="EM166" s="136"/>
      <c r="EN166" s="136"/>
      <c r="EO166" s="136"/>
      <c r="EP166" s="136"/>
      <c r="EQ166" s="136"/>
      <c r="ER166" s="136"/>
      <c r="ES166" s="136"/>
      <c r="ET166" s="136"/>
      <c r="EU166" s="136"/>
      <c r="EV166" s="136"/>
      <c r="EW166" s="136"/>
      <c r="EX166" s="136"/>
      <c r="EY166" s="136"/>
      <c r="EZ166" s="136"/>
      <c r="FA166" s="136"/>
      <c r="FB166" s="136"/>
      <c r="FC166" s="136"/>
      <c r="FD166" s="136"/>
      <c r="FE166" s="137"/>
      <c r="FF166" s="138"/>
    </row>
    <row r="167" spans="1:162" ht="12.75" x14ac:dyDescent="0.2">
      <c r="A167" s="93">
        <v>161</v>
      </c>
      <c r="B167" s="145" t="s">
        <v>200</v>
      </c>
      <c r="C167" s="141" t="s">
        <v>873</v>
      </c>
      <c r="D167" s="142" t="s">
        <v>868</v>
      </c>
      <c r="E167" s="149" t="s">
        <v>199</v>
      </c>
      <c r="F167" s="542">
        <v>314961751</v>
      </c>
      <c r="G167" s="542">
        <v>3813570</v>
      </c>
      <c r="H167" s="542">
        <v>318775321</v>
      </c>
      <c r="I167" s="542">
        <v>0</v>
      </c>
      <c r="J167" s="542">
        <v>0</v>
      </c>
      <c r="K167" s="542">
        <v>0</v>
      </c>
      <c r="L167" s="542">
        <v>1053728</v>
      </c>
      <c r="M167" s="542">
        <v>0</v>
      </c>
      <c r="N167" s="542">
        <v>1053728</v>
      </c>
      <c r="O167" s="542">
        <v>-3742880</v>
      </c>
      <c r="P167" s="542">
        <v>-10234</v>
      </c>
      <c r="Q167" s="542">
        <v>-3753114</v>
      </c>
      <c r="R167" s="542">
        <v>0</v>
      </c>
      <c r="S167" s="542">
        <v>0</v>
      </c>
      <c r="T167" s="542">
        <v>0</v>
      </c>
      <c r="U167" s="542">
        <v>-6423638</v>
      </c>
      <c r="V167" s="542">
        <v>0</v>
      </c>
      <c r="W167" s="542">
        <v>-6423638</v>
      </c>
      <c r="X167" s="542">
        <v>14614427</v>
      </c>
      <c r="Y167" s="542">
        <v>817271</v>
      </c>
      <c r="Z167" s="542">
        <v>15431698</v>
      </c>
      <c r="AA167" s="542">
        <v>-32702396</v>
      </c>
      <c r="AB167" s="542">
        <v>-2108039</v>
      </c>
      <c r="AC167" s="542">
        <v>-34810435</v>
      </c>
      <c r="AD167" s="542">
        <v>291503872</v>
      </c>
      <c r="AE167" s="542">
        <v>2522802</v>
      </c>
      <c r="AF167" s="542">
        <v>294026674</v>
      </c>
      <c r="AG167" s="542">
        <v>2522802</v>
      </c>
      <c r="AH167" s="542">
        <v>0</v>
      </c>
      <c r="AI167" s="542">
        <v>2522802</v>
      </c>
      <c r="AJ167" s="542">
        <v>0</v>
      </c>
      <c r="AK167" s="542">
        <v>0</v>
      </c>
      <c r="AL167" s="542">
        <v>0</v>
      </c>
      <c r="AM167" s="542">
        <v>0</v>
      </c>
      <c r="AN167" s="542">
        <v>-31113</v>
      </c>
      <c r="AO167" s="542">
        <v>0</v>
      </c>
      <c r="AP167" s="542">
        <v>-31113</v>
      </c>
      <c r="AQ167" s="542">
        <v>5922128</v>
      </c>
      <c r="AR167" s="542">
        <v>0</v>
      </c>
      <c r="AS167" s="542">
        <v>0</v>
      </c>
      <c r="AT167" s="542">
        <v>0</v>
      </c>
      <c r="AU167" s="542">
        <v>0</v>
      </c>
      <c r="AV167" s="542">
        <v>22706438</v>
      </c>
      <c r="AW167" s="542">
        <v>-14335873</v>
      </c>
      <c r="AX167" s="136"/>
      <c r="AY167" s="136"/>
      <c r="AZ167" s="136"/>
      <c r="BA167" s="136"/>
      <c r="BB167" s="136"/>
      <c r="BC167" s="136"/>
      <c r="BD167" s="136"/>
      <c r="BE167" s="136"/>
      <c r="BF167" s="136"/>
      <c r="BG167" s="136"/>
      <c r="BH167" s="136"/>
      <c r="BI167" s="136"/>
      <c r="BJ167" s="136"/>
      <c r="BK167" s="136"/>
      <c r="BL167" s="136"/>
      <c r="BM167" s="136"/>
      <c r="BN167" s="136"/>
      <c r="BO167" s="136"/>
      <c r="BP167" s="136"/>
      <c r="BQ167" s="136"/>
      <c r="BR167" s="136"/>
      <c r="BS167" s="136"/>
      <c r="BT167" s="136"/>
      <c r="BU167" s="136"/>
      <c r="BV167" s="136"/>
      <c r="BW167" s="136"/>
      <c r="BX167" s="136"/>
      <c r="BY167" s="136"/>
      <c r="BZ167" s="136"/>
      <c r="CA167" s="136"/>
      <c r="CB167" s="136"/>
      <c r="CC167" s="136"/>
      <c r="CD167" s="136"/>
      <c r="CE167" s="136"/>
      <c r="CF167" s="136"/>
      <c r="CG167" s="136"/>
      <c r="CH167" s="136"/>
      <c r="CI167" s="136"/>
      <c r="CJ167" s="136"/>
      <c r="CK167" s="136"/>
      <c r="CL167" s="136"/>
      <c r="CM167" s="136"/>
      <c r="CN167" s="136"/>
      <c r="CO167" s="136"/>
      <c r="CP167" s="136"/>
      <c r="CQ167" s="136"/>
      <c r="CR167" s="136"/>
      <c r="CS167" s="136"/>
      <c r="CT167" s="136"/>
      <c r="CU167" s="136"/>
      <c r="CV167" s="136"/>
      <c r="CW167" s="136"/>
      <c r="CX167" s="136"/>
      <c r="CY167" s="136"/>
      <c r="CZ167" s="136"/>
      <c r="DA167" s="136"/>
      <c r="DB167" s="136"/>
      <c r="DC167" s="136"/>
      <c r="DD167" s="136"/>
      <c r="DE167" s="136"/>
      <c r="DF167" s="136"/>
      <c r="DG167" s="136"/>
      <c r="DH167" s="136"/>
      <c r="DI167" s="136"/>
      <c r="DJ167" s="136"/>
      <c r="DK167" s="136"/>
      <c r="DL167" s="136"/>
      <c r="DM167" s="136"/>
      <c r="DN167" s="136"/>
      <c r="DO167" s="136"/>
      <c r="DP167" s="136"/>
      <c r="DQ167" s="136"/>
      <c r="DR167" s="136"/>
      <c r="DS167" s="136"/>
      <c r="DT167" s="136"/>
      <c r="DU167" s="136"/>
      <c r="DV167" s="136"/>
      <c r="DW167" s="136"/>
      <c r="DX167" s="136"/>
      <c r="DY167" s="136"/>
      <c r="DZ167" s="136"/>
      <c r="EA167" s="136"/>
      <c r="EB167" s="136"/>
      <c r="EC167" s="136"/>
      <c r="ED167" s="136"/>
      <c r="EE167" s="136"/>
      <c r="EF167" s="136"/>
      <c r="EG167" s="136"/>
      <c r="EH167" s="136"/>
      <c r="EI167" s="136"/>
      <c r="EJ167" s="136"/>
      <c r="EK167" s="136"/>
      <c r="EL167" s="136"/>
      <c r="EM167" s="136"/>
      <c r="EN167" s="136"/>
      <c r="EO167" s="136"/>
      <c r="EP167" s="136"/>
      <c r="EQ167" s="136"/>
      <c r="ER167" s="136"/>
      <c r="ES167" s="136"/>
      <c r="ET167" s="136"/>
      <c r="EU167" s="136"/>
      <c r="EV167" s="136"/>
      <c r="EW167" s="136"/>
      <c r="EX167" s="136"/>
      <c r="EY167" s="136"/>
      <c r="EZ167" s="136"/>
      <c r="FA167" s="136"/>
      <c r="FB167" s="136"/>
      <c r="FC167" s="136"/>
      <c r="FD167" s="136"/>
      <c r="FE167" s="137"/>
      <c r="FF167" s="138"/>
    </row>
    <row r="168" spans="1:162" ht="12.75" x14ac:dyDescent="0.2">
      <c r="A168" s="93">
        <v>162</v>
      </c>
      <c r="B168" s="145" t="s">
        <v>202</v>
      </c>
      <c r="C168" s="141" t="s">
        <v>866</v>
      </c>
      <c r="D168" s="142" t="s">
        <v>869</v>
      </c>
      <c r="E168" s="149" t="s">
        <v>201</v>
      </c>
      <c r="F168" s="542">
        <v>27588390</v>
      </c>
      <c r="G168" s="542">
        <v>0</v>
      </c>
      <c r="H168" s="542">
        <v>27588390</v>
      </c>
      <c r="I168" s="542">
        <v>0</v>
      </c>
      <c r="J168" s="542">
        <v>0</v>
      </c>
      <c r="K168" s="542">
        <v>0</v>
      </c>
      <c r="L168" s="542">
        <v>187043</v>
      </c>
      <c r="M168" s="542">
        <v>0</v>
      </c>
      <c r="N168" s="542">
        <v>187043</v>
      </c>
      <c r="O168" s="542">
        <v>-157425</v>
      </c>
      <c r="P168" s="542">
        <v>0</v>
      </c>
      <c r="Q168" s="542">
        <v>-157425</v>
      </c>
      <c r="R168" s="542">
        <v>0</v>
      </c>
      <c r="S168" s="542">
        <v>0</v>
      </c>
      <c r="T168" s="542">
        <v>0</v>
      </c>
      <c r="U168" s="542">
        <v>-305863</v>
      </c>
      <c r="V168" s="542">
        <v>0</v>
      </c>
      <c r="W168" s="542">
        <v>-305863</v>
      </c>
      <c r="X168" s="542">
        <v>0</v>
      </c>
      <c r="Y168" s="542">
        <v>0</v>
      </c>
      <c r="Z168" s="542">
        <v>0</v>
      </c>
      <c r="AA168" s="542">
        <v>-927917</v>
      </c>
      <c r="AB168" s="542">
        <v>0</v>
      </c>
      <c r="AC168" s="542">
        <v>-927917</v>
      </c>
      <c r="AD168" s="542">
        <v>26541653</v>
      </c>
      <c r="AE168" s="542">
        <v>0</v>
      </c>
      <c r="AF168" s="542">
        <v>26541653</v>
      </c>
      <c r="AG168" s="542">
        <v>0</v>
      </c>
      <c r="AH168" s="542">
        <v>0</v>
      </c>
      <c r="AI168" s="542">
        <v>0</v>
      </c>
      <c r="AJ168" s="542">
        <v>0</v>
      </c>
      <c r="AK168" s="542">
        <v>0</v>
      </c>
      <c r="AL168" s="542">
        <v>0</v>
      </c>
      <c r="AM168" s="542">
        <v>0</v>
      </c>
      <c r="AN168" s="542">
        <v>0</v>
      </c>
      <c r="AO168" s="542">
        <v>0</v>
      </c>
      <c r="AP168" s="542">
        <v>0</v>
      </c>
      <c r="AQ168" s="542">
        <v>0</v>
      </c>
      <c r="AR168" s="542">
        <v>0</v>
      </c>
      <c r="AS168" s="542">
        <v>0</v>
      </c>
      <c r="AT168" s="542">
        <v>0</v>
      </c>
      <c r="AU168" s="542">
        <v>0</v>
      </c>
      <c r="AV168" s="542">
        <v>349041</v>
      </c>
      <c r="AW168" s="542">
        <v>-52415</v>
      </c>
      <c r="AX168" s="136"/>
      <c r="AY168" s="136"/>
      <c r="AZ168" s="136"/>
      <c r="BA168" s="136"/>
      <c r="BB168" s="136"/>
      <c r="BC168" s="136"/>
      <c r="BD168" s="136"/>
      <c r="BE168" s="136"/>
      <c r="BF168" s="136"/>
      <c r="BG168" s="136"/>
      <c r="BH168" s="136"/>
      <c r="BI168" s="136"/>
      <c r="BJ168" s="136"/>
      <c r="BK168" s="136"/>
      <c r="BL168" s="136"/>
      <c r="BM168" s="136"/>
      <c r="BN168" s="136"/>
      <c r="BO168" s="136"/>
      <c r="BP168" s="136"/>
      <c r="BQ168" s="136"/>
      <c r="BR168" s="136"/>
      <c r="BS168" s="136"/>
      <c r="BT168" s="136"/>
      <c r="BU168" s="136"/>
      <c r="BV168" s="136"/>
      <c r="BW168" s="136"/>
      <c r="BX168" s="136"/>
      <c r="BY168" s="136"/>
      <c r="BZ168" s="136"/>
      <c r="CA168" s="136"/>
      <c r="CB168" s="136"/>
      <c r="CC168" s="136"/>
      <c r="CD168" s="136"/>
      <c r="CE168" s="136"/>
      <c r="CF168" s="136"/>
      <c r="CG168" s="136"/>
      <c r="CH168" s="136"/>
      <c r="CI168" s="136"/>
      <c r="CJ168" s="136"/>
      <c r="CK168" s="136"/>
      <c r="CL168" s="136"/>
      <c r="CM168" s="136"/>
      <c r="CN168" s="136"/>
      <c r="CO168" s="136"/>
      <c r="CP168" s="136"/>
      <c r="CQ168" s="136"/>
      <c r="CR168" s="136"/>
      <c r="CS168" s="136"/>
      <c r="CT168" s="136"/>
      <c r="CU168" s="136"/>
      <c r="CV168" s="136"/>
      <c r="CW168" s="136"/>
      <c r="CX168" s="136"/>
      <c r="CY168" s="136"/>
      <c r="CZ168" s="136"/>
      <c r="DA168" s="136"/>
      <c r="DB168" s="136"/>
      <c r="DC168" s="136"/>
      <c r="DD168" s="136"/>
      <c r="DE168" s="136"/>
      <c r="DF168" s="136"/>
      <c r="DG168" s="136"/>
      <c r="DH168" s="136"/>
      <c r="DI168" s="136"/>
      <c r="DJ168" s="136"/>
      <c r="DK168" s="136"/>
      <c r="DL168" s="136"/>
      <c r="DM168" s="136"/>
      <c r="DN168" s="136"/>
      <c r="DO168" s="136"/>
      <c r="DP168" s="136"/>
      <c r="DQ168" s="136"/>
      <c r="DR168" s="136"/>
      <c r="DS168" s="136"/>
      <c r="DT168" s="136"/>
      <c r="DU168" s="136"/>
      <c r="DV168" s="136"/>
      <c r="DW168" s="136"/>
      <c r="DX168" s="136"/>
      <c r="DY168" s="136"/>
      <c r="DZ168" s="136"/>
      <c r="EA168" s="136"/>
      <c r="EB168" s="136"/>
      <c r="EC168" s="136"/>
      <c r="ED168" s="136"/>
      <c r="EE168" s="136"/>
      <c r="EF168" s="136"/>
      <c r="EG168" s="136"/>
      <c r="EH168" s="136"/>
      <c r="EI168" s="136"/>
      <c r="EJ168" s="136"/>
      <c r="EK168" s="136"/>
      <c r="EL168" s="136"/>
      <c r="EM168" s="136"/>
      <c r="EN168" s="136"/>
      <c r="EO168" s="136"/>
      <c r="EP168" s="136"/>
      <c r="EQ168" s="136"/>
      <c r="ER168" s="136"/>
      <c r="ES168" s="136"/>
      <c r="ET168" s="136"/>
      <c r="EU168" s="136"/>
      <c r="EV168" s="136"/>
      <c r="EW168" s="136"/>
      <c r="EX168" s="136"/>
      <c r="EY168" s="136"/>
      <c r="EZ168" s="136"/>
      <c r="FA168" s="136"/>
      <c r="FB168" s="136"/>
      <c r="FC168" s="136"/>
      <c r="FD168" s="136"/>
      <c r="FE168" s="137"/>
      <c r="FF168" s="138"/>
    </row>
    <row r="169" spans="1:162" ht="12.75" x14ac:dyDescent="0.2">
      <c r="A169" s="93">
        <v>163</v>
      </c>
      <c r="B169" s="145" t="s">
        <v>204</v>
      </c>
      <c r="C169" s="141" t="s">
        <v>770</v>
      </c>
      <c r="D169" s="142" t="s">
        <v>867</v>
      </c>
      <c r="E169" s="149" t="s">
        <v>705</v>
      </c>
      <c r="F169" s="542">
        <v>86392543</v>
      </c>
      <c r="G169" s="542">
        <v>0</v>
      </c>
      <c r="H169" s="542">
        <v>86392543</v>
      </c>
      <c r="I169" s="542">
        <v>0</v>
      </c>
      <c r="J169" s="542">
        <v>0</v>
      </c>
      <c r="K169" s="542">
        <v>0</v>
      </c>
      <c r="L169" s="542">
        <v>240574</v>
      </c>
      <c r="M169" s="542">
        <v>0</v>
      </c>
      <c r="N169" s="542">
        <v>240574</v>
      </c>
      <c r="O169" s="542">
        <v>-1067112</v>
      </c>
      <c r="P169" s="542">
        <v>0</v>
      </c>
      <c r="Q169" s="542">
        <v>-1067112</v>
      </c>
      <c r="R169" s="542">
        <v>0</v>
      </c>
      <c r="S169" s="542">
        <v>0</v>
      </c>
      <c r="T169" s="542">
        <v>0</v>
      </c>
      <c r="U169" s="542">
        <v>-715284</v>
      </c>
      <c r="V169" s="542">
        <v>0</v>
      </c>
      <c r="W169" s="542">
        <v>-715284</v>
      </c>
      <c r="X169" s="542">
        <v>0</v>
      </c>
      <c r="Y169" s="542">
        <v>0</v>
      </c>
      <c r="Z169" s="542">
        <v>0</v>
      </c>
      <c r="AA169" s="542">
        <v>-6950886</v>
      </c>
      <c r="AB169" s="542">
        <v>0</v>
      </c>
      <c r="AC169" s="542">
        <v>-6950886</v>
      </c>
      <c r="AD169" s="542">
        <v>78966947</v>
      </c>
      <c r="AE169" s="542">
        <v>0</v>
      </c>
      <c r="AF169" s="542">
        <v>78966947</v>
      </c>
      <c r="AG169" s="542">
        <v>0</v>
      </c>
      <c r="AH169" s="542">
        <v>0</v>
      </c>
      <c r="AI169" s="542">
        <v>0</v>
      </c>
      <c r="AJ169" s="542">
        <v>0</v>
      </c>
      <c r="AK169" s="542">
        <v>0</v>
      </c>
      <c r="AL169" s="542">
        <v>0</v>
      </c>
      <c r="AM169" s="542">
        <v>0</v>
      </c>
      <c r="AN169" s="542">
        <v>0</v>
      </c>
      <c r="AO169" s="542">
        <v>0</v>
      </c>
      <c r="AP169" s="542">
        <v>0</v>
      </c>
      <c r="AQ169" s="542">
        <v>0</v>
      </c>
      <c r="AR169" s="542">
        <v>0</v>
      </c>
      <c r="AS169" s="542">
        <v>0</v>
      </c>
      <c r="AT169" s="542">
        <v>0</v>
      </c>
      <c r="AU169" s="542">
        <v>0</v>
      </c>
      <c r="AV169" s="542">
        <v>4729488</v>
      </c>
      <c r="AW169" s="542">
        <v>-2062264</v>
      </c>
      <c r="AX169" s="136"/>
      <c r="AY169" s="136"/>
      <c r="AZ169" s="136"/>
      <c r="BA169" s="136"/>
      <c r="BB169" s="136"/>
      <c r="BC169" s="136"/>
      <c r="BD169" s="136"/>
      <c r="BE169" s="136"/>
      <c r="BF169" s="136"/>
      <c r="BG169" s="136"/>
      <c r="BH169" s="136"/>
      <c r="BI169" s="136"/>
      <c r="BJ169" s="136"/>
      <c r="BK169" s="136"/>
      <c r="BL169" s="136"/>
      <c r="BM169" s="136"/>
      <c r="BN169" s="136"/>
      <c r="BO169" s="136"/>
      <c r="BP169" s="136"/>
      <c r="BQ169" s="136"/>
      <c r="BR169" s="136"/>
      <c r="BS169" s="136"/>
      <c r="BT169" s="136"/>
      <c r="BU169" s="136"/>
      <c r="BV169" s="136"/>
      <c r="BW169" s="136"/>
      <c r="BX169" s="136"/>
      <c r="BY169" s="136"/>
      <c r="BZ169" s="136"/>
      <c r="CA169" s="136"/>
      <c r="CB169" s="136"/>
      <c r="CC169" s="136"/>
      <c r="CD169" s="136"/>
      <c r="CE169" s="136"/>
      <c r="CF169" s="136"/>
      <c r="CG169" s="136"/>
      <c r="CH169" s="136"/>
      <c r="CI169" s="136"/>
      <c r="CJ169" s="136"/>
      <c r="CK169" s="136"/>
      <c r="CL169" s="136"/>
      <c r="CM169" s="136"/>
      <c r="CN169" s="136"/>
      <c r="CO169" s="136"/>
      <c r="CP169" s="136"/>
      <c r="CQ169" s="136"/>
      <c r="CR169" s="136"/>
      <c r="CS169" s="136"/>
      <c r="CT169" s="136"/>
      <c r="CU169" s="136"/>
      <c r="CV169" s="136"/>
      <c r="CW169" s="136"/>
      <c r="CX169" s="136"/>
      <c r="CY169" s="136"/>
      <c r="CZ169" s="136"/>
      <c r="DA169" s="136"/>
      <c r="DB169" s="136"/>
      <c r="DC169" s="136"/>
      <c r="DD169" s="136"/>
      <c r="DE169" s="136"/>
      <c r="DF169" s="136"/>
      <c r="DG169" s="136"/>
      <c r="DH169" s="136"/>
      <c r="DI169" s="136"/>
      <c r="DJ169" s="136"/>
      <c r="DK169" s="136"/>
      <c r="DL169" s="136"/>
      <c r="DM169" s="136"/>
      <c r="DN169" s="136"/>
      <c r="DO169" s="136"/>
      <c r="DP169" s="136"/>
      <c r="DQ169" s="136"/>
      <c r="DR169" s="136"/>
      <c r="DS169" s="136"/>
      <c r="DT169" s="136"/>
      <c r="DU169" s="136"/>
      <c r="DV169" s="136"/>
      <c r="DW169" s="136"/>
      <c r="DX169" s="136"/>
      <c r="DY169" s="136"/>
      <c r="DZ169" s="136"/>
      <c r="EA169" s="136"/>
      <c r="EB169" s="136"/>
      <c r="EC169" s="136"/>
      <c r="ED169" s="136"/>
      <c r="EE169" s="136"/>
      <c r="EF169" s="136"/>
      <c r="EG169" s="136"/>
      <c r="EH169" s="136"/>
      <c r="EI169" s="136"/>
      <c r="EJ169" s="136"/>
      <c r="EK169" s="136"/>
      <c r="EL169" s="136"/>
      <c r="EM169" s="136"/>
      <c r="EN169" s="136"/>
      <c r="EO169" s="136"/>
      <c r="EP169" s="136"/>
      <c r="EQ169" s="136"/>
      <c r="ER169" s="136"/>
      <c r="ES169" s="136"/>
      <c r="ET169" s="136"/>
      <c r="EU169" s="136"/>
      <c r="EV169" s="136"/>
      <c r="EW169" s="136"/>
      <c r="EX169" s="136"/>
      <c r="EY169" s="136"/>
      <c r="EZ169" s="136"/>
      <c r="FA169" s="136"/>
      <c r="FB169" s="136"/>
      <c r="FC169" s="136"/>
      <c r="FD169" s="136"/>
      <c r="FE169" s="137"/>
      <c r="FF169" s="138"/>
    </row>
    <row r="170" spans="1:162" ht="12.75" x14ac:dyDescent="0.2">
      <c r="A170" s="93">
        <v>164</v>
      </c>
      <c r="B170" s="145" t="s">
        <v>206</v>
      </c>
      <c r="C170" s="141" t="s">
        <v>866</v>
      </c>
      <c r="D170" s="142" t="s">
        <v>869</v>
      </c>
      <c r="E170" s="149" t="s">
        <v>205</v>
      </c>
      <c r="F170" s="542">
        <v>13105759</v>
      </c>
      <c r="G170" s="542">
        <v>0</v>
      </c>
      <c r="H170" s="542">
        <v>13105759</v>
      </c>
      <c r="I170" s="542">
        <v>0</v>
      </c>
      <c r="J170" s="542">
        <v>0</v>
      </c>
      <c r="K170" s="542">
        <v>0</v>
      </c>
      <c r="L170" s="542">
        <v>0</v>
      </c>
      <c r="M170" s="542">
        <v>0</v>
      </c>
      <c r="N170" s="542">
        <v>0</v>
      </c>
      <c r="O170" s="542">
        <v>-74494</v>
      </c>
      <c r="P170" s="542">
        <v>0</v>
      </c>
      <c r="Q170" s="542">
        <v>-74494</v>
      </c>
      <c r="R170" s="542">
        <v>0</v>
      </c>
      <c r="S170" s="542">
        <v>0</v>
      </c>
      <c r="T170" s="542">
        <v>0</v>
      </c>
      <c r="U170" s="542">
        <v>-85999.7</v>
      </c>
      <c r="V170" s="542">
        <v>0</v>
      </c>
      <c r="W170" s="542">
        <v>-85999.7</v>
      </c>
      <c r="X170" s="542">
        <v>292191</v>
      </c>
      <c r="Y170" s="542">
        <v>0</v>
      </c>
      <c r="Z170" s="542">
        <v>292191</v>
      </c>
      <c r="AA170" s="542">
        <v>-444944</v>
      </c>
      <c r="AB170" s="542">
        <v>0</v>
      </c>
      <c r="AC170" s="542">
        <v>-444944</v>
      </c>
      <c r="AD170" s="542">
        <v>12867006.300000001</v>
      </c>
      <c r="AE170" s="542">
        <v>0</v>
      </c>
      <c r="AF170" s="542">
        <v>12867006.300000001</v>
      </c>
      <c r="AG170" s="542">
        <v>0</v>
      </c>
      <c r="AH170" s="542">
        <v>0</v>
      </c>
      <c r="AI170" s="542">
        <v>0</v>
      </c>
      <c r="AJ170" s="542">
        <v>0</v>
      </c>
      <c r="AK170" s="542">
        <v>0</v>
      </c>
      <c r="AL170" s="542">
        <v>0</v>
      </c>
      <c r="AM170" s="542">
        <v>0</v>
      </c>
      <c r="AN170" s="542">
        <v>0</v>
      </c>
      <c r="AO170" s="542">
        <v>0</v>
      </c>
      <c r="AP170" s="542">
        <v>0</v>
      </c>
      <c r="AQ170" s="542">
        <v>0</v>
      </c>
      <c r="AR170" s="542">
        <v>0</v>
      </c>
      <c r="AS170" s="542">
        <v>0</v>
      </c>
      <c r="AT170" s="542">
        <v>0</v>
      </c>
      <c r="AU170" s="542">
        <v>0</v>
      </c>
      <c r="AV170" s="542">
        <v>764518</v>
      </c>
      <c r="AW170" s="542">
        <v>-460051</v>
      </c>
      <c r="AX170" s="136"/>
      <c r="AY170" s="136"/>
      <c r="AZ170" s="136"/>
      <c r="BA170" s="136"/>
      <c r="BB170" s="136"/>
      <c r="BC170" s="136"/>
      <c r="BD170" s="136"/>
      <c r="BE170" s="136"/>
      <c r="BF170" s="136"/>
      <c r="BG170" s="136"/>
      <c r="BH170" s="136"/>
      <c r="BI170" s="136"/>
      <c r="BJ170" s="136"/>
      <c r="BK170" s="136"/>
      <c r="BL170" s="136"/>
      <c r="BM170" s="136"/>
      <c r="BN170" s="136"/>
      <c r="BO170" s="136"/>
      <c r="BP170" s="136"/>
      <c r="BQ170" s="136"/>
      <c r="BR170" s="136"/>
      <c r="BS170" s="136"/>
      <c r="BT170" s="136"/>
      <c r="BU170" s="136"/>
      <c r="BV170" s="136"/>
      <c r="BW170" s="136"/>
      <c r="BX170" s="136"/>
      <c r="BY170" s="136"/>
      <c r="BZ170" s="136"/>
      <c r="CA170" s="136"/>
      <c r="CB170" s="136"/>
      <c r="CC170" s="136"/>
      <c r="CD170" s="136"/>
      <c r="CE170" s="136"/>
      <c r="CF170" s="136"/>
      <c r="CG170" s="136"/>
      <c r="CH170" s="136"/>
      <c r="CI170" s="136"/>
      <c r="CJ170" s="136"/>
      <c r="CK170" s="136"/>
      <c r="CL170" s="136"/>
      <c r="CM170" s="136"/>
      <c r="CN170" s="136"/>
      <c r="CO170" s="136"/>
      <c r="CP170" s="136"/>
      <c r="CQ170" s="136"/>
      <c r="CR170" s="136"/>
      <c r="CS170" s="136"/>
      <c r="CT170" s="136"/>
      <c r="CU170" s="136"/>
      <c r="CV170" s="136"/>
      <c r="CW170" s="136"/>
      <c r="CX170" s="136"/>
      <c r="CY170" s="136"/>
      <c r="CZ170" s="136"/>
      <c r="DA170" s="136"/>
      <c r="DB170" s="136"/>
      <c r="DC170" s="136"/>
      <c r="DD170" s="136"/>
      <c r="DE170" s="136"/>
      <c r="DF170" s="136"/>
      <c r="DG170" s="136"/>
      <c r="DH170" s="136"/>
      <c r="DI170" s="136"/>
      <c r="DJ170" s="136"/>
      <c r="DK170" s="136"/>
      <c r="DL170" s="136"/>
      <c r="DM170" s="136"/>
      <c r="DN170" s="136"/>
      <c r="DO170" s="136"/>
      <c r="DP170" s="136"/>
      <c r="DQ170" s="136"/>
      <c r="DR170" s="136"/>
      <c r="DS170" s="136"/>
      <c r="DT170" s="136"/>
      <c r="DU170" s="136"/>
      <c r="DV170" s="136"/>
      <c r="DW170" s="136"/>
      <c r="DX170" s="136"/>
      <c r="DY170" s="136"/>
      <c r="DZ170" s="136"/>
      <c r="EA170" s="136"/>
      <c r="EB170" s="136"/>
      <c r="EC170" s="136"/>
      <c r="ED170" s="136"/>
      <c r="EE170" s="136"/>
      <c r="EF170" s="136"/>
      <c r="EG170" s="136"/>
      <c r="EH170" s="136"/>
      <c r="EI170" s="136"/>
      <c r="EJ170" s="136"/>
      <c r="EK170" s="136"/>
      <c r="EL170" s="136"/>
      <c r="EM170" s="136"/>
      <c r="EN170" s="136"/>
      <c r="EO170" s="136"/>
      <c r="EP170" s="136"/>
      <c r="EQ170" s="136"/>
      <c r="ER170" s="136"/>
      <c r="ES170" s="136"/>
      <c r="ET170" s="136"/>
      <c r="EU170" s="136"/>
      <c r="EV170" s="136"/>
      <c r="EW170" s="136"/>
      <c r="EX170" s="136"/>
      <c r="EY170" s="136"/>
      <c r="EZ170" s="136"/>
      <c r="FA170" s="136"/>
      <c r="FB170" s="136"/>
      <c r="FC170" s="136"/>
      <c r="FD170" s="136"/>
      <c r="FE170" s="137"/>
      <c r="FF170" s="138"/>
    </row>
    <row r="171" spans="1:162" ht="12.75" x14ac:dyDescent="0.2">
      <c r="A171" s="93">
        <v>165</v>
      </c>
      <c r="B171" s="145" t="s">
        <v>208</v>
      </c>
      <c r="C171" s="141" t="s">
        <v>866</v>
      </c>
      <c r="D171" s="142" t="s">
        <v>875</v>
      </c>
      <c r="E171" s="149" t="s">
        <v>207</v>
      </c>
      <c r="F171" s="542">
        <v>32426265</v>
      </c>
      <c r="G171" s="542">
        <v>0</v>
      </c>
      <c r="H171" s="542">
        <v>32426265</v>
      </c>
      <c r="I171" s="542">
        <v>-157</v>
      </c>
      <c r="J171" s="542">
        <v>0</v>
      </c>
      <c r="K171" s="542">
        <v>-157</v>
      </c>
      <c r="L171" s="542">
        <v>150977</v>
      </c>
      <c r="M171" s="542">
        <v>0</v>
      </c>
      <c r="N171" s="542">
        <v>150977</v>
      </c>
      <c r="O171" s="542">
        <v>-26324</v>
      </c>
      <c r="P171" s="542">
        <v>0</v>
      </c>
      <c r="Q171" s="542">
        <v>-26324</v>
      </c>
      <c r="R171" s="542">
        <v>0</v>
      </c>
      <c r="S171" s="542">
        <v>0</v>
      </c>
      <c r="T171" s="542">
        <v>0</v>
      </c>
      <c r="U171" s="542">
        <v>213630</v>
      </c>
      <c r="V171" s="542">
        <v>0</v>
      </c>
      <c r="W171" s="542">
        <v>213630</v>
      </c>
      <c r="X171" s="542">
        <v>1049848</v>
      </c>
      <c r="Y171" s="542">
        <v>0</v>
      </c>
      <c r="Z171" s="542">
        <v>1049848</v>
      </c>
      <c r="AA171" s="542">
        <v>-1688874</v>
      </c>
      <c r="AB171" s="542">
        <v>0</v>
      </c>
      <c r="AC171" s="542">
        <v>-1688874</v>
      </c>
      <c r="AD171" s="542">
        <v>32151689</v>
      </c>
      <c r="AE171" s="542">
        <v>0</v>
      </c>
      <c r="AF171" s="542">
        <v>32151689</v>
      </c>
      <c r="AG171" s="542">
        <v>0</v>
      </c>
      <c r="AH171" s="542">
        <v>0</v>
      </c>
      <c r="AI171" s="542">
        <v>0</v>
      </c>
      <c r="AJ171" s="542">
        <v>0</v>
      </c>
      <c r="AK171" s="542">
        <v>0</v>
      </c>
      <c r="AL171" s="542">
        <v>0</v>
      </c>
      <c r="AM171" s="542">
        <v>0</v>
      </c>
      <c r="AN171" s="542">
        <v>0</v>
      </c>
      <c r="AO171" s="542">
        <v>0</v>
      </c>
      <c r="AP171" s="542">
        <v>0</v>
      </c>
      <c r="AQ171" s="542">
        <v>0</v>
      </c>
      <c r="AR171" s="542">
        <v>0</v>
      </c>
      <c r="AS171" s="542">
        <v>0</v>
      </c>
      <c r="AT171" s="542">
        <v>0</v>
      </c>
      <c r="AU171" s="542">
        <v>0</v>
      </c>
      <c r="AV171" s="542">
        <v>991118</v>
      </c>
      <c r="AW171" s="542">
        <v>-451465</v>
      </c>
      <c r="AX171" s="136"/>
      <c r="AY171" s="136"/>
      <c r="AZ171" s="136"/>
      <c r="BA171" s="136"/>
      <c r="BB171" s="136"/>
      <c r="BC171" s="136"/>
      <c r="BD171" s="136"/>
      <c r="BE171" s="136"/>
      <c r="BF171" s="136"/>
      <c r="BG171" s="136"/>
      <c r="BH171" s="136"/>
      <c r="BI171" s="136"/>
      <c r="BJ171" s="136"/>
      <c r="BK171" s="136"/>
      <c r="BL171" s="136"/>
      <c r="BM171" s="136"/>
      <c r="BN171" s="136"/>
      <c r="BO171" s="136"/>
      <c r="BP171" s="136"/>
      <c r="BQ171" s="136"/>
      <c r="BR171" s="136"/>
      <c r="BS171" s="136"/>
      <c r="BT171" s="136"/>
      <c r="BU171" s="136"/>
      <c r="BV171" s="136"/>
      <c r="BW171" s="136"/>
      <c r="BX171" s="136"/>
      <c r="BY171" s="136"/>
      <c r="BZ171" s="136"/>
      <c r="CA171" s="136"/>
      <c r="CB171" s="136"/>
      <c r="CC171" s="136"/>
      <c r="CD171" s="136"/>
      <c r="CE171" s="136"/>
      <c r="CF171" s="136"/>
      <c r="CG171" s="136"/>
      <c r="CH171" s="136"/>
      <c r="CI171" s="136"/>
      <c r="CJ171" s="136"/>
      <c r="CK171" s="136"/>
      <c r="CL171" s="136"/>
      <c r="CM171" s="136"/>
      <c r="CN171" s="136"/>
      <c r="CO171" s="136"/>
      <c r="CP171" s="136"/>
      <c r="CQ171" s="136"/>
      <c r="CR171" s="136"/>
      <c r="CS171" s="136"/>
      <c r="CT171" s="136"/>
      <c r="CU171" s="136"/>
      <c r="CV171" s="136"/>
      <c r="CW171" s="136"/>
      <c r="CX171" s="136"/>
      <c r="CY171" s="136"/>
      <c r="CZ171" s="136"/>
      <c r="DA171" s="136"/>
      <c r="DB171" s="136"/>
      <c r="DC171" s="136"/>
      <c r="DD171" s="136"/>
      <c r="DE171" s="136"/>
      <c r="DF171" s="136"/>
      <c r="DG171" s="136"/>
      <c r="DH171" s="136"/>
      <c r="DI171" s="136"/>
      <c r="DJ171" s="136"/>
      <c r="DK171" s="136"/>
      <c r="DL171" s="136"/>
      <c r="DM171" s="136"/>
      <c r="DN171" s="136"/>
      <c r="DO171" s="136"/>
      <c r="DP171" s="136"/>
      <c r="DQ171" s="136"/>
      <c r="DR171" s="136"/>
      <c r="DS171" s="136"/>
      <c r="DT171" s="136"/>
      <c r="DU171" s="136"/>
      <c r="DV171" s="136"/>
      <c r="DW171" s="136"/>
      <c r="DX171" s="136"/>
      <c r="DY171" s="136"/>
      <c r="DZ171" s="136"/>
      <c r="EA171" s="136"/>
      <c r="EB171" s="136"/>
      <c r="EC171" s="136"/>
      <c r="ED171" s="136"/>
      <c r="EE171" s="136"/>
      <c r="EF171" s="136"/>
      <c r="EG171" s="136"/>
      <c r="EH171" s="136"/>
      <c r="EI171" s="136"/>
      <c r="EJ171" s="136"/>
      <c r="EK171" s="136"/>
      <c r="EL171" s="136"/>
      <c r="EM171" s="136"/>
      <c r="EN171" s="136"/>
      <c r="EO171" s="136"/>
      <c r="EP171" s="136"/>
      <c r="EQ171" s="136"/>
      <c r="ER171" s="136"/>
      <c r="ES171" s="136"/>
      <c r="ET171" s="136"/>
      <c r="EU171" s="136"/>
      <c r="EV171" s="136"/>
      <c r="EW171" s="136"/>
      <c r="EX171" s="136"/>
      <c r="EY171" s="136"/>
      <c r="EZ171" s="136"/>
      <c r="FA171" s="136"/>
      <c r="FB171" s="136"/>
      <c r="FC171" s="136"/>
      <c r="FD171" s="136"/>
      <c r="FE171" s="137"/>
      <c r="FF171" s="138"/>
    </row>
    <row r="172" spans="1:162" ht="12.75" x14ac:dyDescent="0.2">
      <c r="A172" s="93">
        <v>166</v>
      </c>
      <c r="B172" s="145" t="s">
        <v>210</v>
      </c>
      <c r="C172" s="141" t="s">
        <v>871</v>
      </c>
      <c r="D172" s="142" t="s">
        <v>872</v>
      </c>
      <c r="E172" s="149" t="s">
        <v>209</v>
      </c>
      <c r="F172" s="542">
        <v>83540890</v>
      </c>
      <c r="G172" s="542">
        <v>0</v>
      </c>
      <c r="H172" s="542">
        <v>83540890</v>
      </c>
      <c r="I172" s="542">
        <v>-1034</v>
      </c>
      <c r="J172" s="542">
        <v>0</v>
      </c>
      <c r="K172" s="542">
        <v>-1034</v>
      </c>
      <c r="L172" s="542">
        <v>47726</v>
      </c>
      <c r="M172" s="542">
        <v>0</v>
      </c>
      <c r="N172" s="542">
        <v>47726</v>
      </c>
      <c r="O172" s="542">
        <v>-788465</v>
      </c>
      <c r="P172" s="542">
        <v>0</v>
      </c>
      <c r="Q172" s="542">
        <v>-788465</v>
      </c>
      <c r="R172" s="542">
        <v>0</v>
      </c>
      <c r="S172" s="542">
        <v>0</v>
      </c>
      <c r="T172" s="542">
        <v>0</v>
      </c>
      <c r="U172" s="542">
        <v>-107529</v>
      </c>
      <c r="V172" s="542">
        <v>0</v>
      </c>
      <c r="W172" s="542">
        <v>-107529</v>
      </c>
      <c r="X172" s="542">
        <v>1520811</v>
      </c>
      <c r="Y172" s="542">
        <v>0</v>
      </c>
      <c r="Z172" s="542">
        <v>1520811</v>
      </c>
      <c r="AA172" s="542">
        <v>-5141371</v>
      </c>
      <c r="AB172" s="542">
        <v>0</v>
      </c>
      <c r="AC172" s="542">
        <v>-5141371</v>
      </c>
      <c r="AD172" s="542">
        <v>79859493</v>
      </c>
      <c r="AE172" s="542">
        <v>0</v>
      </c>
      <c r="AF172" s="542">
        <v>79859493</v>
      </c>
      <c r="AG172" s="542">
        <v>0</v>
      </c>
      <c r="AH172" s="542">
        <v>0</v>
      </c>
      <c r="AI172" s="542">
        <v>0</v>
      </c>
      <c r="AJ172" s="542">
        <v>0</v>
      </c>
      <c r="AK172" s="542">
        <v>0</v>
      </c>
      <c r="AL172" s="542">
        <v>0</v>
      </c>
      <c r="AM172" s="542">
        <v>0</v>
      </c>
      <c r="AN172" s="542">
        <v>0</v>
      </c>
      <c r="AO172" s="542">
        <v>0</v>
      </c>
      <c r="AP172" s="542">
        <v>0</v>
      </c>
      <c r="AQ172" s="542">
        <v>0</v>
      </c>
      <c r="AR172" s="542">
        <v>0</v>
      </c>
      <c r="AS172" s="542">
        <v>0</v>
      </c>
      <c r="AT172" s="542">
        <v>0</v>
      </c>
      <c r="AU172" s="542">
        <v>0</v>
      </c>
      <c r="AV172" s="542">
        <v>4038685</v>
      </c>
      <c r="AW172" s="542">
        <v>-3286986</v>
      </c>
      <c r="AX172" s="136"/>
      <c r="AY172" s="136"/>
      <c r="AZ172" s="136"/>
      <c r="BA172" s="136"/>
      <c r="BB172" s="136"/>
      <c r="BC172" s="136"/>
      <c r="BD172" s="136"/>
      <c r="BE172" s="136"/>
      <c r="BF172" s="136"/>
      <c r="BG172" s="136"/>
      <c r="BH172" s="136"/>
      <c r="BI172" s="136"/>
      <c r="BJ172" s="136"/>
      <c r="BK172" s="136"/>
      <c r="BL172" s="136"/>
      <c r="BM172" s="136"/>
      <c r="BN172" s="136"/>
      <c r="BO172" s="136"/>
      <c r="BP172" s="136"/>
      <c r="BQ172" s="136"/>
      <c r="BR172" s="136"/>
      <c r="BS172" s="136"/>
      <c r="BT172" s="136"/>
      <c r="BU172" s="136"/>
      <c r="BV172" s="136"/>
      <c r="BW172" s="136"/>
      <c r="BX172" s="136"/>
      <c r="BY172" s="136"/>
      <c r="BZ172" s="136"/>
      <c r="CA172" s="136"/>
      <c r="CB172" s="136"/>
      <c r="CC172" s="136"/>
      <c r="CD172" s="136"/>
      <c r="CE172" s="136"/>
      <c r="CF172" s="136"/>
      <c r="CG172" s="136"/>
      <c r="CH172" s="136"/>
      <c r="CI172" s="136"/>
      <c r="CJ172" s="136"/>
      <c r="CK172" s="136"/>
      <c r="CL172" s="136"/>
      <c r="CM172" s="136"/>
      <c r="CN172" s="136"/>
      <c r="CO172" s="136"/>
      <c r="CP172" s="136"/>
      <c r="CQ172" s="136"/>
      <c r="CR172" s="136"/>
      <c r="CS172" s="136"/>
      <c r="CT172" s="136"/>
      <c r="CU172" s="136"/>
      <c r="CV172" s="136"/>
      <c r="CW172" s="136"/>
      <c r="CX172" s="136"/>
      <c r="CY172" s="136"/>
      <c r="CZ172" s="136"/>
      <c r="DA172" s="136"/>
      <c r="DB172" s="136"/>
      <c r="DC172" s="136"/>
      <c r="DD172" s="136"/>
      <c r="DE172" s="136"/>
      <c r="DF172" s="136"/>
      <c r="DG172" s="136"/>
      <c r="DH172" s="136"/>
      <c r="DI172" s="136"/>
      <c r="DJ172" s="136"/>
      <c r="DK172" s="136"/>
      <c r="DL172" s="136"/>
      <c r="DM172" s="136"/>
      <c r="DN172" s="136"/>
      <c r="DO172" s="136"/>
      <c r="DP172" s="136"/>
      <c r="DQ172" s="136"/>
      <c r="DR172" s="136"/>
      <c r="DS172" s="136"/>
      <c r="DT172" s="136"/>
      <c r="DU172" s="136"/>
      <c r="DV172" s="136"/>
      <c r="DW172" s="136"/>
      <c r="DX172" s="136"/>
      <c r="DY172" s="136"/>
      <c r="DZ172" s="136"/>
      <c r="EA172" s="136"/>
      <c r="EB172" s="136"/>
      <c r="EC172" s="136"/>
      <c r="ED172" s="136"/>
      <c r="EE172" s="136"/>
      <c r="EF172" s="136"/>
      <c r="EG172" s="136"/>
      <c r="EH172" s="136"/>
      <c r="EI172" s="136"/>
      <c r="EJ172" s="136"/>
      <c r="EK172" s="136"/>
      <c r="EL172" s="136"/>
      <c r="EM172" s="136"/>
      <c r="EN172" s="136"/>
      <c r="EO172" s="136"/>
      <c r="EP172" s="136"/>
      <c r="EQ172" s="136"/>
      <c r="ER172" s="136"/>
      <c r="ES172" s="136"/>
      <c r="ET172" s="136"/>
      <c r="EU172" s="136"/>
      <c r="EV172" s="136"/>
      <c r="EW172" s="136"/>
      <c r="EX172" s="136"/>
      <c r="EY172" s="136"/>
      <c r="EZ172" s="136"/>
      <c r="FA172" s="136"/>
      <c r="FB172" s="136"/>
      <c r="FC172" s="136"/>
      <c r="FD172" s="136"/>
      <c r="FE172" s="137"/>
      <c r="FF172" s="138"/>
    </row>
    <row r="173" spans="1:162" ht="12.75" x14ac:dyDescent="0.2">
      <c r="A173" s="93">
        <v>167</v>
      </c>
      <c r="B173" s="145" t="s">
        <v>212</v>
      </c>
      <c r="C173" s="141" t="s">
        <v>866</v>
      </c>
      <c r="D173" s="142" t="s">
        <v>875</v>
      </c>
      <c r="E173" s="149" t="s">
        <v>211</v>
      </c>
      <c r="F173" s="542">
        <v>15088311</v>
      </c>
      <c r="G173" s="542">
        <v>0</v>
      </c>
      <c r="H173" s="542">
        <v>15088311</v>
      </c>
      <c r="I173" s="542">
        <v>0</v>
      </c>
      <c r="J173" s="542">
        <v>0</v>
      </c>
      <c r="K173" s="542">
        <v>0</v>
      </c>
      <c r="L173" s="542">
        <v>39199</v>
      </c>
      <c r="M173" s="542">
        <v>0</v>
      </c>
      <c r="N173" s="542">
        <v>39199</v>
      </c>
      <c r="O173" s="542">
        <v>0</v>
      </c>
      <c r="P173" s="542">
        <v>0</v>
      </c>
      <c r="Q173" s="542">
        <v>0</v>
      </c>
      <c r="R173" s="542">
        <v>-141467</v>
      </c>
      <c r="S173" s="542">
        <v>0</v>
      </c>
      <c r="T173" s="542">
        <v>-141467</v>
      </c>
      <c r="U173" s="542">
        <v>-13141</v>
      </c>
      <c r="V173" s="542">
        <v>0</v>
      </c>
      <c r="W173" s="542">
        <v>-13141</v>
      </c>
      <c r="X173" s="542">
        <v>0</v>
      </c>
      <c r="Y173" s="542">
        <v>0</v>
      </c>
      <c r="Z173" s="542">
        <v>0</v>
      </c>
      <c r="AA173" s="542">
        <v>-351000</v>
      </c>
      <c r="AB173" s="542">
        <v>0</v>
      </c>
      <c r="AC173" s="542">
        <v>-351000</v>
      </c>
      <c r="AD173" s="542">
        <v>14621902</v>
      </c>
      <c r="AE173" s="542">
        <v>0</v>
      </c>
      <c r="AF173" s="542">
        <v>14621902</v>
      </c>
      <c r="AG173" s="542">
        <v>0</v>
      </c>
      <c r="AH173" s="542">
        <v>0</v>
      </c>
      <c r="AI173" s="542">
        <v>0</v>
      </c>
      <c r="AJ173" s="542">
        <v>68497</v>
      </c>
      <c r="AK173" s="542">
        <v>0</v>
      </c>
      <c r="AL173" s="542">
        <v>0</v>
      </c>
      <c r="AM173" s="542">
        <v>68497</v>
      </c>
      <c r="AN173" s="542">
        <v>0</v>
      </c>
      <c r="AO173" s="542">
        <v>0</v>
      </c>
      <c r="AP173" s="542">
        <v>0</v>
      </c>
      <c r="AQ173" s="542">
        <v>0</v>
      </c>
      <c r="AR173" s="542">
        <v>0</v>
      </c>
      <c r="AS173" s="542">
        <v>0</v>
      </c>
      <c r="AT173" s="542">
        <v>0</v>
      </c>
      <c r="AU173" s="542">
        <v>0</v>
      </c>
      <c r="AV173" s="542">
        <v>492676</v>
      </c>
      <c r="AW173" s="542">
        <v>-145946</v>
      </c>
      <c r="AX173" s="136"/>
      <c r="AY173" s="136"/>
      <c r="AZ173" s="136"/>
      <c r="BA173" s="136"/>
      <c r="BB173" s="136"/>
      <c r="BC173" s="136"/>
      <c r="BD173" s="136"/>
      <c r="BE173" s="136"/>
      <c r="BF173" s="136"/>
      <c r="BG173" s="136"/>
      <c r="BH173" s="136"/>
      <c r="BI173" s="136"/>
      <c r="BJ173" s="136"/>
      <c r="BK173" s="136"/>
      <c r="BL173" s="136"/>
      <c r="BM173" s="136"/>
      <c r="BN173" s="136"/>
      <c r="BO173" s="136"/>
      <c r="BP173" s="136"/>
      <c r="BQ173" s="136"/>
      <c r="BR173" s="136"/>
      <c r="BS173" s="136"/>
      <c r="BT173" s="136"/>
      <c r="BU173" s="136"/>
      <c r="BV173" s="136"/>
      <c r="BW173" s="136"/>
      <c r="BX173" s="136"/>
      <c r="BY173" s="136"/>
      <c r="BZ173" s="136"/>
      <c r="CA173" s="136"/>
      <c r="CB173" s="136"/>
      <c r="CC173" s="136"/>
      <c r="CD173" s="136"/>
      <c r="CE173" s="136"/>
      <c r="CF173" s="136"/>
      <c r="CG173" s="136"/>
      <c r="CH173" s="136"/>
      <c r="CI173" s="136"/>
      <c r="CJ173" s="136"/>
      <c r="CK173" s="136"/>
      <c r="CL173" s="136"/>
      <c r="CM173" s="136"/>
      <c r="CN173" s="136"/>
      <c r="CO173" s="136"/>
      <c r="CP173" s="136"/>
      <c r="CQ173" s="136"/>
      <c r="CR173" s="136"/>
      <c r="CS173" s="136"/>
      <c r="CT173" s="136"/>
      <c r="CU173" s="136"/>
      <c r="CV173" s="136"/>
      <c r="CW173" s="136"/>
      <c r="CX173" s="136"/>
      <c r="CY173" s="136"/>
      <c r="CZ173" s="136"/>
      <c r="DA173" s="136"/>
      <c r="DB173" s="136"/>
      <c r="DC173" s="136"/>
      <c r="DD173" s="136"/>
      <c r="DE173" s="136"/>
      <c r="DF173" s="136"/>
      <c r="DG173" s="136"/>
      <c r="DH173" s="136"/>
      <c r="DI173" s="136"/>
      <c r="DJ173" s="136"/>
      <c r="DK173" s="136"/>
      <c r="DL173" s="136"/>
      <c r="DM173" s="136"/>
      <c r="DN173" s="136"/>
      <c r="DO173" s="136"/>
      <c r="DP173" s="136"/>
      <c r="DQ173" s="136"/>
      <c r="DR173" s="136"/>
      <c r="DS173" s="136"/>
      <c r="DT173" s="136"/>
      <c r="DU173" s="136"/>
      <c r="DV173" s="136"/>
      <c r="DW173" s="136"/>
      <c r="DX173" s="136"/>
      <c r="DY173" s="136"/>
      <c r="DZ173" s="136"/>
      <c r="EA173" s="136"/>
      <c r="EB173" s="136"/>
      <c r="EC173" s="136"/>
      <c r="ED173" s="136"/>
      <c r="EE173" s="136"/>
      <c r="EF173" s="136"/>
      <c r="EG173" s="136"/>
      <c r="EH173" s="136"/>
      <c r="EI173" s="136"/>
      <c r="EJ173" s="136"/>
      <c r="EK173" s="136"/>
      <c r="EL173" s="136"/>
      <c r="EM173" s="136"/>
      <c r="EN173" s="136"/>
      <c r="EO173" s="136"/>
      <c r="EP173" s="136"/>
      <c r="EQ173" s="136"/>
      <c r="ER173" s="136"/>
      <c r="ES173" s="136"/>
      <c r="ET173" s="136"/>
      <c r="EU173" s="136"/>
      <c r="EV173" s="136"/>
      <c r="EW173" s="136"/>
      <c r="EX173" s="136"/>
      <c r="EY173" s="136"/>
      <c r="EZ173" s="136"/>
      <c r="FA173" s="136"/>
      <c r="FB173" s="136"/>
      <c r="FC173" s="136"/>
      <c r="FD173" s="136"/>
      <c r="FE173" s="137"/>
      <c r="FF173" s="138"/>
    </row>
    <row r="174" spans="1:162" ht="12.75" x14ac:dyDescent="0.2">
      <c r="A174" s="93">
        <v>168</v>
      </c>
      <c r="B174" s="145" t="s">
        <v>214</v>
      </c>
      <c r="C174" s="141" t="s">
        <v>866</v>
      </c>
      <c r="D174" s="142" t="s">
        <v>870</v>
      </c>
      <c r="E174" s="149" t="s">
        <v>213</v>
      </c>
      <c r="F174" s="542">
        <v>21136436</v>
      </c>
      <c r="G174" s="542">
        <v>0</v>
      </c>
      <c r="H174" s="542">
        <v>21136436</v>
      </c>
      <c r="I174" s="542">
        <v>0</v>
      </c>
      <c r="J174" s="542">
        <v>0</v>
      </c>
      <c r="K174" s="542">
        <v>0</v>
      </c>
      <c r="L174" s="542">
        <v>614691</v>
      </c>
      <c r="M174" s="542">
        <v>0</v>
      </c>
      <c r="N174" s="542">
        <v>614691</v>
      </c>
      <c r="O174" s="542">
        <v>-152004</v>
      </c>
      <c r="P174" s="542">
        <v>0</v>
      </c>
      <c r="Q174" s="542">
        <v>-152004</v>
      </c>
      <c r="R174" s="542">
        <v>0</v>
      </c>
      <c r="S174" s="542">
        <v>0</v>
      </c>
      <c r="T174" s="542">
        <v>0</v>
      </c>
      <c r="U174" s="542">
        <v>-132043</v>
      </c>
      <c r="V174" s="542">
        <v>0</v>
      </c>
      <c r="W174" s="542">
        <v>-132043</v>
      </c>
      <c r="X174" s="542">
        <v>310868</v>
      </c>
      <c r="Y174" s="542">
        <v>0</v>
      </c>
      <c r="Z174" s="542">
        <v>310868</v>
      </c>
      <c r="AA174" s="542">
        <v>-1213885</v>
      </c>
      <c r="AB174" s="542">
        <v>0</v>
      </c>
      <c r="AC174" s="542">
        <v>-1213885</v>
      </c>
      <c r="AD174" s="542">
        <v>20716067</v>
      </c>
      <c r="AE174" s="542">
        <v>0</v>
      </c>
      <c r="AF174" s="542">
        <v>20716067</v>
      </c>
      <c r="AG174" s="542">
        <v>0</v>
      </c>
      <c r="AH174" s="542">
        <v>0</v>
      </c>
      <c r="AI174" s="542">
        <v>0</v>
      </c>
      <c r="AJ174" s="542">
        <v>52775</v>
      </c>
      <c r="AK174" s="542">
        <v>0</v>
      </c>
      <c r="AL174" s="542">
        <v>0</v>
      </c>
      <c r="AM174" s="542">
        <v>52775</v>
      </c>
      <c r="AN174" s="542">
        <v>0</v>
      </c>
      <c r="AO174" s="542">
        <v>0</v>
      </c>
      <c r="AP174" s="542">
        <v>0</v>
      </c>
      <c r="AQ174" s="542">
        <v>0</v>
      </c>
      <c r="AR174" s="542">
        <v>0</v>
      </c>
      <c r="AS174" s="542">
        <v>0</v>
      </c>
      <c r="AT174" s="542">
        <v>0</v>
      </c>
      <c r="AU174" s="542">
        <v>0</v>
      </c>
      <c r="AV174" s="542">
        <v>956592</v>
      </c>
      <c r="AW174" s="542">
        <v>-85978</v>
      </c>
      <c r="AX174" s="136"/>
      <c r="AY174" s="136"/>
      <c r="AZ174" s="136"/>
      <c r="BA174" s="136"/>
      <c r="BB174" s="136"/>
      <c r="BC174" s="136"/>
      <c r="BD174" s="136"/>
      <c r="BE174" s="136"/>
      <c r="BF174" s="136"/>
      <c r="BG174" s="136"/>
      <c r="BH174" s="136"/>
      <c r="BI174" s="136"/>
      <c r="BJ174" s="136"/>
      <c r="BK174" s="136"/>
      <c r="BL174" s="136"/>
      <c r="BM174" s="136"/>
      <c r="BN174" s="136"/>
      <c r="BO174" s="136"/>
      <c r="BP174" s="136"/>
      <c r="BQ174" s="136"/>
      <c r="BR174" s="136"/>
      <c r="BS174" s="136"/>
      <c r="BT174" s="136"/>
      <c r="BU174" s="136"/>
      <c r="BV174" s="136"/>
      <c r="BW174" s="136"/>
      <c r="BX174" s="136"/>
      <c r="BY174" s="136"/>
      <c r="BZ174" s="136"/>
      <c r="CA174" s="136"/>
      <c r="CB174" s="136"/>
      <c r="CC174" s="136"/>
      <c r="CD174" s="136"/>
      <c r="CE174" s="136"/>
      <c r="CF174" s="136"/>
      <c r="CG174" s="136"/>
      <c r="CH174" s="136"/>
      <c r="CI174" s="136"/>
      <c r="CJ174" s="136"/>
      <c r="CK174" s="136"/>
      <c r="CL174" s="136"/>
      <c r="CM174" s="136"/>
      <c r="CN174" s="136"/>
      <c r="CO174" s="136"/>
      <c r="CP174" s="136"/>
      <c r="CQ174" s="136"/>
      <c r="CR174" s="136"/>
      <c r="CS174" s="136"/>
      <c r="CT174" s="136"/>
      <c r="CU174" s="136"/>
      <c r="CV174" s="136"/>
      <c r="CW174" s="136"/>
      <c r="CX174" s="136"/>
      <c r="CY174" s="136"/>
      <c r="CZ174" s="136"/>
      <c r="DA174" s="136"/>
      <c r="DB174" s="136"/>
      <c r="DC174" s="136"/>
      <c r="DD174" s="136"/>
      <c r="DE174" s="136"/>
      <c r="DF174" s="136"/>
      <c r="DG174" s="136"/>
      <c r="DH174" s="136"/>
      <c r="DI174" s="136"/>
      <c r="DJ174" s="136"/>
      <c r="DK174" s="136"/>
      <c r="DL174" s="136"/>
      <c r="DM174" s="136"/>
      <c r="DN174" s="136"/>
      <c r="DO174" s="136"/>
      <c r="DP174" s="136"/>
      <c r="DQ174" s="136"/>
      <c r="DR174" s="136"/>
      <c r="DS174" s="136"/>
      <c r="DT174" s="136"/>
      <c r="DU174" s="136"/>
      <c r="DV174" s="136"/>
      <c r="DW174" s="136"/>
      <c r="DX174" s="136"/>
      <c r="DY174" s="136"/>
      <c r="DZ174" s="136"/>
      <c r="EA174" s="136"/>
      <c r="EB174" s="136"/>
      <c r="EC174" s="136"/>
      <c r="ED174" s="136"/>
      <c r="EE174" s="136"/>
      <c r="EF174" s="136"/>
      <c r="EG174" s="136"/>
      <c r="EH174" s="136"/>
      <c r="EI174" s="136"/>
      <c r="EJ174" s="136"/>
      <c r="EK174" s="136"/>
      <c r="EL174" s="136"/>
      <c r="EM174" s="136"/>
      <c r="EN174" s="136"/>
      <c r="EO174" s="136"/>
      <c r="EP174" s="136"/>
      <c r="EQ174" s="136"/>
      <c r="ER174" s="136"/>
      <c r="ES174" s="136"/>
      <c r="ET174" s="136"/>
      <c r="EU174" s="136"/>
      <c r="EV174" s="136"/>
      <c r="EW174" s="136"/>
      <c r="EX174" s="136"/>
      <c r="EY174" s="136"/>
      <c r="EZ174" s="136"/>
      <c r="FA174" s="136"/>
      <c r="FB174" s="136"/>
      <c r="FC174" s="136"/>
      <c r="FD174" s="136"/>
      <c r="FE174" s="137"/>
      <c r="FF174" s="138"/>
    </row>
    <row r="175" spans="1:162" ht="12.75" x14ac:dyDescent="0.2">
      <c r="A175" s="93">
        <v>169</v>
      </c>
      <c r="B175" s="145" t="s">
        <v>216</v>
      </c>
      <c r="C175" s="141" t="s">
        <v>866</v>
      </c>
      <c r="D175" s="142" t="s">
        <v>867</v>
      </c>
      <c r="E175" s="149" t="s">
        <v>215</v>
      </c>
      <c r="F175" s="542">
        <v>41998989</v>
      </c>
      <c r="G175" s="542">
        <v>0</v>
      </c>
      <c r="H175" s="542">
        <v>41998989</v>
      </c>
      <c r="I175" s="542">
        <v>0</v>
      </c>
      <c r="J175" s="542">
        <v>0</v>
      </c>
      <c r="K175" s="542">
        <v>0</v>
      </c>
      <c r="L175" s="542">
        <v>115582</v>
      </c>
      <c r="M175" s="542">
        <v>0</v>
      </c>
      <c r="N175" s="542">
        <v>115582</v>
      </c>
      <c r="O175" s="542">
        <v>-290061</v>
      </c>
      <c r="P175" s="542">
        <v>0</v>
      </c>
      <c r="Q175" s="542">
        <v>-290061</v>
      </c>
      <c r="R175" s="542">
        <v>0</v>
      </c>
      <c r="S175" s="542">
        <v>0</v>
      </c>
      <c r="T175" s="542">
        <v>0</v>
      </c>
      <c r="U175" s="542">
        <v>-395871</v>
      </c>
      <c r="V175" s="542">
        <v>0</v>
      </c>
      <c r="W175" s="542">
        <v>-395871</v>
      </c>
      <c r="X175" s="542">
        <v>774248</v>
      </c>
      <c r="Y175" s="542">
        <v>0</v>
      </c>
      <c r="Z175" s="542">
        <v>774248</v>
      </c>
      <c r="AA175" s="542">
        <v>-1160345</v>
      </c>
      <c r="AB175" s="542">
        <v>0</v>
      </c>
      <c r="AC175" s="542">
        <v>-1160345</v>
      </c>
      <c r="AD175" s="542">
        <v>41332603</v>
      </c>
      <c r="AE175" s="542">
        <v>0</v>
      </c>
      <c r="AF175" s="542">
        <v>41332603</v>
      </c>
      <c r="AG175" s="542">
        <v>0</v>
      </c>
      <c r="AH175" s="542">
        <v>0</v>
      </c>
      <c r="AI175" s="542">
        <v>0</v>
      </c>
      <c r="AJ175" s="542">
        <v>0</v>
      </c>
      <c r="AK175" s="542">
        <v>0</v>
      </c>
      <c r="AL175" s="542">
        <v>0</v>
      </c>
      <c r="AM175" s="542">
        <v>0</v>
      </c>
      <c r="AN175" s="542">
        <v>0</v>
      </c>
      <c r="AO175" s="542">
        <v>0</v>
      </c>
      <c r="AP175" s="542">
        <v>0</v>
      </c>
      <c r="AQ175" s="542">
        <v>0</v>
      </c>
      <c r="AR175" s="542">
        <v>0</v>
      </c>
      <c r="AS175" s="542">
        <v>0</v>
      </c>
      <c r="AT175" s="542">
        <v>0</v>
      </c>
      <c r="AU175" s="542">
        <v>0</v>
      </c>
      <c r="AV175" s="542">
        <v>2267829</v>
      </c>
      <c r="AW175" s="542">
        <v>-1164162</v>
      </c>
      <c r="AX175" s="136"/>
      <c r="AY175" s="136"/>
      <c r="AZ175" s="136"/>
      <c r="BA175" s="136"/>
      <c r="BB175" s="136"/>
      <c r="BC175" s="136"/>
      <c r="BD175" s="136"/>
      <c r="BE175" s="136"/>
      <c r="BF175" s="136"/>
      <c r="BG175" s="136"/>
      <c r="BH175" s="136"/>
      <c r="BI175" s="136"/>
      <c r="BJ175" s="136"/>
      <c r="BK175" s="136"/>
      <c r="BL175" s="136"/>
      <c r="BM175" s="136"/>
      <c r="BN175" s="136"/>
      <c r="BO175" s="136"/>
      <c r="BP175" s="136"/>
      <c r="BQ175" s="136"/>
      <c r="BR175" s="136"/>
      <c r="BS175" s="136"/>
      <c r="BT175" s="136"/>
      <c r="BU175" s="136"/>
      <c r="BV175" s="136"/>
      <c r="BW175" s="136"/>
      <c r="BX175" s="136"/>
      <c r="BY175" s="136"/>
      <c r="BZ175" s="136"/>
      <c r="CA175" s="136"/>
      <c r="CB175" s="136"/>
      <c r="CC175" s="136"/>
      <c r="CD175" s="136"/>
      <c r="CE175" s="136"/>
      <c r="CF175" s="136"/>
      <c r="CG175" s="136"/>
      <c r="CH175" s="136"/>
      <c r="CI175" s="136"/>
      <c r="CJ175" s="136"/>
      <c r="CK175" s="136"/>
      <c r="CL175" s="136"/>
      <c r="CM175" s="136"/>
      <c r="CN175" s="136"/>
      <c r="CO175" s="136"/>
      <c r="CP175" s="136"/>
      <c r="CQ175" s="136"/>
      <c r="CR175" s="136"/>
      <c r="CS175" s="136"/>
      <c r="CT175" s="136"/>
      <c r="CU175" s="136"/>
      <c r="CV175" s="136"/>
      <c r="CW175" s="136"/>
      <c r="CX175" s="136"/>
      <c r="CY175" s="136"/>
      <c r="CZ175" s="136"/>
      <c r="DA175" s="136"/>
      <c r="DB175" s="136"/>
      <c r="DC175" s="136"/>
      <c r="DD175" s="136"/>
      <c r="DE175" s="136"/>
      <c r="DF175" s="136"/>
      <c r="DG175" s="136"/>
      <c r="DH175" s="136"/>
      <c r="DI175" s="136"/>
      <c r="DJ175" s="136"/>
      <c r="DK175" s="136"/>
      <c r="DL175" s="136"/>
      <c r="DM175" s="136"/>
      <c r="DN175" s="136"/>
      <c r="DO175" s="136"/>
      <c r="DP175" s="136"/>
      <c r="DQ175" s="136"/>
      <c r="DR175" s="136"/>
      <c r="DS175" s="136"/>
      <c r="DT175" s="136"/>
      <c r="DU175" s="136"/>
      <c r="DV175" s="136"/>
      <c r="DW175" s="136"/>
      <c r="DX175" s="136"/>
      <c r="DY175" s="136"/>
      <c r="DZ175" s="136"/>
      <c r="EA175" s="136"/>
      <c r="EB175" s="136"/>
      <c r="EC175" s="136"/>
      <c r="ED175" s="136"/>
      <c r="EE175" s="136"/>
      <c r="EF175" s="136"/>
      <c r="EG175" s="136"/>
      <c r="EH175" s="136"/>
      <c r="EI175" s="136"/>
      <c r="EJ175" s="136"/>
      <c r="EK175" s="136"/>
      <c r="EL175" s="136"/>
      <c r="EM175" s="136"/>
      <c r="EN175" s="136"/>
      <c r="EO175" s="136"/>
      <c r="EP175" s="136"/>
      <c r="EQ175" s="136"/>
      <c r="ER175" s="136"/>
      <c r="ES175" s="136"/>
      <c r="ET175" s="136"/>
      <c r="EU175" s="136"/>
      <c r="EV175" s="136"/>
      <c r="EW175" s="136"/>
      <c r="EX175" s="136"/>
      <c r="EY175" s="136"/>
      <c r="EZ175" s="136"/>
      <c r="FA175" s="136"/>
      <c r="FB175" s="136"/>
      <c r="FC175" s="136"/>
      <c r="FD175" s="136"/>
      <c r="FE175" s="137"/>
      <c r="FF175" s="138"/>
    </row>
    <row r="176" spans="1:162" ht="12.75" x14ac:dyDescent="0.2">
      <c r="A176" s="93">
        <v>170</v>
      </c>
      <c r="B176" s="145" t="s">
        <v>218</v>
      </c>
      <c r="C176" s="141" t="s">
        <v>770</v>
      </c>
      <c r="D176" s="142" t="s">
        <v>878</v>
      </c>
      <c r="E176" s="149" t="s">
        <v>706</v>
      </c>
      <c r="F176" s="542">
        <v>41065519</v>
      </c>
      <c r="G176" s="542">
        <v>0</v>
      </c>
      <c r="H176" s="542">
        <v>41065519</v>
      </c>
      <c r="I176" s="542">
        <v>0</v>
      </c>
      <c r="J176" s="542">
        <v>0</v>
      </c>
      <c r="K176" s="542">
        <v>0</v>
      </c>
      <c r="L176" s="542">
        <v>164462</v>
      </c>
      <c r="M176" s="542">
        <v>0</v>
      </c>
      <c r="N176" s="542">
        <v>164462</v>
      </c>
      <c r="O176" s="542">
        <v>0</v>
      </c>
      <c r="P176" s="542">
        <v>0</v>
      </c>
      <c r="Q176" s="542">
        <v>0</v>
      </c>
      <c r="R176" s="542">
        <v>-1351915</v>
      </c>
      <c r="S176" s="542">
        <v>0</v>
      </c>
      <c r="T176" s="542">
        <v>-1351915</v>
      </c>
      <c r="U176" s="542">
        <v>-593593</v>
      </c>
      <c r="V176" s="542">
        <v>0</v>
      </c>
      <c r="W176" s="542">
        <v>-593593</v>
      </c>
      <c r="X176" s="542">
        <v>500000</v>
      </c>
      <c r="Y176" s="542">
        <v>0</v>
      </c>
      <c r="Z176" s="542">
        <v>500000</v>
      </c>
      <c r="AA176" s="542">
        <v>0</v>
      </c>
      <c r="AB176" s="542">
        <v>0</v>
      </c>
      <c r="AC176" s="542">
        <v>0</v>
      </c>
      <c r="AD176" s="542">
        <v>39784473</v>
      </c>
      <c r="AE176" s="542">
        <v>0</v>
      </c>
      <c r="AF176" s="542">
        <v>39784473</v>
      </c>
      <c r="AG176" s="542">
        <v>0</v>
      </c>
      <c r="AH176" s="542">
        <v>0</v>
      </c>
      <c r="AI176" s="542">
        <v>0</v>
      </c>
      <c r="AJ176" s="542">
        <v>0</v>
      </c>
      <c r="AK176" s="542">
        <v>0</v>
      </c>
      <c r="AL176" s="542">
        <v>0</v>
      </c>
      <c r="AM176" s="542">
        <v>0</v>
      </c>
      <c r="AN176" s="542">
        <v>0</v>
      </c>
      <c r="AO176" s="542">
        <v>0</v>
      </c>
      <c r="AP176" s="542">
        <v>0</v>
      </c>
      <c r="AQ176" s="542">
        <v>0</v>
      </c>
      <c r="AR176" s="542">
        <v>0</v>
      </c>
      <c r="AS176" s="542">
        <v>0</v>
      </c>
      <c r="AT176" s="542">
        <v>0</v>
      </c>
      <c r="AU176" s="542">
        <v>0</v>
      </c>
      <c r="AV176" s="542">
        <v>8357802</v>
      </c>
      <c r="AW176" s="542">
        <v>-1342898</v>
      </c>
      <c r="AX176" s="136"/>
      <c r="AY176" s="136"/>
      <c r="AZ176" s="136"/>
      <c r="BA176" s="136"/>
      <c r="BB176" s="136"/>
      <c r="BC176" s="136"/>
      <c r="BD176" s="136"/>
      <c r="BE176" s="136"/>
      <c r="BF176" s="136"/>
      <c r="BG176" s="136"/>
      <c r="BH176" s="136"/>
      <c r="BI176" s="136"/>
      <c r="BJ176" s="136"/>
      <c r="BK176" s="136"/>
      <c r="BL176" s="136"/>
      <c r="BM176" s="136"/>
      <c r="BN176" s="136"/>
      <c r="BO176" s="136"/>
      <c r="BP176" s="136"/>
      <c r="BQ176" s="136"/>
      <c r="BR176" s="136"/>
      <c r="BS176" s="136"/>
      <c r="BT176" s="136"/>
      <c r="BU176" s="136"/>
      <c r="BV176" s="136"/>
      <c r="BW176" s="136"/>
      <c r="BX176" s="136"/>
      <c r="BY176" s="136"/>
      <c r="BZ176" s="136"/>
      <c r="CA176" s="136"/>
      <c r="CB176" s="136"/>
      <c r="CC176" s="136"/>
      <c r="CD176" s="136"/>
      <c r="CE176" s="136"/>
      <c r="CF176" s="136"/>
      <c r="CG176" s="136"/>
      <c r="CH176" s="136"/>
      <c r="CI176" s="136"/>
      <c r="CJ176" s="136"/>
      <c r="CK176" s="136"/>
      <c r="CL176" s="136"/>
      <c r="CM176" s="136"/>
      <c r="CN176" s="136"/>
      <c r="CO176" s="136"/>
      <c r="CP176" s="136"/>
      <c r="CQ176" s="136"/>
      <c r="CR176" s="136"/>
      <c r="CS176" s="136"/>
      <c r="CT176" s="136"/>
      <c r="CU176" s="136"/>
      <c r="CV176" s="136"/>
      <c r="CW176" s="136"/>
      <c r="CX176" s="136"/>
      <c r="CY176" s="136"/>
      <c r="CZ176" s="136"/>
      <c r="DA176" s="136"/>
      <c r="DB176" s="136"/>
      <c r="DC176" s="136"/>
      <c r="DD176" s="136"/>
      <c r="DE176" s="136"/>
      <c r="DF176" s="136"/>
      <c r="DG176" s="136"/>
      <c r="DH176" s="136"/>
      <c r="DI176" s="136"/>
      <c r="DJ176" s="136"/>
      <c r="DK176" s="136"/>
      <c r="DL176" s="136"/>
      <c r="DM176" s="136"/>
      <c r="DN176" s="136"/>
      <c r="DO176" s="136"/>
      <c r="DP176" s="136"/>
      <c r="DQ176" s="136"/>
      <c r="DR176" s="136"/>
      <c r="DS176" s="136"/>
      <c r="DT176" s="136"/>
      <c r="DU176" s="136"/>
      <c r="DV176" s="136"/>
      <c r="DW176" s="136"/>
      <c r="DX176" s="136"/>
      <c r="DY176" s="136"/>
      <c r="DZ176" s="136"/>
      <c r="EA176" s="136"/>
      <c r="EB176" s="136"/>
      <c r="EC176" s="136"/>
      <c r="ED176" s="136"/>
      <c r="EE176" s="136"/>
      <c r="EF176" s="136"/>
      <c r="EG176" s="136"/>
      <c r="EH176" s="136"/>
      <c r="EI176" s="136"/>
      <c r="EJ176" s="136"/>
      <c r="EK176" s="136"/>
      <c r="EL176" s="136"/>
      <c r="EM176" s="136"/>
      <c r="EN176" s="136"/>
      <c r="EO176" s="136"/>
      <c r="EP176" s="136"/>
      <c r="EQ176" s="136"/>
      <c r="ER176" s="136"/>
      <c r="ES176" s="136"/>
      <c r="ET176" s="136"/>
      <c r="EU176" s="136"/>
      <c r="EV176" s="136"/>
      <c r="EW176" s="136"/>
      <c r="EX176" s="136"/>
      <c r="EY176" s="136"/>
      <c r="EZ176" s="136"/>
      <c r="FA176" s="136"/>
      <c r="FB176" s="136"/>
      <c r="FC176" s="136"/>
      <c r="FD176" s="136"/>
      <c r="FE176" s="137"/>
      <c r="FF176" s="138"/>
    </row>
    <row r="177" spans="1:162" ht="12.75" x14ac:dyDescent="0.2">
      <c r="A177" s="93">
        <v>171</v>
      </c>
      <c r="B177" s="145" t="s">
        <v>220</v>
      </c>
      <c r="C177" s="141" t="s">
        <v>770</v>
      </c>
      <c r="D177" s="142" t="s">
        <v>867</v>
      </c>
      <c r="E177" s="149" t="s">
        <v>707</v>
      </c>
      <c r="F177" s="542">
        <v>150731252</v>
      </c>
      <c r="G177" s="542">
        <v>0</v>
      </c>
      <c r="H177" s="542">
        <v>150731252</v>
      </c>
      <c r="I177" s="542">
        <v>-620</v>
      </c>
      <c r="J177" s="542">
        <v>0</v>
      </c>
      <c r="K177" s="542">
        <v>-620</v>
      </c>
      <c r="L177" s="542">
        <v>907896</v>
      </c>
      <c r="M177" s="542">
        <v>0</v>
      </c>
      <c r="N177" s="542">
        <v>907896</v>
      </c>
      <c r="O177" s="542">
        <v>-907283</v>
      </c>
      <c r="P177" s="542">
        <v>0</v>
      </c>
      <c r="Q177" s="542">
        <v>-907283</v>
      </c>
      <c r="R177" s="542">
        <v>0</v>
      </c>
      <c r="S177" s="542">
        <v>0</v>
      </c>
      <c r="T177" s="542">
        <v>0</v>
      </c>
      <c r="U177" s="542">
        <v>-1477283</v>
      </c>
      <c r="V177" s="542">
        <v>0</v>
      </c>
      <c r="W177" s="542">
        <v>-1477283</v>
      </c>
      <c r="X177" s="542">
        <v>12937960</v>
      </c>
      <c r="Y177" s="542">
        <v>0</v>
      </c>
      <c r="Z177" s="542">
        <v>12937960</v>
      </c>
      <c r="AA177" s="542">
        <v>-17323832</v>
      </c>
      <c r="AB177" s="542">
        <v>0</v>
      </c>
      <c r="AC177" s="542">
        <v>-17323832</v>
      </c>
      <c r="AD177" s="542">
        <v>145775373</v>
      </c>
      <c r="AE177" s="542">
        <v>0</v>
      </c>
      <c r="AF177" s="542">
        <v>145775373</v>
      </c>
      <c r="AG177" s="542">
        <v>0</v>
      </c>
      <c r="AH177" s="542">
        <v>0</v>
      </c>
      <c r="AI177" s="542">
        <v>0</v>
      </c>
      <c r="AJ177" s="542">
        <v>0</v>
      </c>
      <c r="AK177" s="542">
        <v>0</v>
      </c>
      <c r="AL177" s="542">
        <v>0</v>
      </c>
      <c r="AM177" s="542">
        <v>0</v>
      </c>
      <c r="AN177" s="542">
        <v>0</v>
      </c>
      <c r="AO177" s="542">
        <v>0</v>
      </c>
      <c r="AP177" s="542">
        <v>0</v>
      </c>
      <c r="AQ177" s="542">
        <v>0</v>
      </c>
      <c r="AR177" s="542">
        <v>0</v>
      </c>
      <c r="AS177" s="542">
        <v>0</v>
      </c>
      <c r="AT177" s="542">
        <v>0</v>
      </c>
      <c r="AU177" s="542">
        <v>0</v>
      </c>
      <c r="AV177" s="542">
        <v>5175280</v>
      </c>
      <c r="AW177" s="542">
        <v>-2896584</v>
      </c>
      <c r="AX177" s="136"/>
      <c r="AY177" s="136"/>
      <c r="AZ177" s="136"/>
      <c r="BA177" s="136"/>
      <c r="BB177" s="136"/>
      <c r="BC177" s="136"/>
      <c r="BD177" s="136"/>
      <c r="BE177" s="136"/>
      <c r="BF177" s="136"/>
      <c r="BG177" s="136"/>
      <c r="BH177" s="136"/>
      <c r="BI177" s="136"/>
      <c r="BJ177" s="136"/>
      <c r="BK177" s="136"/>
      <c r="BL177" s="136"/>
      <c r="BM177" s="136"/>
      <c r="BN177" s="136"/>
      <c r="BO177" s="136"/>
      <c r="BP177" s="136"/>
      <c r="BQ177" s="136"/>
      <c r="BR177" s="136"/>
      <c r="BS177" s="136"/>
      <c r="BT177" s="136"/>
      <c r="BU177" s="136"/>
      <c r="BV177" s="136"/>
      <c r="BW177" s="136"/>
      <c r="BX177" s="136"/>
      <c r="BY177" s="136"/>
      <c r="BZ177" s="136"/>
      <c r="CA177" s="136"/>
      <c r="CB177" s="136"/>
      <c r="CC177" s="136"/>
      <c r="CD177" s="136"/>
      <c r="CE177" s="136"/>
      <c r="CF177" s="136"/>
      <c r="CG177" s="136"/>
      <c r="CH177" s="136"/>
      <c r="CI177" s="136"/>
      <c r="CJ177" s="136"/>
      <c r="CK177" s="136"/>
      <c r="CL177" s="136"/>
      <c r="CM177" s="136"/>
      <c r="CN177" s="136"/>
      <c r="CO177" s="136"/>
      <c r="CP177" s="136"/>
      <c r="CQ177" s="136"/>
      <c r="CR177" s="136"/>
      <c r="CS177" s="136"/>
      <c r="CT177" s="136"/>
      <c r="CU177" s="136"/>
      <c r="CV177" s="136"/>
      <c r="CW177" s="136"/>
      <c r="CX177" s="136"/>
      <c r="CY177" s="136"/>
      <c r="CZ177" s="136"/>
      <c r="DA177" s="136"/>
      <c r="DB177" s="136"/>
      <c r="DC177" s="136"/>
      <c r="DD177" s="136"/>
      <c r="DE177" s="136"/>
      <c r="DF177" s="136"/>
      <c r="DG177" s="136"/>
      <c r="DH177" s="136"/>
      <c r="DI177" s="136"/>
      <c r="DJ177" s="136"/>
      <c r="DK177" s="136"/>
      <c r="DL177" s="136"/>
      <c r="DM177" s="136"/>
      <c r="DN177" s="136"/>
      <c r="DO177" s="136"/>
      <c r="DP177" s="136"/>
      <c r="DQ177" s="136"/>
      <c r="DR177" s="136"/>
      <c r="DS177" s="136"/>
      <c r="DT177" s="136"/>
      <c r="DU177" s="136"/>
      <c r="DV177" s="136"/>
      <c r="DW177" s="136"/>
      <c r="DX177" s="136"/>
      <c r="DY177" s="136"/>
      <c r="DZ177" s="136"/>
      <c r="EA177" s="136"/>
      <c r="EB177" s="136"/>
      <c r="EC177" s="136"/>
      <c r="ED177" s="136"/>
      <c r="EE177" s="136"/>
      <c r="EF177" s="136"/>
      <c r="EG177" s="136"/>
      <c r="EH177" s="136"/>
      <c r="EI177" s="136"/>
      <c r="EJ177" s="136"/>
      <c r="EK177" s="136"/>
      <c r="EL177" s="136"/>
      <c r="EM177" s="136"/>
      <c r="EN177" s="136"/>
      <c r="EO177" s="136"/>
      <c r="EP177" s="136"/>
      <c r="EQ177" s="136"/>
      <c r="ER177" s="136"/>
      <c r="ES177" s="136"/>
      <c r="ET177" s="136"/>
      <c r="EU177" s="136"/>
      <c r="EV177" s="136"/>
      <c r="EW177" s="136"/>
      <c r="EX177" s="136"/>
      <c r="EY177" s="136"/>
      <c r="EZ177" s="136"/>
      <c r="FA177" s="136"/>
      <c r="FB177" s="136"/>
      <c r="FC177" s="136"/>
      <c r="FD177" s="136"/>
      <c r="FE177" s="137"/>
      <c r="FF177" s="138"/>
    </row>
    <row r="178" spans="1:162" ht="12.75" x14ac:dyDescent="0.2">
      <c r="A178" s="93">
        <v>172</v>
      </c>
      <c r="B178" s="145" t="s">
        <v>222</v>
      </c>
      <c r="C178" s="141" t="s">
        <v>866</v>
      </c>
      <c r="D178" s="142" t="s">
        <v>867</v>
      </c>
      <c r="E178" s="149" t="s">
        <v>221</v>
      </c>
      <c r="F178" s="542">
        <v>36962050</v>
      </c>
      <c r="G178" s="542">
        <v>0</v>
      </c>
      <c r="H178" s="542">
        <v>36962050</v>
      </c>
      <c r="I178" s="542">
        <v>0</v>
      </c>
      <c r="J178" s="542">
        <v>0</v>
      </c>
      <c r="K178" s="542">
        <v>0</v>
      </c>
      <c r="L178" s="542">
        <v>123190</v>
      </c>
      <c r="M178" s="542">
        <v>0</v>
      </c>
      <c r="N178" s="542">
        <v>123190</v>
      </c>
      <c r="O178" s="542">
        <v>-50212</v>
      </c>
      <c r="P178" s="542">
        <v>0</v>
      </c>
      <c r="Q178" s="542">
        <v>-50212</v>
      </c>
      <c r="R178" s="542">
        <v>0</v>
      </c>
      <c r="S178" s="542">
        <v>0</v>
      </c>
      <c r="T178" s="542">
        <v>0</v>
      </c>
      <c r="U178" s="542">
        <v>-95212</v>
      </c>
      <c r="V178" s="542">
        <v>0</v>
      </c>
      <c r="W178" s="542">
        <v>-95212</v>
      </c>
      <c r="X178" s="542">
        <v>430000</v>
      </c>
      <c r="Y178" s="542">
        <v>0</v>
      </c>
      <c r="Z178" s="542">
        <v>430000</v>
      </c>
      <c r="AA178" s="542">
        <v>-3092000</v>
      </c>
      <c r="AB178" s="542">
        <v>0</v>
      </c>
      <c r="AC178" s="542">
        <v>-3092000</v>
      </c>
      <c r="AD178" s="542">
        <v>34328028</v>
      </c>
      <c r="AE178" s="542">
        <v>0</v>
      </c>
      <c r="AF178" s="542">
        <v>34328028</v>
      </c>
      <c r="AG178" s="542">
        <v>0</v>
      </c>
      <c r="AH178" s="542">
        <v>0</v>
      </c>
      <c r="AI178" s="542">
        <v>0</v>
      </c>
      <c r="AJ178" s="542">
        <v>0</v>
      </c>
      <c r="AK178" s="542">
        <v>0</v>
      </c>
      <c r="AL178" s="542">
        <v>0</v>
      </c>
      <c r="AM178" s="542">
        <v>0</v>
      </c>
      <c r="AN178" s="542">
        <v>0</v>
      </c>
      <c r="AO178" s="542">
        <v>0</v>
      </c>
      <c r="AP178" s="542">
        <v>0</v>
      </c>
      <c r="AQ178" s="542">
        <v>0</v>
      </c>
      <c r="AR178" s="542">
        <v>0</v>
      </c>
      <c r="AS178" s="542">
        <v>0</v>
      </c>
      <c r="AT178" s="542">
        <v>0</v>
      </c>
      <c r="AU178" s="542">
        <v>0</v>
      </c>
      <c r="AV178" s="542">
        <v>1067130</v>
      </c>
      <c r="AW178" s="542">
        <v>-773639</v>
      </c>
      <c r="AX178" s="136"/>
      <c r="AY178" s="136"/>
      <c r="AZ178" s="136"/>
      <c r="BA178" s="136"/>
      <c r="BB178" s="136"/>
      <c r="BC178" s="136"/>
      <c r="BD178" s="136"/>
      <c r="BE178" s="136"/>
      <c r="BF178" s="136"/>
      <c r="BG178" s="136"/>
      <c r="BH178" s="136"/>
      <c r="BI178" s="136"/>
      <c r="BJ178" s="136"/>
      <c r="BK178" s="136"/>
      <c r="BL178" s="136"/>
      <c r="BM178" s="136"/>
      <c r="BN178" s="136"/>
      <c r="BO178" s="136"/>
      <c r="BP178" s="136"/>
      <c r="BQ178" s="136"/>
      <c r="BR178" s="136"/>
      <c r="BS178" s="136"/>
      <c r="BT178" s="136"/>
      <c r="BU178" s="136"/>
      <c r="BV178" s="136"/>
      <c r="BW178" s="136"/>
      <c r="BX178" s="136"/>
      <c r="BY178" s="136"/>
      <c r="BZ178" s="136"/>
      <c r="CA178" s="136"/>
      <c r="CB178" s="136"/>
      <c r="CC178" s="136"/>
      <c r="CD178" s="136"/>
      <c r="CE178" s="136"/>
      <c r="CF178" s="136"/>
      <c r="CG178" s="136"/>
      <c r="CH178" s="136"/>
      <c r="CI178" s="136"/>
      <c r="CJ178" s="136"/>
      <c r="CK178" s="136"/>
      <c r="CL178" s="136"/>
      <c r="CM178" s="136"/>
      <c r="CN178" s="136"/>
      <c r="CO178" s="136"/>
      <c r="CP178" s="136"/>
      <c r="CQ178" s="136"/>
      <c r="CR178" s="136"/>
      <c r="CS178" s="136"/>
      <c r="CT178" s="136"/>
      <c r="CU178" s="136"/>
      <c r="CV178" s="136"/>
      <c r="CW178" s="136"/>
      <c r="CX178" s="136"/>
      <c r="CY178" s="136"/>
      <c r="CZ178" s="136"/>
      <c r="DA178" s="136"/>
      <c r="DB178" s="136"/>
      <c r="DC178" s="136"/>
      <c r="DD178" s="136"/>
      <c r="DE178" s="136"/>
      <c r="DF178" s="136"/>
      <c r="DG178" s="136"/>
      <c r="DH178" s="136"/>
      <c r="DI178" s="136"/>
      <c r="DJ178" s="136"/>
      <c r="DK178" s="136"/>
      <c r="DL178" s="136"/>
      <c r="DM178" s="136"/>
      <c r="DN178" s="136"/>
      <c r="DO178" s="136"/>
      <c r="DP178" s="136"/>
      <c r="DQ178" s="136"/>
      <c r="DR178" s="136"/>
      <c r="DS178" s="136"/>
      <c r="DT178" s="136"/>
      <c r="DU178" s="136"/>
      <c r="DV178" s="136"/>
      <c r="DW178" s="136"/>
      <c r="DX178" s="136"/>
      <c r="DY178" s="136"/>
      <c r="DZ178" s="136"/>
      <c r="EA178" s="136"/>
      <c r="EB178" s="136"/>
      <c r="EC178" s="136"/>
      <c r="ED178" s="136"/>
      <c r="EE178" s="136"/>
      <c r="EF178" s="136"/>
      <c r="EG178" s="136"/>
      <c r="EH178" s="136"/>
      <c r="EI178" s="136"/>
      <c r="EJ178" s="136"/>
      <c r="EK178" s="136"/>
      <c r="EL178" s="136"/>
      <c r="EM178" s="136"/>
      <c r="EN178" s="136"/>
      <c r="EO178" s="136"/>
      <c r="EP178" s="136"/>
      <c r="EQ178" s="136"/>
      <c r="ER178" s="136"/>
      <c r="ES178" s="136"/>
      <c r="ET178" s="136"/>
      <c r="EU178" s="136"/>
      <c r="EV178" s="136"/>
      <c r="EW178" s="136"/>
      <c r="EX178" s="136"/>
      <c r="EY178" s="136"/>
      <c r="EZ178" s="136"/>
      <c r="FA178" s="136"/>
      <c r="FB178" s="136"/>
      <c r="FC178" s="136"/>
      <c r="FD178" s="136"/>
      <c r="FE178" s="137"/>
      <c r="FF178" s="138"/>
    </row>
    <row r="179" spans="1:162" ht="12.75" x14ac:dyDescent="0.2">
      <c r="A179" s="93">
        <v>173</v>
      </c>
      <c r="B179" s="145" t="s">
        <v>224</v>
      </c>
      <c r="C179" s="141" t="s">
        <v>866</v>
      </c>
      <c r="D179" s="142" t="s">
        <v>867</v>
      </c>
      <c r="E179" s="149" t="s">
        <v>223</v>
      </c>
      <c r="F179" s="542">
        <v>64930351</v>
      </c>
      <c r="G179" s="542">
        <v>0</v>
      </c>
      <c r="H179" s="542">
        <v>64930351</v>
      </c>
      <c r="I179" s="542">
        <v>0</v>
      </c>
      <c r="J179" s="542">
        <v>0</v>
      </c>
      <c r="K179" s="542">
        <v>0</v>
      </c>
      <c r="L179" s="542">
        <v>149456</v>
      </c>
      <c r="M179" s="542">
        <v>0</v>
      </c>
      <c r="N179" s="542">
        <v>149456</v>
      </c>
      <c r="O179" s="542">
        <v>-378826</v>
      </c>
      <c r="P179" s="542">
        <v>0</v>
      </c>
      <c r="Q179" s="542">
        <v>-378826</v>
      </c>
      <c r="R179" s="542">
        <v>0</v>
      </c>
      <c r="S179" s="542">
        <v>0</v>
      </c>
      <c r="T179" s="542">
        <v>0</v>
      </c>
      <c r="U179" s="542">
        <v>-236826</v>
      </c>
      <c r="V179" s="542">
        <v>0</v>
      </c>
      <c r="W179" s="542">
        <v>-236826</v>
      </c>
      <c r="X179" s="542">
        <v>2234949</v>
      </c>
      <c r="Y179" s="542">
        <v>0</v>
      </c>
      <c r="Z179" s="542">
        <v>2234949</v>
      </c>
      <c r="AA179" s="542">
        <v>-5385454</v>
      </c>
      <c r="AB179" s="542">
        <v>0</v>
      </c>
      <c r="AC179" s="542">
        <v>-5385454</v>
      </c>
      <c r="AD179" s="542">
        <v>61692476</v>
      </c>
      <c r="AE179" s="542">
        <v>0</v>
      </c>
      <c r="AF179" s="542">
        <v>61692476</v>
      </c>
      <c r="AG179" s="542">
        <v>0</v>
      </c>
      <c r="AH179" s="542">
        <v>0</v>
      </c>
      <c r="AI179" s="542">
        <v>0</v>
      </c>
      <c r="AJ179" s="542">
        <v>19336</v>
      </c>
      <c r="AK179" s="542">
        <v>0</v>
      </c>
      <c r="AL179" s="542">
        <v>0</v>
      </c>
      <c r="AM179" s="542">
        <v>19336</v>
      </c>
      <c r="AN179" s="542">
        <v>0</v>
      </c>
      <c r="AO179" s="542">
        <v>0</v>
      </c>
      <c r="AP179" s="542">
        <v>0</v>
      </c>
      <c r="AQ179" s="542">
        <v>0</v>
      </c>
      <c r="AR179" s="542">
        <v>0</v>
      </c>
      <c r="AS179" s="542">
        <v>0</v>
      </c>
      <c r="AT179" s="542">
        <v>0</v>
      </c>
      <c r="AU179" s="542">
        <v>0</v>
      </c>
      <c r="AV179" s="542">
        <v>1225000</v>
      </c>
      <c r="AW179" s="542">
        <v>-433464</v>
      </c>
      <c r="AX179" s="136"/>
      <c r="AY179" s="136"/>
      <c r="AZ179" s="136"/>
      <c r="BA179" s="136"/>
      <c r="BB179" s="136"/>
      <c r="BC179" s="136"/>
      <c r="BD179" s="136"/>
      <c r="BE179" s="136"/>
      <c r="BF179" s="136"/>
      <c r="BG179" s="136"/>
      <c r="BH179" s="136"/>
      <c r="BI179" s="136"/>
      <c r="BJ179" s="136"/>
      <c r="BK179" s="136"/>
      <c r="BL179" s="136"/>
      <c r="BM179" s="136"/>
      <c r="BN179" s="136"/>
      <c r="BO179" s="136"/>
      <c r="BP179" s="136"/>
      <c r="BQ179" s="136"/>
      <c r="BR179" s="136"/>
      <c r="BS179" s="136"/>
      <c r="BT179" s="136"/>
      <c r="BU179" s="136"/>
      <c r="BV179" s="136"/>
      <c r="BW179" s="136"/>
      <c r="BX179" s="136"/>
      <c r="BY179" s="136"/>
      <c r="BZ179" s="136"/>
      <c r="CA179" s="136"/>
      <c r="CB179" s="136"/>
      <c r="CC179" s="136"/>
      <c r="CD179" s="136"/>
      <c r="CE179" s="136"/>
      <c r="CF179" s="136"/>
      <c r="CG179" s="136"/>
      <c r="CH179" s="136"/>
      <c r="CI179" s="136"/>
      <c r="CJ179" s="136"/>
      <c r="CK179" s="136"/>
      <c r="CL179" s="136"/>
      <c r="CM179" s="136"/>
      <c r="CN179" s="136"/>
      <c r="CO179" s="136"/>
      <c r="CP179" s="136"/>
      <c r="CQ179" s="136"/>
      <c r="CR179" s="136"/>
      <c r="CS179" s="136"/>
      <c r="CT179" s="136"/>
      <c r="CU179" s="136"/>
      <c r="CV179" s="136"/>
      <c r="CW179" s="136"/>
      <c r="CX179" s="136"/>
      <c r="CY179" s="136"/>
      <c r="CZ179" s="136"/>
      <c r="DA179" s="136"/>
      <c r="DB179" s="136"/>
      <c r="DC179" s="136"/>
      <c r="DD179" s="136"/>
      <c r="DE179" s="136"/>
      <c r="DF179" s="136"/>
      <c r="DG179" s="136"/>
      <c r="DH179" s="136"/>
      <c r="DI179" s="136"/>
      <c r="DJ179" s="136"/>
      <c r="DK179" s="136"/>
      <c r="DL179" s="136"/>
      <c r="DM179" s="136"/>
      <c r="DN179" s="136"/>
      <c r="DO179" s="136"/>
      <c r="DP179" s="136"/>
      <c r="DQ179" s="136"/>
      <c r="DR179" s="136"/>
      <c r="DS179" s="136"/>
      <c r="DT179" s="136"/>
      <c r="DU179" s="136"/>
      <c r="DV179" s="136"/>
      <c r="DW179" s="136"/>
      <c r="DX179" s="136"/>
      <c r="DY179" s="136"/>
      <c r="DZ179" s="136"/>
      <c r="EA179" s="136"/>
      <c r="EB179" s="136"/>
      <c r="EC179" s="136"/>
      <c r="ED179" s="136"/>
      <c r="EE179" s="136"/>
      <c r="EF179" s="136"/>
      <c r="EG179" s="136"/>
      <c r="EH179" s="136"/>
      <c r="EI179" s="136"/>
      <c r="EJ179" s="136"/>
      <c r="EK179" s="136"/>
      <c r="EL179" s="136"/>
      <c r="EM179" s="136"/>
      <c r="EN179" s="136"/>
      <c r="EO179" s="136"/>
      <c r="EP179" s="136"/>
      <c r="EQ179" s="136"/>
      <c r="ER179" s="136"/>
      <c r="ES179" s="136"/>
      <c r="ET179" s="136"/>
      <c r="EU179" s="136"/>
      <c r="EV179" s="136"/>
      <c r="EW179" s="136"/>
      <c r="EX179" s="136"/>
      <c r="EY179" s="136"/>
      <c r="EZ179" s="136"/>
      <c r="FA179" s="136"/>
      <c r="FB179" s="136"/>
      <c r="FC179" s="136"/>
      <c r="FD179" s="136"/>
      <c r="FE179" s="137"/>
      <c r="FF179" s="138"/>
    </row>
    <row r="180" spans="1:162" ht="12.75" x14ac:dyDescent="0.2">
      <c r="A180" s="93">
        <v>174</v>
      </c>
      <c r="B180" s="145" t="s">
        <v>226</v>
      </c>
      <c r="C180" s="141" t="s">
        <v>866</v>
      </c>
      <c r="D180" s="142" t="s">
        <v>869</v>
      </c>
      <c r="E180" s="149" t="s">
        <v>708</v>
      </c>
      <c r="F180" s="542">
        <v>37625964</v>
      </c>
      <c r="G180" s="542">
        <v>0</v>
      </c>
      <c r="H180" s="542">
        <v>37625964</v>
      </c>
      <c r="I180" s="542">
        <v>-465</v>
      </c>
      <c r="J180" s="542">
        <v>0</v>
      </c>
      <c r="K180" s="542">
        <v>-465</v>
      </c>
      <c r="L180" s="542">
        <v>182558</v>
      </c>
      <c r="M180" s="542">
        <v>0</v>
      </c>
      <c r="N180" s="542">
        <v>182558</v>
      </c>
      <c r="O180" s="542">
        <v>-376717</v>
      </c>
      <c r="P180" s="542">
        <v>0</v>
      </c>
      <c r="Q180" s="542">
        <v>-376717</v>
      </c>
      <c r="R180" s="542">
        <v>0</v>
      </c>
      <c r="S180" s="542">
        <v>0</v>
      </c>
      <c r="T180" s="542">
        <v>0</v>
      </c>
      <c r="U180" s="542">
        <v>-275332</v>
      </c>
      <c r="V180" s="542">
        <v>0</v>
      </c>
      <c r="W180" s="542">
        <v>-275332</v>
      </c>
      <c r="X180" s="542">
        <v>1666644</v>
      </c>
      <c r="Y180" s="542">
        <v>0</v>
      </c>
      <c r="Z180" s="542">
        <v>1666644</v>
      </c>
      <c r="AA180" s="542">
        <v>-1600000</v>
      </c>
      <c r="AB180" s="542">
        <v>0</v>
      </c>
      <c r="AC180" s="542">
        <v>-1600000</v>
      </c>
      <c r="AD180" s="542">
        <v>37599369</v>
      </c>
      <c r="AE180" s="542">
        <v>0</v>
      </c>
      <c r="AF180" s="542">
        <v>37599369</v>
      </c>
      <c r="AG180" s="542">
        <v>0</v>
      </c>
      <c r="AH180" s="542">
        <v>0</v>
      </c>
      <c r="AI180" s="542">
        <v>0</v>
      </c>
      <c r="AJ180" s="542">
        <v>0</v>
      </c>
      <c r="AK180" s="542">
        <v>0</v>
      </c>
      <c r="AL180" s="542">
        <v>0</v>
      </c>
      <c r="AM180" s="542">
        <v>0</v>
      </c>
      <c r="AN180" s="542">
        <v>0</v>
      </c>
      <c r="AO180" s="542">
        <v>0</v>
      </c>
      <c r="AP180" s="542">
        <v>0</v>
      </c>
      <c r="AQ180" s="542">
        <v>0</v>
      </c>
      <c r="AR180" s="542">
        <v>0</v>
      </c>
      <c r="AS180" s="542">
        <v>0</v>
      </c>
      <c r="AT180" s="542">
        <v>0</v>
      </c>
      <c r="AU180" s="542">
        <v>0</v>
      </c>
      <c r="AV180" s="542">
        <v>1173947</v>
      </c>
      <c r="AW180" s="542">
        <v>-375267</v>
      </c>
      <c r="AX180" s="136"/>
      <c r="AY180" s="136"/>
      <c r="AZ180" s="136"/>
      <c r="BA180" s="136"/>
      <c r="BB180" s="136"/>
      <c r="BC180" s="136"/>
      <c r="BD180" s="136"/>
      <c r="BE180" s="136"/>
      <c r="BF180" s="136"/>
      <c r="BG180" s="136"/>
      <c r="BH180" s="136"/>
      <c r="BI180" s="136"/>
      <c r="BJ180" s="136"/>
      <c r="BK180" s="136"/>
      <c r="BL180" s="136"/>
      <c r="BM180" s="136"/>
      <c r="BN180" s="136"/>
      <c r="BO180" s="136"/>
      <c r="BP180" s="136"/>
      <c r="BQ180" s="136"/>
      <c r="BR180" s="136"/>
      <c r="BS180" s="136"/>
      <c r="BT180" s="136"/>
      <c r="BU180" s="136"/>
      <c r="BV180" s="136"/>
      <c r="BW180" s="136"/>
      <c r="BX180" s="136"/>
      <c r="BY180" s="136"/>
      <c r="BZ180" s="136"/>
      <c r="CA180" s="136"/>
      <c r="CB180" s="136"/>
      <c r="CC180" s="136"/>
      <c r="CD180" s="136"/>
      <c r="CE180" s="136"/>
      <c r="CF180" s="136"/>
      <c r="CG180" s="136"/>
      <c r="CH180" s="136"/>
      <c r="CI180" s="136"/>
      <c r="CJ180" s="136"/>
      <c r="CK180" s="136"/>
      <c r="CL180" s="136"/>
      <c r="CM180" s="136"/>
      <c r="CN180" s="136"/>
      <c r="CO180" s="136"/>
      <c r="CP180" s="136"/>
      <c r="CQ180" s="136"/>
      <c r="CR180" s="136"/>
      <c r="CS180" s="136"/>
      <c r="CT180" s="136"/>
      <c r="CU180" s="136"/>
      <c r="CV180" s="136"/>
      <c r="CW180" s="136"/>
      <c r="CX180" s="136"/>
      <c r="CY180" s="136"/>
      <c r="CZ180" s="136"/>
      <c r="DA180" s="136"/>
      <c r="DB180" s="136"/>
      <c r="DC180" s="136"/>
      <c r="DD180" s="136"/>
      <c r="DE180" s="136"/>
      <c r="DF180" s="136"/>
      <c r="DG180" s="136"/>
      <c r="DH180" s="136"/>
      <c r="DI180" s="136"/>
      <c r="DJ180" s="136"/>
      <c r="DK180" s="136"/>
      <c r="DL180" s="136"/>
      <c r="DM180" s="136"/>
      <c r="DN180" s="136"/>
      <c r="DO180" s="136"/>
      <c r="DP180" s="136"/>
      <c r="DQ180" s="136"/>
      <c r="DR180" s="136"/>
      <c r="DS180" s="136"/>
      <c r="DT180" s="136"/>
      <c r="DU180" s="136"/>
      <c r="DV180" s="136"/>
      <c r="DW180" s="136"/>
      <c r="DX180" s="136"/>
      <c r="DY180" s="136"/>
      <c r="DZ180" s="136"/>
      <c r="EA180" s="136"/>
      <c r="EB180" s="136"/>
      <c r="EC180" s="136"/>
      <c r="ED180" s="136"/>
      <c r="EE180" s="136"/>
      <c r="EF180" s="136"/>
      <c r="EG180" s="136"/>
      <c r="EH180" s="136"/>
      <c r="EI180" s="136"/>
      <c r="EJ180" s="136"/>
      <c r="EK180" s="136"/>
      <c r="EL180" s="136"/>
      <c r="EM180" s="136"/>
      <c r="EN180" s="136"/>
      <c r="EO180" s="136"/>
      <c r="EP180" s="136"/>
      <c r="EQ180" s="136"/>
      <c r="ER180" s="136"/>
      <c r="ES180" s="136"/>
      <c r="ET180" s="136"/>
      <c r="EU180" s="136"/>
      <c r="EV180" s="136"/>
      <c r="EW180" s="136"/>
      <c r="EX180" s="136"/>
      <c r="EY180" s="136"/>
      <c r="EZ180" s="136"/>
      <c r="FA180" s="136"/>
      <c r="FB180" s="136"/>
      <c r="FC180" s="136"/>
      <c r="FD180" s="136"/>
      <c r="FE180" s="137"/>
      <c r="FF180" s="138"/>
    </row>
    <row r="181" spans="1:162" ht="12.75" x14ac:dyDescent="0.2">
      <c r="A181" s="93">
        <v>175</v>
      </c>
      <c r="B181" s="145" t="s">
        <v>228</v>
      </c>
      <c r="C181" s="141" t="s">
        <v>873</v>
      </c>
      <c r="D181" s="142" t="s">
        <v>878</v>
      </c>
      <c r="E181" s="149" t="s">
        <v>886</v>
      </c>
      <c r="F181" s="542">
        <v>138579710</v>
      </c>
      <c r="G181" s="542">
        <v>6426552</v>
      </c>
      <c r="H181" s="542">
        <v>145006262</v>
      </c>
      <c r="I181" s="542">
        <v>-154</v>
      </c>
      <c r="J181" s="542">
        <v>0</v>
      </c>
      <c r="K181" s="542">
        <v>-154</v>
      </c>
      <c r="L181" s="542">
        <v>0</v>
      </c>
      <c r="M181" s="542">
        <v>0</v>
      </c>
      <c r="N181" s="542">
        <v>0</v>
      </c>
      <c r="O181" s="542">
        <v>-341666</v>
      </c>
      <c r="P181" s="542">
        <v>-109696</v>
      </c>
      <c r="Q181" s="542">
        <v>-451362</v>
      </c>
      <c r="R181" s="542">
        <v>0</v>
      </c>
      <c r="S181" s="542">
        <v>0</v>
      </c>
      <c r="T181" s="542">
        <v>0</v>
      </c>
      <c r="U181" s="542">
        <v>-1988760</v>
      </c>
      <c r="V181" s="542">
        <v>0</v>
      </c>
      <c r="W181" s="542">
        <v>-1988760</v>
      </c>
      <c r="X181" s="542">
        <v>0</v>
      </c>
      <c r="Y181" s="542">
        <v>0</v>
      </c>
      <c r="Z181" s="542">
        <v>0</v>
      </c>
      <c r="AA181" s="542">
        <v>2195266</v>
      </c>
      <c r="AB181" s="542">
        <v>0</v>
      </c>
      <c r="AC181" s="542">
        <v>2195266</v>
      </c>
      <c r="AD181" s="542">
        <v>138786062</v>
      </c>
      <c r="AE181" s="542">
        <v>6426552</v>
      </c>
      <c r="AF181" s="542">
        <v>145212614</v>
      </c>
      <c r="AG181" s="542">
        <v>397909</v>
      </c>
      <c r="AH181" s="542">
        <v>6028643</v>
      </c>
      <c r="AI181" s="542">
        <v>6426552</v>
      </c>
      <c r="AJ181" s="542">
        <v>0</v>
      </c>
      <c r="AK181" s="542">
        <v>0</v>
      </c>
      <c r="AL181" s="542">
        <v>0</v>
      </c>
      <c r="AM181" s="542">
        <v>0</v>
      </c>
      <c r="AN181" s="542">
        <v>0</v>
      </c>
      <c r="AO181" s="542">
        <v>3721</v>
      </c>
      <c r="AP181" s="542">
        <v>3721</v>
      </c>
      <c r="AQ181" s="542">
        <v>67868</v>
      </c>
      <c r="AR181" s="542">
        <v>5711527</v>
      </c>
      <c r="AS181" s="542">
        <v>330041</v>
      </c>
      <c r="AT181" s="542">
        <v>320837</v>
      </c>
      <c r="AU181" s="542">
        <v>650878</v>
      </c>
      <c r="AV181" s="542">
        <v>8808587</v>
      </c>
      <c r="AW181" s="542">
        <v>-4921576</v>
      </c>
      <c r="AX181" s="136"/>
      <c r="AY181" s="136"/>
      <c r="AZ181" s="136"/>
      <c r="BA181" s="136"/>
      <c r="BB181" s="136"/>
      <c r="BC181" s="136"/>
      <c r="BD181" s="136"/>
      <c r="BE181" s="136"/>
      <c r="BF181" s="136"/>
      <c r="BG181" s="136"/>
      <c r="BH181" s="136"/>
      <c r="BI181" s="136"/>
      <c r="BJ181" s="136"/>
      <c r="BK181" s="136"/>
      <c r="BL181" s="136"/>
      <c r="BM181" s="136"/>
      <c r="BN181" s="136"/>
      <c r="BO181" s="136"/>
      <c r="BP181" s="136"/>
      <c r="BQ181" s="136"/>
      <c r="BR181" s="136"/>
      <c r="BS181" s="136"/>
      <c r="BT181" s="136"/>
      <c r="BU181" s="136"/>
      <c r="BV181" s="136"/>
      <c r="BW181" s="136"/>
      <c r="BX181" s="136"/>
      <c r="BY181" s="136"/>
      <c r="BZ181" s="136"/>
      <c r="CA181" s="136"/>
      <c r="CB181" s="136"/>
      <c r="CC181" s="136"/>
      <c r="CD181" s="136"/>
      <c r="CE181" s="136"/>
      <c r="CF181" s="136"/>
      <c r="CG181" s="136"/>
      <c r="CH181" s="136"/>
      <c r="CI181" s="136"/>
      <c r="CJ181" s="136"/>
      <c r="CK181" s="136"/>
      <c r="CL181" s="136"/>
      <c r="CM181" s="136"/>
      <c r="CN181" s="136"/>
      <c r="CO181" s="136"/>
      <c r="CP181" s="136"/>
      <c r="CQ181" s="136"/>
      <c r="CR181" s="136"/>
      <c r="CS181" s="136"/>
      <c r="CT181" s="136"/>
      <c r="CU181" s="136"/>
      <c r="CV181" s="136"/>
      <c r="CW181" s="136"/>
      <c r="CX181" s="136"/>
      <c r="CY181" s="136"/>
      <c r="CZ181" s="136"/>
      <c r="DA181" s="136"/>
      <c r="DB181" s="136"/>
      <c r="DC181" s="136"/>
      <c r="DD181" s="136"/>
      <c r="DE181" s="136"/>
      <c r="DF181" s="136"/>
      <c r="DG181" s="136"/>
      <c r="DH181" s="136"/>
      <c r="DI181" s="136"/>
      <c r="DJ181" s="136"/>
      <c r="DK181" s="136"/>
      <c r="DL181" s="136"/>
      <c r="DM181" s="136"/>
      <c r="DN181" s="136"/>
      <c r="DO181" s="136"/>
      <c r="DP181" s="136"/>
      <c r="DQ181" s="136"/>
      <c r="DR181" s="136"/>
      <c r="DS181" s="136"/>
      <c r="DT181" s="136"/>
      <c r="DU181" s="136"/>
      <c r="DV181" s="136"/>
      <c r="DW181" s="136"/>
      <c r="DX181" s="136"/>
      <c r="DY181" s="136"/>
      <c r="DZ181" s="136"/>
      <c r="EA181" s="136"/>
      <c r="EB181" s="136"/>
      <c r="EC181" s="136"/>
      <c r="ED181" s="136"/>
      <c r="EE181" s="136"/>
      <c r="EF181" s="136"/>
      <c r="EG181" s="136"/>
      <c r="EH181" s="136"/>
      <c r="EI181" s="136"/>
      <c r="EJ181" s="136"/>
      <c r="EK181" s="136"/>
      <c r="EL181" s="136"/>
      <c r="EM181" s="136"/>
      <c r="EN181" s="136"/>
      <c r="EO181" s="136"/>
      <c r="EP181" s="136"/>
      <c r="EQ181" s="136"/>
      <c r="ER181" s="136"/>
      <c r="ES181" s="136"/>
      <c r="ET181" s="136"/>
      <c r="EU181" s="136"/>
      <c r="EV181" s="136"/>
      <c r="EW181" s="136"/>
      <c r="EX181" s="136"/>
      <c r="EY181" s="136"/>
      <c r="EZ181" s="136"/>
      <c r="FA181" s="136"/>
      <c r="FB181" s="136"/>
      <c r="FC181" s="136"/>
      <c r="FD181" s="136"/>
      <c r="FE181" s="137"/>
      <c r="FF181" s="138"/>
    </row>
    <row r="182" spans="1:162" ht="12.75" x14ac:dyDescent="0.2">
      <c r="A182" s="93">
        <v>176</v>
      </c>
      <c r="B182" s="145" t="s">
        <v>230</v>
      </c>
      <c r="C182" s="141" t="s">
        <v>866</v>
      </c>
      <c r="D182" s="142" t="s">
        <v>876</v>
      </c>
      <c r="E182" s="149" t="s">
        <v>229</v>
      </c>
      <c r="F182" s="542">
        <v>32557301</v>
      </c>
      <c r="G182" s="542">
        <v>0</v>
      </c>
      <c r="H182" s="542">
        <v>32557301</v>
      </c>
      <c r="I182" s="542">
        <v>-2695</v>
      </c>
      <c r="J182" s="542">
        <v>0</v>
      </c>
      <c r="K182" s="542">
        <v>-2695</v>
      </c>
      <c r="L182" s="542">
        <v>0</v>
      </c>
      <c r="M182" s="542">
        <v>0</v>
      </c>
      <c r="N182" s="542">
        <v>0</v>
      </c>
      <c r="O182" s="542">
        <v>-282198</v>
      </c>
      <c r="P182" s="542">
        <v>0</v>
      </c>
      <c r="Q182" s="542">
        <v>-282198</v>
      </c>
      <c r="R182" s="542">
        <v>0</v>
      </c>
      <c r="S182" s="542">
        <v>0</v>
      </c>
      <c r="T182" s="542">
        <v>0</v>
      </c>
      <c r="U182" s="542">
        <v>-221483</v>
      </c>
      <c r="V182" s="542">
        <v>0</v>
      </c>
      <c r="W182" s="542">
        <v>-221483</v>
      </c>
      <c r="X182" s="542">
        <v>520000</v>
      </c>
      <c r="Y182" s="542">
        <v>0</v>
      </c>
      <c r="Z182" s="542">
        <v>520000</v>
      </c>
      <c r="AA182" s="542">
        <v>-864878</v>
      </c>
      <c r="AB182" s="542">
        <v>0</v>
      </c>
      <c r="AC182" s="542">
        <v>-864878</v>
      </c>
      <c r="AD182" s="542">
        <v>31988245</v>
      </c>
      <c r="AE182" s="542">
        <v>0</v>
      </c>
      <c r="AF182" s="542">
        <v>31988245</v>
      </c>
      <c r="AG182" s="542">
        <v>0</v>
      </c>
      <c r="AH182" s="542">
        <v>0</v>
      </c>
      <c r="AI182" s="542">
        <v>0</v>
      </c>
      <c r="AJ182" s="542">
        <v>0</v>
      </c>
      <c r="AK182" s="542">
        <v>0</v>
      </c>
      <c r="AL182" s="542">
        <v>0</v>
      </c>
      <c r="AM182" s="542">
        <v>0</v>
      </c>
      <c r="AN182" s="542">
        <v>0</v>
      </c>
      <c r="AO182" s="542">
        <v>0</v>
      </c>
      <c r="AP182" s="542">
        <v>0</v>
      </c>
      <c r="AQ182" s="542">
        <v>67868</v>
      </c>
      <c r="AR182" s="542">
        <v>5860013</v>
      </c>
      <c r="AS182" s="542">
        <v>0</v>
      </c>
      <c r="AT182" s="542">
        <v>0</v>
      </c>
      <c r="AU182" s="542">
        <v>0</v>
      </c>
      <c r="AV182" s="542">
        <v>2540006</v>
      </c>
      <c r="AW182" s="542">
        <v>-438829</v>
      </c>
      <c r="AX182" s="136"/>
      <c r="AY182" s="136"/>
      <c r="AZ182" s="136"/>
      <c r="BA182" s="136"/>
      <c r="BB182" s="136"/>
      <c r="BC182" s="136"/>
      <c r="BD182" s="136"/>
      <c r="BE182" s="136"/>
      <c r="BF182" s="136"/>
      <c r="BG182" s="136"/>
      <c r="BH182" s="136"/>
      <c r="BI182" s="136"/>
      <c r="BJ182" s="136"/>
      <c r="BK182" s="136"/>
      <c r="BL182" s="136"/>
      <c r="BM182" s="136"/>
      <c r="BN182" s="136"/>
      <c r="BO182" s="136"/>
      <c r="BP182" s="136"/>
      <c r="BQ182" s="136"/>
      <c r="BR182" s="136"/>
      <c r="BS182" s="136"/>
      <c r="BT182" s="136"/>
      <c r="BU182" s="136"/>
      <c r="BV182" s="136"/>
      <c r="BW182" s="136"/>
      <c r="BX182" s="136"/>
      <c r="BY182" s="136"/>
      <c r="BZ182" s="136"/>
      <c r="CA182" s="136"/>
      <c r="CB182" s="136"/>
      <c r="CC182" s="136"/>
      <c r="CD182" s="136"/>
      <c r="CE182" s="136"/>
      <c r="CF182" s="136"/>
      <c r="CG182" s="136"/>
      <c r="CH182" s="136"/>
      <c r="CI182" s="136"/>
      <c r="CJ182" s="136"/>
      <c r="CK182" s="136"/>
      <c r="CL182" s="136"/>
      <c r="CM182" s="136"/>
      <c r="CN182" s="136"/>
      <c r="CO182" s="136"/>
      <c r="CP182" s="136"/>
      <c r="CQ182" s="136"/>
      <c r="CR182" s="136"/>
      <c r="CS182" s="136"/>
      <c r="CT182" s="136"/>
      <c r="CU182" s="136"/>
      <c r="CV182" s="136"/>
      <c r="CW182" s="136"/>
      <c r="CX182" s="136"/>
      <c r="CY182" s="136"/>
      <c r="CZ182" s="136"/>
      <c r="DA182" s="136"/>
      <c r="DB182" s="136"/>
      <c r="DC182" s="136"/>
      <c r="DD182" s="136"/>
      <c r="DE182" s="136"/>
      <c r="DF182" s="136"/>
      <c r="DG182" s="136"/>
      <c r="DH182" s="136"/>
      <c r="DI182" s="136"/>
      <c r="DJ182" s="136"/>
      <c r="DK182" s="136"/>
      <c r="DL182" s="136"/>
      <c r="DM182" s="136"/>
      <c r="DN182" s="136"/>
      <c r="DO182" s="136"/>
      <c r="DP182" s="136"/>
      <c r="DQ182" s="136"/>
      <c r="DR182" s="136"/>
      <c r="DS182" s="136"/>
      <c r="DT182" s="136"/>
      <c r="DU182" s="136"/>
      <c r="DV182" s="136"/>
      <c r="DW182" s="136"/>
      <c r="DX182" s="136"/>
      <c r="DY182" s="136"/>
      <c r="DZ182" s="136"/>
      <c r="EA182" s="136"/>
      <c r="EB182" s="136"/>
      <c r="EC182" s="136"/>
      <c r="ED182" s="136"/>
      <c r="EE182" s="136"/>
      <c r="EF182" s="136"/>
      <c r="EG182" s="136"/>
      <c r="EH182" s="136"/>
      <c r="EI182" s="136"/>
      <c r="EJ182" s="136"/>
      <c r="EK182" s="136"/>
      <c r="EL182" s="136"/>
      <c r="EM182" s="136"/>
      <c r="EN182" s="136"/>
      <c r="EO182" s="136"/>
      <c r="EP182" s="136"/>
      <c r="EQ182" s="136"/>
      <c r="ER182" s="136"/>
      <c r="ES182" s="136"/>
      <c r="ET182" s="136"/>
      <c r="EU182" s="136"/>
      <c r="EV182" s="136"/>
      <c r="EW182" s="136"/>
      <c r="EX182" s="136"/>
      <c r="EY182" s="136"/>
      <c r="EZ182" s="136"/>
      <c r="FA182" s="136"/>
      <c r="FB182" s="136"/>
      <c r="FC182" s="136"/>
      <c r="FD182" s="136"/>
      <c r="FE182" s="137"/>
      <c r="FF182" s="138"/>
    </row>
    <row r="183" spans="1:162" ht="12.75" x14ac:dyDescent="0.2">
      <c r="A183" s="93">
        <v>177</v>
      </c>
      <c r="B183" s="145" t="s">
        <v>232</v>
      </c>
      <c r="C183" s="141" t="s">
        <v>871</v>
      </c>
      <c r="D183" s="142" t="s">
        <v>872</v>
      </c>
      <c r="E183" s="149" t="s">
        <v>231</v>
      </c>
      <c r="F183" s="542">
        <v>120130116</v>
      </c>
      <c r="G183" s="542">
        <v>171721</v>
      </c>
      <c r="H183" s="542">
        <v>120301837</v>
      </c>
      <c r="I183" s="542">
        <v>-9874</v>
      </c>
      <c r="J183" s="542">
        <v>0</v>
      </c>
      <c r="K183" s="542">
        <v>-9874</v>
      </c>
      <c r="L183" s="542">
        <v>69660</v>
      </c>
      <c r="M183" s="542">
        <v>0</v>
      </c>
      <c r="N183" s="542">
        <v>69660</v>
      </c>
      <c r="O183" s="542">
        <v>-2542584</v>
      </c>
      <c r="P183" s="542">
        <v>0</v>
      </c>
      <c r="Q183" s="542">
        <v>-2542584</v>
      </c>
      <c r="R183" s="542">
        <v>0</v>
      </c>
      <c r="S183" s="542">
        <v>0</v>
      </c>
      <c r="T183" s="542">
        <v>0</v>
      </c>
      <c r="U183" s="542">
        <v>-1887419.4</v>
      </c>
      <c r="V183" s="542">
        <v>0</v>
      </c>
      <c r="W183" s="542">
        <v>-1887419.4</v>
      </c>
      <c r="X183" s="542">
        <v>15004040</v>
      </c>
      <c r="Y183" s="542">
        <v>0</v>
      </c>
      <c r="Z183" s="542">
        <v>15004040</v>
      </c>
      <c r="AA183" s="542">
        <v>-17134857</v>
      </c>
      <c r="AB183" s="542">
        <v>0</v>
      </c>
      <c r="AC183" s="542">
        <v>-17134857</v>
      </c>
      <c r="AD183" s="542">
        <v>116171666</v>
      </c>
      <c r="AE183" s="542">
        <v>171721</v>
      </c>
      <c r="AF183" s="542">
        <v>116343387</v>
      </c>
      <c r="AG183" s="542">
        <v>171721</v>
      </c>
      <c r="AH183" s="542">
        <v>0</v>
      </c>
      <c r="AI183" s="542">
        <v>171721</v>
      </c>
      <c r="AJ183" s="542">
        <v>0</v>
      </c>
      <c r="AK183" s="542">
        <v>0</v>
      </c>
      <c r="AL183" s="542">
        <v>0</v>
      </c>
      <c r="AM183" s="542">
        <v>0</v>
      </c>
      <c r="AN183" s="542">
        <v>285</v>
      </c>
      <c r="AO183" s="542">
        <v>0</v>
      </c>
      <c r="AP183" s="542">
        <v>285</v>
      </c>
      <c r="AQ183" s="542">
        <v>235256</v>
      </c>
      <c r="AR183" s="542">
        <v>0</v>
      </c>
      <c r="AS183" s="542">
        <v>0</v>
      </c>
      <c r="AT183" s="542">
        <v>0</v>
      </c>
      <c r="AU183" s="542">
        <v>0</v>
      </c>
      <c r="AV183" s="542">
        <v>5696361</v>
      </c>
      <c r="AW183" s="542">
        <v>-6750299</v>
      </c>
      <c r="AX183" s="136"/>
      <c r="AY183" s="136"/>
      <c r="AZ183" s="136"/>
      <c r="BA183" s="136"/>
      <c r="BB183" s="136"/>
      <c r="BC183" s="136"/>
      <c r="BD183" s="136"/>
      <c r="BE183" s="136"/>
      <c r="BF183" s="136"/>
      <c r="BG183" s="136"/>
      <c r="BH183" s="136"/>
      <c r="BI183" s="136"/>
      <c r="BJ183" s="136"/>
      <c r="BK183" s="136"/>
      <c r="BL183" s="136"/>
      <c r="BM183" s="136"/>
      <c r="BN183" s="136"/>
      <c r="BO183" s="136"/>
      <c r="BP183" s="136"/>
      <c r="BQ183" s="136"/>
      <c r="BR183" s="136"/>
      <c r="BS183" s="136"/>
      <c r="BT183" s="136"/>
      <c r="BU183" s="136"/>
      <c r="BV183" s="136"/>
      <c r="BW183" s="136"/>
      <c r="BX183" s="136"/>
      <c r="BY183" s="136"/>
      <c r="BZ183" s="136"/>
      <c r="CA183" s="136"/>
      <c r="CB183" s="136"/>
      <c r="CC183" s="136"/>
      <c r="CD183" s="136"/>
      <c r="CE183" s="136"/>
      <c r="CF183" s="136"/>
      <c r="CG183" s="136"/>
      <c r="CH183" s="136"/>
      <c r="CI183" s="136"/>
      <c r="CJ183" s="136"/>
      <c r="CK183" s="136"/>
      <c r="CL183" s="136"/>
      <c r="CM183" s="136"/>
      <c r="CN183" s="136"/>
      <c r="CO183" s="136"/>
      <c r="CP183" s="136"/>
      <c r="CQ183" s="136"/>
      <c r="CR183" s="136"/>
      <c r="CS183" s="136"/>
      <c r="CT183" s="136"/>
      <c r="CU183" s="136"/>
      <c r="CV183" s="136"/>
      <c r="CW183" s="136"/>
      <c r="CX183" s="136"/>
      <c r="CY183" s="136"/>
      <c r="CZ183" s="136"/>
      <c r="DA183" s="136"/>
      <c r="DB183" s="136"/>
      <c r="DC183" s="136"/>
      <c r="DD183" s="136"/>
      <c r="DE183" s="136"/>
      <c r="DF183" s="136"/>
      <c r="DG183" s="136"/>
      <c r="DH183" s="136"/>
      <c r="DI183" s="136"/>
      <c r="DJ183" s="136"/>
      <c r="DK183" s="136"/>
      <c r="DL183" s="136"/>
      <c r="DM183" s="136"/>
      <c r="DN183" s="136"/>
      <c r="DO183" s="136"/>
      <c r="DP183" s="136"/>
      <c r="DQ183" s="136"/>
      <c r="DR183" s="136"/>
      <c r="DS183" s="136"/>
      <c r="DT183" s="136"/>
      <c r="DU183" s="136"/>
      <c r="DV183" s="136"/>
      <c r="DW183" s="136"/>
      <c r="DX183" s="136"/>
      <c r="DY183" s="136"/>
      <c r="DZ183" s="136"/>
      <c r="EA183" s="136"/>
      <c r="EB183" s="136"/>
      <c r="EC183" s="136"/>
      <c r="ED183" s="136"/>
      <c r="EE183" s="136"/>
      <c r="EF183" s="136"/>
      <c r="EG183" s="136"/>
      <c r="EH183" s="136"/>
      <c r="EI183" s="136"/>
      <c r="EJ183" s="136"/>
      <c r="EK183" s="136"/>
      <c r="EL183" s="136"/>
      <c r="EM183" s="136"/>
      <c r="EN183" s="136"/>
      <c r="EO183" s="136"/>
      <c r="EP183" s="136"/>
      <c r="EQ183" s="136"/>
      <c r="ER183" s="136"/>
      <c r="ES183" s="136"/>
      <c r="ET183" s="136"/>
      <c r="EU183" s="136"/>
      <c r="EV183" s="136"/>
      <c r="EW183" s="136"/>
      <c r="EX183" s="136"/>
      <c r="EY183" s="136"/>
      <c r="EZ183" s="136"/>
      <c r="FA183" s="136"/>
      <c r="FB183" s="136"/>
      <c r="FC183" s="136"/>
      <c r="FD183" s="136"/>
      <c r="FE183" s="137"/>
      <c r="FF183" s="138"/>
    </row>
    <row r="184" spans="1:162" ht="12.75" x14ac:dyDescent="0.2">
      <c r="A184" s="93">
        <v>178</v>
      </c>
      <c r="B184" s="145" t="s">
        <v>234</v>
      </c>
      <c r="C184" s="141" t="s">
        <v>866</v>
      </c>
      <c r="D184" s="142" t="s">
        <v>875</v>
      </c>
      <c r="E184" s="149" t="s">
        <v>233</v>
      </c>
      <c r="F184" s="542">
        <v>31827042</v>
      </c>
      <c r="G184" s="542">
        <v>0</v>
      </c>
      <c r="H184" s="542">
        <v>31827042</v>
      </c>
      <c r="I184" s="542">
        <v>-2723</v>
      </c>
      <c r="J184" s="542">
        <v>0</v>
      </c>
      <c r="K184" s="542">
        <v>-2723</v>
      </c>
      <c r="L184" s="542">
        <v>165678</v>
      </c>
      <c r="M184" s="542">
        <v>0</v>
      </c>
      <c r="N184" s="542">
        <v>165678</v>
      </c>
      <c r="O184" s="542">
        <v>-313712</v>
      </c>
      <c r="P184" s="542">
        <v>0</v>
      </c>
      <c r="Q184" s="542">
        <v>-313712</v>
      </c>
      <c r="R184" s="542">
        <v>0</v>
      </c>
      <c r="S184" s="542">
        <v>0</v>
      </c>
      <c r="T184" s="542">
        <v>0</v>
      </c>
      <c r="U184" s="542">
        <v>-377259</v>
      </c>
      <c r="V184" s="542">
        <v>0</v>
      </c>
      <c r="W184" s="542">
        <v>-377259</v>
      </c>
      <c r="X184" s="542">
        <v>830191</v>
      </c>
      <c r="Y184" s="542">
        <v>0</v>
      </c>
      <c r="Z184" s="542">
        <v>830191</v>
      </c>
      <c r="AA184" s="542">
        <v>-958318</v>
      </c>
      <c r="AB184" s="542">
        <v>0</v>
      </c>
      <c r="AC184" s="542">
        <v>-958318</v>
      </c>
      <c r="AD184" s="542">
        <v>31484611</v>
      </c>
      <c r="AE184" s="542">
        <v>0</v>
      </c>
      <c r="AF184" s="542">
        <v>31484611</v>
      </c>
      <c r="AG184" s="542">
        <v>0</v>
      </c>
      <c r="AH184" s="542">
        <v>0</v>
      </c>
      <c r="AI184" s="542">
        <v>0</v>
      </c>
      <c r="AJ184" s="542">
        <v>22088</v>
      </c>
      <c r="AK184" s="542">
        <v>0</v>
      </c>
      <c r="AL184" s="542">
        <v>0</v>
      </c>
      <c r="AM184" s="542">
        <v>22088</v>
      </c>
      <c r="AN184" s="542">
        <v>0</v>
      </c>
      <c r="AO184" s="542">
        <v>0</v>
      </c>
      <c r="AP184" s="542">
        <v>0</v>
      </c>
      <c r="AQ184" s="542">
        <v>0</v>
      </c>
      <c r="AR184" s="542">
        <v>0</v>
      </c>
      <c r="AS184" s="542">
        <v>0</v>
      </c>
      <c r="AT184" s="542">
        <v>0</v>
      </c>
      <c r="AU184" s="542">
        <v>0</v>
      </c>
      <c r="AV184" s="542">
        <v>1343367</v>
      </c>
      <c r="AW184" s="542">
        <v>-780498</v>
      </c>
      <c r="AX184" s="136"/>
      <c r="AY184" s="136"/>
      <c r="AZ184" s="136"/>
      <c r="BA184" s="136"/>
      <c r="BB184" s="136"/>
      <c r="BC184" s="136"/>
      <c r="BD184" s="136"/>
      <c r="BE184" s="136"/>
      <c r="BF184" s="136"/>
      <c r="BG184" s="136"/>
      <c r="BH184" s="136"/>
      <c r="BI184" s="136"/>
      <c r="BJ184" s="136"/>
      <c r="BK184" s="136"/>
      <c r="BL184" s="136"/>
      <c r="BM184" s="136"/>
      <c r="BN184" s="136"/>
      <c r="BO184" s="136"/>
      <c r="BP184" s="136"/>
      <c r="BQ184" s="136"/>
      <c r="BR184" s="136"/>
      <c r="BS184" s="136"/>
      <c r="BT184" s="136"/>
      <c r="BU184" s="136"/>
      <c r="BV184" s="136"/>
      <c r="BW184" s="136"/>
      <c r="BX184" s="136"/>
      <c r="BY184" s="136"/>
      <c r="BZ184" s="136"/>
      <c r="CA184" s="136"/>
      <c r="CB184" s="136"/>
      <c r="CC184" s="136"/>
      <c r="CD184" s="136"/>
      <c r="CE184" s="136"/>
      <c r="CF184" s="136"/>
      <c r="CG184" s="136"/>
      <c r="CH184" s="136"/>
      <c r="CI184" s="136"/>
      <c r="CJ184" s="136"/>
      <c r="CK184" s="136"/>
      <c r="CL184" s="136"/>
      <c r="CM184" s="136"/>
      <c r="CN184" s="136"/>
      <c r="CO184" s="136"/>
      <c r="CP184" s="136"/>
      <c r="CQ184" s="136"/>
      <c r="CR184" s="136"/>
      <c r="CS184" s="136"/>
      <c r="CT184" s="136"/>
      <c r="CU184" s="136"/>
      <c r="CV184" s="136"/>
      <c r="CW184" s="136"/>
      <c r="CX184" s="136"/>
      <c r="CY184" s="136"/>
      <c r="CZ184" s="136"/>
      <c r="DA184" s="136"/>
      <c r="DB184" s="136"/>
      <c r="DC184" s="136"/>
      <c r="DD184" s="136"/>
      <c r="DE184" s="136"/>
      <c r="DF184" s="136"/>
      <c r="DG184" s="136"/>
      <c r="DH184" s="136"/>
      <c r="DI184" s="136"/>
      <c r="DJ184" s="136"/>
      <c r="DK184" s="136"/>
      <c r="DL184" s="136"/>
      <c r="DM184" s="136"/>
      <c r="DN184" s="136"/>
      <c r="DO184" s="136"/>
      <c r="DP184" s="136"/>
      <c r="DQ184" s="136"/>
      <c r="DR184" s="136"/>
      <c r="DS184" s="136"/>
      <c r="DT184" s="136"/>
      <c r="DU184" s="136"/>
      <c r="DV184" s="136"/>
      <c r="DW184" s="136"/>
      <c r="DX184" s="136"/>
      <c r="DY184" s="136"/>
      <c r="DZ184" s="136"/>
      <c r="EA184" s="136"/>
      <c r="EB184" s="136"/>
      <c r="EC184" s="136"/>
      <c r="ED184" s="136"/>
      <c r="EE184" s="136"/>
      <c r="EF184" s="136"/>
      <c r="EG184" s="136"/>
      <c r="EH184" s="136"/>
      <c r="EI184" s="136"/>
      <c r="EJ184" s="136"/>
      <c r="EK184" s="136"/>
      <c r="EL184" s="136"/>
      <c r="EM184" s="136"/>
      <c r="EN184" s="136"/>
      <c r="EO184" s="136"/>
      <c r="EP184" s="136"/>
      <c r="EQ184" s="136"/>
      <c r="ER184" s="136"/>
      <c r="ES184" s="136"/>
      <c r="ET184" s="136"/>
      <c r="EU184" s="136"/>
      <c r="EV184" s="136"/>
      <c r="EW184" s="136"/>
      <c r="EX184" s="136"/>
      <c r="EY184" s="136"/>
      <c r="EZ184" s="136"/>
      <c r="FA184" s="136"/>
      <c r="FB184" s="136"/>
      <c r="FC184" s="136"/>
      <c r="FD184" s="136"/>
      <c r="FE184" s="137"/>
      <c r="FF184" s="138"/>
    </row>
    <row r="185" spans="1:162" ht="12.75" x14ac:dyDescent="0.2">
      <c r="A185" s="93">
        <v>179</v>
      </c>
      <c r="B185" s="145" t="s">
        <v>236</v>
      </c>
      <c r="C185" s="141" t="s">
        <v>866</v>
      </c>
      <c r="D185" s="142" t="s">
        <v>875</v>
      </c>
      <c r="E185" s="149" t="s">
        <v>235</v>
      </c>
      <c r="F185" s="542">
        <v>13129793</v>
      </c>
      <c r="G185" s="542">
        <v>0</v>
      </c>
      <c r="H185" s="542">
        <v>13129793</v>
      </c>
      <c r="I185" s="542">
        <v>0</v>
      </c>
      <c r="J185" s="542">
        <v>0</v>
      </c>
      <c r="K185" s="542">
        <v>0</v>
      </c>
      <c r="L185" s="542">
        <v>64461</v>
      </c>
      <c r="M185" s="542">
        <v>0</v>
      </c>
      <c r="N185" s="542">
        <v>64461</v>
      </c>
      <c r="O185" s="542">
        <v>-148047</v>
      </c>
      <c r="P185" s="542">
        <v>0</v>
      </c>
      <c r="Q185" s="542">
        <v>-148047</v>
      </c>
      <c r="R185" s="542">
        <v>0</v>
      </c>
      <c r="S185" s="542">
        <v>0</v>
      </c>
      <c r="T185" s="542">
        <v>0</v>
      </c>
      <c r="U185" s="542">
        <v>-216264</v>
      </c>
      <c r="V185" s="542">
        <v>0</v>
      </c>
      <c r="W185" s="542">
        <v>-216264</v>
      </c>
      <c r="X185" s="542">
        <v>167863</v>
      </c>
      <c r="Y185" s="542">
        <v>0</v>
      </c>
      <c r="Z185" s="542">
        <v>167863</v>
      </c>
      <c r="AA185" s="542">
        <v>-341993</v>
      </c>
      <c r="AB185" s="542">
        <v>0</v>
      </c>
      <c r="AC185" s="542">
        <v>-341993</v>
      </c>
      <c r="AD185" s="542">
        <v>12803860</v>
      </c>
      <c r="AE185" s="542">
        <v>0</v>
      </c>
      <c r="AF185" s="542">
        <v>12803860</v>
      </c>
      <c r="AG185" s="542">
        <v>0</v>
      </c>
      <c r="AH185" s="542">
        <v>0</v>
      </c>
      <c r="AI185" s="542">
        <v>0</v>
      </c>
      <c r="AJ185" s="542">
        <v>25348</v>
      </c>
      <c r="AK185" s="542">
        <v>0</v>
      </c>
      <c r="AL185" s="542">
        <v>0</v>
      </c>
      <c r="AM185" s="542">
        <v>25348</v>
      </c>
      <c r="AN185" s="542">
        <v>0</v>
      </c>
      <c r="AO185" s="542">
        <v>0</v>
      </c>
      <c r="AP185" s="542">
        <v>0</v>
      </c>
      <c r="AQ185" s="542">
        <v>0</v>
      </c>
      <c r="AR185" s="542">
        <v>0</v>
      </c>
      <c r="AS185" s="542">
        <v>0</v>
      </c>
      <c r="AT185" s="542">
        <v>0</v>
      </c>
      <c r="AU185" s="542">
        <v>0</v>
      </c>
      <c r="AV185" s="542">
        <v>1396790</v>
      </c>
      <c r="AW185" s="542">
        <v>-1164300</v>
      </c>
      <c r="AX185" s="136"/>
      <c r="AY185" s="136"/>
      <c r="AZ185" s="136"/>
      <c r="BA185" s="136"/>
      <c r="BB185" s="136"/>
      <c r="BC185" s="136"/>
      <c r="BD185" s="136"/>
      <c r="BE185" s="136"/>
      <c r="BF185" s="136"/>
      <c r="BG185" s="136"/>
      <c r="BH185" s="136"/>
      <c r="BI185" s="136"/>
      <c r="BJ185" s="136"/>
      <c r="BK185" s="136"/>
      <c r="BL185" s="136"/>
      <c r="BM185" s="136"/>
      <c r="BN185" s="136"/>
      <c r="BO185" s="136"/>
      <c r="BP185" s="136"/>
      <c r="BQ185" s="136"/>
      <c r="BR185" s="136"/>
      <c r="BS185" s="136"/>
      <c r="BT185" s="136"/>
      <c r="BU185" s="136"/>
      <c r="BV185" s="136"/>
      <c r="BW185" s="136"/>
      <c r="BX185" s="136"/>
      <c r="BY185" s="136"/>
      <c r="BZ185" s="136"/>
      <c r="CA185" s="136"/>
      <c r="CB185" s="136"/>
      <c r="CC185" s="136"/>
      <c r="CD185" s="136"/>
      <c r="CE185" s="136"/>
      <c r="CF185" s="136"/>
      <c r="CG185" s="136"/>
      <c r="CH185" s="136"/>
      <c r="CI185" s="136"/>
      <c r="CJ185" s="136"/>
      <c r="CK185" s="136"/>
      <c r="CL185" s="136"/>
      <c r="CM185" s="136"/>
      <c r="CN185" s="136"/>
      <c r="CO185" s="136"/>
      <c r="CP185" s="136"/>
      <c r="CQ185" s="136"/>
      <c r="CR185" s="136"/>
      <c r="CS185" s="136"/>
      <c r="CT185" s="136"/>
      <c r="CU185" s="136"/>
      <c r="CV185" s="136"/>
      <c r="CW185" s="136"/>
      <c r="CX185" s="136"/>
      <c r="CY185" s="136"/>
      <c r="CZ185" s="136"/>
      <c r="DA185" s="136"/>
      <c r="DB185" s="136"/>
      <c r="DC185" s="136"/>
      <c r="DD185" s="136"/>
      <c r="DE185" s="136"/>
      <c r="DF185" s="136"/>
      <c r="DG185" s="136"/>
      <c r="DH185" s="136"/>
      <c r="DI185" s="136"/>
      <c r="DJ185" s="136"/>
      <c r="DK185" s="136"/>
      <c r="DL185" s="136"/>
      <c r="DM185" s="136"/>
      <c r="DN185" s="136"/>
      <c r="DO185" s="136"/>
      <c r="DP185" s="136"/>
      <c r="DQ185" s="136"/>
      <c r="DR185" s="136"/>
      <c r="DS185" s="136"/>
      <c r="DT185" s="136"/>
      <c r="DU185" s="136"/>
      <c r="DV185" s="136"/>
      <c r="DW185" s="136"/>
      <c r="DX185" s="136"/>
      <c r="DY185" s="136"/>
      <c r="DZ185" s="136"/>
      <c r="EA185" s="136"/>
      <c r="EB185" s="136"/>
      <c r="EC185" s="136"/>
      <c r="ED185" s="136"/>
      <c r="EE185" s="136"/>
      <c r="EF185" s="136"/>
      <c r="EG185" s="136"/>
      <c r="EH185" s="136"/>
      <c r="EI185" s="136"/>
      <c r="EJ185" s="136"/>
      <c r="EK185" s="136"/>
      <c r="EL185" s="136"/>
      <c r="EM185" s="136"/>
      <c r="EN185" s="136"/>
      <c r="EO185" s="136"/>
      <c r="EP185" s="136"/>
      <c r="EQ185" s="136"/>
      <c r="ER185" s="136"/>
      <c r="ES185" s="136"/>
      <c r="ET185" s="136"/>
      <c r="EU185" s="136"/>
      <c r="EV185" s="136"/>
      <c r="EW185" s="136"/>
      <c r="EX185" s="136"/>
      <c r="EY185" s="136"/>
      <c r="EZ185" s="136"/>
      <c r="FA185" s="136"/>
      <c r="FB185" s="136"/>
      <c r="FC185" s="136"/>
      <c r="FD185" s="136"/>
      <c r="FE185" s="137"/>
      <c r="FF185" s="138"/>
    </row>
    <row r="186" spans="1:162" ht="12.75" x14ac:dyDescent="0.2">
      <c r="A186" s="93">
        <v>180</v>
      </c>
      <c r="B186" s="145" t="s">
        <v>238</v>
      </c>
      <c r="C186" s="141" t="s">
        <v>866</v>
      </c>
      <c r="D186" s="142" t="s">
        <v>869</v>
      </c>
      <c r="E186" s="149" t="s">
        <v>237</v>
      </c>
      <c r="F186" s="542">
        <v>15837482</v>
      </c>
      <c r="G186" s="542">
        <v>0</v>
      </c>
      <c r="H186" s="542">
        <v>15837482</v>
      </c>
      <c r="I186" s="542">
        <v>0</v>
      </c>
      <c r="J186" s="542">
        <v>0</v>
      </c>
      <c r="K186" s="542">
        <v>0</v>
      </c>
      <c r="L186" s="542">
        <v>8929</v>
      </c>
      <c r="M186" s="542">
        <v>0</v>
      </c>
      <c r="N186" s="542">
        <v>8929</v>
      </c>
      <c r="O186" s="542">
        <v>-126933</v>
      </c>
      <c r="P186" s="542">
        <v>0</v>
      </c>
      <c r="Q186" s="542">
        <v>-126933</v>
      </c>
      <c r="R186" s="542">
        <v>0</v>
      </c>
      <c r="S186" s="542">
        <v>0</v>
      </c>
      <c r="T186" s="542">
        <v>0</v>
      </c>
      <c r="U186" s="542">
        <v>-150043</v>
      </c>
      <c r="V186" s="542">
        <v>0</v>
      </c>
      <c r="W186" s="542">
        <v>-150043</v>
      </c>
      <c r="X186" s="542">
        <v>635547</v>
      </c>
      <c r="Y186" s="542">
        <v>0</v>
      </c>
      <c r="Z186" s="542">
        <v>635547</v>
      </c>
      <c r="AA186" s="542">
        <v>-856813</v>
      </c>
      <c r="AB186" s="542">
        <v>0</v>
      </c>
      <c r="AC186" s="542">
        <v>-856813</v>
      </c>
      <c r="AD186" s="542">
        <v>15475102</v>
      </c>
      <c r="AE186" s="542">
        <v>0</v>
      </c>
      <c r="AF186" s="542">
        <v>15475102</v>
      </c>
      <c r="AG186" s="542">
        <v>0</v>
      </c>
      <c r="AH186" s="542">
        <v>0</v>
      </c>
      <c r="AI186" s="542">
        <v>0</v>
      </c>
      <c r="AJ186" s="542">
        <v>0</v>
      </c>
      <c r="AK186" s="542">
        <v>0</v>
      </c>
      <c r="AL186" s="542">
        <v>0</v>
      </c>
      <c r="AM186" s="542">
        <v>0</v>
      </c>
      <c r="AN186" s="542">
        <v>0</v>
      </c>
      <c r="AO186" s="542">
        <v>0</v>
      </c>
      <c r="AP186" s="542">
        <v>0</v>
      </c>
      <c r="AQ186" s="542">
        <v>0</v>
      </c>
      <c r="AR186" s="542">
        <v>0</v>
      </c>
      <c r="AS186" s="542">
        <v>0</v>
      </c>
      <c r="AT186" s="542">
        <v>0</v>
      </c>
      <c r="AU186" s="542">
        <v>0</v>
      </c>
      <c r="AV186" s="542">
        <v>492663</v>
      </c>
      <c r="AW186" s="542">
        <v>-166115</v>
      </c>
      <c r="AX186" s="136"/>
      <c r="AY186" s="136"/>
      <c r="AZ186" s="136"/>
      <c r="BA186" s="136"/>
      <c r="BB186" s="136"/>
      <c r="BC186" s="136"/>
      <c r="BD186" s="136"/>
      <c r="BE186" s="136"/>
      <c r="BF186" s="136"/>
      <c r="BG186" s="136"/>
      <c r="BH186" s="136"/>
      <c r="BI186" s="136"/>
      <c r="BJ186" s="136"/>
      <c r="BK186" s="136"/>
      <c r="BL186" s="136"/>
      <c r="BM186" s="136"/>
      <c r="BN186" s="136"/>
      <c r="BO186" s="136"/>
      <c r="BP186" s="136"/>
      <c r="BQ186" s="136"/>
      <c r="BR186" s="136"/>
      <c r="BS186" s="136"/>
      <c r="BT186" s="136"/>
      <c r="BU186" s="136"/>
      <c r="BV186" s="136"/>
      <c r="BW186" s="136"/>
      <c r="BX186" s="136"/>
      <c r="BY186" s="136"/>
      <c r="BZ186" s="136"/>
      <c r="CA186" s="136"/>
      <c r="CB186" s="136"/>
      <c r="CC186" s="136"/>
      <c r="CD186" s="136"/>
      <c r="CE186" s="136"/>
      <c r="CF186" s="136"/>
      <c r="CG186" s="136"/>
      <c r="CH186" s="136"/>
      <c r="CI186" s="136"/>
      <c r="CJ186" s="136"/>
      <c r="CK186" s="136"/>
      <c r="CL186" s="136"/>
      <c r="CM186" s="136"/>
      <c r="CN186" s="136"/>
      <c r="CO186" s="136"/>
      <c r="CP186" s="136"/>
      <c r="CQ186" s="136"/>
      <c r="CR186" s="136"/>
      <c r="CS186" s="136"/>
      <c r="CT186" s="136"/>
      <c r="CU186" s="136"/>
      <c r="CV186" s="136"/>
      <c r="CW186" s="136"/>
      <c r="CX186" s="136"/>
      <c r="CY186" s="136"/>
      <c r="CZ186" s="136"/>
      <c r="DA186" s="136"/>
      <c r="DB186" s="136"/>
      <c r="DC186" s="136"/>
      <c r="DD186" s="136"/>
      <c r="DE186" s="136"/>
      <c r="DF186" s="136"/>
      <c r="DG186" s="136"/>
      <c r="DH186" s="136"/>
      <c r="DI186" s="136"/>
      <c r="DJ186" s="136"/>
      <c r="DK186" s="136"/>
      <c r="DL186" s="136"/>
      <c r="DM186" s="136"/>
      <c r="DN186" s="136"/>
      <c r="DO186" s="136"/>
      <c r="DP186" s="136"/>
      <c r="DQ186" s="136"/>
      <c r="DR186" s="136"/>
      <c r="DS186" s="136"/>
      <c r="DT186" s="136"/>
      <c r="DU186" s="136"/>
      <c r="DV186" s="136"/>
      <c r="DW186" s="136"/>
      <c r="DX186" s="136"/>
      <c r="DY186" s="136"/>
      <c r="DZ186" s="136"/>
      <c r="EA186" s="136"/>
      <c r="EB186" s="136"/>
      <c r="EC186" s="136"/>
      <c r="ED186" s="136"/>
      <c r="EE186" s="136"/>
      <c r="EF186" s="136"/>
      <c r="EG186" s="136"/>
      <c r="EH186" s="136"/>
      <c r="EI186" s="136"/>
      <c r="EJ186" s="136"/>
      <c r="EK186" s="136"/>
      <c r="EL186" s="136"/>
      <c r="EM186" s="136"/>
      <c r="EN186" s="136"/>
      <c r="EO186" s="136"/>
      <c r="EP186" s="136"/>
      <c r="EQ186" s="136"/>
      <c r="ER186" s="136"/>
      <c r="ES186" s="136"/>
      <c r="ET186" s="136"/>
      <c r="EU186" s="136"/>
      <c r="EV186" s="136"/>
      <c r="EW186" s="136"/>
      <c r="EX186" s="136"/>
      <c r="EY186" s="136"/>
      <c r="EZ186" s="136"/>
      <c r="FA186" s="136"/>
      <c r="FB186" s="136"/>
      <c r="FC186" s="136"/>
      <c r="FD186" s="136"/>
      <c r="FE186" s="137"/>
      <c r="FF186" s="138"/>
    </row>
    <row r="187" spans="1:162" ht="12.75" x14ac:dyDescent="0.2">
      <c r="A187" s="93">
        <v>181</v>
      </c>
      <c r="B187" s="145" t="s">
        <v>240</v>
      </c>
      <c r="C187" s="141" t="s">
        <v>770</v>
      </c>
      <c r="D187" s="142" t="s">
        <v>874</v>
      </c>
      <c r="E187" s="149" t="s">
        <v>709</v>
      </c>
      <c r="F187" s="542">
        <v>61669463</v>
      </c>
      <c r="G187" s="542">
        <v>0</v>
      </c>
      <c r="H187" s="542">
        <v>61669463</v>
      </c>
      <c r="I187" s="542">
        <v>0</v>
      </c>
      <c r="J187" s="542">
        <v>0</v>
      </c>
      <c r="K187" s="542">
        <v>0</v>
      </c>
      <c r="L187" s="542">
        <v>50816</v>
      </c>
      <c r="M187" s="542">
        <v>0</v>
      </c>
      <c r="N187" s="542">
        <v>50816</v>
      </c>
      <c r="O187" s="542">
        <v>-233248</v>
      </c>
      <c r="P187" s="542">
        <v>0</v>
      </c>
      <c r="Q187" s="542">
        <v>-233248</v>
      </c>
      <c r="R187" s="542">
        <v>0</v>
      </c>
      <c r="S187" s="542">
        <v>0</v>
      </c>
      <c r="T187" s="542">
        <v>0</v>
      </c>
      <c r="U187" s="542">
        <v>169695</v>
      </c>
      <c r="V187" s="542">
        <v>0</v>
      </c>
      <c r="W187" s="542">
        <v>169695</v>
      </c>
      <c r="X187" s="542">
        <v>1949448</v>
      </c>
      <c r="Y187" s="542">
        <v>0</v>
      </c>
      <c r="Z187" s="542">
        <v>1949448</v>
      </c>
      <c r="AA187" s="542">
        <v>-11562336</v>
      </c>
      <c r="AB187" s="542">
        <v>0</v>
      </c>
      <c r="AC187" s="542">
        <v>-11562336</v>
      </c>
      <c r="AD187" s="542">
        <v>52277085</v>
      </c>
      <c r="AE187" s="542">
        <v>0</v>
      </c>
      <c r="AF187" s="542">
        <v>52277085</v>
      </c>
      <c r="AG187" s="542">
        <v>0</v>
      </c>
      <c r="AH187" s="542">
        <v>0</v>
      </c>
      <c r="AI187" s="542">
        <v>0</v>
      </c>
      <c r="AJ187" s="542">
        <v>0</v>
      </c>
      <c r="AK187" s="542">
        <v>0</v>
      </c>
      <c r="AL187" s="542">
        <v>0</v>
      </c>
      <c r="AM187" s="542">
        <v>0</v>
      </c>
      <c r="AN187" s="542">
        <v>0</v>
      </c>
      <c r="AO187" s="542">
        <v>0</v>
      </c>
      <c r="AP187" s="542">
        <v>0</v>
      </c>
      <c r="AQ187" s="542">
        <v>0</v>
      </c>
      <c r="AR187" s="542">
        <v>0</v>
      </c>
      <c r="AS187" s="542">
        <v>0</v>
      </c>
      <c r="AT187" s="542">
        <v>0</v>
      </c>
      <c r="AU187" s="542">
        <v>0</v>
      </c>
      <c r="AV187" s="542">
        <v>6443451</v>
      </c>
      <c r="AW187" s="542">
        <v>-1172789</v>
      </c>
      <c r="AX187" s="136"/>
      <c r="AY187" s="136"/>
      <c r="AZ187" s="136"/>
      <c r="BA187" s="136"/>
      <c r="BB187" s="136"/>
      <c r="BC187" s="136"/>
      <c r="BD187" s="136"/>
      <c r="BE187" s="136"/>
      <c r="BF187" s="136"/>
      <c r="BG187" s="136"/>
      <c r="BH187" s="136"/>
      <c r="BI187" s="136"/>
      <c r="BJ187" s="136"/>
      <c r="BK187" s="136"/>
      <c r="BL187" s="136"/>
      <c r="BM187" s="136"/>
      <c r="BN187" s="136"/>
      <c r="BO187" s="136"/>
      <c r="BP187" s="136"/>
      <c r="BQ187" s="136"/>
      <c r="BR187" s="136"/>
      <c r="BS187" s="136"/>
      <c r="BT187" s="136"/>
      <c r="BU187" s="136"/>
      <c r="BV187" s="136"/>
      <c r="BW187" s="136"/>
      <c r="BX187" s="136"/>
      <c r="BY187" s="136"/>
      <c r="BZ187" s="136"/>
      <c r="CA187" s="136"/>
      <c r="CB187" s="136"/>
      <c r="CC187" s="136"/>
      <c r="CD187" s="136"/>
      <c r="CE187" s="136"/>
      <c r="CF187" s="136"/>
      <c r="CG187" s="136"/>
      <c r="CH187" s="136"/>
      <c r="CI187" s="136"/>
      <c r="CJ187" s="136"/>
      <c r="CK187" s="136"/>
      <c r="CL187" s="136"/>
      <c r="CM187" s="136"/>
      <c r="CN187" s="136"/>
      <c r="CO187" s="136"/>
      <c r="CP187" s="136"/>
      <c r="CQ187" s="136"/>
      <c r="CR187" s="136"/>
      <c r="CS187" s="136"/>
      <c r="CT187" s="136"/>
      <c r="CU187" s="136"/>
      <c r="CV187" s="136"/>
      <c r="CW187" s="136"/>
      <c r="CX187" s="136"/>
      <c r="CY187" s="136"/>
      <c r="CZ187" s="136"/>
      <c r="DA187" s="136"/>
      <c r="DB187" s="136"/>
      <c r="DC187" s="136"/>
      <c r="DD187" s="136"/>
      <c r="DE187" s="136"/>
      <c r="DF187" s="136"/>
      <c r="DG187" s="136"/>
      <c r="DH187" s="136"/>
      <c r="DI187" s="136"/>
      <c r="DJ187" s="136"/>
      <c r="DK187" s="136"/>
      <c r="DL187" s="136"/>
      <c r="DM187" s="136"/>
      <c r="DN187" s="136"/>
      <c r="DO187" s="136"/>
      <c r="DP187" s="136"/>
      <c r="DQ187" s="136"/>
      <c r="DR187" s="136"/>
      <c r="DS187" s="136"/>
      <c r="DT187" s="136"/>
      <c r="DU187" s="136"/>
      <c r="DV187" s="136"/>
      <c r="DW187" s="136"/>
      <c r="DX187" s="136"/>
      <c r="DY187" s="136"/>
      <c r="DZ187" s="136"/>
      <c r="EA187" s="136"/>
      <c r="EB187" s="136"/>
      <c r="EC187" s="136"/>
      <c r="ED187" s="136"/>
      <c r="EE187" s="136"/>
      <c r="EF187" s="136"/>
      <c r="EG187" s="136"/>
      <c r="EH187" s="136"/>
      <c r="EI187" s="136"/>
      <c r="EJ187" s="136"/>
      <c r="EK187" s="136"/>
      <c r="EL187" s="136"/>
      <c r="EM187" s="136"/>
      <c r="EN187" s="136"/>
      <c r="EO187" s="136"/>
      <c r="EP187" s="136"/>
      <c r="EQ187" s="136"/>
      <c r="ER187" s="136"/>
      <c r="ES187" s="136"/>
      <c r="ET187" s="136"/>
      <c r="EU187" s="136"/>
      <c r="EV187" s="136"/>
      <c r="EW187" s="136"/>
      <c r="EX187" s="136"/>
      <c r="EY187" s="136"/>
      <c r="EZ187" s="136"/>
      <c r="FA187" s="136"/>
      <c r="FB187" s="136"/>
      <c r="FC187" s="136"/>
      <c r="FD187" s="136"/>
      <c r="FE187" s="137"/>
      <c r="FF187" s="138"/>
    </row>
    <row r="188" spans="1:162" ht="12.75" x14ac:dyDescent="0.2">
      <c r="A188" s="93">
        <v>182</v>
      </c>
      <c r="B188" s="145" t="s">
        <v>242</v>
      </c>
      <c r="C188" s="141" t="s">
        <v>866</v>
      </c>
      <c r="D188" s="142" t="s">
        <v>870</v>
      </c>
      <c r="E188" s="149" t="s">
        <v>241</v>
      </c>
      <c r="F188" s="542">
        <v>37648668</v>
      </c>
      <c r="G188" s="542">
        <v>0</v>
      </c>
      <c r="H188" s="542">
        <v>37648668</v>
      </c>
      <c r="I188" s="542">
        <v>-64</v>
      </c>
      <c r="J188" s="542">
        <v>0</v>
      </c>
      <c r="K188" s="542">
        <v>-64</v>
      </c>
      <c r="L188" s="542">
        <v>333322</v>
      </c>
      <c r="M188" s="542">
        <v>0</v>
      </c>
      <c r="N188" s="542">
        <v>333322</v>
      </c>
      <c r="O188" s="542">
        <v>-434706</v>
      </c>
      <c r="P188" s="542">
        <v>0</v>
      </c>
      <c r="Q188" s="542">
        <v>-434706</v>
      </c>
      <c r="R188" s="542">
        <v>0</v>
      </c>
      <c r="S188" s="542">
        <v>0</v>
      </c>
      <c r="T188" s="542">
        <v>0</v>
      </c>
      <c r="U188" s="542">
        <v>-287120</v>
      </c>
      <c r="V188" s="542">
        <v>0</v>
      </c>
      <c r="W188" s="542">
        <v>-287120</v>
      </c>
      <c r="X188" s="542">
        <v>1193368</v>
      </c>
      <c r="Y188" s="542">
        <v>0</v>
      </c>
      <c r="Z188" s="542">
        <v>1193368</v>
      </c>
      <c r="AA188" s="542">
        <v>-2231208</v>
      </c>
      <c r="AB188" s="542">
        <v>0</v>
      </c>
      <c r="AC188" s="542">
        <v>-2231208</v>
      </c>
      <c r="AD188" s="542">
        <v>36656966</v>
      </c>
      <c r="AE188" s="542">
        <v>0</v>
      </c>
      <c r="AF188" s="542">
        <v>36656966</v>
      </c>
      <c r="AG188" s="542">
        <v>0</v>
      </c>
      <c r="AH188" s="542">
        <v>0</v>
      </c>
      <c r="AI188" s="542">
        <v>0</v>
      </c>
      <c r="AJ188" s="542">
        <v>0</v>
      </c>
      <c r="AK188" s="542">
        <v>0</v>
      </c>
      <c r="AL188" s="542">
        <v>0</v>
      </c>
      <c r="AM188" s="542">
        <v>0</v>
      </c>
      <c r="AN188" s="542">
        <v>0</v>
      </c>
      <c r="AO188" s="542">
        <v>0</v>
      </c>
      <c r="AP188" s="542">
        <v>0</v>
      </c>
      <c r="AQ188" s="542">
        <v>0</v>
      </c>
      <c r="AR188" s="542">
        <v>0</v>
      </c>
      <c r="AS188" s="542">
        <v>0</v>
      </c>
      <c r="AT188" s="542">
        <v>0</v>
      </c>
      <c r="AU188" s="542">
        <v>0</v>
      </c>
      <c r="AV188" s="542">
        <v>2071707</v>
      </c>
      <c r="AW188" s="542">
        <v>-535519</v>
      </c>
      <c r="AX188" s="136"/>
      <c r="AY188" s="136"/>
      <c r="AZ188" s="136"/>
      <c r="BA188" s="136"/>
      <c r="BB188" s="136"/>
      <c r="BC188" s="136"/>
      <c r="BD188" s="136"/>
      <c r="BE188" s="136"/>
      <c r="BF188" s="136"/>
      <c r="BG188" s="136"/>
      <c r="BH188" s="136"/>
      <c r="BI188" s="136"/>
      <c r="BJ188" s="136"/>
      <c r="BK188" s="136"/>
      <c r="BL188" s="136"/>
      <c r="BM188" s="136"/>
      <c r="BN188" s="136"/>
      <c r="BO188" s="136"/>
      <c r="BP188" s="136"/>
      <c r="BQ188" s="136"/>
      <c r="BR188" s="136"/>
      <c r="BS188" s="136"/>
      <c r="BT188" s="136"/>
      <c r="BU188" s="136"/>
      <c r="BV188" s="136"/>
      <c r="BW188" s="136"/>
      <c r="BX188" s="136"/>
      <c r="BY188" s="136"/>
      <c r="BZ188" s="136"/>
      <c r="CA188" s="136"/>
      <c r="CB188" s="136"/>
      <c r="CC188" s="136"/>
      <c r="CD188" s="136"/>
      <c r="CE188" s="136"/>
      <c r="CF188" s="136"/>
      <c r="CG188" s="136"/>
      <c r="CH188" s="136"/>
      <c r="CI188" s="136"/>
      <c r="CJ188" s="136"/>
      <c r="CK188" s="136"/>
      <c r="CL188" s="136"/>
      <c r="CM188" s="136"/>
      <c r="CN188" s="136"/>
      <c r="CO188" s="136"/>
      <c r="CP188" s="136"/>
      <c r="CQ188" s="136"/>
      <c r="CR188" s="136"/>
      <c r="CS188" s="136"/>
      <c r="CT188" s="136"/>
      <c r="CU188" s="136"/>
      <c r="CV188" s="136"/>
      <c r="CW188" s="136"/>
      <c r="CX188" s="136"/>
      <c r="CY188" s="136"/>
      <c r="CZ188" s="136"/>
      <c r="DA188" s="136"/>
      <c r="DB188" s="136"/>
      <c r="DC188" s="136"/>
      <c r="DD188" s="136"/>
      <c r="DE188" s="136"/>
      <c r="DF188" s="136"/>
      <c r="DG188" s="136"/>
      <c r="DH188" s="136"/>
      <c r="DI188" s="136"/>
      <c r="DJ188" s="136"/>
      <c r="DK188" s="136"/>
      <c r="DL188" s="136"/>
      <c r="DM188" s="136"/>
      <c r="DN188" s="136"/>
      <c r="DO188" s="136"/>
      <c r="DP188" s="136"/>
      <c r="DQ188" s="136"/>
      <c r="DR188" s="136"/>
      <c r="DS188" s="136"/>
      <c r="DT188" s="136"/>
      <c r="DU188" s="136"/>
      <c r="DV188" s="136"/>
      <c r="DW188" s="136"/>
      <c r="DX188" s="136"/>
      <c r="DY188" s="136"/>
      <c r="DZ188" s="136"/>
      <c r="EA188" s="136"/>
      <c r="EB188" s="136"/>
      <c r="EC188" s="136"/>
      <c r="ED188" s="136"/>
      <c r="EE188" s="136"/>
      <c r="EF188" s="136"/>
      <c r="EG188" s="136"/>
      <c r="EH188" s="136"/>
      <c r="EI188" s="136"/>
      <c r="EJ188" s="136"/>
      <c r="EK188" s="136"/>
      <c r="EL188" s="136"/>
      <c r="EM188" s="136"/>
      <c r="EN188" s="136"/>
      <c r="EO188" s="136"/>
      <c r="EP188" s="136"/>
      <c r="EQ188" s="136"/>
      <c r="ER188" s="136"/>
      <c r="ES188" s="136"/>
      <c r="ET188" s="136"/>
      <c r="EU188" s="136"/>
      <c r="EV188" s="136"/>
      <c r="EW188" s="136"/>
      <c r="EX188" s="136"/>
      <c r="EY188" s="136"/>
      <c r="EZ188" s="136"/>
      <c r="FA188" s="136"/>
      <c r="FB188" s="136"/>
      <c r="FC188" s="136"/>
      <c r="FD188" s="136"/>
      <c r="FE188" s="137"/>
      <c r="FF188" s="138"/>
    </row>
    <row r="189" spans="1:162" ht="12.75" x14ac:dyDescent="0.2">
      <c r="A189" s="93">
        <v>183</v>
      </c>
      <c r="B189" s="145" t="s">
        <v>244</v>
      </c>
      <c r="C189" s="141" t="s">
        <v>866</v>
      </c>
      <c r="D189" s="142" t="s">
        <v>869</v>
      </c>
      <c r="E189" s="149" t="s">
        <v>243</v>
      </c>
      <c r="F189" s="542">
        <v>23061885</v>
      </c>
      <c r="G189" s="542">
        <v>0</v>
      </c>
      <c r="H189" s="542">
        <v>23061885</v>
      </c>
      <c r="I189" s="542">
        <v>-1453</v>
      </c>
      <c r="J189" s="542">
        <v>0</v>
      </c>
      <c r="K189" s="542">
        <v>-1453</v>
      </c>
      <c r="L189" s="542">
        <v>37372</v>
      </c>
      <c r="M189" s="542">
        <v>0</v>
      </c>
      <c r="N189" s="542">
        <v>37372</v>
      </c>
      <c r="O189" s="542">
        <v>-719</v>
      </c>
      <c r="P189" s="542">
        <v>0</v>
      </c>
      <c r="Q189" s="542">
        <v>-719</v>
      </c>
      <c r="R189" s="542">
        <v>0</v>
      </c>
      <c r="S189" s="542">
        <v>0</v>
      </c>
      <c r="T189" s="542">
        <v>0</v>
      </c>
      <c r="U189" s="542">
        <v>-10719</v>
      </c>
      <c r="V189" s="542">
        <v>0</v>
      </c>
      <c r="W189" s="542">
        <v>-10719</v>
      </c>
      <c r="X189" s="542">
        <v>879052</v>
      </c>
      <c r="Y189" s="542">
        <v>0</v>
      </c>
      <c r="Z189" s="542">
        <v>879052</v>
      </c>
      <c r="AA189" s="542">
        <v>-2006600</v>
      </c>
      <c r="AB189" s="542">
        <v>0</v>
      </c>
      <c r="AC189" s="542">
        <v>-2006600</v>
      </c>
      <c r="AD189" s="542">
        <v>21959537</v>
      </c>
      <c r="AE189" s="542">
        <v>0</v>
      </c>
      <c r="AF189" s="542">
        <v>21959537</v>
      </c>
      <c r="AG189" s="542">
        <v>0</v>
      </c>
      <c r="AH189" s="542">
        <v>0</v>
      </c>
      <c r="AI189" s="542">
        <v>0</v>
      </c>
      <c r="AJ189" s="542">
        <v>935833</v>
      </c>
      <c r="AK189" s="542">
        <v>0</v>
      </c>
      <c r="AL189" s="542">
        <v>0</v>
      </c>
      <c r="AM189" s="542">
        <v>935833</v>
      </c>
      <c r="AN189" s="542">
        <v>0</v>
      </c>
      <c r="AO189" s="542">
        <v>0</v>
      </c>
      <c r="AP189" s="542">
        <v>0</v>
      </c>
      <c r="AQ189" s="542">
        <v>0</v>
      </c>
      <c r="AR189" s="542">
        <v>0</v>
      </c>
      <c r="AS189" s="542">
        <v>0</v>
      </c>
      <c r="AT189" s="542">
        <v>0</v>
      </c>
      <c r="AU189" s="542">
        <v>0</v>
      </c>
      <c r="AV189" s="542">
        <v>580677</v>
      </c>
      <c r="AW189" s="542">
        <v>-148173</v>
      </c>
      <c r="AX189" s="136"/>
      <c r="AY189" s="136"/>
      <c r="AZ189" s="136"/>
      <c r="BA189" s="136"/>
      <c r="BB189" s="136"/>
      <c r="BC189" s="136"/>
      <c r="BD189" s="136"/>
      <c r="BE189" s="136"/>
      <c r="BF189" s="136"/>
      <c r="BG189" s="136"/>
      <c r="BH189" s="136"/>
      <c r="BI189" s="136"/>
      <c r="BJ189" s="136"/>
      <c r="BK189" s="136"/>
      <c r="BL189" s="136"/>
      <c r="BM189" s="136"/>
      <c r="BN189" s="136"/>
      <c r="BO189" s="136"/>
      <c r="BP189" s="136"/>
      <c r="BQ189" s="136"/>
      <c r="BR189" s="136"/>
      <c r="BS189" s="136"/>
      <c r="BT189" s="136"/>
      <c r="BU189" s="136"/>
      <c r="BV189" s="136"/>
      <c r="BW189" s="136"/>
      <c r="BX189" s="136"/>
      <c r="BY189" s="136"/>
      <c r="BZ189" s="136"/>
      <c r="CA189" s="136"/>
      <c r="CB189" s="136"/>
      <c r="CC189" s="136"/>
      <c r="CD189" s="136"/>
      <c r="CE189" s="136"/>
      <c r="CF189" s="136"/>
      <c r="CG189" s="136"/>
      <c r="CH189" s="136"/>
      <c r="CI189" s="136"/>
      <c r="CJ189" s="136"/>
      <c r="CK189" s="136"/>
      <c r="CL189" s="136"/>
      <c r="CM189" s="136"/>
      <c r="CN189" s="136"/>
      <c r="CO189" s="136"/>
      <c r="CP189" s="136"/>
      <c r="CQ189" s="136"/>
      <c r="CR189" s="136"/>
      <c r="CS189" s="136"/>
      <c r="CT189" s="136"/>
      <c r="CU189" s="136"/>
      <c r="CV189" s="136"/>
      <c r="CW189" s="136"/>
      <c r="CX189" s="136"/>
      <c r="CY189" s="136"/>
      <c r="CZ189" s="136"/>
      <c r="DA189" s="136"/>
      <c r="DB189" s="136"/>
      <c r="DC189" s="136"/>
      <c r="DD189" s="136"/>
      <c r="DE189" s="136"/>
      <c r="DF189" s="136"/>
      <c r="DG189" s="136"/>
      <c r="DH189" s="136"/>
      <c r="DI189" s="136"/>
      <c r="DJ189" s="136"/>
      <c r="DK189" s="136"/>
      <c r="DL189" s="136"/>
      <c r="DM189" s="136"/>
      <c r="DN189" s="136"/>
      <c r="DO189" s="136"/>
      <c r="DP189" s="136"/>
      <c r="DQ189" s="136"/>
      <c r="DR189" s="136"/>
      <c r="DS189" s="136"/>
      <c r="DT189" s="136"/>
      <c r="DU189" s="136"/>
      <c r="DV189" s="136"/>
      <c r="DW189" s="136"/>
      <c r="DX189" s="136"/>
      <c r="DY189" s="136"/>
      <c r="DZ189" s="136"/>
      <c r="EA189" s="136"/>
      <c r="EB189" s="136"/>
      <c r="EC189" s="136"/>
      <c r="ED189" s="136"/>
      <c r="EE189" s="136"/>
      <c r="EF189" s="136"/>
      <c r="EG189" s="136"/>
      <c r="EH189" s="136"/>
      <c r="EI189" s="136"/>
      <c r="EJ189" s="136"/>
      <c r="EK189" s="136"/>
      <c r="EL189" s="136"/>
      <c r="EM189" s="136"/>
      <c r="EN189" s="136"/>
      <c r="EO189" s="136"/>
      <c r="EP189" s="136"/>
      <c r="EQ189" s="136"/>
      <c r="ER189" s="136"/>
      <c r="ES189" s="136"/>
      <c r="ET189" s="136"/>
      <c r="EU189" s="136"/>
      <c r="EV189" s="136"/>
      <c r="EW189" s="136"/>
      <c r="EX189" s="136"/>
      <c r="EY189" s="136"/>
      <c r="EZ189" s="136"/>
      <c r="FA189" s="136"/>
      <c r="FB189" s="136"/>
      <c r="FC189" s="136"/>
      <c r="FD189" s="136"/>
      <c r="FE189" s="137"/>
      <c r="FF189" s="138"/>
    </row>
    <row r="190" spans="1:162" ht="12.75" x14ac:dyDescent="0.2">
      <c r="A190" s="93">
        <v>184</v>
      </c>
      <c r="B190" s="145" t="s">
        <v>246</v>
      </c>
      <c r="C190" s="141" t="s">
        <v>770</v>
      </c>
      <c r="D190" s="142" t="s">
        <v>874</v>
      </c>
      <c r="E190" s="149" t="s">
        <v>710</v>
      </c>
      <c r="F190" s="542">
        <v>90164753</v>
      </c>
      <c r="G190" s="542">
        <v>965984</v>
      </c>
      <c r="H190" s="542">
        <v>91130737</v>
      </c>
      <c r="I190" s="542">
        <v>-7877</v>
      </c>
      <c r="J190" s="542">
        <v>0</v>
      </c>
      <c r="K190" s="542">
        <v>-7877</v>
      </c>
      <c r="L190" s="542">
        <v>345016</v>
      </c>
      <c r="M190" s="542">
        <v>0</v>
      </c>
      <c r="N190" s="542">
        <v>345016</v>
      </c>
      <c r="O190" s="542">
        <v>-795053</v>
      </c>
      <c r="P190" s="542">
        <v>0</v>
      </c>
      <c r="Q190" s="542">
        <v>-795053</v>
      </c>
      <c r="R190" s="542">
        <v>0</v>
      </c>
      <c r="S190" s="542">
        <v>0</v>
      </c>
      <c r="T190" s="542">
        <v>0</v>
      </c>
      <c r="U190" s="542">
        <v>-1060053</v>
      </c>
      <c r="V190" s="542">
        <v>0</v>
      </c>
      <c r="W190" s="542">
        <v>-1060053</v>
      </c>
      <c r="X190" s="542">
        <v>2311621</v>
      </c>
      <c r="Y190" s="542">
        <v>0</v>
      </c>
      <c r="Z190" s="542">
        <v>2311621</v>
      </c>
      <c r="AA190" s="542">
        <v>-6517040</v>
      </c>
      <c r="AB190" s="542">
        <v>0</v>
      </c>
      <c r="AC190" s="542">
        <v>-6517040</v>
      </c>
      <c r="AD190" s="542">
        <v>85236420</v>
      </c>
      <c r="AE190" s="542">
        <v>965984</v>
      </c>
      <c r="AF190" s="542">
        <v>86202404</v>
      </c>
      <c r="AG190" s="542">
        <v>965984</v>
      </c>
      <c r="AH190" s="542">
        <v>0</v>
      </c>
      <c r="AI190" s="542">
        <v>965984</v>
      </c>
      <c r="AJ190" s="542">
        <v>747176</v>
      </c>
      <c r="AK190" s="542">
        <v>0</v>
      </c>
      <c r="AL190" s="542">
        <v>0</v>
      </c>
      <c r="AM190" s="542">
        <v>747176</v>
      </c>
      <c r="AN190" s="542">
        <v>9347</v>
      </c>
      <c r="AO190" s="542">
        <v>0</v>
      </c>
      <c r="AP190" s="542">
        <v>9347</v>
      </c>
      <c r="AQ190" s="542">
        <v>957044</v>
      </c>
      <c r="AR190" s="542">
        <v>0</v>
      </c>
      <c r="AS190" s="542">
        <v>18287</v>
      </c>
      <c r="AT190" s="542">
        <v>0</v>
      </c>
      <c r="AU190" s="542">
        <v>18287</v>
      </c>
      <c r="AV190" s="542">
        <v>5042024</v>
      </c>
      <c r="AW190" s="542">
        <v>-1141837</v>
      </c>
      <c r="AX190" s="136"/>
      <c r="AY190" s="136"/>
      <c r="AZ190" s="136"/>
      <c r="BA190" s="136"/>
      <c r="BB190" s="136"/>
      <c r="BC190" s="136"/>
      <c r="BD190" s="136"/>
      <c r="BE190" s="136"/>
      <c r="BF190" s="136"/>
      <c r="BG190" s="136"/>
      <c r="BH190" s="136"/>
      <c r="BI190" s="136"/>
      <c r="BJ190" s="136"/>
      <c r="BK190" s="136"/>
      <c r="BL190" s="136"/>
      <c r="BM190" s="136"/>
      <c r="BN190" s="136"/>
      <c r="BO190" s="136"/>
      <c r="BP190" s="136"/>
      <c r="BQ190" s="136"/>
      <c r="BR190" s="136"/>
      <c r="BS190" s="136"/>
      <c r="BT190" s="136"/>
      <c r="BU190" s="136"/>
      <c r="BV190" s="136"/>
      <c r="BW190" s="136"/>
      <c r="BX190" s="136"/>
      <c r="BY190" s="136"/>
      <c r="BZ190" s="136"/>
      <c r="CA190" s="136"/>
      <c r="CB190" s="136"/>
      <c r="CC190" s="136"/>
      <c r="CD190" s="136"/>
      <c r="CE190" s="136"/>
      <c r="CF190" s="136"/>
      <c r="CG190" s="136"/>
      <c r="CH190" s="136"/>
      <c r="CI190" s="136"/>
      <c r="CJ190" s="136"/>
      <c r="CK190" s="136"/>
      <c r="CL190" s="136"/>
      <c r="CM190" s="136"/>
      <c r="CN190" s="136"/>
      <c r="CO190" s="136"/>
      <c r="CP190" s="136"/>
      <c r="CQ190" s="136"/>
      <c r="CR190" s="136"/>
      <c r="CS190" s="136"/>
      <c r="CT190" s="136"/>
      <c r="CU190" s="136"/>
      <c r="CV190" s="136"/>
      <c r="CW190" s="136"/>
      <c r="CX190" s="136"/>
      <c r="CY190" s="136"/>
      <c r="CZ190" s="136"/>
      <c r="DA190" s="136"/>
      <c r="DB190" s="136"/>
      <c r="DC190" s="136"/>
      <c r="DD190" s="136"/>
      <c r="DE190" s="136"/>
      <c r="DF190" s="136"/>
      <c r="DG190" s="136"/>
      <c r="DH190" s="136"/>
      <c r="DI190" s="136"/>
      <c r="DJ190" s="136"/>
      <c r="DK190" s="136"/>
      <c r="DL190" s="136"/>
      <c r="DM190" s="136"/>
      <c r="DN190" s="136"/>
      <c r="DO190" s="136"/>
      <c r="DP190" s="136"/>
      <c r="DQ190" s="136"/>
      <c r="DR190" s="136"/>
      <c r="DS190" s="136"/>
      <c r="DT190" s="136"/>
      <c r="DU190" s="136"/>
      <c r="DV190" s="136"/>
      <c r="DW190" s="136"/>
      <c r="DX190" s="136"/>
      <c r="DY190" s="136"/>
      <c r="DZ190" s="136"/>
      <c r="EA190" s="136"/>
      <c r="EB190" s="136"/>
      <c r="EC190" s="136"/>
      <c r="ED190" s="136"/>
      <c r="EE190" s="136"/>
      <c r="EF190" s="136"/>
      <c r="EG190" s="136"/>
      <c r="EH190" s="136"/>
      <c r="EI190" s="136"/>
      <c r="EJ190" s="136"/>
      <c r="EK190" s="136"/>
      <c r="EL190" s="136"/>
      <c r="EM190" s="136"/>
      <c r="EN190" s="136"/>
      <c r="EO190" s="136"/>
      <c r="EP190" s="136"/>
      <c r="EQ190" s="136"/>
      <c r="ER190" s="136"/>
      <c r="ES190" s="136"/>
      <c r="ET190" s="136"/>
      <c r="EU190" s="136"/>
      <c r="EV190" s="136"/>
      <c r="EW190" s="136"/>
      <c r="EX190" s="136"/>
      <c r="EY190" s="136"/>
      <c r="EZ190" s="136"/>
      <c r="FA190" s="136"/>
      <c r="FB190" s="136"/>
      <c r="FC190" s="136"/>
      <c r="FD190" s="136"/>
      <c r="FE190" s="137"/>
      <c r="FF190" s="138"/>
    </row>
    <row r="191" spans="1:162" ht="12.75" x14ac:dyDescent="0.2">
      <c r="A191" s="93">
        <v>185</v>
      </c>
      <c r="B191" s="145" t="s">
        <v>248</v>
      </c>
      <c r="C191" s="141" t="s">
        <v>866</v>
      </c>
      <c r="D191" s="142" t="s">
        <v>870</v>
      </c>
      <c r="E191" s="149" t="s">
        <v>247</v>
      </c>
      <c r="F191" s="542">
        <v>23207771</v>
      </c>
      <c r="G191" s="542">
        <v>0</v>
      </c>
      <c r="H191" s="542">
        <v>23207771</v>
      </c>
      <c r="I191" s="542">
        <v>0</v>
      </c>
      <c r="J191" s="542">
        <v>0</v>
      </c>
      <c r="K191" s="542">
        <v>0</v>
      </c>
      <c r="L191" s="542">
        <v>26109</v>
      </c>
      <c r="M191" s="542">
        <v>0</v>
      </c>
      <c r="N191" s="542">
        <v>26109</v>
      </c>
      <c r="O191" s="542">
        <v>-82675</v>
      </c>
      <c r="P191" s="542">
        <v>0</v>
      </c>
      <c r="Q191" s="542">
        <v>-82675</v>
      </c>
      <c r="R191" s="542">
        <v>0</v>
      </c>
      <c r="S191" s="542">
        <v>0</v>
      </c>
      <c r="T191" s="542">
        <v>0</v>
      </c>
      <c r="U191" s="542">
        <v>-48717</v>
      </c>
      <c r="V191" s="542">
        <v>0</v>
      </c>
      <c r="W191" s="542">
        <v>-48717</v>
      </c>
      <c r="X191" s="542">
        <v>397965</v>
      </c>
      <c r="Y191" s="542">
        <v>0</v>
      </c>
      <c r="Z191" s="542">
        <v>397965</v>
      </c>
      <c r="AA191" s="542">
        <v>-785147</v>
      </c>
      <c r="AB191" s="542">
        <v>0</v>
      </c>
      <c r="AC191" s="542">
        <v>-785147</v>
      </c>
      <c r="AD191" s="542">
        <v>22797981</v>
      </c>
      <c r="AE191" s="542">
        <v>0</v>
      </c>
      <c r="AF191" s="542">
        <v>22797981</v>
      </c>
      <c r="AG191" s="542">
        <v>0</v>
      </c>
      <c r="AH191" s="542">
        <v>0</v>
      </c>
      <c r="AI191" s="542">
        <v>0</v>
      </c>
      <c r="AJ191" s="542">
        <v>203715</v>
      </c>
      <c r="AK191" s="542">
        <v>0</v>
      </c>
      <c r="AL191" s="542">
        <v>0</v>
      </c>
      <c r="AM191" s="542">
        <v>203715</v>
      </c>
      <c r="AN191" s="542">
        <v>0</v>
      </c>
      <c r="AO191" s="542">
        <v>0</v>
      </c>
      <c r="AP191" s="542">
        <v>0</v>
      </c>
      <c r="AQ191" s="542">
        <v>0</v>
      </c>
      <c r="AR191" s="542">
        <v>0</v>
      </c>
      <c r="AS191" s="542">
        <v>0</v>
      </c>
      <c r="AT191" s="542">
        <v>0</v>
      </c>
      <c r="AU191" s="542">
        <v>0</v>
      </c>
      <c r="AV191" s="542">
        <v>304708</v>
      </c>
      <c r="AW191" s="542">
        <v>-417909</v>
      </c>
      <c r="AX191" s="136"/>
      <c r="AY191" s="136"/>
      <c r="AZ191" s="136"/>
      <c r="BA191" s="136"/>
      <c r="BB191" s="136"/>
      <c r="BC191" s="136"/>
      <c r="BD191" s="136"/>
      <c r="BE191" s="136"/>
      <c r="BF191" s="136"/>
      <c r="BG191" s="136"/>
      <c r="BH191" s="136"/>
      <c r="BI191" s="136"/>
      <c r="BJ191" s="136"/>
      <c r="BK191" s="136"/>
      <c r="BL191" s="136"/>
      <c r="BM191" s="136"/>
      <c r="BN191" s="136"/>
      <c r="BO191" s="136"/>
      <c r="BP191" s="136"/>
      <c r="BQ191" s="136"/>
      <c r="BR191" s="136"/>
      <c r="BS191" s="136"/>
      <c r="BT191" s="136"/>
      <c r="BU191" s="136"/>
      <c r="BV191" s="136"/>
      <c r="BW191" s="136"/>
      <c r="BX191" s="136"/>
      <c r="BY191" s="136"/>
      <c r="BZ191" s="136"/>
      <c r="CA191" s="136"/>
      <c r="CB191" s="136"/>
      <c r="CC191" s="136"/>
      <c r="CD191" s="136"/>
      <c r="CE191" s="136"/>
      <c r="CF191" s="136"/>
      <c r="CG191" s="136"/>
      <c r="CH191" s="136"/>
      <c r="CI191" s="136"/>
      <c r="CJ191" s="136"/>
      <c r="CK191" s="136"/>
      <c r="CL191" s="136"/>
      <c r="CM191" s="136"/>
      <c r="CN191" s="136"/>
      <c r="CO191" s="136"/>
      <c r="CP191" s="136"/>
      <c r="CQ191" s="136"/>
      <c r="CR191" s="136"/>
      <c r="CS191" s="136"/>
      <c r="CT191" s="136"/>
      <c r="CU191" s="136"/>
      <c r="CV191" s="136"/>
      <c r="CW191" s="136"/>
      <c r="CX191" s="136"/>
      <c r="CY191" s="136"/>
      <c r="CZ191" s="136"/>
      <c r="DA191" s="136"/>
      <c r="DB191" s="136"/>
      <c r="DC191" s="136"/>
      <c r="DD191" s="136"/>
      <c r="DE191" s="136"/>
      <c r="DF191" s="136"/>
      <c r="DG191" s="136"/>
      <c r="DH191" s="136"/>
      <c r="DI191" s="136"/>
      <c r="DJ191" s="136"/>
      <c r="DK191" s="136"/>
      <c r="DL191" s="136"/>
      <c r="DM191" s="136"/>
      <c r="DN191" s="136"/>
      <c r="DO191" s="136"/>
      <c r="DP191" s="136"/>
      <c r="DQ191" s="136"/>
      <c r="DR191" s="136"/>
      <c r="DS191" s="136"/>
      <c r="DT191" s="136"/>
      <c r="DU191" s="136"/>
      <c r="DV191" s="136"/>
      <c r="DW191" s="136"/>
      <c r="DX191" s="136"/>
      <c r="DY191" s="136"/>
      <c r="DZ191" s="136"/>
      <c r="EA191" s="136"/>
      <c r="EB191" s="136"/>
      <c r="EC191" s="136"/>
      <c r="ED191" s="136"/>
      <c r="EE191" s="136"/>
      <c r="EF191" s="136"/>
      <c r="EG191" s="136"/>
      <c r="EH191" s="136"/>
      <c r="EI191" s="136"/>
      <c r="EJ191" s="136"/>
      <c r="EK191" s="136"/>
      <c r="EL191" s="136"/>
      <c r="EM191" s="136"/>
      <c r="EN191" s="136"/>
      <c r="EO191" s="136"/>
      <c r="EP191" s="136"/>
      <c r="EQ191" s="136"/>
      <c r="ER191" s="136"/>
      <c r="ES191" s="136"/>
      <c r="ET191" s="136"/>
      <c r="EU191" s="136"/>
      <c r="EV191" s="136"/>
      <c r="EW191" s="136"/>
      <c r="EX191" s="136"/>
      <c r="EY191" s="136"/>
      <c r="EZ191" s="136"/>
      <c r="FA191" s="136"/>
      <c r="FB191" s="136"/>
      <c r="FC191" s="136"/>
      <c r="FD191" s="136"/>
      <c r="FE191" s="137"/>
      <c r="FF191" s="138"/>
    </row>
    <row r="192" spans="1:162" ht="12.75" x14ac:dyDescent="0.2">
      <c r="A192" s="93">
        <v>186</v>
      </c>
      <c r="B192" s="145" t="s">
        <v>250</v>
      </c>
      <c r="C192" s="141" t="s">
        <v>770</v>
      </c>
      <c r="D192" s="142" t="s">
        <v>875</v>
      </c>
      <c r="E192" s="149" t="s">
        <v>711</v>
      </c>
      <c r="F192" s="542">
        <v>56506034</v>
      </c>
      <c r="G192" s="542">
        <v>331051</v>
      </c>
      <c r="H192" s="542">
        <v>56837085</v>
      </c>
      <c r="I192" s="542">
        <v>0</v>
      </c>
      <c r="J192" s="542">
        <v>0</v>
      </c>
      <c r="K192" s="542">
        <v>0</v>
      </c>
      <c r="L192" s="542">
        <v>272317</v>
      </c>
      <c r="M192" s="542">
        <v>0</v>
      </c>
      <c r="N192" s="542">
        <v>272317</v>
      </c>
      <c r="O192" s="542">
        <v>-723737</v>
      </c>
      <c r="P192" s="542">
        <v>-2282</v>
      </c>
      <c r="Q192" s="542">
        <v>-726019</v>
      </c>
      <c r="R192" s="542">
        <v>0</v>
      </c>
      <c r="S192" s="542">
        <v>0</v>
      </c>
      <c r="T192" s="542">
        <v>0</v>
      </c>
      <c r="U192" s="542">
        <v>-332175</v>
      </c>
      <c r="V192" s="542">
        <v>-39996</v>
      </c>
      <c r="W192" s="542">
        <v>-372171</v>
      </c>
      <c r="X192" s="542">
        <v>1568827</v>
      </c>
      <c r="Y192" s="542">
        <v>6738</v>
      </c>
      <c r="Z192" s="542">
        <v>1575565</v>
      </c>
      <c r="AA192" s="542">
        <v>-1392991.1</v>
      </c>
      <c r="AB192" s="542">
        <v>-33282</v>
      </c>
      <c r="AC192" s="542">
        <v>-1426273.1</v>
      </c>
      <c r="AD192" s="542">
        <v>56622011.799999997</v>
      </c>
      <c r="AE192" s="542">
        <v>264511</v>
      </c>
      <c r="AF192" s="542">
        <v>56886522.799999997</v>
      </c>
      <c r="AG192" s="542">
        <v>264511</v>
      </c>
      <c r="AH192" s="542">
        <v>0</v>
      </c>
      <c r="AI192" s="542">
        <v>264511</v>
      </c>
      <c r="AJ192" s="542">
        <v>12713</v>
      </c>
      <c r="AK192" s="542">
        <v>0</v>
      </c>
      <c r="AL192" s="542">
        <v>0</v>
      </c>
      <c r="AM192" s="542">
        <v>12713</v>
      </c>
      <c r="AN192" s="542">
        <v>-2262</v>
      </c>
      <c r="AO192" s="542">
        <v>0</v>
      </c>
      <c r="AP192" s="542">
        <v>-2262</v>
      </c>
      <c r="AQ192" s="542">
        <v>194973</v>
      </c>
      <c r="AR192" s="542">
        <v>0</v>
      </c>
      <c r="AS192" s="542">
        <v>67276</v>
      </c>
      <c r="AT192" s="542">
        <v>0</v>
      </c>
      <c r="AU192" s="542">
        <v>67276</v>
      </c>
      <c r="AV192" s="542">
        <v>4980987</v>
      </c>
      <c r="AW192" s="542">
        <v>-1521298</v>
      </c>
      <c r="AX192" s="136"/>
      <c r="AY192" s="136"/>
      <c r="AZ192" s="136"/>
      <c r="BA192" s="136"/>
      <c r="BB192" s="136"/>
      <c r="BC192" s="136"/>
      <c r="BD192" s="136"/>
      <c r="BE192" s="136"/>
      <c r="BF192" s="136"/>
      <c r="BG192" s="136"/>
      <c r="BH192" s="136"/>
      <c r="BI192" s="136"/>
      <c r="BJ192" s="136"/>
      <c r="BK192" s="136"/>
      <c r="BL192" s="136"/>
      <c r="BM192" s="136"/>
      <c r="BN192" s="136"/>
      <c r="BO192" s="136"/>
      <c r="BP192" s="136"/>
      <c r="BQ192" s="136"/>
      <c r="BR192" s="136"/>
      <c r="BS192" s="136"/>
      <c r="BT192" s="136"/>
      <c r="BU192" s="136"/>
      <c r="BV192" s="136"/>
      <c r="BW192" s="136"/>
      <c r="BX192" s="136"/>
      <c r="BY192" s="136"/>
      <c r="BZ192" s="136"/>
      <c r="CA192" s="136"/>
      <c r="CB192" s="136"/>
      <c r="CC192" s="136"/>
      <c r="CD192" s="136"/>
      <c r="CE192" s="136"/>
      <c r="CF192" s="136"/>
      <c r="CG192" s="136"/>
      <c r="CH192" s="136"/>
      <c r="CI192" s="136"/>
      <c r="CJ192" s="136"/>
      <c r="CK192" s="136"/>
      <c r="CL192" s="136"/>
      <c r="CM192" s="136"/>
      <c r="CN192" s="136"/>
      <c r="CO192" s="136"/>
      <c r="CP192" s="136"/>
      <c r="CQ192" s="136"/>
      <c r="CR192" s="136"/>
      <c r="CS192" s="136"/>
      <c r="CT192" s="136"/>
      <c r="CU192" s="136"/>
      <c r="CV192" s="136"/>
      <c r="CW192" s="136"/>
      <c r="CX192" s="136"/>
      <c r="CY192" s="136"/>
      <c r="CZ192" s="136"/>
      <c r="DA192" s="136"/>
      <c r="DB192" s="136"/>
      <c r="DC192" s="136"/>
      <c r="DD192" s="136"/>
      <c r="DE192" s="136"/>
      <c r="DF192" s="136"/>
      <c r="DG192" s="136"/>
      <c r="DH192" s="136"/>
      <c r="DI192" s="136"/>
      <c r="DJ192" s="136"/>
      <c r="DK192" s="136"/>
      <c r="DL192" s="136"/>
      <c r="DM192" s="136"/>
      <c r="DN192" s="136"/>
      <c r="DO192" s="136"/>
      <c r="DP192" s="136"/>
      <c r="DQ192" s="136"/>
      <c r="DR192" s="136"/>
      <c r="DS192" s="136"/>
      <c r="DT192" s="136"/>
      <c r="DU192" s="136"/>
      <c r="DV192" s="136"/>
      <c r="DW192" s="136"/>
      <c r="DX192" s="136"/>
      <c r="DY192" s="136"/>
      <c r="DZ192" s="136"/>
      <c r="EA192" s="136"/>
      <c r="EB192" s="136"/>
      <c r="EC192" s="136"/>
      <c r="ED192" s="136"/>
      <c r="EE192" s="136"/>
      <c r="EF192" s="136"/>
      <c r="EG192" s="136"/>
      <c r="EH192" s="136"/>
      <c r="EI192" s="136"/>
      <c r="EJ192" s="136"/>
      <c r="EK192" s="136"/>
      <c r="EL192" s="136"/>
      <c r="EM192" s="136"/>
      <c r="EN192" s="136"/>
      <c r="EO192" s="136"/>
      <c r="EP192" s="136"/>
      <c r="EQ192" s="136"/>
      <c r="ER192" s="136"/>
      <c r="ES192" s="136"/>
      <c r="ET192" s="136"/>
      <c r="EU192" s="136"/>
      <c r="EV192" s="136"/>
      <c r="EW192" s="136"/>
      <c r="EX192" s="136"/>
      <c r="EY192" s="136"/>
      <c r="EZ192" s="136"/>
      <c r="FA192" s="136"/>
      <c r="FB192" s="136"/>
      <c r="FC192" s="136"/>
      <c r="FD192" s="136"/>
      <c r="FE192" s="137"/>
      <c r="FF192" s="138"/>
    </row>
    <row r="193" spans="1:162" ht="12.75" x14ac:dyDescent="0.2">
      <c r="A193" s="93">
        <v>187</v>
      </c>
      <c r="B193" s="145" t="s">
        <v>252</v>
      </c>
      <c r="C193" s="141" t="s">
        <v>873</v>
      </c>
      <c r="D193" s="142" t="s">
        <v>878</v>
      </c>
      <c r="E193" s="149" t="s">
        <v>251</v>
      </c>
      <c r="F193" s="542">
        <v>54313385</v>
      </c>
      <c r="G193" s="542">
        <v>595457</v>
      </c>
      <c r="H193" s="542">
        <v>54908842</v>
      </c>
      <c r="I193" s="542">
        <v>0</v>
      </c>
      <c r="J193" s="542">
        <v>0</v>
      </c>
      <c r="K193" s="542">
        <v>0</v>
      </c>
      <c r="L193" s="542">
        <v>238142</v>
      </c>
      <c r="M193" s="542">
        <v>0</v>
      </c>
      <c r="N193" s="542">
        <v>238142</v>
      </c>
      <c r="O193" s="542">
        <v>-1386112</v>
      </c>
      <c r="P193" s="542">
        <v>0</v>
      </c>
      <c r="Q193" s="542">
        <v>-1386112</v>
      </c>
      <c r="R193" s="542">
        <v>0</v>
      </c>
      <c r="S193" s="542">
        <v>0</v>
      </c>
      <c r="T193" s="542">
        <v>0</v>
      </c>
      <c r="U193" s="542">
        <v>-466955</v>
      </c>
      <c r="V193" s="542">
        <v>0</v>
      </c>
      <c r="W193" s="542">
        <v>-466955</v>
      </c>
      <c r="X193" s="542">
        <v>2652373</v>
      </c>
      <c r="Y193" s="542">
        <v>0</v>
      </c>
      <c r="Z193" s="542">
        <v>2652373</v>
      </c>
      <c r="AA193" s="542">
        <v>-1253186</v>
      </c>
      <c r="AB193" s="542">
        <v>0</v>
      </c>
      <c r="AC193" s="542">
        <v>-1253186</v>
      </c>
      <c r="AD193" s="542">
        <v>55483759</v>
      </c>
      <c r="AE193" s="542">
        <v>595457</v>
      </c>
      <c r="AF193" s="542">
        <v>56079216</v>
      </c>
      <c r="AG193" s="542">
        <v>595457</v>
      </c>
      <c r="AH193" s="542">
        <v>0</v>
      </c>
      <c r="AI193" s="542">
        <v>595457</v>
      </c>
      <c r="AJ193" s="542">
        <v>0</v>
      </c>
      <c r="AK193" s="542">
        <v>0</v>
      </c>
      <c r="AL193" s="542">
        <v>0</v>
      </c>
      <c r="AM193" s="542">
        <v>0</v>
      </c>
      <c r="AN193" s="542">
        <v>0</v>
      </c>
      <c r="AO193" s="542">
        <v>0</v>
      </c>
      <c r="AP193" s="542">
        <v>0</v>
      </c>
      <c r="AQ193" s="542">
        <v>540515</v>
      </c>
      <c r="AR193" s="542">
        <v>0</v>
      </c>
      <c r="AS193" s="542">
        <v>54942</v>
      </c>
      <c r="AT193" s="542">
        <v>0</v>
      </c>
      <c r="AU193" s="542">
        <v>54942</v>
      </c>
      <c r="AV193" s="542">
        <v>5281143</v>
      </c>
      <c r="AW193" s="542">
        <v>-1332694</v>
      </c>
      <c r="AX193" s="136"/>
      <c r="AY193" s="136"/>
      <c r="AZ193" s="136"/>
      <c r="BA193" s="136"/>
      <c r="BB193" s="136"/>
      <c r="BC193" s="136"/>
      <c r="BD193" s="136"/>
      <c r="BE193" s="136"/>
      <c r="BF193" s="136"/>
      <c r="BG193" s="136"/>
      <c r="BH193" s="136"/>
      <c r="BI193" s="136"/>
      <c r="BJ193" s="136"/>
      <c r="BK193" s="136"/>
      <c r="BL193" s="136"/>
      <c r="BM193" s="136"/>
      <c r="BN193" s="136"/>
      <c r="BO193" s="136"/>
      <c r="BP193" s="136"/>
      <c r="BQ193" s="136"/>
      <c r="BR193" s="136"/>
      <c r="BS193" s="136"/>
      <c r="BT193" s="136"/>
      <c r="BU193" s="136"/>
      <c r="BV193" s="136"/>
      <c r="BW193" s="136"/>
      <c r="BX193" s="136"/>
      <c r="BY193" s="136"/>
      <c r="BZ193" s="136"/>
      <c r="CA193" s="136"/>
      <c r="CB193" s="136"/>
      <c r="CC193" s="136"/>
      <c r="CD193" s="136"/>
      <c r="CE193" s="136"/>
      <c r="CF193" s="136"/>
      <c r="CG193" s="136"/>
      <c r="CH193" s="136"/>
      <c r="CI193" s="136"/>
      <c r="CJ193" s="136"/>
      <c r="CK193" s="136"/>
      <c r="CL193" s="136"/>
      <c r="CM193" s="136"/>
      <c r="CN193" s="136"/>
      <c r="CO193" s="136"/>
      <c r="CP193" s="136"/>
      <c r="CQ193" s="136"/>
      <c r="CR193" s="136"/>
      <c r="CS193" s="136"/>
      <c r="CT193" s="136"/>
      <c r="CU193" s="136"/>
      <c r="CV193" s="136"/>
      <c r="CW193" s="136"/>
      <c r="CX193" s="136"/>
      <c r="CY193" s="136"/>
      <c r="CZ193" s="136"/>
      <c r="DA193" s="136"/>
      <c r="DB193" s="136"/>
      <c r="DC193" s="136"/>
      <c r="DD193" s="136"/>
      <c r="DE193" s="136"/>
      <c r="DF193" s="136"/>
      <c r="DG193" s="136"/>
      <c r="DH193" s="136"/>
      <c r="DI193" s="136"/>
      <c r="DJ193" s="136"/>
      <c r="DK193" s="136"/>
      <c r="DL193" s="136"/>
      <c r="DM193" s="136"/>
      <c r="DN193" s="136"/>
      <c r="DO193" s="136"/>
      <c r="DP193" s="136"/>
      <c r="DQ193" s="136"/>
      <c r="DR193" s="136"/>
      <c r="DS193" s="136"/>
      <c r="DT193" s="136"/>
      <c r="DU193" s="136"/>
      <c r="DV193" s="136"/>
      <c r="DW193" s="136"/>
      <c r="DX193" s="136"/>
      <c r="DY193" s="136"/>
      <c r="DZ193" s="136"/>
      <c r="EA193" s="136"/>
      <c r="EB193" s="136"/>
      <c r="EC193" s="136"/>
      <c r="ED193" s="136"/>
      <c r="EE193" s="136"/>
      <c r="EF193" s="136"/>
      <c r="EG193" s="136"/>
      <c r="EH193" s="136"/>
      <c r="EI193" s="136"/>
      <c r="EJ193" s="136"/>
      <c r="EK193" s="136"/>
      <c r="EL193" s="136"/>
      <c r="EM193" s="136"/>
      <c r="EN193" s="136"/>
      <c r="EO193" s="136"/>
      <c r="EP193" s="136"/>
      <c r="EQ193" s="136"/>
      <c r="ER193" s="136"/>
      <c r="ES193" s="136"/>
      <c r="ET193" s="136"/>
      <c r="EU193" s="136"/>
      <c r="EV193" s="136"/>
      <c r="EW193" s="136"/>
      <c r="EX193" s="136"/>
      <c r="EY193" s="136"/>
      <c r="EZ193" s="136"/>
      <c r="FA193" s="136"/>
      <c r="FB193" s="136"/>
      <c r="FC193" s="136"/>
      <c r="FD193" s="136"/>
      <c r="FE193" s="137"/>
      <c r="FF193" s="138"/>
    </row>
    <row r="194" spans="1:162" ht="12.75" x14ac:dyDescent="0.2">
      <c r="A194" s="93">
        <v>188</v>
      </c>
      <c r="B194" s="145" t="s">
        <v>254</v>
      </c>
      <c r="C194" s="141" t="s">
        <v>866</v>
      </c>
      <c r="D194" s="142" t="s">
        <v>876</v>
      </c>
      <c r="E194" s="149" t="s">
        <v>253</v>
      </c>
      <c r="F194" s="542">
        <v>41687692</v>
      </c>
      <c r="G194" s="542">
        <v>0</v>
      </c>
      <c r="H194" s="542">
        <v>41687692</v>
      </c>
      <c r="I194" s="542">
        <v>-2626</v>
      </c>
      <c r="J194" s="542">
        <v>0</v>
      </c>
      <c r="K194" s="542">
        <v>-2626</v>
      </c>
      <c r="L194" s="542">
        <v>84555</v>
      </c>
      <c r="M194" s="542">
        <v>0</v>
      </c>
      <c r="N194" s="542">
        <v>84555</v>
      </c>
      <c r="O194" s="542">
        <v>-99664</v>
      </c>
      <c r="P194" s="542">
        <v>0</v>
      </c>
      <c r="Q194" s="542">
        <v>-99664</v>
      </c>
      <c r="R194" s="542">
        <v>0</v>
      </c>
      <c r="S194" s="542">
        <v>0</v>
      </c>
      <c r="T194" s="542">
        <v>0</v>
      </c>
      <c r="U194" s="542">
        <v>-90437</v>
      </c>
      <c r="V194" s="542">
        <v>0</v>
      </c>
      <c r="W194" s="542">
        <v>-90437</v>
      </c>
      <c r="X194" s="542">
        <v>1384375</v>
      </c>
      <c r="Y194" s="542">
        <v>0</v>
      </c>
      <c r="Z194" s="542">
        <v>1384375</v>
      </c>
      <c r="AA194" s="542">
        <v>-3279080</v>
      </c>
      <c r="AB194" s="542">
        <v>0</v>
      </c>
      <c r="AC194" s="542">
        <v>-3279080</v>
      </c>
      <c r="AD194" s="542">
        <v>39784479</v>
      </c>
      <c r="AE194" s="542">
        <v>0</v>
      </c>
      <c r="AF194" s="542">
        <v>39784479</v>
      </c>
      <c r="AG194" s="542">
        <v>0</v>
      </c>
      <c r="AH194" s="542">
        <v>0</v>
      </c>
      <c r="AI194" s="542">
        <v>0</v>
      </c>
      <c r="AJ194" s="542">
        <v>0</v>
      </c>
      <c r="AK194" s="542">
        <v>0</v>
      </c>
      <c r="AL194" s="542">
        <v>0</v>
      </c>
      <c r="AM194" s="542">
        <v>0</v>
      </c>
      <c r="AN194" s="542">
        <v>0</v>
      </c>
      <c r="AO194" s="542">
        <v>0</v>
      </c>
      <c r="AP194" s="542">
        <v>0</v>
      </c>
      <c r="AQ194" s="542">
        <v>0</v>
      </c>
      <c r="AR194" s="542">
        <v>0</v>
      </c>
      <c r="AS194" s="542">
        <v>0</v>
      </c>
      <c r="AT194" s="542">
        <v>0</v>
      </c>
      <c r="AU194" s="542">
        <v>0</v>
      </c>
      <c r="AV194" s="542">
        <v>681702</v>
      </c>
      <c r="AW194" s="542">
        <v>-321101</v>
      </c>
      <c r="AX194" s="136"/>
      <c r="AY194" s="136"/>
      <c r="AZ194" s="136"/>
      <c r="BA194" s="136"/>
      <c r="BB194" s="136"/>
      <c r="BC194" s="136"/>
      <c r="BD194" s="136"/>
      <c r="BE194" s="136"/>
      <c r="BF194" s="136"/>
      <c r="BG194" s="136"/>
      <c r="BH194" s="136"/>
      <c r="BI194" s="136"/>
      <c r="BJ194" s="136"/>
      <c r="BK194" s="136"/>
      <c r="BL194" s="136"/>
      <c r="BM194" s="136"/>
      <c r="BN194" s="136"/>
      <c r="BO194" s="136"/>
      <c r="BP194" s="136"/>
      <c r="BQ194" s="136"/>
      <c r="BR194" s="136"/>
      <c r="BS194" s="136"/>
      <c r="BT194" s="136"/>
      <c r="BU194" s="136"/>
      <c r="BV194" s="136"/>
      <c r="BW194" s="136"/>
      <c r="BX194" s="136"/>
      <c r="BY194" s="136"/>
      <c r="BZ194" s="136"/>
      <c r="CA194" s="136"/>
      <c r="CB194" s="136"/>
      <c r="CC194" s="136"/>
      <c r="CD194" s="136"/>
      <c r="CE194" s="136"/>
      <c r="CF194" s="136"/>
      <c r="CG194" s="136"/>
      <c r="CH194" s="136"/>
      <c r="CI194" s="136"/>
      <c r="CJ194" s="136"/>
      <c r="CK194" s="136"/>
      <c r="CL194" s="136"/>
      <c r="CM194" s="136"/>
      <c r="CN194" s="136"/>
      <c r="CO194" s="136"/>
      <c r="CP194" s="136"/>
      <c r="CQ194" s="136"/>
      <c r="CR194" s="136"/>
      <c r="CS194" s="136"/>
      <c r="CT194" s="136"/>
      <c r="CU194" s="136"/>
      <c r="CV194" s="136"/>
      <c r="CW194" s="136"/>
      <c r="CX194" s="136"/>
      <c r="CY194" s="136"/>
      <c r="CZ194" s="136"/>
      <c r="DA194" s="136"/>
      <c r="DB194" s="136"/>
      <c r="DC194" s="136"/>
      <c r="DD194" s="136"/>
      <c r="DE194" s="136"/>
      <c r="DF194" s="136"/>
      <c r="DG194" s="136"/>
      <c r="DH194" s="136"/>
      <c r="DI194" s="136"/>
      <c r="DJ194" s="136"/>
      <c r="DK194" s="136"/>
      <c r="DL194" s="136"/>
      <c r="DM194" s="136"/>
      <c r="DN194" s="136"/>
      <c r="DO194" s="136"/>
      <c r="DP194" s="136"/>
      <c r="DQ194" s="136"/>
      <c r="DR194" s="136"/>
      <c r="DS194" s="136"/>
      <c r="DT194" s="136"/>
      <c r="DU194" s="136"/>
      <c r="DV194" s="136"/>
      <c r="DW194" s="136"/>
      <c r="DX194" s="136"/>
      <c r="DY194" s="136"/>
      <c r="DZ194" s="136"/>
      <c r="EA194" s="136"/>
      <c r="EB194" s="136"/>
      <c r="EC194" s="136"/>
      <c r="ED194" s="136"/>
      <c r="EE194" s="136"/>
      <c r="EF194" s="136"/>
      <c r="EG194" s="136"/>
      <c r="EH194" s="136"/>
      <c r="EI194" s="136"/>
      <c r="EJ194" s="136"/>
      <c r="EK194" s="136"/>
      <c r="EL194" s="136"/>
      <c r="EM194" s="136"/>
      <c r="EN194" s="136"/>
      <c r="EO194" s="136"/>
      <c r="EP194" s="136"/>
      <c r="EQ194" s="136"/>
      <c r="ER194" s="136"/>
      <c r="ES194" s="136"/>
      <c r="ET194" s="136"/>
      <c r="EU194" s="136"/>
      <c r="EV194" s="136"/>
      <c r="EW194" s="136"/>
      <c r="EX194" s="136"/>
      <c r="EY194" s="136"/>
      <c r="EZ194" s="136"/>
      <c r="FA194" s="136"/>
      <c r="FB194" s="136"/>
      <c r="FC194" s="136"/>
      <c r="FD194" s="136"/>
      <c r="FE194" s="137"/>
      <c r="FF194" s="138"/>
    </row>
    <row r="195" spans="1:162" ht="12.75" x14ac:dyDescent="0.2">
      <c r="A195" s="93">
        <v>189</v>
      </c>
      <c r="B195" s="145" t="s">
        <v>256</v>
      </c>
      <c r="C195" s="141" t="s">
        <v>866</v>
      </c>
      <c r="D195" s="142" t="s">
        <v>869</v>
      </c>
      <c r="E195" s="149" t="s">
        <v>255</v>
      </c>
      <c r="F195" s="542">
        <v>49547626</v>
      </c>
      <c r="G195" s="542">
        <v>0</v>
      </c>
      <c r="H195" s="542">
        <v>49547626</v>
      </c>
      <c r="I195" s="542">
        <v>0</v>
      </c>
      <c r="J195" s="542">
        <v>0</v>
      </c>
      <c r="K195" s="542">
        <v>0</v>
      </c>
      <c r="L195" s="542">
        <v>78730</v>
      </c>
      <c r="M195" s="542">
        <v>0</v>
      </c>
      <c r="N195" s="542">
        <v>78730</v>
      </c>
      <c r="O195" s="542">
        <v>-379417</v>
      </c>
      <c r="P195" s="542">
        <v>0</v>
      </c>
      <c r="Q195" s="542">
        <v>-379417</v>
      </c>
      <c r="R195" s="542">
        <v>0</v>
      </c>
      <c r="S195" s="542">
        <v>0</v>
      </c>
      <c r="T195" s="542">
        <v>0</v>
      </c>
      <c r="U195" s="542">
        <v>-141002</v>
      </c>
      <c r="V195" s="542">
        <v>0</v>
      </c>
      <c r="W195" s="542">
        <v>-141002</v>
      </c>
      <c r="X195" s="542">
        <v>1402153</v>
      </c>
      <c r="Y195" s="542">
        <v>0</v>
      </c>
      <c r="Z195" s="542">
        <v>1402153</v>
      </c>
      <c r="AA195" s="542">
        <v>-4127303.1</v>
      </c>
      <c r="AB195" s="542">
        <v>0</v>
      </c>
      <c r="AC195" s="542">
        <v>-4127303.1</v>
      </c>
      <c r="AD195" s="542">
        <v>46760203.799999997</v>
      </c>
      <c r="AE195" s="542">
        <v>0</v>
      </c>
      <c r="AF195" s="542">
        <v>46760203.799999997</v>
      </c>
      <c r="AG195" s="542">
        <v>0</v>
      </c>
      <c r="AH195" s="542">
        <v>0</v>
      </c>
      <c r="AI195" s="542">
        <v>0</v>
      </c>
      <c r="AJ195" s="542">
        <v>0</v>
      </c>
      <c r="AK195" s="542">
        <v>0</v>
      </c>
      <c r="AL195" s="542">
        <v>0</v>
      </c>
      <c r="AM195" s="542">
        <v>0</v>
      </c>
      <c r="AN195" s="542">
        <v>0</v>
      </c>
      <c r="AO195" s="542">
        <v>0</v>
      </c>
      <c r="AP195" s="542">
        <v>0</v>
      </c>
      <c r="AQ195" s="542">
        <v>0</v>
      </c>
      <c r="AR195" s="542">
        <v>0</v>
      </c>
      <c r="AS195" s="542">
        <v>0</v>
      </c>
      <c r="AT195" s="542">
        <v>0</v>
      </c>
      <c r="AU195" s="542">
        <v>0</v>
      </c>
      <c r="AV195" s="542">
        <v>1014688</v>
      </c>
      <c r="AW195" s="542">
        <v>-835043</v>
      </c>
      <c r="AX195" s="136"/>
      <c r="AY195" s="136"/>
      <c r="AZ195" s="136"/>
      <c r="BA195" s="136"/>
      <c r="BB195" s="136"/>
      <c r="BC195" s="136"/>
      <c r="BD195" s="136"/>
      <c r="BE195" s="136"/>
      <c r="BF195" s="136"/>
      <c r="BG195" s="136"/>
      <c r="BH195" s="136"/>
      <c r="BI195" s="136"/>
      <c r="BJ195" s="136"/>
      <c r="BK195" s="136"/>
      <c r="BL195" s="136"/>
      <c r="BM195" s="136"/>
      <c r="BN195" s="136"/>
      <c r="BO195" s="136"/>
      <c r="BP195" s="136"/>
      <c r="BQ195" s="136"/>
      <c r="BR195" s="136"/>
      <c r="BS195" s="136"/>
      <c r="BT195" s="136"/>
      <c r="BU195" s="136"/>
      <c r="BV195" s="136"/>
      <c r="BW195" s="136"/>
      <c r="BX195" s="136"/>
      <c r="BY195" s="136"/>
      <c r="BZ195" s="136"/>
      <c r="CA195" s="136"/>
      <c r="CB195" s="136"/>
      <c r="CC195" s="136"/>
      <c r="CD195" s="136"/>
      <c r="CE195" s="136"/>
      <c r="CF195" s="136"/>
      <c r="CG195" s="136"/>
      <c r="CH195" s="136"/>
      <c r="CI195" s="136"/>
      <c r="CJ195" s="136"/>
      <c r="CK195" s="136"/>
      <c r="CL195" s="136"/>
      <c r="CM195" s="136"/>
      <c r="CN195" s="136"/>
      <c r="CO195" s="136"/>
      <c r="CP195" s="136"/>
      <c r="CQ195" s="136"/>
      <c r="CR195" s="136"/>
      <c r="CS195" s="136"/>
      <c r="CT195" s="136"/>
      <c r="CU195" s="136"/>
      <c r="CV195" s="136"/>
      <c r="CW195" s="136"/>
      <c r="CX195" s="136"/>
      <c r="CY195" s="136"/>
      <c r="CZ195" s="136"/>
      <c r="DA195" s="136"/>
      <c r="DB195" s="136"/>
      <c r="DC195" s="136"/>
      <c r="DD195" s="136"/>
      <c r="DE195" s="136"/>
      <c r="DF195" s="136"/>
      <c r="DG195" s="136"/>
      <c r="DH195" s="136"/>
      <c r="DI195" s="136"/>
      <c r="DJ195" s="136"/>
      <c r="DK195" s="136"/>
      <c r="DL195" s="136"/>
      <c r="DM195" s="136"/>
      <c r="DN195" s="136"/>
      <c r="DO195" s="136"/>
      <c r="DP195" s="136"/>
      <c r="DQ195" s="136"/>
      <c r="DR195" s="136"/>
      <c r="DS195" s="136"/>
      <c r="DT195" s="136"/>
      <c r="DU195" s="136"/>
      <c r="DV195" s="136"/>
      <c r="DW195" s="136"/>
      <c r="DX195" s="136"/>
      <c r="DY195" s="136"/>
      <c r="DZ195" s="136"/>
      <c r="EA195" s="136"/>
      <c r="EB195" s="136"/>
      <c r="EC195" s="136"/>
      <c r="ED195" s="136"/>
      <c r="EE195" s="136"/>
      <c r="EF195" s="136"/>
      <c r="EG195" s="136"/>
      <c r="EH195" s="136"/>
      <c r="EI195" s="136"/>
      <c r="EJ195" s="136"/>
      <c r="EK195" s="136"/>
      <c r="EL195" s="136"/>
      <c r="EM195" s="136"/>
      <c r="EN195" s="136"/>
      <c r="EO195" s="136"/>
      <c r="EP195" s="136"/>
      <c r="EQ195" s="136"/>
      <c r="ER195" s="136"/>
      <c r="ES195" s="136"/>
      <c r="ET195" s="136"/>
      <c r="EU195" s="136"/>
      <c r="EV195" s="136"/>
      <c r="EW195" s="136"/>
      <c r="EX195" s="136"/>
      <c r="EY195" s="136"/>
      <c r="EZ195" s="136"/>
      <c r="FA195" s="136"/>
      <c r="FB195" s="136"/>
      <c r="FC195" s="136"/>
      <c r="FD195" s="136"/>
      <c r="FE195" s="137"/>
      <c r="FF195" s="138"/>
    </row>
    <row r="196" spans="1:162" ht="12.75" x14ac:dyDescent="0.2">
      <c r="A196" s="93">
        <v>190</v>
      </c>
      <c r="B196" s="145" t="s">
        <v>258</v>
      </c>
      <c r="C196" s="141" t="s">
        <v>866</v>
      </c>
      <c r="D196" s="142" t="s">
        <v>869</v>
      </c>
      <c r="E196" s="149" t="s">
        <v>257</v>
      </c>
      <c r="F196" s="542">
        <v>94866382</v>
      </c>
      <c r="G196" s="542">
        <v>4146392</v>
      </c>
      <c r="H196" s="542">
        <v>99012774</v>
      </c>
      <c r="I196" s="542">
        <v>0</v>
      </c>
      <c r="J196" s="542">
        <v>0</v>
      </c>
      <c r="K196" s="542">
        <v>0</v>
      </c>
      <c r="L196" s="542">
        <v>197625</v>
      </c>
      <c r="M196" s="542">
        <v>0</v>
      </c>
      <c r="N196" s="542">
        <v>197625</v>
      </c>
      <c r="O196" s="542">
        <v>-430288</v>
      </c>
      <c r="P196" s="542">
        <v>0</v>
      </c>
      <c r="Q196" s="542">
        <v>-430288</v>
      </c>
      <c r="R196" s="542">
        <v>0</v>
      </c>
      <c r="S196" s="542">
        <v>0</v>
      </c>
      <c r="T196" s="542">
        <v>0</v>
      </c>
      <c r="U196" s="542">
        <v>-426334</v>
      </c>
      <c r="V196" s="542">
        <v>0</v>
      </c>
      <c r="W196" s="542">
        <v>-426334</v>
      </c>
      <c r="X196" s="542">
        <v>1601296</v>
      </c>
      <c r="Y196" s="542">
        <v>0</v>
      </c>
      <c r="Z196" s="542">
        <v>1601296</v>
      </c>
      <c r="AA196" s="542">
        <v>-2445410</v>
      </c>
      <c r="AB196" s="542">
        <v>-240053</v>
      </c>
      <c r="AC196" s="542">
        <v>-2685463</v>
      </c>
      <c r="AD196" s="542">
        <v>93793559</v>
      </c>
      <c r="AE196" s="542">
        <v>3906339</v>
      </c>
      <c r="AF196" s="542">
        <v>97699898</v>
      </c>
      <c r="AG196" s="542">
        <v>3906339</v>
      </c>
      <c r="AH196" s="542">
        <v>0</v>
      </c>
      <c r="AI196" s="542">
        <v>3906339</v>
      </c>
      <c r="AJ196" s="542">
        <v>0</v>
      </c>
      <c r="AK196" s="542">
        <v>0</v>
      </c>
      <c r="AL196" s="542">
        <v>0</v>
      </c>
      <c r="AM196" s="542">
        <v>0</v>
      </c>
      <c r="AN196" s="542">
        <v>-43740</v>
      </c>
      <c r="AO196" s="542">
        <v>0</v>
      </c>
      <c r="AP196" s="542">
        <v>-43740</v>
      </c>
      <c r="AQ196" s="542">
        <v>3343558</v>
      </c>
      <c r="AR196" s="542">
        <v>0</v>
      </c>
      <c r="AS196" s="542">
        <v>519041</v>
      </c>
      <c r="AT196" s="542">
        <v>0</v>
      </c>
      <c r="AU196" s="542">
        <v>519041</v>
      </c>
      <c r="AV196" s="542">
        <v>1428255</v>
      </c>
      <c r="AW196" s="542">
        <v>-788025</v>
      </c>
      <c r="AX196" s="136"/>
      <c r="AY196" s="136"/>
      <c r="AZ196" s="136"/>
      <c r="BA196" s="136"/>
      <c r="BB196" s="136"/>
      <c r="BC196" s="136"/>
      <c r="BD196" s="136"/>
      <c r="BE196" s="136"/>
      <c r="BF196" s="136"/>
      <c r="BG196" s="136"/>
      <c r="BH196" s="136"/>
      <c r="BI196" s="136"/>
      <c r="BJ196" s="136"/>
      <c r="BK196" s="136"/>
      <c r="BL196" s="136"/>
      <c r="BM196" s="136"/>
      <c r="BN196" s="136"/>
      <c r="BO196" s="136"/>
      <c r="BP196" s="136"/>
      <c r="BQ196" s="136"/>
      <c r="BR196" s="136"/>
      <c r="BS196" s="136"/>
      <c r="BT196" s="136"/>
      <c r="BU196" s="136"/>
      <c r="BV196" s="136"/>
      <c r="BW196" s="136"/>
      <c r="BX196" s="136"/>
      <c r="BY196" s="136"/>
      <c r="BZ196" s="136"/>
      <c r="CA196" s="136"/>
      <c r="CB196" s="136"/>
      <c r="CC196" s="136"/>
      <c r="CD196" s="136"/>
      <c r="CE196" s="136"/>
      <c r="CF196" s="136"/>
      <c r="CG196" s="136"/>
      <c r="CH196" s="136"/>
      <c r="CI196" s="136"/>
      <c r="CJ196" s="136"/>
      <c r="CK196" s="136"/>
      <c r="CL196" s="136"/>
      <c r="CM196" s="136"/>
      <c r="CN196" s="136"/>
      <c r="CO196" s="136"/>
      <c r="CP196" s="136"/>
      <c r="CQ196" s="136"/>
      <c r="CR196" s="136"/>
      <c r="CS196" s="136"/>
      <c r="CT196" s="136"/>
      <c r="CU196" s="136"/>
      <c r="CV196" s="136"/>
      <c r="CW196" s="136"/>
      <c r="CX196" s="136"/>
      <c r="CY196" s="136"/>
      <c r="CZ196" s="136"/>
      <c r="DA196" s="136"/>
      <c r="DB196" s="136"/>
      <c r="DC196" s="136"/>
      <c r="DD196" s="136"/>
      <c r="DE196" s="136"/>
      <c r="DF196" s="136"/>
      <c r="DG196" s="136"/>
      <c r="DH196" s="136"/>
      <c r="DI196" s="136"/>
      <c r="DJ196" s="136"/>
      <c r="DK196" s="136"/>
      <c r="DL196" s="136"/>
      <c r="DM196" s="136"/>
      <c r="DN196" s="136"/>
      <c r="DO196" s="136"/>
      <c r="DP196" s="136"/>
      <c r="DQ196" s="136"/>
      <c r="DR196" s="136"/>
      <c r="DS196" s="136"/>
      <c r="DT196" s="136"/>
      <c r="DU196" s="136"/>
      <c r="DV196" s="136"/>
      <c r="DW196" s="136"/>
      <c r="DX196" s="136"/>
      <c r="DY196" s="136"/>
      <c r="DZ196" s="136"/>
      <c r="EA196" s="136"/>
      <c r="EB196" s="136"/>
      <c r="EC196" s="136"/>
      <c r="ED196" s="136"/>
      <c r="EE196" s="136"/>
      <c r="EF196" s="136"/>
      <c r="EG196" s="136"/>
      <c r="EH196" s="136"/>
      <c r="EI196" s="136"/>
      <c r="EJ196" s="136"/>
      <c r="EK196" s="136"/>
      <c r="EL196" s="136"/>
      <c r="EM196" s="136"/>
      <c r="EN196" s="136"/>
      <c r="EO196" s="136"/>
      <c r="EP196" s="136"/>
      <c r="EQ196" s="136"/>
      <c r="ER196" s="136"/>
      <c r="ES196" s="136"/>
      <c r="ET196" s="136"/>
      <c r="EU196" s="136"/>
      <c r="EV196" s="136"/>
      <c r="EW196" s="136"/>
      <c r="EX196" s="136"/>
      <c r="EY196" s="136"/>
      <c r="EZ196" s="136"/>
      <c r="FA196" s="136"/>
      <c r="FB196" s="136"/>
      <c r="FC196" s="136"/>
      <c r="FD196" s="136"/>
      <c r="FE196" s="137"/>
      <c r="FF196" s="138"/>
    </row>
    <row r="197" spans="1:162" ht="12.75" x14ac:dyDescent="0.2">
      <c r="A197" s="93">
        <v>191</v>
      </c>
      <c r="B197" s="145" t="s">
        <v>260</v>
      </c>
      <c r="C197" s="141" t="s">
        <v>770</v>
      </c>
      <c r="D197" s="142" t="s">
        <v>878</v>
      </c>
      <c r="E197" s="149" t="s">
        <v>259</v>
      </c>
      <c r="F197" s="542">
        <v>76400505</v>
      </c>
      <c r="G197" s="542">
        <v>12627</v>
      </c>
      <c r="H197" s="542">
        <v>76413132</v>
      </c>
      <c r="I197" s="542">
        <v>0</v>
      </c>
      <c r="J197" s="542">
        <v>0</v>
      </c>
      <c r="K197" s="542">
        <v>0</v>
      </c>
      <c r="L197" s="542">
        <v>200645</v>
      </c>
      <c r="M197" s="542">
        <v>0</v>
      </c>
      <c r="N197" s="542">
        <v>200645</v>
      </c>
      <c r="O197" s="542">
        <v>-857600</v>
      </c>
      <c r="P197" s="542">
        <v>0</v>
      </c>
      <c r="Q197" s="542">
        <v>-857600</v>
      </c>
      <c r="R197" s="542">
        <v>-25459</v>
      </c>
      <c r="S197" s="542">
        <v>0</v>
      </c>
      <c r="T197" s="542">
        <v>-25459</v>
      </c>
      <c r="U197" s="542">
        <v>-577986</v>
      </c>
      <c r="V197" s="542">
        <v>0</v>
      </c>
      <c r="W197" s="542">
        <v>-577986</v>
      </c>
      <c r="X197" s="542">
        <v>1786159</v>
      </c>
      <c r="Y197" s="542">
        <v>0</v>
      </c>
      <c r="Z197" s="542">
        <v>1786159</v>
      </c>
      <c r="AA197" s="542">
        <v>-3424307</v>
      </c>
      <c r="AB197" s="542">
        <v>0</v>
      </c>
      <c r="AC197" s="542">
        <v>-3424307</v>
      </c>
      <c r="AD197" s="542">
        <v>74359557</v>
      </c>
      <c r="AE197" s="542">
        <v>12627</v>
      </c>
      <c r="AF197" s="542">
        <v>74372184</v>
      </c>
      <c r="AG197" s="542">
        <v>12627</v>
      </c>
      <c r="AH197" s="542">
        <v>0</v>
      </c>
      <c r="AI197" s="542">
        <v>12627</v>
      </c>
      <c r="AJ197" s="542">
        <v>1083699</v>
      </c>
      <c r="AK197" s="542">
        <v>0</v>
      </c>
      <c r="AL197" s="542">
        <v>0</v>
      </c>
      <c r="AM197" s="542">
        <v>1083699</v>
      </c>
      <c r="AN197" s="542">
        <v>0</v>
      </c>
      <c r="AO197" s="542">
        <v>0</v>
      </c>
      <c r="AP197" s="542">
        <v>0</v>
      </c>
      <c r="AQ197" s="542">
        <v>11624</v>
      </c>
      <c r="AR197" s="542">
        <v>0</v>
      </c>
      <c r="AS197" s="542">
        <v>1003</v>
      </c>
      <c r="AT197" s="542">
        <v>0</v>
      </c>
      <c r="AU197" s="542">
        <v>1003</v>
      </c>
      <c r="AV197" s="542">
        <v>2741292</v>
      </c>
      <c r="AW197" s="542">
        <v>-125003</v>
      </c>
      <c r="AX197" s="136"/>
      <c r="AY197" s="136"/>
      <c r="AZ197" s="136"/>
      <c r="BA197" s="136"/>
      <c r="BB197" s="136"/>
      <c r="BC197" s="136"/>
      <c r="BD197" s="136"/>
      <c r="BE197" s="136"/>
      <c r="BF197" s="136"/>
      <c r="BG197" s="136"/>
      <c r="BH197" s="136"/>
      <c r="BI197" s="136"/>
      <c r="BJ197" s="136"/>
      <c r="BK197" s="136"/>
      <c r="BL197" s="136"/>
      <c r="BM197" s="136"/>
      <c r="BN197" s="136"/>
      <c r="BO197" s="136"/>
      <c r="BP197" s="136"/>
      <c r="BQ197" s="136"/>
      <c r="BR197" s="136"/>
      <c r="BS197" s="136"/>
      <c r="BT197" s="136"/>
      <c r="BU197" s="136"/>
      <c r="BV197" s="136"/>
      <c r="BW197" s="136"/>
      <c r="BX197" s="136"/>
      <c r="BY197" s="136"/>
      <c r="BZ197" s="136"/>
      <c r="CA197" s="136"/>
      <c r="CB197" s="136"/>
      <c r="CC197" s="136"/>
      <c r="CD197" s="136"/>
      <c r="CE197" s="136"/>
      <c r="CF197" s="136"/>
      <c r="CG197" s="136"/>
      <c r="CH197" s="136"/>
      <c r="CI197" s="136"/>
      <c r="CJ197" s="136"/>
      <c r="CK197" s="136"/>
      <c r="CL197" s="136"/>
      <c r="CM197" s="136"/>
      <c r="CN197" s="136"/>
      <c r="CO197" s="136"/>
      <c r="CP197" s="136"/>
      <c r="CQ197" s="136"/>
      <c r="CR197" s="136"/>
      <c r="CS197" s="136"/>
      <c r="CT197" s="136"/>
      <c r="CU197" s="136"/>
      <c r="CV197" s="136"/>
      <c r="CW197" s="136"/>
      <c r="CX197" s="136"/>
      <c r="CY197" s="136"/>
      <c r="CZ197" s="136"/>
      <c r="DA197" s="136"/>
      <c r="DB197" s="136"/>
      <c r="DC197" s="136"/>
      <c r="DD197" s="136"/>
      <c r="DE197" s="136"/>
      <c r="DF197" s="136"/>
      <c r="DG197" s="136"/>
      <c r="DH197" s="136"/>
      <c r="DI197" s="136"/>
      <c r="DJ197" s="136"/>
      <c r="DK197" s="136"/>
      <c r="DL197" s="136"/>
      <c r="DM197" s="136"/>
      <c r="DN197" s="136"/>
      <c r="DO197" s="136"/>
      <c r="DP197" s="136"/>
      <c r="DQ197" s="136"/>
      <c r="DR197" s="136"/>
      <c r="DS197" s="136"/>
      <c r="DT197" s="136"/>
      <c r="DU197" s="136"/>
      <c r="DV197" s="136"/>
      <c r="DW197" s="136"/>
      <c r="DX197" s="136"/>
      <c r="DY197" s="136"/>
      <c r="DZ197" s="136"/>
      <c r="EA197" s="136"/>
      <c r="EB197" s="136"/>
      <c r="EC197" s="136"/>
      <c r="ED197" s="136"/>
      <c r="EE197" s="136"/>
      <c r="EF197" s="136"/>
      <c r="EG197" s="136"/>
      <c r="EH197" s="136"/>
      <c r="EI197" s="136"/>
      <c r="EJ197" s="136"/>
      <c r="EK197" s="136"/>
      <c r="EL197" s="136"/>
      <c r="EM197" s="136"/>
      <c r="EN197" s="136"/>
      <c r="EO197" s="136"/>
      <c r="EP197" s="136"/>
      <c r="EQ197" s="136"/>
      <c r="ER197" s="136"/>
      <c r="ES197" s="136"/>
      <c r="ET197" s="136"/>
      <c r="EU197" s="136"/>
      <c r="EV197" s="136"/>
      <c r="EW197" s="136"/>
      <c r="EX197" s="136"/>
      <c r="EY197" s="136"/>
      <c r="EZ197" s="136"/>
      <c r="FA197" s="136"/>
      <c r="FB197" s="136"/>
      <c r="FC197" s="136"/>
      <c r="FD197" s="136"/>
      <c r="FE197" s="137"/>
      <c r="FF197" s="138"/>
    </row>
    <row r="198" spans="1:162" ht="12.75" x14ac:dyDescent="0.2">
      <c r="A198" s="93">
        <v>192</v>
      </c>
      <c r="B198" s="145" t="s">
        <v>262</v>
      </c>
      <c r="C198" s="141" t="s">
        <v>866</v>
      </c>
      <c r="D198" s="142" t="s">
        <v>870</v>
      </c>
      <c r="E198" s="149" t="s">
        <v>261</v>
      </c>
      <c r="F198" s="542">
        <v>76438051</v>
      </c>
      <c r="G198" s="542">
        <v>0</v>
      </c>
      <c r="H198" s="542">
        <v>76438051</v>
      </c>
      <c r="I198" s="542">
        <v>0</v>
      </c>
      <c r="J198" s="542">
        <v>0</v>
      </c>
      <c r="K198" s="542">
        <v>0</v>
      </c>
      <c r="L198" s="542">
        <v>278103</v>
      </c>
      <c r="M198" s="542">
        <v>0</v>
      </c>
      <c r="N198" s="542">
        <v>278103</v>
      </c>
      <c r="O198" s="542">
        <v>-817372</v>
      </c>
      <c r="P198" s="542">
        <v>0</v>
      </c>
      <c r="Q198" s="542">
        <v>-817372</v>
      </c>
      <c r="R198" s="542">
        <v>0</v>
      </c>
      <c r="S198" s="542">
        <v>0</v>
      </c>
      <c r="T198" s="542">
        <v>0</v>
      </c>
      <c r="U198" s="542">
        <v>-771797</v>
      </c>
      <c r="V198" s="542">
        <v>0</v>
      </c>
      <c r="W198" s="542">
        <v>-771797</v>
      </c>
      <c r="X198" s="542">
        <v>865823</v>
      </c>
      <c r="Y198" s="542">
        <v>0</v>
      </c>
      <c r="Z198" s="542">
        <v>865823</v>
      </c>
      <c r="AA198" s="542">
        <v>-1433785</v>
      </c>
      <c r="AB198" s="542">
        <v>0</v>
      </c>
      <c r="AC198" s="542">
        <v>-1433785</v>
      </c>
      <c r="AD198" s="542">
        <v>75376395</v>
      </c>
      <c r="AE198" s="542">
        <v>0</v>
      </c>
      <c r="AF198" s="542">
        <v>75376395</v>
      </c>
      <c r="AG198" s="542">
        <v>0</v>
      </c>
      <c r="AH198" s="542">
        <v>0</v>
      </c>
      <c r="AI198" s="542">
        <v>0</v>
      </c>
      <c r="AJ198" s="542">
        <v>0</v>
      </c>
      <c r="AK198" s="542">
        <v>0</v>
      </c>
      <c r="AL198" s="542">
        <v>0</v>
      </c>
      <c r="AM198" s="542">
        <v>0</v>
      </c>
      <c r="AN198" s="542">
        <v>0</v>
      </c>
      <c r="AO198" s="542">
        <v>0</v>
      </c>
      <c r="AP198" s="542">
        <v>0</v>
      </c>
      <c r="AQ198" s="542">
        <v>0</v>
      </c>
      <c r="AR198" s="542">
        <v>0</v>
      </c>
      <c r="AS198" s="542">
        <v>0</v>
      </c>
      <c r="AT198" s="542">
        <v>0</v>
      </c>
      <c r="AU198" s="542">
        <v>0</v>
      </c>
      <c r="AV198" s="542">
        <v>3061486</v>
      </c>
      <c r="AW198" s="542">
        <v>-1197900</v>
      </c>
      <c r="AX198" s="136"/>
      <c r="AY198" s="136"/>
      <c r="AZ198" s="136"/>
      <c r="BA198" s="136"/>
      <c r="BB198" s="136"/>
      <c r="BC198" s="136"/>
      <c r="BD198" s="136"/>
      <c r="BE198" s="136"/>
      <c r="BF198" s="136"/>
      <c r="BG198" s="136"/>
      <c r="BH198" s="136"/>
      <c r="BI198" s="136"/>
      <c r="BJ198" s="136"/>
      <c r="BK198" s="136"/>
      <c r="BL198" s="136"/>
      <c r="BM198" s="136"/>
      <c r="BN198" s="136"/>
      <c r="BO198" s="136"/>
      <c r="BP198" s="136"/>
      <c r="BQ198" s="136"/>
      <c r="BR198" s="136"/>
      <c r="BS198" s="136"/>
      <c r="BT198" s="136"/>
      <c r="BU198" s="136"/>
      <c r="BV198" s="136"/>
      <c r="BW198" s="136"/>
      <c r="BX198" s="136"/>
      <c r="BY198" s="136"/>
      <c r="BZ198" s="136"/>
      <c r="CA198" s="136"/>
      <c r="CB198" s="136"/>
      <c r="CC198" s="136"/>
      <c r="CD198" s="136"/>
      <c r="CE198" s="136"/>
      <c r="CF198" s="136"/>
      <c r="CG198" s="136"/>
      <c r="CH198" s="136"/>
      <c r="CI198" s="136"/>
      <c r="CJ198" s="136"/>
      <c r="CK198" s="136"/>
      <c r="CL198" s="136"/>
      <c r="CM198" s="136"/>
      <c r="CN198" s="136"/>
      <c r="CO198" s="136"/>
      <c r="CP198" s="136"/>
      <c r="CQ198" s="136"/>
      <c r="CR198" s="136"/>
      <c r="CS198" s="136"/>
      <c r="CT198" s="136"/>
      <c r="CU198" s="136"/>
      <c r="CV198" s="136"/>
      <c r="CW198" s="136"/>
      <c r="CX198" s="136"/>
      <c r="CY198" s="136"/>
      <c r="CZ198" s="136"/>
      <c r="DA198" s="136"/>
      <c r="DB198" s="136"/>
      <c r="DC198" s="136"/>
      <c r="DD198" s="136"/>
      <c r="DE198" s="136"/>
      <c r="DF198" s="136"/>
      <c r="DG198" s="136"/>
      <c r="DH198" s="136"/>
      <c r="DI198" s="136"/>
      <c r="DJ198" s="136"/>
      <c r="DK198" s="136"/>
      <c r="DL198" s="136"/>
      <c r="DM198" s="136"/>
      <c r="DN198" s="136"/>
      <c r="DO198" s="136"/>
      <c r="DP198" s="136"/>
      <c r="DQ198" s="136"/>
      <c r="DR198" s="136"/>
      <c r="DS198" s="136"/>
      <c r="DT198" s="136"/>
      <c r="DU198" s="136"/>
      <c r="DV198" s="136"/>
      <c r="DW198" s="136"/>
      <c r="DX198" s="136"/>
      <c r="DY198" s="136"/>
      <c r="DZ198" s="136"/>
      <c r="EA198" s="136"/>
      <c r="EB198" s="136"/>
      <c r="EC198" s="136"/>
      <c r="ED198" s="136"/>
      <c r="EE198" s="136"/>
      <c r="EF198" s="136"/>
      <c r="EG198" s="136"/>
      <c r="EH198" s="136"/>
      <c r="EI198" s="136"/>
      <c r="EJ198" s="136"/>
      <c r="EK198" s="136"/>
      <c r="EL198" s="136"/>
      <c r="EM198" s="136"/>
      <c r="EN198" s="136"/>
      <c r="EO198" s="136"/>
      <c r="EP198" s="136"/>
      <c r="EQ198" s="136"/>
      <c r="ER198" s="136"/>
      <c r="ES198" s="136"/>
      <c r="ET198" s="136"/>
      <c r="EU198" s="136"/>
      <c r="EV198" s="136"/>
      <c r="EW198" s="136"/>
      <c r="EX198" s="136"/>
      <c r="EY198" s="136"/>
      <c r="EZ198" s="136"/>
      <c r="FA198" s="136"/>
      <c r="FB198" s="136"/>
      <c r="FC198" s="136"/>
      <c r="FD198" s="136"/>
      <c r="FE198" s="137"/>
      <c r="FF198" s="138"/>
    </row>
    <row r="199" spans="1:162" ht="12.75" x14ac:dyDescent="0.2">
      <c r="A199" s="93">
        <v>193</v>
      </c>
      <c r="B199" s="145" t="s">
        <v>264</v>
      </c>
      <c r="C199" s="141" t="s">
        <v>770</v>
      </c>
      <c r="D199" s="142" t="s">
        <v>869</v>
      </c>
      <c r="E199" s="149" t="s">
        <v>712</v>
      </c>
      <c r="F199" s="542">
        <v>112107053</v>
      </c>
      <c r="G199" s="542">
        <v>9282751</v>
      </c>
      <c r="H199" s="542">
        <v>121389804</v>
      </c>
      <c r="I199" s="542">
        <v>-4451</v>
      </c>
      <c r="J199" s="542">
        <v>-387</v>
      </c>
      <c r="K199" s="542">
        <v>-4838</v>
      </c>
      <c r="L199" s="542">
        <v>141871</v>
      </c>
      <c r="M199" s="542">
        <v>12337</v>
      </c>
      <c r="N199" s="542">
        <v>154208</v>
      </c>
      <c r="O199" s="542">
        <v>-1414868</v>
      </c>
      <c r="P199" s="542">
        <v>-123032</v>
      </c>
      <c r="Q199" s="542">
        <v>-1537900</v>
      </c>
      <c r="R199" s="542">
        <v>0</v>
      </c>
      <c r="S199" s="542">
        <v>0</v>
      </c>
      <c r="T199" s="542">
        <v>0</v>
      </c>
      <c r="U199" s="542">
        <v>-1856744</v>
      </c>
      <c r="V199" s="542">
        <v>-161456</v>
      </c>
      <c r="W199" s="542">
        <v>-2018200</v>
      </c>
      <c r="X199" s="542">
        <v>5075532</v>
      </c>
      <c r="Y199" s="542">
        <v>239161</v>
      </c>
      <c r="Z199" s="542">
        <v>5314693</v>
      </c>
      <c r="AA199" s="542">
        <v>-2537258</v>
      </c>
      <c r="AB199" s="542">
        <v>-119557</v>
      </c>
      <c r="AC199" s="542">
        <v>-2656815</v>
      </c>
      <c r="AD199" s="542">
        <v>112926003</v>
      </c>
      <c r="AE199" s="542">
        <v>9252849</v>
      </c>
      <c r="AF199" s="542">
        <v>122178852</v>
      </c>
      <c r="AG199" s="542">
        <v>4146650</v>
      </c>
      <c r="AH199" s="542">
        <v>5106199</v>
      </c>
      <c r="AI199" s="542">
        <v>9252849</v>
      </c>
      <c r="AJ199" s="542">
        <v>0</v>
      </c>
      <c r="AK199" s="542">
        <v>0</v>
      </c>
      <c r="AL199" s="542">
        <v>0</v>
      </c>
      <c r="AM199" s="542">
        <v>0</v>
      </c>
      <c r="AN199" s="542">
        <v>-60830</v>
      </c>
      <c r="AO199" s="542">
        <v>-74349</v>
      </c>
      <c r="AP199" s="542">
        <v>-135179</v>
      </c>
      <c r="AQ199" s="542">
        <v>4026598</v>
      </c>
      <c r="AR199" s="542">
        <v>5746137</v>
      </c>
      <c r="AS199" s="542">
        <v>59222</v>
      </c>
      <c r="AT199" s="542">
        <v>0</v>
      </c>
      <c r="AU199" s="542">
        <v>59222</v>
      </c>
      <c r="AV199" s="542">
        <v>10957548</v>
      </c>
      <c r="AW199" s="542">
        <v>-2848885</v>
      </c>
      <c r="AX199" s="136"/>
      <c r="AY199" s="136"/>
      <c r="AZ199" s="136"/>
      <c r="BA199" s="136"/>
      <c r="BB199" s="136"/>
      <c r="BC199" s="136"/>
      <c r="BD199" s="136"/>
      <c r="BE199" s="136"/>
      <c r="BF199" s="136"/>
      <c r="BG199" s="136"/>
      <c r="BH199" s="136"/>
      <c r="BI199" s="136"/>
      <c r="BJ199" s="136"/>
      <c r="BK199" s="136"/>
      <c r="BL199" s="136"/>
      <c r="BM199" s="136"/>
      <c r="BN199" s="136"/>
      <c r="BO199" s="136"/>
      <c r="BP199" s="136"/>
      <c r="BQ199" s="136"/>
      <c r="BR199" s="136"/>
      <c r="BS199" s="136"/>
      <c r="BT199" s="136"/>
      <c r="BU199" s="136"/>
      <c r="BV199" s="136"/>
      <c r="BW199" s="136"/>
      <c r="BX199" s="136"/>
      <c r="BY199" s="136"/>
      <c r="BZ199" s="136"/>
      <c r="CA199" s="136"/>
      <c r="CB199" s="136"/>
      <c r="CC199" s="136"/>
      <c r="CD199" s="136"/>
      <c r="CE199" s="136"/>
      <c r="CF199" s="136"/>
      <c r="CG199" s="136"/>
      <c r="CH199" s="136"/>
      <c r="CI199" s="136"/>
      <c r="CJ199" s="136"/>
      <c r="CK199" s="136"/>
      <c r="CL199" s="136"/>
      <c r="CM199" s="136"/>
      <c r="CN199" s="136"/>
      <c r="CO199" s="136"/>
      <c r="CP199" s="136"/>
      <c r="CQ199" s="136"/>
      <c r="CR199" s="136"/>
      <c r="CS199" s="136"/>
      <c r="CT199" s="136"/>
      <c r="CU199" s="136"/>
      <c r="CV199" s="136"/>
      <c r="CW199" s="136"/>
      <c r="CX199" s="136"/>
      <c r="CY199" s="136"/>
      <c r="CZ199" s="136"/>
      <c r="DA199" s="136"/>
      <c r="DB199" s="136"/>
      <c r="DC199" s="136"/>
      <c r="DD199" s="136"/>
      <c r="DE199" s="136"/>
      <c r="DF199" s="136"/>
      <c r="DG199" s="136"/>
      <c r="DH199" s="136"/>
      <c r="DI199" s="136"/>
      <c r="DJ199" s="136"/>
      <c r="DK199" s="136"/>
      <c r="DL199" s="136"/>
      <c r="DM199" s="136"/>
      <c r="DN199" s="136"/>
      <c r="DO199" s="136"/>
      <c r="DP199" s="136"/>
      <c r="DQ199" s="136"/>
      <c r="DR199" s="136"/>
      <c r="DS199" s="136"/>
      <c r="DT199" s="136"/>
      <c r="DU199" s="136"/>
      <c r="DV199" s="136"/>
      <c r="DW199" s="136"/>
      <c r="DX199" s="136"/>
      <c r="DY199" s="136"/>
      <c r="DZ199" s="136"/>
      <c r="EA199" s="136"/>
      <c r="EB199" s="136"/>
      <c r="EC199" s="136"/>
      <c r="ED199" s="136"/>
      <c r="EE199" s="136"/>
      <c r="EF199" s="136"/>
      <c r="EG199" s="136"/>
      <c r="EH199" s="136"/>
      <c r="EI199" s="136"/>
      <c r="EJ199" s="136"/>
      <c r="EK199" s="136"/>
      <c r="EL199" s="136"/>
      <c r="EM199" s="136"/>
      <c r="EN199" s="136"/>
      <c r="EO199" s="136"/>
      <c r="EP199" s="136"/>
      <c r="EQ199" s="136"/>
      <c r="ER199" s="136"/>
      <c r="ES199" s="136"/>
      <c r="ET199" s="136"/>
      <c r="EU199" s="136"/>
      <c r="EV199" s="136"/>
      <c r="EW199" s="136"/>
      <c r="EX199" s="136"/>
      <c r="EY199" s="136"/>
      <c r="EZ199" s="136"/>
      <c r="FA199" s="136"/>
      <c r="FB199" s="136"/>
      <c r="FC199" s="136"/>
      <c r="FD199" s="136"/>
      <c r="FE199" s="137"/>
      <c r="FF199" s="138"/>
    </row>
    <row r="200" spans="1:162" ht="12.75" x14ac:dyDescent="0.2">
      <c r="A200" s="93">
        <v>194</v>
      </c>
      <c r="B200" s="145" t="s">
        <v>266</v>
      </c>
      <c r="C200" s="141" t="s">
        <v>866</v>
      </c>
      <c r="D200" s="142" t="s">
        <v>876</v>
      </c>
      <c r="E200" s="149" t="s">
        <v>713</v>
      </c>
      <c r="F200" s="542">
        <v>34254852</v>
      </c>
      <c r="G200" s="542">
        <v>0</v>
      </c>
      <c r="H200" s="542">
        <v>34254852</v>
      </c>
      <c r="I200" s="542">
        <v>0</v>
      </c>
      <c r="J200" s="542">
        <v>0</v>
      </c>
      <c r="K200" s="542">
        <v>0</v>
      </c>
      <c r="L200" s="542">
        <v>91580</v>
      </c>
      <c r="M200" s="542">
        <v>0</v>
      </c>
      <c r="N200" s="542">
        <v>91580</v>
      </c>
      <c r="O200" s="542">
        <v>-275577</v>
      </c>
      <c r="P200" s="542">
        <v>0</v>
      </c>
      <c r="Q200" s="542">
        <v>-275577</v>
      </c>
      <c r="R200" s="542">
        <v>0</v>
      </c>
      <c r="S200" s="542">
        <v>0</v>
      </c>
      <c r="T200" s="542">
        <v>0</v>
      </c>
      <c r="U200" s="542">
        <v>-259177</v>
      </c>
      <c r="V200" s="542">
        <v>0</v>
      </c>
      <c r="W200" s="542">
        <v>-259177</v>
      </c>
      <c r="X200" s="542">
        <v>838647</v>
      </c>
      <c r="Y200" s="542">
        <v>0</v>
      </c>
      <c r="Z200" s="542">
        <v>838647</v>
      </c>
      <c r="AA200" s="542">
        <v>-2619719</v>
      </c>
      <c r="AB200" s="542">
        <v>0</v>
      </c>
      <c r="AC200" s="542">
        <v>-2619719</v>
      </c>
      <c r="AD200" s="542">
        <v>32306183</v>
      </c>
      <c r="AE200" s="542">
        <v>0</v>
      </c>
      <c r="AF200" s="542">
        <v>32306183</v>
      </c>
      <c r="AG200" s="542">
        <v>0</v>
      </c>
      <c r="AH200" s="542">
        <v>0</v>
      </c>
      <c r="AI200" s="542">
        <v>0</v>
      </c>
      <c r="AJ200" s="542">
        <v>0</v>
      </c>
      <c r="AK200" s="542">
        <v>0</v>
      </c>
      <c r="AL200" s="542">
        <v>0</v>
      </c>
      <c r="AM200" s="542">
        <v>0</v>
      </c>
      <c r="AN200" s="542">
        <v>0</v>
      </c>
      <c r="AO200" s="542">
        <v>0</v>
      </c>
      <c r="AP200" s="542">
        <v>0</v>
      </c>
      <c r="AQ200" s="542">
        <v>0</v>
      </c>
      <c r="AR200" s="542">
        <v>0</v>
      </c>
      <c r="AS200" s="542">
        <v>0</v>
      </c>
      <c r="AT200" s="542">
        <v>0</v>
      </c>
      <c r="AU200" s="542">
        <v>0</v>
      </c>
      <c r="AV200" s="542">
        <v>953772</v>
      </c>
      <c r="AW200" s="542">
        <v>-327613</v>
      </c>
      <c r="AX200" s="136"/>
      <c r="AY200" s="136"/>
      <c r="AZ200" s="136"/>
      <c r="BA200" s="136"/>
      <c r="BB200" s="136"/>
      <c r="BC200" s="136"/>
      <c r="BD200" s="136"/>
      <c r="BE200" s="136"/>
      <c r="BF200" s="136"/>
      <c r="BG200" s="136"/>
      <c r="BH200" s="136"/>
      <c r="BI200" s="136"/>
      <c r="BJ200" s="136"/>
      <c r="BK200" s="136"/>
      <c r="BL200" s="136"/>
      <c r="BM200" s="136"/>
      <c r="BN200" s="136"/>
      <c r="BO200" s="136"/>
      <c r="BP200" s="136"/>
      <c r="BQ200" s="136"/>
      <c r="BR200" s="136"/>
      <c r="BS200" s="136"/>
      <c r="BT200" s="136"/>
      <c r="BU200" s="136"/>
      <c r="BV200" s="136"/>
      <c r="BW200" s="136"/>
      <c r="BX200" s="136"/>
      <c r="BY200" s="136"/>
      <c r="BZ200" s="136"/>
      <c r="CA200" s="136"/>
      <c r="CB200" s="136"/>
      <c r="CC200" s="136"/>
      <c r="CD200" s="136"/>
      <c r="CE200" s="136"/>
      <c r="CF200" s="136"/>
      <c r="CG200" s="136"/>
      <c r="CH200" s="136"/>
      <c r="CI200" s="136"/>
      <c r="CJ200" s="136"/>
      <c r="CK200" s="136"/>
      <c r="CL200" s="136"/>
      <c r="CM200" s="136"/>
      <c r="CN200" s="136"/>
      <c r="CO200" s="136"/>
      <c r="CP200" s="136"/>
      <c r="CQ200" s="136"/>
      <c r="CR200" s="136"/>
      <c r="CS200" s="136"/>
      <c r="CT200" s="136"/>
      <c r="CU200" s="136"/>
      <c r="CV200" s="136"/>
      <c r="CW200" s="136"/>
      <c r="CX200" s="136"/>
      <c r="CY200" s="136"/>
      <c r="CZ200" s="136"/>
      <c r="DA200" s="136"/>
      <c r="DB200" s="136"/>
      <c r="DC200" s="136"/>
      <c r="DD200" s="136"/>
      <c r="DE200" s="136"/>
      <c r="DF200" s="136"/>
      <c r="DG200" s="136"/>
      <c r="DH200" s="136"/>
      <c r="DI200" s="136"/>
      <c r="DJ200" s="136"/>
      <c r="DK200" s="136"/>
      <c r="DL200" s="136"/>
      <c r="DM200" s="136"/>
      <c r="DN200" s="136"/>
      <c r="DO200" s="136"/>
      <c r="DP200" s="136"/>
      <c r="DQ200" s="136"/>
      <c r="DR200" s="136"/>
      <c r="DS200" s="136"/>
      <c r="DT200" s="136"/>
      <c r="DU200" s="136"/>
      <c r="DV200" s="136"/>
      <c r="DW200" s="136"/>
      <c r="DX200" s="136"/>
      <c r="DY200" s="136"/>
      <c r="DZ200" s="136"/>
      <c r="EA200" s="136"/>
      <c r="EB200" s="136"/>
      <c r="EC200" s="136"/>
      <c r="ED200" s="136"/>
      <c r="EE200" s="136"/>
      <c r="EF200" s="136"/>
      <c r="EG200" s="136"/>
      <c r="EH200" s="136"/>
      <c r="EI200" s="136"/>
      <c r="EJ200" s="136"/>
      <c r="EK200" s="136"/>
      <c r="EL200" s="136"/>
      <c r="EM200" s="136"/>
      <c r="EN200" s="136"/>
      <c r="EO200" s="136"/>
      <c r="EP200" s="136"/>
      <c r="EQ200" s="136"/>
      <c r="ER200" s="136"/>
      <c r="ES200" s="136"/>
      <c r="ET200" s="136"/>
      <c r="EU200" s="136"/>
      <c r="EV200" s="136"/>
      <c r="EW200" s="136"/>
      <c r="EX200" s="136"/>
      <c r="EY200" s="136"/>
      <c r="EZ200" s="136"/>
      <c r="FA200" s="136"/>
      <c r="FB200" s="136"/>
      <c r="FC200" s="136"/>
      <c r="FD200" s="136"/>
      <c r="FE200" s="137"/>
      <c r="FF200" s="138"/>
    </row>
    <row r="201" spans="1:162" ht="12.75" x14ac:dyDescent="0.2">
      <c r="A201" s="93">
        <v>195</v>
      </c>
      <c r="B201" s="145" t="s">
        <v>268</v>
      </c>
      <c r="C201" s="141" t="s">
        <v>866</v>
      </c>
      <c r="D201" s="142" t="s">
        <v>869</v>
      </c>
      <c r="E201" s="149" t="s">
        <v>714</v>
      </c>
      <c r="F201" s="542">
        <v>11430647</v>
      </c>
      <c r="G201" s="542">
        <v>0</v>
      </c>
      <c r="H201" s="542">
        <v>11430647</v>
      </c>
      <c r="I201" s="542">
        <v>0</v>
      </c>
      <c r="J201" s="542">
        <v>0</v>
      </c>
      <c r="K201" s="542">
        <v>0</v>
      </c>
      <c r="L201" s="542">
        <v>73835</v>
      </c>
      <c r="M201" s="542">
        <v>0</v>
      </c>
      <c r="N201" s="542">
        <v>73835</v>
      </c>
      <c r="O201" s="542">
        <v>-26001</v>
      </c>
      <c r="P201" s="542">
        <v>0</v>
      </c>
      <c r="Q201" s="542">
        <v>-26001</v>
      </c>
      <c r="R201" s="542">
        <v>0</v>
      </c>
      <c r="S201" s="542">
        <v>0</v>
      </c>
      <c r="T201" s="542">
        <v>0</v>
      </c>
      <c r="U201" s="542">
        <v>-70757</v>
      </c>
      <c r="V201" s="542">
        <v>0</v>
      </c>
      <c r="W201" s="542">
        <v>-70757</v>
      </c>
      <c r="X201" s="542">
        <v>103981</v>
      </c>
      <c r="Y201" s="542">
        <v>0</v>
      </c>
      <c r="Z201" s="542">
        <v>103981</v>
      </c>
      <c r="AA201" s="542">
        <v>-485045</v>
      </c>
      <c r="AB201" s="542">
        <v>0</v>
      </c>
      <c r="AC201" s="542">
        <v>-485045</v>
      </c>
      <c r="AD201" s="542">
        <v>11052661</v>
      </c>
      <c r="AE201" s="542">
        <v>0</v>
      </c>
      <c r="AF201" s="542">
        <v>11052661</v>
      </c>
      <c r="AG201" s="542">
        <v>0</v>
      </c>
      <c r="AH201" s="542">
        <v>0</v>
      </c>
      <c r="AI201" s="542">
        <v>0</v>
      </c>
      <c r="AJ201" s="542">
        <v>0</v>
      </c>
      <c r="AK201" s="542">
        <v>0</v>
      </c>
      <c r="AL201" s="542">
        <v>0</v>
      </c>
      <c r="AM201" s="542">
        <v>0</v>
      </c>
      <c r="AN201" s="542">
        <v>0</v>
      </c>
      <c r="AO201" s="542">
        <v>0</v>
      </c>
      <c r="AP201" s="542">
        <v>0</v>
      </c>
      <c r="AQ201" s="542">
        <v>0</v>
      </c>
      <c r="AR201" s="542">
        <v>0</v>
      </c>
      <c r="AS201" s="542">
        <v>0</v>
      </c>
      <c r="AT201" s="542">
        <v>0</v>
      </c>
      <c r="AU201" s="542">
        <v>0</v>
      </c>
      <c r="AV201" s="542">
        <v>808966</v>
      </c>
      <c r="AW201" s="542">
        <v>-447837</v>
      </c>
      <c r="AX201" s="136"/>
      <c r="AY201" s="136"/>
      <c r="AZ201" s="136"/>
      <c r="BA201" s="136"/>
      <c r="BB201" s="136"/>
      <c r="BC201" s="136"/>
      <c r="BD201" s="136"/>
      <c r="BE201" s="136"/>
      <c r="BF201" s="136"/>
      <c r="BG201" s="136"/>
      <c r="BH201" s="136"/>
      <c r="BI201" s="136"/>
      <c r="BJ201" s="136"/>
      <c r="BK201" s="136"/>
      <c r="BL201" s="136"/>
      <c r="BM201" s="136"/>
      <c r="BN201" s="136"/>
      <c r="BO201" s="136"/>
      <c r="BP201" s="136"/>
      <c r="BQ201" s="136"/>
      <c r="BR201" s="136"/>
      <c r="BS201" s="136"/>
      <c r="BT201" s="136"/>
      <c r="BU201" s="136"/>
      <c r="BV201" s="136"/>
      <c r="BW201" s="136"/>
      <c r="BX201" s="136"/>
      <c r="BY201" s="136"/>
      <c r="BZ201" s="136"/>
      <c r="CA201" s="136"/>
      <c r="CB201" s="136"/>
      <c r="CC201" s="136"/>
      <c r="CD201" s="136"/>
      <c r="CE201" s="136"/>
      <c r="CF201" s="136"/>
      <c r="CG201" s="136"/>
      <c r="CH201" s="136"/>
      <c r="CI201" s="136"/>
      <c r="CJ201" s="136"/>
      <c r="CK201" s="136"/>
      <c r="CL201" s="136"/>
      <c r="CM201" s="136"/>
      <c r="CN201" s="136"/>
      <c r="CO201" s="136"/>
      <c r="CP201" s="136"/>
      <c r="CQ201" s="136"/>
      <c r="CR201" s="136"/>
      <c r="CS201" s="136"/>
      <c r="CT201" s="136"/>
      <c r="CU201" s="136"/>
      <c r="CV201" s="136"/>
      <c r="CW201" s="136"/>
      <c r="CX201" s="136"/>
      <c r="CY201" s="136"/>
      <c r="CZ201" s="136"/>
      <c r="DA201" s="136"/>
      <c r="DB201" s="136"/>
      <c r="DC201" s="136"/>
      <c r="DD201" s="136"/>
      <c r="DE201" s="136"/>
      <c r="DF201" s="136"/>
      <c r="DG201" s="136"/>
      <c r="DH201" s="136"/>
      <c r="DI201" s="136"/>
      <c r="DJ201" s="136"/>
      <c r="DK201" s="136"/>
      <c r="DL201" s="136"/>
      <c r="DM201" s="136"/>
      <c r="DN201" s="136"/>
      <c r="DO201" s="136"/>
      <c r="DP201" s="136"/>
      <c r="DQ201" s="136"/>
      <c r="DR201" s="136"/>
      <c r="DS201" s="136"/>
      <c r="DT201" s="136"/>
      <c r="DU201" s="136"/>
      <c r="DV201" s="136"/>
      <c r="DW201" s="136"/>
      <c r="DX201" s="136"/>
      <c r="DY201" s="136"/>
      <c r="DZ201" s="136"/>
      <c r="EA201" s="136"/>
      <c r="EB201" s="136"/>
      <c r="EC201" s="136"/>
      <c r="ED201" s="136"/>
      <c r="EE201" s="136"/>
      <c r="EF201" s="136"/>
      <c r="EG201" s="136"/>
      <c r="EH201" s="136"/>
      <c r="EI201" s="136"/>
      <c r="EJ201" s="136"/>
      <c r="EK201" s="136"/>
      <c r="EL201" s="136"/>
      <c r="EM201" s="136"/>
      <c r="EN201" s="136"/>
      <c r="EO201" s="136"/>
      <c r="EP201" s="136"/>
      <c r="EQ201" s="136"/>
      <c r="ER201" s="136"/>
      <c r="ES201" s="136"/>
      <c r="ET201" s="136"/>
      <c r="EU201" s="136"/>
      <c r="EV201" s="136"/>
      <c r="EW201" s="136"/>
      <c r="EX201" s="136"/>
      <c r="EY201" s="136"/>
      <c r="EZ201" s="136"/>
      <c r="FA201" s="136"/>
      <c r="FB201" s="136"/>
      <c r="FC201" s="136"/>
      <c r="FD201" s="136"/>
      <c r="FE201" s="137"/>
      <c r="FF201" s="138"/>
    </row>
    <row r="202" spans="1:162" ht="12.75" x14ac:dyDescent="0.2">
      <c r="A202" s="93">
        <v>196</v>
      </c>
      <c r="B202" s="145" t="s">
        <v>270</v>
      </c>
      <c r="C202" s="141" t="s">
        <v>873</v>
      </c>
      <c r="D202" s="142" t="s">
        <v>868</v>
      </c>
      <c r="E202" s="149" t="s">
        <v>269</v>
      </c>
      <c r="F202" s="542">
        <v>56738384</v>
      </c>
      <c r="G202" s="542">
        <v>0</v>
      </c>
      <c r="H202" s="542">
        <v>56738384</v>
      </c>
      <c r="I202" s="542">
        <v>-600</v>
      </c>
      <c r="J202" s="542">
        <v>0</v>
      </c>
      <c r="K202" s="542">
        <v>-600</v>
      </c>
      <c r="L202" s="542">
        <v>51343</v>
      </c>
      <c r="M202" s="542">
        <v>0</v>
      </c>
      <c r="N202" s="542">
        <v>51343</v>
      </c>
      <c r="O202" s="542">
        <v>-1149041</v>
      </c>
      <c r="P202" s="542">
        <v>0</v>
      </c>
      <c r="Q202" s="542">
        <v>-1149041</v>
      </c>
      <c r="R202" s="542">
        <v>0</v>
      </c>
      <c r="S202" s="542">
        <v>0</v>
      </c>
      <c r="T202" s="542">
        <v>0</v>
      </c>
      <c r="U202" s="542">
        <v>-1738986</v>
      </c>
      <c r="V202" s="542">
        <v>0</v>
      </c>
      <c r="W202" s="542">
        <v>-1738986</v>
      </c>
      <c r="X202" s="542">
        <v>960639</v>
      </c>
      <c r="Y202" s="542">
        <v>0</v>
      </c>
      <c r="Z202" s="542">
        <v>960639</v>
      </c>
      <c r="AA202" s="542">
        <v>-307754</v>
      </c>
      <c r="AB202" s="542">
        <v>0</v>
      </c>
      <c r="AC202" s="542">
        <v>-307754</v>
      </c>
      <c r="AD202" s="542">
        <v>55703026</v>
      </c>
      <c r="AE202" s="542">
        <v>0</v>
      </c>
      <c r="AF202" s="542">
        <v>55703026</v>
      </c>
      <c r="AG202" s="542">
        <v>0</v>
      </c>
      <c r="AH202" s="542">
        <v>0</v>
      </c>
      <c r="AI202" s="542">
        <v>0</v>
      </c>
      <c r="AJ202" s="542">
        <v>1402</v>
      </c>
      <c r="AK202" s="542">
        <v>0</v>
      </c>
      <c r="AL202" s="542">
        <v>0</v>
      </c>
      <c r="AM202" s="542">
        <v>1402</v>
      </c>
      <c r="AN202" s="542">
        <v>0</v>
      </c>
      <c r="AO202" s="542">
        <v>0</v>
      </c>
      <c r="AP202" s="542">
        <v>0</v>
      </c>
      <c r="AQ202" s="542">
        <v>0</v>
      </c>
      <c r="AR202" s="542">
        <v>0</v>
      </c>
      <c r="AS202" s="542">
        <v>0</v>
      </c>
      <c r="AT202" s="542">
        <v>0</v>
      </c>
      <c r="AU202" s="542">
        <v>0</v>
      </c>
      <c r="AV202" s="542">
        <v>7360990</v>
      </c>
      <c r="AW202" s="542">
        <v>-946333</v>
      </c>
      <c r="AX202" s="136"/>
      <c r="AY202" s="136"/>
      <c r="AZ202" s="136"/>
      <c r="BA202" s="136"/>
      <c r="BB202" s="136"/>
      <c r="BC202" s="136"/>
      <c r="BD202" s="136"/>
      <c r="BE202" s="136"/>
      <c r="BF202" s="136"/>
      <c r="BG202" s="136"/>
      <c r="BH202" s="136"/>
      <c r="BI202" s="136"/>
      <c r="BJ202" s="136"/>
      <c r="BK202" s="136"/>
      <c r="BL202" s="136"/>
      <c r="BM202" s="136"/>
      <c r="BN202" s="136"/>
      <c r="BO202" s="136"/>
      <c r="BP202" s="136"/>
      <c r="BQ202" s="136"/>
      <c r="BR202" s="136"/>
      <c r="BS202" s="136"/>
      <c r="BT202" s="136"/>
      <c r="BU202" s="136"/>
      <c r="BV202" s="136"/>
      <c r="BW202" s="136"/>
      <c r="BX202" s="136"/>
      <c r="BY202" s="136"/>
      <c r="BZ202" s="136"/>
      <c r="CA202" s="136"/>
      <c r="CB202" s="136"/>
      <c r="CC202" s="136"/>
      <c r="CD202" s="136"/>
      <c r="CE202" s="136"/>
      <c r="CF202" s="136"/>
      <c r="CG202" s="136"/>
      <c r="CH202" s="136"/>
      <c r="CI202" s="136"/>
      <c r="CJ202" s="136"/>
      <c r="CK202" s="136"/>
      <c r="CL202" s="136"/>
      <c r="CM202" s="136"/>
      <c r="CN202" s="136"/>
      <c r="CO202" s="136"/>
      <c r="CP202" s="136"/>
      <c r="CQ202" s="136"/>
      <c r="CR202" s="136"/>
      <c r="CS202" s="136"/>
      <c r="CT202" s="136"/>
      <c r="CU202" s="136"/>
      <c r="CV202" s="136"/>
      <c r="CW202" s="136"/>
      <c r="CX202" s="136"/>
      <c r="CY202" s="136"/>
      <c r="CZ202" s="136"/>
      <c r="DA202" s="136"/>
      <c r="DB202" s="136"/>
      <c r="DC202" s="136"/>
      <c r="DD202" s="136"/>
      <c r="DE202" s="136"/>
      <c r="DF202" s="136"/>
      <c r="DG202" s="136"/>
      <c r="DH202" s="136"/>
      <c r="DI202" s="136"/>
      <c r="DJ202" s="136"/>
      <c r="DK202" s="136"/>
      <c r="DL202" s="136"/>
      <c r="DM202" s="136"/>
      <c r="DN202" s="136"/>
      <c r="DO202" s="136"/>
      <c r="DP202" s="136"/>
      <c r="DQ202" s="136"/>
      <c r="DR202" s="136"/>
      <c r="DS202" s="136"/>
      <c r="DT202" s="136"/>
      <c r="DU202" s="136"/>
      <c r="DV202" s="136"/>
      <c r="DW202" s="136"/>
      <c r="DX202" s="136"/>
      <c r="DY202" s="136"/>
      <c r="DZ202" s="136"/>
      <c r="EA202" s="136"/>
      <c r="EB202" s="136"/>
      <c r="EC202" s="136"/>
      <c r="ED202" s="136"/>
      <c r="EE202" s="136"/>
      <c r="EF202" s="136"/>
      <c r="EG202" s="136"/>
      <c r="EH202" s="136"/>
      <c r="EI202" s="136"/>
      <c r="EJ202" s="136"/>
      <c r="EK202" s="136"/>
      <c r="EL202" s="136"/>
      <c r="EM202" s="136"/>
      <c r="EN202" s="136"/>
      <c r="EO202" s="136"/>
      <c r="EP202" s="136"/>
      <c r="EQ202" s="136"/>
      <c r="ER202" s="136"/>
      <c r="ES202" s="136"/>
      <c r="ET202" s="136"/>
      <c r="EU202" s="136"/>
      <c r="EV202" s="136"/>
      <c r="EW202" s="136"/>
      <c r="EX202" s="136"/>
      <c r="EY202" s="136"/>
      <c r="EZ202" s="136"/>
      <c r="FA202" s="136"/>
      <c r="FB202" s="136"/>
      <c r="FC202" s="136"/>
      <c r="FD202" s="136"/>
      <c r="FE202" s="137"/>
      <c r="FF202" s="138"/>
    </row>
    <row r="203" spans="1:162" ht="12.75" x14ac:dyDescent="0.2">
      <c r="A203" s="93">
        <v>197</v>
      </c>
      <c r="B203" s="145" t="s">
        <v>272</v>
      </c>
      <c r="C203" s="141" t="s">
        <v>866</v>
      </c>
      <c r="D203" s="142" t="s">
        <v>867</v>
      </c>
      <c r="E203" s="149" t="s">
        <v>271</v>
      </c>
      <c r="F203" s="542">
        <v>85002455</v>
      </c>
      <c r="G203" s="542">
        <v>0</v>
      </c>
      <c r="H203" s="542">
        <v>85002455</v>
      </c>
      <c r="I203" s="542">
        <v>0</v>
      </c>
      <c r="J203" s="542">
        <v>0</v>
      </c>
      <c r="K203" s="542">
        <v>0</v>
      </c>
      <c r="L203" s="542">
        <v>75672</v>
      </c>
      <c r="M203" s="542">
        <v>0</v>
      </c>
      <c r="N203" s="542">
        <v>75672</v>
      </c>
      <c r="O203" s="542">
        <v>0</v>
      </c>
      <c r="P203" s="542">
        <v>0</v>
      </c>
      <c r="Q203" s="542">
        <v>0</v>
      </c>
      <c r="R203" s="542">
        <v>-833848</v>
      </c>
      <c r="S203" s="542">
        <v>0</v>
      </c>
      <c r="T203" s="542">
        <v>-833848</v>
      </c>
      <c r="U203" s="542">
        <v>634822</v>
      </c>
      <c r="V203" s="542">
        <v>0</v>
      </c>
      <c r="W203" s="542">
        <v>634822</v>
      </c>
      <c r="X203" s="542">
        <v>3059026</v>
      </c>
      <c r="Y203" s="542">
        <v>0</v>
      </c>
      <c r="Z203" s="542">
        <v>3059026</v>
      </c>
      <c r="AA203" s="542">
        <v>-12822276</v>
      </c>
      <c r="AB203" s="542">
        <v>0</v>
      </c>
      <c r="AC203" s="542">
        <v>-12822276</v>
      </c>
      <c r="AD203" s="542">
        <v>75115851</v>
      </c>
      <c r="AE203" s="542">
        <v>0</v>
      </c>
      <c r="AF203" s="542">
        <v>75115851</v>
      </c>
      <c r="AG203" s="542">
        <v>0</v>
      </c>
      <c r="AH203" s="542">
        <v>0</v>
      </c>
      <c r="AI203" s="542">
        <v>0</v>
      </c>
      <c r="AJ203" s="542">
        <v>0</v>
      </c>
      <c r="AK203" s="542">
        <v>0</v>
      </c>
      <c r="AL203" s="542">
        <v>0</v>
      </c>
      <c r="AM203" s="542">
        <v>0</v>
      </c>
      <c r="AN203" s="542">
        <v>0</v>
      </c>
      <c r="AO203" s="542">
        <v>0</v>
      </c>
      <c r="AP203" s="542">
        <v>0</v>
      </c>
      <c r="AQ203" s="542">
        <v>0</v>
      </c>
      <c r="AR203" s="542">
        <v>0</v>
      </c>
      <c r="AS203" s="542">
        <v>0</v>
      </c>
      <c r="AT203" s="542">
        <v>0</v>
      </c>
      <c r="AU203" s="542">
        <v>0</v>
      </c>
      <c r="AV203" s="542">
        <v>2238972</v>
      </c>
      <c r="AW203" s="542">
        <v>-1881764</v>
      </c>
      <c r="AX203" s="136"/>
      <c r="AY203" s="136"/>
      <c r="AZ203" s="136"/>
      <c r="BA203" s="136"/>
      <c r="BB203" s="136"/>
      <c r="BC203" s="136"/>
      <c r="BD203" s="136"/>
      <c r="BE203" s="136"/>
      <c r="BF203" s="136"/>
      <c r="BG203" s="136"/>
      <c r="BH203" s="136"/>
      <c r="BI203" s="136"/>
      <c r="BJ203" s="136"/>
      <c r="BK203" s="136"/>
      <c r="BL203" s="136"/>
      <c r="BM203" s="136"/>
      <c r="BN203" s="136"/>
      <c r="BO203" s="136"/>
      <c r="BP203" s="136"/>
      <c r="BQ203" s="136"/>
      <c r="BR203" s="136"/>
      <c r="BS203" s="136"/>
      <c r="BT203" s="136"/>
      <c r="BU203" s="136"/>
      <c r="BV203" s="136"/>
      <c r="BW203" s="136"/>
      <c r="BX203" s="136"/>
      <c r="BY203" s="136"/>
      <c r="BZ203" s="136"/>
      <c r="CA203" s="136"/>
      <c r="CB203" s="136"/>
      <c r="CC203" s="136"/>
      <c r="CD203" s="136"/>
      <c r="CE203" s="136"/>
      <c r="CF203" s="136"/>
      <c r="CG203" s="136"/>
      <c r="CH203" s="136"/>
      <c r="CI203" s="136"/>
      <c r="CJ203" s="136"/>
      <c r="CK203" s="136"/>
      <c r="CL203" s="136"/>
      <c r="CM203" s="136"/>
      <c r="CN203" s="136"/>
      <c r="CO203" s="136"/>
      <c r="CP203" s="136"/>
      <c r="CQ203" s="136"/>
      <c r="CR203" s="136"/>
      <c r="CS203" s="136"/>
      <c r="CT203" s="136"/>
      <c r="CU203" s="136"/>
      <c r="CV203" s="136"/>
      <c r="CW203" s="136"/>
      <c r="CX203" s="136"/>
      <c r="CY203" s="136"/>
      <c r="CZ203" s="136"/>
      <c r="DA203" s="136"/>
      <c r="DB203" s="136"/>
      <c r="DC203" s="136"/>
      <c r="DD203" s="136"/>
      <c r="DE203" s="136"/>
      <c r="DF203" s="136"/>
      <c r="DG203" s="136"/>
      <c r="DH203" s="136"/>
      <c r="DI203" s="136"/>
      <c r="DJ203" s="136"/>
      <c r="DK203" s="136"/>
      <c r="DL203" s="136"/>
      <c r="DM203" s="136"/>
      <c r="DN203" s="136"/>
      <c r="DO203" s="136"/>
      <c r="DP203" s="136"/>
      <c r="DQ203" s="136"/>
      <c r="DR203" s="136"/>
      <c r="DS203" s="136"/>
      <c r="DT203" s="136"/>
      <c r="DU203" s="136"/>
      <c r="DV203" s="136"/>
      <c r="DW203" s="136"/>
      <c r="DX203" s="136"/>
      <c r="DY203" s="136"/>
      <c r="DZ203" s="136"/>
      <c r="EA203" s="136"/>
      <c r="EB203" s="136"/>
      <c r="EC203" s="136"/>
      <c r="ED203" s="136"/>
      <c r="EE203" s="136"/>
      <c r="EF203" s="136"/>
      <c r="EG203" s="136"/>
      <c r="EH203" s="136"/>
      <c r="EI203" s="136"/>
      <c r="EJ203" s="136"/>
      <c r="EK203" s="136"/>
      <c r="EL203" s="136"/>
      <c r="EM203" s="136"/>
      <c r="EN203" s="136"/>
      <c r="EO203" s="136"/>
      <c r="EP203" s="136"/>
      <c r="EQ203" s="136"/>
      <c r="ER203" s="136"/>
      <c r="ES203" s="136"/>
      <c r="ET203" s="136"/>
      <c r="EU203" s="136"/>
      <c r="EV203" s="136"/>
      <c r="EW203" s="136"/>
      <c r="EX203" s="136"/>
      <c r="EY203" s="136"/>
      <c r="EZ203" s="136"/>
      <c r="FA203" s="136"/>
      <c r="FB203" s="136"/>
      <c r="FC203" s="136"/>
      <c r="FD203" s="136"/>
      <c r="FE203" s="137"/>
      <c r="FF203" s="138"/>
    </row>
    <row r="204" spans="1:162" ht="12.75" x14ac:dyDescent="0.2">
      <c r="A204" s="93">
        <v>198</v>
      </c>
      <c r="B204" s="145" t="s">
        <v>274</v>
      </c>
      <c r="C204" s="141" t="s">
        <v>866</v>
      </c>
      <c r="D204" s="142" t="s">
        <v>868</v>
      </c>
      <c r="E204" s="149" t="s">
        <v>273</v>
      </c>
      <c r="F204" s="542">
        <v>19377540</v>
      </c>
      <c r="G204" s="542">
        <v>0</v>
      </c>
      <c r="H204" s="542">
        <v>19377540</v>
      </c>
      <c r="I204" s="542">
        <v>0</v>
      </c>
      <c r="J204" s="542">
        <v>0</v>
      </c>
      <c r="K204" s="542">
        <v>0</v>
      </c>
      <c r="L204" s="542">
        <v>81551</v>
      </c>
      <c r="M204" s="542">
        <v>0</v>
      </c>
      <c r="N204" s="542">
        <v>81551</v>
      </c>
      <c r="O204" s="542">
        <v>0</v>
      </c>
      <c r="P204" s="542">
        <v>0</v>
      </c>
      <c r="Q204" s="542">
        <v>0</v>
      </c>
      <c r="R204" s="542">
        <v>-94675</v>
      </c>
      <c r="S204" s="542">
        <v>0</v>
      </c>
      <c r="T204" s="542">
        <v>-94675</v>
      </c>
      <c r="U204" s="542">
        <v>10000</v>
      </c>
      <c r="V204" s="542">
        <v>0</v>
      </c>
      <c r="W204" s="542">
        <v>10000</v>
      </c>
      <c r="X204" s="542">
        <v>97282</v>
      </c>
      <c r="Y204" s="542">
        <v>0</v>
      </c>
      <c r="Z204" s="542">
        <v>97282</v>
      </c>
      <c r="AA204" s="542">
        <v>-1197119</v>
      </c>
      <c r="AB204" s="542">
        <v>0</v>
      </c>
      <c r="AC204" s="542">
        <v>-1197119</v>
      </c>
      <c r="AD204" s="542">
        <v>18274579</v>
      </c>
      <c r="AE204" s="542">
        <v>0</v>
      </c>
      <c r="AF204" s="542">
        <v>18274579</v>
      </c>
      <c r="AG204" s="542">
        <v>0</v>
      </c>
      <c r="AH204" s="542">
        <v>0</v>
      </c>
      <c r="AI204" s="542">
        <v>0</v>
      </c>
      <c r="AJ204" s="542">
        <v>0</v>
      </c>
      <c r="AK204" s="542">
        <v>0</v>
      </c>
      <c r="AL204" s="542">
        <v>0</v>
      </c>
      <c r="AM204" s="542">
        <v>0</v>
      </c>
      <c r="AN204" s="542">
        <v>0</v>
      </c>
      <c r="AO204" s="542">
        <v>0</v>
      </c>
      <c r="AP204" s="542">
        <v>0</v>
      </c>
      <c r="AQ204" s="542">
        <v>0</v>
      </c>
      <c r="AR204" s="542">
        <v>0</v>
      </c>
      <c r="AS204" s="542">
        <v>0</v>
      </c>
      <c r="AT204" s="542">
        <v>0</v>
      </c>
      <c r="AU204" s="542">
        <v>0</v>
      </c>
      <c r="AV204" s="542">
        <v>983544</v>
      </c>
      <c r="AW204" s="542">
        <v>-135499</v>
      </c>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36"/>
      <c r="BS204" s="136"/>
      <c r="BT204" s="136"/>
      <c r="BU204" s="136"/>
      <c r="BV204" s="136"/>
      <c r="BW204" s="136"/>
      <c r="BX204" s="136"/>
      <c r="BY204" s="136"/>
      <c r="BZ204" s="136"/>
      <c r="CA204" s="136"/>
      <c r="CB204" s="136"/>
      <c r="CC204" s="136"/>
      <c r="CD204" s="136"/>
      <c r="CE204" s="136"/>
      <c r="CF204" s="136"/>
      <c r="CG204" s="136"/>
      <c r="CH204" s="136"/>
      <c r="CI204" s="136"/>
      <c r="CJ204" s="136"/>
      <c r="CK204" s="136"/>
      <c r="CL204" s="136"/>
      <c r="CM204" s="136"/>
      <c r="CN204" s="136"/>
      <c r="CO204" s="136"/>
      <c r="CP204" s="136"/>
      <c r="CQ204" s="136"/>
      <c r="CR204" s="136"/>
      <c r="CS204" s="136"/>
      <c r="CT204" s="136"/>
      <c r="CU204" s="136"/>
      <c r="CV204" s="136"/>
      <c r="CW204" s="136"/>
      <c r="CX204" s="136"/>
      <c r="CY204" s="136"/>
      <c r="CZ204" s="136"/>
      <c r="DA204" s="136"/>
      <c r="DB204" s="136"/>
      <c r="DC204" s="136"/>
      <c r="DD204" s="136"/>
      <c r="DE204" s="136"/>
      <c r="DF204" s="136"/>
      <c r="DG204" s="136"/>
      <c r="DH204" s="136"/>
      <c r="DI204" s="136"/>
      <c r="DJ204" s="136"/>
      <c r="DK204" s="136"/>
      <c r="DL204" s="136"/>
      <c r="DM204" s="136"/>
      <c r="DN204" s="136"/>
      <c r="DO204" s="136"/>
      <c r="DP204" s="136"/>
      <c r="DQ204" s="136"/>
      <c r="DR204" s="136"/>
      <c r="DS204" s="136"/>
      <c r="DT204" s="136"/>
      <c r="DU204" s="136"/>
      <c r="DV204" s="136"/>
      <c r="DW204" s="136"/>
      <c r="DX204" s="136"/>
      <c r="DY204" s="136"/>
      <c r="DZ204" s="136"/>
      <c r="EA204" s="136"/>
      <c r="EB204" s="136"/>
      <c r="EC204" s="136"/>
      <c r="ED204" s="136"/>
      <c r="EE204" s="136"/>
      <c r="EF204" s="136"/>
      <c r="EG204" s="136"/>
      <c r="EH204" s="136"/>
      <c r="EI204" s="136"/>
      <c r="EJ204" s="136"/>
      <c r="EK204" s="136"/>
      <c r="EL204" s="136"/>
      <c r="EM204" s="136"/>
      <c r="EN204" s="136"/>
      <c r="EO204" s="136"/>
      <c r="EP204" s="136"/>
      <c r="EQ204" s="136"/>
      <c r="ER204" s="136"/>
      <c r="ES204" s="136"/>
      <c r="ET204" s="136"/>
      <c r="EU204" s="136"/>
      <c r="EV204" s="136"/>
      <c r="EW204" s="136"/>
      <c r="EX204" s="136"/>
      <c r="EY204" s="136"/>
      <c r="EZ204" s="136"/>
      <c r="FA204" s="136"/>
      <c r="FB204" s="136"/>
      <c r="FC204" s="136"/>
      <c r="FD204" s="136"/>
      <c r="FE204" s="137"/>
      <c r="FF204" s="138"/>
    </row>
    <row r="205" spans="1:162" ht="12.75" x14ac:dyDescent="0.2">
      <c r="A205" s="93">
        <v>199</v>
      </c>
      <c r="B205" s="145" t="s">
        <v>276</v>
      </c>
      <c r="C205" s="141" t="s">
        <v>770</v>
      </c>
      <c r="D205" s="142" t="s">
        <v>870</v>
      </c>
      <c r="E205" s="149" t="s">
        <v>715</v>
      </c>
      <c r="F205" s="542">
        <v>94826931</v>
      </c>
      <c r="G205" s="542">
        <v>0</v>
      </c>
      <c r="H205" s="542">
        <v>94826931</v>
      </c>
      <c r="I205" s="542">
        <v>0</v>
      </c>
      <c r="J205" s="542">
        <v>0</v>
      </c>
      <c r="K205" s="542">
        <v>0</v>
      </c>
      <c r="L205" s="542">
        <v>456261</v>
      </c>
      <c r="M205" s="542">
        <v>0</v>
      </c>
      <c r="N205" s="542">
        <v>456261</v>
      </c>
      <c r="O205" s="542">
        <v>-81239</v>
      </c>
      <c r="P205" s="542">
        <v>0</v>
      </c>
      <c r="Q205" s="542">
        <v>-81239</v>
      </c>
      <c r="R205" s="542">
        <v>-36405</v>
      </c>
      <c r="S205" s="542">
        <v>0</v>
      </c>
      <c r="T205" s="542">
        <v>-36405</v>
      </c>
      <c r="U205" s="542">
        <v>-1045914</v>
      </c>
      <c r="V205" s="542">
        <v>0</v>
      </c>
      <c r="W205" s="542">
        <v>-1045914</v>
      </c>
      <c r="X205" s="542">
        <v>0</v>
      </c>
      <c r="Y205" s="542">
        <v>0</v>
      </c>
      <c r="Z205" s="542">
        <v>0</v>
      </c>
      <c r="AA205" s="542">
        <v>-2165611</v>
      </c>
      <c r="AB205" s="542">
        <v>0</v>
      </c>
      <c r="AC205" s="542">
        <v>-2165611</v>
      </c>
      <c r="AD205" s="542">
        <v>92035262</v>
      </c>
      <c r="AE205" s="542">
        <v>0</v>
      </c>
      <c r="AF205" s="542">
        <v>92035262</v>
      </c>
      <c r="AG205" s="542">
        <v>0</v>
      </c>
      <c r="AH205" s="542">
        <v>0</v>
      </c>
      <c r="AI205" s="542">
        <v>0</v>
      </c>
      <c r="AJ205" s="542">
        <v>0</v>
      </c>
      <c r="AK205" s="542">
        <v>0</v>
      </c>
      <c r="AL205" s="542">
        <v>0</v>
      </c>
      <c r="AM205" s="542">
        <v>0</v>
      </c>
      <c r="AN205" s="542">
        <v>0</v>
      </c>
      <c r="AO205" s="542">
        <v>0</v>
      </c>
      <c r="AP205" s="542">
        <v>0</v>
      </c>
      <c r="AQ205" s="542">
        <v>0</v>
      </c>
      <c r="AR205" s="542">
        <v>0</v>
      </c>
      <c r="AS205" s="542">
        <v>0</v>
      </c>
      <c r="AT205" s="542">
        <v>0</v>
      </c>
      <c r="AU205" s="542">
        <v>0</v>
      </c>
      <c r="AV205" s="542">
        <v>9112474</v>
      </c>
      <c r="AW205" s="542">
        <v>-2121957</v>
      </c>
      <c r="AX205" s="136"/>
      <c r="AY205" s="136"/>
      <c r="AZ205" s="136"/>
      <c r="BA205" s="136"/>
      <c r="BB205" s="136"/>
      <c r="BC205" s="136"/>
      <c r="BD205" s="136"/>
      <c r="BE205" s="136"/>
      <c r="BF205" s="136"/>
      <c r="BG205" s="136"/>
      <c r="BH205" s="136"/>
      <c r="BI205" s="136"/>
      <c r="BJ205" s="136"/>
      <c r="BK205" s="136"/>
      <c r="BL205" s="136"/>
      <c r="BM205" s="136"/>
      <c r="BN205" s="136"/>
      <c r="BO205" s="136"/>
      <c r="BP205" s="136"/>
      <c r="BQ205" s="136"/>
      <c r="BR205" s="136"/>
      <c r="BS205" s="136"/>
      <c r="BT205" s="136"/>
      <c r="BU205" s="136"/>
      <c r="BV205" s="136"/>
      <c r="BW205" s="136"/>
      <c r="BX205" s="136"/>
      <c r="BY205" s="136"/>
      <c r="BZ205" s="136"/>
      <c r="CA205" s="136"/>
      <c r="CB205" s="136"/>
      <c r="CC205" s="136"/>
      <c r="CD205" s="136"/>
      <c r="CE205" s="136"/>
      <c r="CF205" s="136"/>
      <c r="CG205" s="136"/>
      <c r="CH205" s="136"/>
      <c r="CI205" s="136"/>
      <c r="CJ205" s="136"/>
      <c r="CK205" s="136"/>
      <c r="CL205" s="136"/>
      <c r="CM205" s="136"/>
      <c r="CN205" s="136"/>
      <c r="CO205" s="136"/>
      <c r="CP205" s="136"/>
      <c r="CQ205" s="136"/>
      <c r="CR205" s="136"/>
      <c r="CS205" s="136"/>
      <c r="CT205" s="136"/>
      <c r="CU205" s="136"/>
      <c r="CV205" s="136"/>
      <c r="CW205" s="136"/>
      <c r="CX205" s="136"/>
      <c r="CY205" s="136"/>
      <c r="CZ205" s="136"/>
      <c r="DA205" s="136"/>
      <c r="DB205" s="136"/>
      <c r="DC205" s="136"/>
      <c r="DD205" s="136"/>
      <c r="DE205" s="136"/>
      <c r="DF205" s="136"/>
      <c r="DG205" s="136"/>
      <c r="DH205" s="136"/>
      <c r="DI205" s="136"/>
      <c r="DJ205" s="136"/>
      <c r="DK205" s="136"/>
      <c r="DL205" s="136"/>
      <c r="DM205" s="136"/>
      <c r="DN205" s="136"/>
      <c r="DO205" s="136"/>
      <c r="DP205" s="136"/>
      <c r="DQ205" s="136"/>
      <c r="DR205" s="136"/>
      <c r="DS205" s="136"/>
      <c r="DT205" s="136"/>
      <c r="DU205" s="136"/>
      <c r="DV205" s="136"/>
      <c r="DW205" s="136"/>
      <c r="DX205" s="136"/>
      <c r="DY205" s="136"/>
      <c r="DZ205" s="136"/>
      <c r="EA205" s="136"/>
      <c r="EB205" s="136"/>
      <c r="EC205" s="136"/>
      <c r="ED205" s="136"/>
      <c r="EE205" s="136"/>
      <c r="EF205" s="136"/>
      <c r="EG205" s="136"/>
      <c r="EH205" s="136"/>
      <c r="EI205" s="136"/>
      <c r="EJ205" s="136"/>
      <c r="EK205" s="136"/>
      <c r="EL205" s="136"/>
      <c r="EM205" s="136"/>
      <c r="EN205" s="136"/>
      <c r="EO205" s="136"/>
      <c r="EP205" s="136"/>
      <c r="EQ205" s="136"/>
      <c r="ER205" s="136"/>
      <c r="ES205" s="136"/>
      <c r="ET205" s="136"/>
      <c r="EU205" s="136"/>
      <c r="EV205" s="136"/>
      <c r="EW205" s="136"/>
      <c r="EX205" s="136"/>
      <c r="EY205" s="136"/>
      <c r="EZ205" s="136"/>
      <c r="FA205" s="136"/>
      <c r="FB205" s="136"/>
      <c r="FC205" s="136"/>
      <c r="FD205" s="136"/>
      <c r="FE205" s="137"/>
      <c r="FF205" s="138"/>
    </row>
    <row r="206" spans="1:162" ht="12.75" x14ac:dyDescent="0.2">
      <c r="A206" s="93">
        <v>200</v>
      </c>
      <c r="B206" s="145" t="s">
        <v>278</v>
      </c>
      <c r="C206" s="141" t="s">
        <v>770</v>
      </c>
      <c r="D206" s="142" t="s">
        <v>875</v>
      </c>
      <c r="E206" s="149" t="s">
        <v>716</v>
      </c>
      <c r="F206" s="542">
        <v>90767482</v>
      </c>
      <c r="G206" s="542">
        <v>0</v>
      </c>
      <c r="H206" s="542">
        <v>90767482</v>
      </c>
      <c r="I206" s="542">
        <v>0</v>
      </c>
      <c r="J206" s="542">
        <v>0</v>
      </c>
      <c r="K206" s="542">
        <v>0</v>
      </c>
      <c r="L206" s="542">
        <v>395908</v>
      </c>
      <c r="M206" s="542">
        <v>0</v>
      </c>
      <c r="N206" s="542">
        <v>395908</v>
      </c>
      <c r="O206" s="542">
        <v>-421009</v>
      </c>
      <c r="P206" s="542">
        <v>0</v>
      </c>
      <c r="Q206" s="542">
        <v>-421009</v>
      </c>
      <c r="R206" s="542">
        <v>0</v>
      </c>
      <c r="S206" s="542">
        <v>0</v>
      </c>
      <c r="T206" s="542">
        <v>0</v>
      </c>
      <c r="U206" s="542">
        <v>-673803</v>
      </c>
      <c r="V206" s="542">
        <v>0</v>
      </c>
      <c r="W206" s="542">
        <v>-673803</v>
      </c>
      <c r="X206" s="542">
        <v>742007</v>
      </c>
      <c r="Y206" s="542">
        <v>0</v>
      </c>
      <c r="Z206" s="542">
        <v>742007</v>
      </c>
      <c r="AA206" s="542">
        <v>-702247</v>
      </c>
      <c r="AB206" s="542">
        <v>0</v>
      </c>
      <c r="AC206" s="542">
        <v>-702247</v>
      </c>
      <c r="AD206" s="542">
        <v>90529347</v>
      </c>
      <c r="AE206" s="542">
        <v>0</v>
      </c>
      <c r="AF206" s="542">
        <v>90529347</v>
      </c>
      <c r="AG206" s="542">
        <v>0</v>
      </c>
      <c r="AH206" s="542">
        <v>0</v>
      </c>
      <c r="AI206" s="542">
        <v>0</v>
      </c>
      <c r="AJ206" s="542">
        <v>0</v>
      </c>
      <c r="AK206" s="542">
        <v>0</v>
      </c>
      <c r="AL206" s="542">
        <v>0</v>
      </c>
      <c r="AM206" s="542">
        <v>0</v>
      </c>
      <c r="AN206" s="542">
        <v>0</v>
      </c>
      <c r="AO206" s="542">
        <v>0</v>
      </c>
      <c r="AP206" s="542">
        <v>0</v>
      </c>
      <c r="AQ206" s="542">
        <v>0</v>
      </c>
      <c r="AR206" s="542">
        <v>0</v>
      </c>
      <c r="AS206" s="542">
        <v>0</v>
      </c>
      <c r="AT206" s="542">
        <v>0</v>
      </c>
      <c r="AU206" s="542">
        <v>0</v>
      </c>
      <c r="AV206" s="542">
        <v>4272441</v>
      </c>
      <c r="AW206" s="542">
        <v>-1171891</v>
      </c>
      <c r="AX206" s="136"/>
      <c r="AY206" s="136"/>
      <c r="AZ206" s="136"/>
      <c r="BA206" s="136"/>
      <c r="BB206" s="136"/>
      <c r="BC206" s="136"/>
      <c r="BD206" s="136"/>
      <c r="BE206" s="136"/>
      <c r="BF206" s="136"/>
      <c r="BG206" s="136"/>
      <c r="BH206" s="136"/>
      <c r="BI206" s="136"/>
      <c r="BJ206" s="136"/>
      <c r="BK206" s="136"/>
      <c r="BL206" s="136"/>
      <c r="BM206" s="136"/>
      <c r="BN206" s="136"/>
      <c r="BO206" s="136"/>
      <c r="BP206" s="136"/>
      <c r="BQ206" s="136"/>
      <c r="BR206" s="136"/>
      <c r="BS206" s="136"/>
      <c r="BT206" s="136"/>
      <c r="BU206" s="136"/>
      <c r="BV206" s="136"/>
      <c r="BW206" s="136"/>
      <c r="BX206" s="136"/>
      <c r="BY206" s="136"/>
      <c r="BZ206" s="136"/>
      <c r="CA206" s="136"/>
      <c r="CB206" s="136"/>
      <c r="CC206" s="136"/>
      <c r="CD206" s="136"/>
      <c r="CE206" s="136"/>
      <c r="CF206" s="136"/>
      <c r="CG206" s="136"/>
      <c r="CH206" s="136"/>
      <c r="CI206" s="136"/>
      <c r="CJ206" s="136"/>
      <c r="CK206" s="136"/>
      <c r="CL206" s="136"/>
      <c r="CM206" s="136"/>
      <c r="CN206" s="136"/>
      <c r="CO206" s="136"/>
      <c r="CP206" s="136"/>
      <c r="CQ206" s="136"/>
      <c r="CR206" s="136"/>
      <c r="CS206" s="136"/>
      <c r="CT206" s="136"/>
      <c r="CU206" s="136"/>
      <c r="CV206" s="136"/>
      <c r="CW206" s="136"/>
      <c r="CX206" s="136"/>
      <c r="CY206" s="136"/>
      <c r="CZ206" s="136"/>
      <c r="DA206" s="136"/>
      <c r="DB206" s="136"/>
      <c r="DC206" s="136"/>
      <c r="DD206" s="136"/>
      <c r="DE206" s="136"/>
      <c r="DF206" s="136"/>
      <c r="DG206" s="136"/>
      <c r="DH206" s="136"/>
      <c r="DI206" s="136"/>
      <c r="DJ206" s="136"/>
      <c r="DK206" s="136"/>
      <c r="DL206" s="136"/>
      <c r="DM206" s="136"/>
      <c r="DN206" s="136"/>
      <c r="DO206" s="136"/>
      <c r="DP206" s="136"/>
      <c r="DQ206" s="136"/>
      <c r="DR206" s="136"/>
      <c r="DS206" s="136"/>
      <c r="DT206" s="136"/>
      <c r="DU206" s="136"/>
      <c r="DV206" s="136"/>
      <c r="DW206" s="136"/>
      <c r="DX206" s="136"/>
      <c r="DY206" s="136"/>
      <c r="DZ206" s="136"/>
      <c r="EA206" s="136"/>
      <c r="EB206" s="136"/>
      <c r="EC206" s="136"/>
      <c r="ED206" s="136"/>
      <c r="EE206" s="136"/>
      <c r="EF206" s="136"/>
      <c r="EG206" s="136"/>
      <c r="EH206" s="136"/>
      <c r="EI206" s="136"/>
      <c r="EJ206" s="136"/>
      <c r="EK206" s="136"/>
      <c r="EL206" s="136"/>
      <c r="EM206" s="136"/>
      <c r="EN206" s="136"/>
      <c r="EO206" s="136"/>
      <c r="EP206" s="136"/>
      <c r="EQ206" s="136"/>
      <c r="ER206" s="136"/>
      <c r="ES206" s="136"/>
      <c r="ET206" s="136"/>
      <c r="EU206" s="136"/>
      <c r="EV206" s="136"/>
      <c r="EW206" s="136"/>
      <c r="EX206" s="136"/>
      <c r="EY206" s="136"/>
      <c r="EZ206" s="136"/>
      <c r="FA206" s="136"/>
      <c r="FB206" s="136"/>
      <c r="FC206" s="136"/>
      <c r="FD206" s="136"/>
      <c r="FE206" s="137"/>
      <c r="FF206" s="138"/>
    </row>
    <row r="207" spans="1:162" ht="12.75" x14ac:dyDescent="0.2">
      <c r="A207" s="93">
        <v>201</v>
      </c>
      <c r="B207" s="145" t="s">
        <v>280</v>
      </c>
      <c r="C207" s="141" t="s">
        <v>770</v>
      </c>
      <c r="D207" s="142" t="s">
        <v>875</v>
      </c>
      <c r="E207" s="149" t="s">
        <v>717</v>
      </c>
      <c r="F207" s="542">
        <v>60616991</v>
      </c>
      <c r="G207" s="542">
        <v>0</v>
      </c>
      <c r="H207" s="542">
        <v>60616991</v>
      </c>
      <c r="I207" s="542">
        <v>0</v>
      </c>
      <c r="J207" s="542">
        <v>0</v>
      </c>
      <c r="K207" s="542">
        <v>0</v>
      </c>
      <c r="L207" s="542">
        <v>317729</v>
      </c>
      <c r="M207" s="542">
        <v>0</v>
      </c>
      <c r="N207" s="542">
        <v>317729</v>
      </c>
      <c r="O207" s="542">
        <v>-378482</v>
      </c>
      <c r="P207" s="542">
        <v>0</v>
      </c>
      <c r="Q207" s="542">
        <v>-378482</v>
      </c>
      <c r="R207" s="542">
        <v>0</v>
      </c>
      <c r="S207" s="542">
        <v>0</v>
      </c>
      <c r="T207" s="542">
        <v>0</v>
      </c>
      <c r="U207" s="542">
        <v>-461359</v>
      </c>
      <c r="V207" s="542">
        <v>0</v>
      </c>
      <c r="W207" s="542">
        <v>-461359</v>
      </c>
      <c r="X207" s="542">
        <v>2497655</v>
      </c>
      <c r="Y207" s="542">
        <v>0</v>
      </c>
      <c r="Z207" s="542">
        <v>2497655</v>
      </c>
      <c r="AA207" s="542">
        <v>-2339939</v>
      </c>
      <c r="AB207" s="542">
        <v>0</v>
      </c>
      <c r="AC207" s="542">
        <v>-2339939</v>
      </c>
      <c r="AD207" s="542">
        <v>60631077</v>
      </c>
      <c r="AE207" s="542">
        <v>0</v>
      </c>
      <c r="AF207" s="542">
        <v>60631077</v>
      </c>
      <c r="AG207" s="542">
        <v>0</v>
      </c>
      <c r="AH207" s="542">
        <v>0</v>
      </c>
      <c r="AI207" s="542">
        <v>0</v>
      </c>
      <c r="AJ207" s="542">
        <v>0</v>
      </c>
      <c r="AK207" s="542">
        <v>0</v>
      </c>
      <c r="AL207" s="542">
        <v>0</v>
      </c>
      <c r="AM207" s="542">
        <v>0</v>
      </c>
      <c r="AN207" s="542">
        <v>0</v>
      </c>
      <c r="AO207" s="542">
        <v>0</v>
      </c>
      <c r="AP207" s="542">
        <v>0</v>
      </c>
      <c r="AQ207" s="542">
        <v>0</v>
      </c>
      <c r="AR207" s="542">
        <v>0</v>
      </c>
      <c r="AS207" s="542">
        <v>0</v>
      </c>
      <c r="AT207" s="542">
        <v>0</v>
      </c>
      <c r="AU207" s="542">
        <v>0</v>
      </c>
      <c r="AV207" s="542">
        <v>1121384</v>
      </c>
      <c r="AW207" s="542">
        <v>-1061484</v>
      </c>
      <c r="AX207" s="136"/>
      <c r="AY207" s="136"/>
      <c r="AZ207" s="136"/>
      <c r="BA207" s="136"/>
      <c r="BB207" s="136"/>
      <c r="BC207" s="136"/>
      <c r="BD207" s="136"/>
      <c r="BE207" s="136"/>
      <c r="BF207" s="136"/>
      <c r="BG207" s="136"/>
      <c r="BH207" s="136"/>
      <c r="BI207" s="136"/>
      <c r="BJ207" s="136"/>
      <c r="BK207" s="136"/>
      <c r="BL207" s="136"/>
      <c r="BM207" s="136"/>
      <c r="BN207" s="136"/>
      <c r="BO207" s="136"/>
      <c r="BP207" s="136"/>
      <c r="BQ207" s="136"/>
      <c r="BR207" s="136"/>
      <c r="BS207" s="136"/>
      <c r="BT207" s="136"/>
      <c r="BU207" s="136"/>
      <c r="BV207" s="136"/>
      <c r="BW207" s="136"/>
      <c r="BX207" s="136"/>
      <c r="BY207" s="136"/>
      <c r="BZ207" s="136"/>
      <c r="CA207" s="136"/>
      <c r="CB207" s="136"/>
      <c r="CC207" s="136"/>
      <c r="CD207" s="136"/>
      <c r="CE207" s="136"/>
      <c r="CF207" s="136"/>
      <c r="CG207" s="136"/>
      <c r="CH207" s="136"/>
      <c r="CI207" s="136"/>
      <c r="CJ207" s="136"/>
      <c r="CK207" s="136"/>
      <c r="CL207" s="136"/>
      <c r="CM207" s="136"/>
      <c r="CN207" s="136"/>
      <c r="CO207" s="136"/>
      <c r="CP207" s="136"/>
      <c r="CQ207" s="136"/>
      <c r="CR207" s="136"/>
      <c r="CS207" s="136"/>
      <c r="CT207" s="136"/>
      <c r="CU207" s="136"/>
      <c r="CV207" s="136"/>
      <c r="CW207" s="136"/>
      <c r="CX207" s="136"/>
      <c r="CY207" s="136"/>
      <c r="CZ207" s="136"/>
      <c r="DA207" s="136"/>
      <c r="DB207" s="136"/>
      <c r="DC207" s="136"/>
      <c r="DD207" s="136"/>
      <c r="DE207" s="136"/>
      <c r="DF207" s="136"/>
      <c r="DG207" s="136"/>
      <c r="DH207" s="136"/>
      <c r="DI207" s="136"/>
      <c r="DJ207" s="136"/>
      <c r="DK207" s="136"/>
      <c r="DL207" s="136"/>
      <c r="DM207" s="136"/>
      <c r="DN207" s="136"/>
      <c r="DO207" s="136"/>
      <c r="DP207" s="136"/>
      <c r="DQ207" s="136"/>
      <c r="DR207" s="136"/>
      <c r="DS207" s="136"/>
      <c r="DT207" s="136"/>
      <c r="DU207" s="136"/>
      <c r="DV207" s="136"/>
      <c r="DW207" s="136"/>
      <c r="DX207" s="136"/>
      <c r="DY207" s="136"/>
      <c r="DZ207" s="136"/>
      <c r="EA207" s="136"/>
      <c r="EB207" s="136"/>
      <c r="EC207" s="136"/>
      <c r="ED207" s="136"/>
      <c r="EE207" s="136"/>
      <c r="EF207" s="136"/>
      <c r="EG207" s="136"/>
      <c r="EH207" s="136"/>
      <c r="EI207" s="136"/>
      <c r="EJ207" s="136"/>
      <c r="EK207" s="136"/>
      <c r="EL207" s="136"/>
      <c r="EM207" s="136"/>
      <c r="EN207" s="136"/>
      <c r="EO207" s="136"/>
      <c r="EP207" s="136"/>
      <c r="EQ207" s="136"/>
      <c r="ER207" s="136"/>
      <c r="ES207" s="136"/>
      <c r="ET207" s="136"/>
      <c r="EU207" s="136"/>
      <c r="EV207" s="136"/>
      <c r="EW207" s="136"/>
      <c r="EX207" s="136"/>
      <c r="EY207" s="136"/>
      <c r="EZ207" s="136"/>
      <c r="FA207" s="136"/>
      <c r="FB207" s="136"/>
      <c r="FC207" s="136"/>
      <c r="FD207" s="136"/>
      <c r="FE207" s="137"/>
      <c r="FF207" s="138"/>
    </row>
    <row r="208" spans="1:162" ht="12.75" x14ac:dyDescent="0.2">
      <c r="A208" s="93">
        <v>202</v>
      </c>
      <c r="B208" s="145" t="s">
        <v>282</v>
      </c>
      <c r="C208" s="141" t="s">
        <v>770</v>
      </c>
      <c r="D208" s="142" t="s">
        <v>867</v>
      </c>
      <c r="E208" s="149" t="s">
        <v>718</v>
      </c>
      <c r="F208" s="542">
        <v>81727913</v>
      </c>
      <c r="G208" s="542">
        <v>0</v>
      </c>
      <c r="H208" s="542">
        <v>81727913</v>
      </c>
      <c r="I208" s="542">
        <v>-17709</v>
      </c>
      <c r="J208" s="542">
        <v>0</v>
      </c>
      <c r="K208" s="542">
        <v>-17709</v>
      </c>
      <c r="L208" s="542">
        <v>147086</v>
      </c>
      <c r="M208" s="542">
        <v>0</v>
      </c>
      <c r="N208" s="542">
        <v>147086</v>
      </c>
      <c r="O208" s="542">
        <v>-848274</v>
      </c>
      <c r="P208" s="542">
        <v>0</v>
      </c>
      <c r="Q208" s="542">
        <v>-848274</v>
      </c>
      <c r="R208" s="542">
        <v>0</v>
      </c>
      <c r="S208" s="542">
        <v>0</v>
      </c>
      <c r="T208" s="542">
        <v>0</v>
      </c>
      <c r="U208" s="542">
        <v>-1061274</v>
      </c>
      <c r="V208" s="542">
        <v>0</v>
      </c>
      <c r="W208" s="542">
        <v>-1061274</v>
      </c>
      <c r="X208" s="542">
        <v>4008448</v>
      </c>
      <c r="Y208" s="542">
        <v>0</v>
      </c>
      <c r="Z208" s="542">
        <v>4008448</v>
      </c>
      <c r="AA208" s="542">
        <v>-6091806</v>
      </c>
      <c r="AB208" s="542">
        <v>0</v>
      </c>
      <c r="AC208" s="542">
        <v>-6091806</v>
      </c>
      <c r="AD208" s="542">
        <v>78712658</v>
      </c>
      <c r="AE208" s="542">
        <v>0</v>
      </c>
      <c r="AF208" s="542">
        <v>78712658</v>
      </c>
      <c r="AG208" s="542">
        <v>0</v>
      </c>
      <c r="AH208" s="542">
        <v>0</v>
      </c>
      <c r="AI208" s="542">
        <v>0</v>
      </c>
      <c r="AJ208" s="542">
        <v>0</v>
      </c>
      <c r="AK208" s="542">
        <v>0</v>
      </c>
      <c r="AL208" s="542">
        <v>0</v>
      </c>
      <c r="AM208" s="542">
        <v>0</v>
      </c>
      <c r="AN208" s="542">
        <v>0</v>
      </c>
      <c r="AO208" s="542">
        <v>0</v>
      </c>
      <c r="AP208" s="542">
        <v>0</v>
      </c>
      <c r="AQ208" s="542">
        <v>0</v>
      </c>
      <c r="AR208" s="542">
        <v>0</v>
      </c>
      <c r="AS208" s="542">
        <v>0</v>
      </c>
      <c r="AT208" s="542">
        <v>0</v>
      </c>
      <c r="AU208" s="542">
        <v>0</v>
      </c>
      <c r="AV208" s="542">
        <v>4770496</v>
      </c>
      <c r="AW208" s="542">
        <v>-1732552</v>
      </c>
      <c r="AX208" s="136"/>
      <c r="AY208" s="136"/>
      <c r="AZ208" s="136"/>
      <c r="BA208" s="136"/>
      <c r="BB208" s="136"/>
      <c r="BC208" s="136"/>
      <c r="BD208" s="136"/>
      <c r="BE208" s="136"/>
      <c r="BF208" s="136"/>
      <c r="BG208" s="136"/>
      <c r="BH208" s="136"/>
      <c r="BI208" s="136"/>
      <c r="BJ208" s="136"/>
      <c r="BK208" s="136"/>
      <c r="BL208" s="136"/>
      <c r="BM208" s="136"/>
      <c r="BN208" s="136"/>
      <c r="BO208" s="136"/>
      <c r="BP208" s="136"/>
      <c r="BQ208" s="136"/>
      <c r="BR208" s="136"/>
      <c r="BS208" s="136"/>
      <c r="BT208" s="136"/>
      <c r="BU208" s="136"/>
      <c r="BV208" s="136"/>
      <c r="BW208" s="136"/>
      <c r="BX208" s="136"/>
      <c r="BY208" s="136"/>
      <c r="BZ208" s="136"/>
      <c r="CA208" s="136"/>
      <c r="CB208" s="136"/>
      <c r="CC208" s="136"/>
      <c r="CD208" s="136"/>
      <c r="CE208" s="136"/>
      <c r="CF208" s="136"/>
      <c r="CG208" s="136"/>
      <c r="CH208" s="136"/>
      <c r="CI208" s="136"/>
      <c r="CJ208" s="136"/>
      <c r="CK208" s="136"/>
      <c r="CL208" s="136"/>
      <c r="CM208" s="136"/>
      <c r="CN208" s="136"/>
      <c r="CO208" s="136"/>
      <c r="CP208" s="136"/>
      <c r="CQ208" s="136"/>
      <c r="CR208" s="136"/>
      <c r="CS208" s="136"/>
      <c r="CT208" s="136"/>
      <c r="CU208" s="136"/>
      <c r="CV208" s="136"/>
      <c r="CW208" s="136"/>
      <c r="CX208" s="136"/>
      <c r="CY208" s="136"/>
      <c r="CZ208" s="136"/>
      <c r="DA208" s="136"/>
      <c r="DB208" s="136"/>
      <c r="DC208" s="136"/>
      <c r="DD208" s="136"/>
      <c r="DE208" s="136"/>
      <c r="DF208" s="136"/>
      <c r="DG208" s="136"/>
      <c r="DH208" s="136"/>
      <c r="DI208" s="136"/>
      <c r="DJ208" s="136"/>
      <c r="DK208" s="136"/>
      <c r="DL208" s="136"/>
      <c r="DM208" s="136"/>
      <c r="DN208" s="136"/>
      <c r="DO208" s="136"/>
      <c r="DP208" s="136"/>
      <c r="DQ208" s="136"/>
      <c r="DR208" s="136"/>
      <c r="DS208" s="136"/>
      <c r="DT208" s="136"/>
      <c r="DU208" s="136"/>
      <c r="DV208" s="136"/>
      <c r="DW208" s="136"/>
      <c r="DX208" s="136"/>
      <c r="DY208" s="136"/>
      <c r="DZ208" s="136"/>
      <c r="EA208" s="136"/>
      <c r="EB208" s="136"/>
      <c r="EC208" s="136"/>
      <c r="ED208" s="136"/>
      <c r="EE208" s="136"/>
      <c r="EF208" s="136"/>
      <c r="EG208" s="136"/>
      <c r="EH208" s="136"/>
      <c r="EI208" s="136"/>
      <c r="EJ208" s="136"/>
      <c r="EK208" s="136"/>
      <c r="EL208" s="136"/>
      <c r="EM208" s="136"/>
      <c r="EN208" s="136"/>
      <c r="EO208" s="136"/>
      <c r="EP208" s="136"/>
      <c r="EQ208" s="136"/>
      <c r="ER208" s="136"/>
      <c r="ES208" s="136"/>
      <c r="ET208" s="136"/>
      <c r="EU208" s="136"/>
      <c r="EV208" s="136"/>
      <c r="EW208" s="136"/>
      <c r="EX208" s="136"/>
      <c r="EY208" s="136"/>
      <c r="EZ208" s="136"/>
      <c r="FA208" s="136"/>
      <c r="FB208" s="136"/>
      <c r="FC208" s="136"/>
      <c r="FD208" s="136"/>
      <c r="FE208" s="137"/>
      <c r="FF208" s="138"/>
    </row>
    <row r="209" spans="1:162" ht="12.75" x14ac:dyDescent="0.2">
      <c r="A209" s="93">
        <v>203</v>
      </c>
      <c r="B209" s="145" t="s">
        <v>284</v>
      </c>
      <c r="C209" s="141" t="s">
        <v>866</v>
      </c>
      <c r="D209" s="142" t="s">
        <v>868</v>
      </c>
      <c r="E209" s="149" t="s">
        <v>283</v>
      </c>
      <c r="F209" s="542">
        <v>67463759</v>
      </c>
      <c r="G209" s="542">
        <v>0</v>
      </c>
      <c r="H209" s="542">
        <v>67463759</v>
      </c>
      <c r="I209" s="542">
        <v>-1708</v>
      </c>
      <c r="J209" s="542">
        <v>0</v>
      </c>
      <c r="K209" s="542">
        <v>-1708</v>
      </c>
      <c r="L209" s="542">
        <v>298965</v>
      </c>
      <c r="M209" s="542">
        <v>0</v>
      </c>
      <c r="N209" s="542">
        <v>298965</v>
      </c>
      <c r="O209" s="542">
        <v>-434257</v>
      </c>
      <c r="P209" s="542">
        <v>0</v>
      </c>
      <c r="Q209" s="542">
        <v>-434257</v>
      </c>
      <c r="R209" s="542">
        <v>0</v>
      </c>
      <c r="S209" s="542">
        <v>0</v>
      </c>
      <c r="T209" s="542">
        <v>0</v>
      </c>
      <c r="U209" s="542">
        <v>-1098672</v>
      </c>
      <c r="V209" s="542">
        <v>0</v>
      </c>
      <c r="W209" s="542">
        <v>-1098672</v>
      </c>
      <c r="X209" s="542">
        <v>3208295</v>
      </c>
      <c r="Y209" s="542">
        <v>0</v>
      </c>
      <c r="Z209" s="542">
        <v>3208295</v>
      </c>
      <c r="AA209" s="542">
        <v>-6845461</v>
      </c>
      <c r="AB209" s="542">
        <v>0</v>
      </c>
      <c r="AC209" s="542">
        <v>-6845461</v>
      </c>
      <c r="AD209" s="542">
        <v>63025178</v>
      </c>
      <c r="AE209" s="542">
        <v>0</v>
      </c>
      <c r="AF209" s="542">
        <v>63025178</v>
      </c>
      <c r="AG209" s="542">
        <v>0</v>
      </c>
      <c r="AH209" s="542">
        <v>0</v>
      </c>
      <c r="AI209" s="542">
        <v>0</v>
      </c>
      <c r="AJ209" s="542">
        <v>3842</v>
      </c>
      <c r="AK209" s="542">
        <v>0</v>
      </c>
      <c r="AL209" s="542">
        <v>0</v>
      </c>
      <c r="AM209" s="542">
        <v>3842</v>
      </c>
      <c r="AN209" s="542">
        <v>0</v>
      </c>
      <c r="AO209" s="542">
        <v>0</v>
      </c>
      <c r="AP209" s="542">
        <v>0</v>
      </c>
      <c r="AQ209" s="542">
        <v>0</v>
      </c>
      <c r="AR209" s="542">
        <v>0</v>
      </c>
      <c r="AS209" s="542">
        <v>0</v>
      </c>
      <c r="AT209" s="542">
        <v>0</v>
      </c>
      <c r="AU209" s="542">
        <v>0</v>
      </c>
      <c r="AV209" s="542">
        <v>3945299</v>
      </c>
      <c r="AW209" s="542">
        <v>-929670</v>
      </c>
      <c r="AX209" s="136"/>
      <c r="AY209" s="136"/>
      <c r="AZ209" s="136"/>
      <c r="BA209" s="136"/>
      <c r="BB209" s="136"/>
      <c r="BC209" s="136"/>
      <c r="BD209" s="136"/>
      <c r="BE209" s="136"/>
      <c r="BF209" s="136"/>
      <c r="BG209" s="136"/>
      <c r="BH209" s="136"/>
      <c r="BI209" s="136"/>
      <c r="BJ209" s="136"/>
      <c r="BK209" s="136"/>
      <c r="BL209" s="136"/>
      <c r="BM209" s="136"/>
      <c r="BN209" s="136"/>
      <c r="BO209" s="136"/>
      <c r="BP209" s="136"/>
      <c r="BQ209" s="136"/>
      <c r="BR209" s="136"/>
      <c r="BS209" s="136"/>
      <c r="BT209" s="136"/>
      <c r="BU209" s="136"/>
      <c r="BV209" s="136"/>
      <c r="BW209" s="136"/>
      <c r="BX209" s="136"/>
      <c r="BY209" s="136"/>
      <c r="BZ209" s="136"/>
      <c r="CA209" s="136"/>
      <c r="CB209" s="136"/>
      <c r="CC209" s="136"/>
      <c r="CD209" s="136"/>
      <c r="CE209" s="136"/>
      <c r="CF209" s="136"/>
      <c r="CG209" s="136"/>
      <c r="CH209" s="136"/>
      <c r="CI209" s="136"/>
      <c r="CJ209" s="136"/>
      <c r="CK209" s="136"/>
      <c r="CL209" s="136"/>
      <c r="CM209" s="136"/>
      <c r="CN209" s="136"/>
      <c r="CO209" s="136"/>
      <c r="CP209" s="136"/>
      <c r="CQ209" s="136"/>
      <c r="CR209" s="136"/>
      <c r="CS209" s="136"/>
      <c r="CT209" s="136"/>
      <c r="CU209" s="136"/>
      <c r="CV209" s="136"/>
      <c r="CW209" s="136"/>
      <c r="CX209" s="136"/>
      <c r="CY209" s="136"/>
      <c r="CZ209" s="136"/>
      <c r="DA209" s="136"/>
      <c r="DB209" s="136"/>
      <c r="DC209" s="136"/>
      <c r="DD209" s="136"/>
      <c r="DE209" s="136"/>
      <c r="DF209" s="136"/>
      <c r="DG209" s="136"/>
      <c r="DH209" s="136"/>
      <c r="DI209" s="136"/>
      <c r="DJ209" s="136"/>
      <c r="DK209" s="136"/>
      <c r="DL209" s="136"/>
      <c r="DM209" s="136"/>
      <c r="DN209" s="136"/>
      <c r="DO209" s="136"/>
      <c r="DP209" s="136"/>
      <c r="DQ209" s="136"/>
      <c r="DR209" s="136"/>
      <c r="DS209" s="136"/>
      <c r="DT209" s="136"/>
      <c r="DU209" s="136"/>
      <c r="DV209" s="136"/>
      <c r="DW209" s="136"/>
      <c r="DX209" s="136"/>
      <c r="DY209" s="136"/>
      <c r="DZ209" s="136"/>
      <c r="EA209" s="136"/>
      <c r="EB209" s="136"/>
      <c r="EC209" s="136"/>
      <c r="ED209" s="136"/>
      <c r="EE209" s="136"/>
      <c r="EF209" s="136"/>
      <c r="EG209" s="136"/>
      <c r="EH209" s="136"/>
      <c r="EI209" s="136"/>
      <c r="EJ209" s="136"/>
      <c r="EK209" s="136"/>
      <c r="EL209" s="136"/>
      <c r="EM209" s="136"/>
      <c r="EN209" s="136"/>
      <c r="EO209" s="136"/>
      <c r="EP209" s="136"/>
      <c r="EQ209" s="136"/>
      <c r="ER209" s="136"/>
      <c r="ES209" s="136"/>
      <c r="ET209" s="136"/>
      <c r="EU209" s="136"/>
      <c r="EV209" s="136"/>
      <c r="EW209" s="136"/>
      <c r="EX209" s="136"/>
      <c r="EY209" s="136"/>
      <c r="EZ209" s="136"/>
      <c r="FA209" s="136"/>
      <c r="FB209" s="136"/>
      <c r="FC209" s="136"/>
      <c r="FD209" s="136"/>
      <c r="FE209" s="137"/>
      <c r="FF209" s="138"/>
    </row>
    <row r="210" spans="1:162" ht="12.75" x14ac:dyDescent="0.2">
      <c r="A210" s="93">
        <v>204</v>
      </c>
      <c r="B210" s="145" t="s">
        <v>286</v>
      </c>
      <c r="C210" s="141" t="s">
        <v>866</v>
      </c>
      <c r="D210" s="142" t="s">
        <v>875</v>
      </c>
      <c r="E210" s="149" t="s">
        <v>285</v>
      </c>
      <c r="F210" s="542">
        <v>16850721</v>
      </c>
      <c r="G210" s="542">
        <v>0</v>
      </c>
      <c r="H210" s="542">
        <v>16850721</v>
      </c>
      <c r="I210" s="542">
        <v>0</v>
      </c>
      <c r="J210" s="542">
        <v>0</v>
      </c>
      <c r="K210" s="542">
        <v>0</v>
      </c>
      <c r="L210" s="542">
        <v>24224</v>
      </c>
      <c r="M210" s="542">
        <v>0</v>
      </c>
      <c r="N210" s="542">
        <v>24224</v>
      </c>
      <c r="O210" s="542">
        <v>-15154</v>
      </c>
      <c r="P210" s="542">
        <v>0</v>
      </c>
      <c r="Q210" s="542">
        <v>-15154</v>
      </c>
      <c r="R210" s="542">
        <v>0</v>
      </c>
      <c r="S210" s="542">
        <v>0</v>
      </c>
      <c r="T210" s="542">
        <v>0</v>
      </c>
      <c r="U210" s="542">
        <v>-80000</v>
      </c>
      <c r="V210" s="542">
        <v>0</v>
      </c>
      <c r="W210" s="542">
        <v>-80000</v>
      </c>
      <c r="X210" s="542">
        <v>0</v>
      </c>
      <c r="Y210" s="542">
        <v>0</v>
      </c>
      <c r="Z210" s="542">
        <v>0</v>
      </c>
      <c r="AA210" s="542">
        <v>-4115301</v>
      </c>
      <c r="AB210" s="542">
        <v>0</v>
      </c>
      <c r="AC210" s="542">
        <v>-4115301</v>
      </c>
      <c r="AD210" s="542">
        <v>12679644</v>
      </c>
      <c r="AE210" s="542">
        <v>0</v>
      </c>
      <c r="AF210" s="542">
        <v>12679644</v>
      </c>
      <c r="AG210" s="542">
        <v>0</v>
      </c>
      <c r="AH210" s="542">
        <v>0</v>
      </c>
      <c r="AI210" s="542">
        <v>0</v>
      </c>
      <c r="AJ210" s="542">
        <v>131565</v>
      </c>
      <c r="AK210" s="542">
        <v>0</v>
      </c>
      <c r="AL210" s="542">
        <v>0</v>
      </c>
      <c r="AM210" s="542">
        <v>131565</v>
      </c>
      <c r="AN210" s="542">
        <v>0</v>
      </c>
      <c r="AO210" s="542">
        <v>0</v>
      </c>
      <c r="AP210" s="542">
        <v>0</v>
      </c>
      <c r="AQ210" s="542">
        <v>0</v>
      </c>
      <c r="AR210" s="542">
        <v>0</v>
      </c>
      <c r="AS210" s="542">
        <v>0</v>
      </c>
      <c r="AT210" s="542">
        <v>0</v>
      </c>
      <c r="AU210" s="542">
        <v>0</v>
      </c>
      <c r="AV210" s="542">
        <v>707467</v>
      </c>
      <c r="AW210" s="542">
        <v>-124416</v>
      </c>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c r="EF210" s="136"/>
      <c r="EG210" s="136"/>
      <c r="EH210" s="136"/>
      <c r="EI210" s="136"/>
      <c r="EJ210" s="136"/>
      <c r="EK210" s="136"/>
      <c r="EL210" s="136"/>
      <c r="EM210" s="136"/>
      <c r="EN210" s="136"/>
      <c r="EO210" s="136"/>
      <c r="EP210" s="136"/>
      <c r="EQ210" s="136"/>
      <c r="ER210" s="136"/>
      <c r="ES210" s="136"/>
      <c r="ET210" s="136"/>
      <c r="EU210" s="136"/>
      <c r="EV210" s="136"/>
      <c r="EW210" s="136"/>
      <c r="EX210" s="136"/>
      <c r="EY210" s="136"/>
      <c r="EZ210" s="136"/>
      <c r="FA210" s="136"/>
      <c r="FB210" s="136"/>
      <c r="FC210" s="136"/>
      <c r="FD210" s="136"/>
      <c r="FE210" s="137"/>
      <c r="FF210" s="138"/>
    </row>
    <row r="211" spans="1:162" ht="12.75" x14ac:dyDescent="0.2">
      <c r="A211" s="93">
        <v>205</v>
      </c>
      <c r="B211" s="145" t="s">
        <v>288</v>
      </c>
      <c r="C211" s="141" t="s">
        <v>770</v>
      </c>
      <c r="D211" s="142" t="s">
        <v>867</v>
      </c>
      <c r="E211" s="149" t="s">
        <v>719</v>
      </c>
      <c r="F211" s="542">
        <v>106491341</v>
      </c>
      <c r="G211" s="542">
        <v>0</v>
      </c>
      <c r="H211" s="542">
        <v>106491341</v>
      </c>
      <c r="I211" s="542">
        <v>0</v>
      </c>
      <c r="J211" s="542">
        <v>0</v>
      </c>
      <c r="K211" s="542">
        <v>0</v>
      </c>
      <c r="L211" s="542">
        <v>499401</v>
      </c>
      <c r="M211" s="542">
        <v>0</v>
      </c>
      <c r="N211" s="542">
        <v>499401</v>
      </c>
      <c r="O211" s="542">
        <v>-2766795</v>
      </c>
      <c r="P211" s="542">
        <v>0</v>
      </c>
      <c r="Q211" s="542">
        <v>-2766795</v>
      </c>
      <c r="R211" s="542">
        <v>-38821</v>
      </c>
      <c r="S211" s="542">
        <v>0</v>
      </c>
      <c r="T211" s="542">
        <v>-38821</v>
      </c>
      <c r="U211" s="542">
        <v>-3334723</v>
      </c>
      <c r="V211" s="542">
        <v>0</v>
      </c>
      <c r="W211" s="542">
        <v>-3334723</v>
      </c>
      <c r="X211" s="542">
        <v>3871499</v>
      </c>
      <c r="Y211" s="542">
        <v>0</v>
      </c>
      <c r="Z211" s="542">
        <v>3871499</v>
      </c>
      <c r="AA211" s="542">
        <v>-1271499</v>
      </c>
      <c r="AB211" s="542">
        <v>0</v>
      </c>
      <c r="AC211" s="542">
        <v>-1271499</v>
      </c>
      <c r="AD211" s="542">
        <v>106217198</v>
      </c>
      <c r="AE211" s="542">
        <v>0</v>
      </c>
      <c r="AF211" s="542">
        <v>106217198</v>
      </c>
      <c r="AG211" s="542">
        <v>0</v>
      </c>
      <c r="AH211" s="542">
        <v>0</v>
      </c>
      <c r="AI211" s="542">
        <v>0</v>
      </c>
      <c r="AJ211" s="542">
        <v>0</v>
      </c>
      <c r="AK211" s="542">
        <v>0</v>
      </c>
      <c r="AL211" s="542">
        <v>0</v>
      </c>
      <c r="AM211" s="542">
        <v>0</v>
      </c>
      <c r="AN211" s="542">
        <v>0</v>
      </c>
      <c r="AO211" s="542">
        <v>0</v>
      </c>
      <c r="AP211" s="542">
        <v>0</v>
      </c>
      <c r="AQ211" s="542">
        <v>0</v>
      </c>
      <c r="AR211" s="542">
        <v>0</v>
      </c>
      <c r="AS211" s="542">
        <v>0</v>
      </c>
      <c r="AT211" s="542">
        <v>0</v>
      </c>
      <c r="AU211" s="542">
        <v>0</v>
      </c>
      <c r="AV211" s="542">
        <v>5821746</v>
      </c>
      <c r="AW211" s="542">
        <v>-2058236</v>
      </c>
      <c r="AX211" s="136"/>
      <c r="AY211" s="136"/>
      <c r="AZ211" s="136"/>
      <c r="BA211" s="136"/>
      <c r="BB211" s="136"/>
      <c r="BC211" s="136"/>
      <c r="BD211" s="136"/>
      <c r="BE211" s="136"/>
      <c r="BF211" s="136"/>
      <c r="BG211" s="136"/>
      <c r="BH211" s="136"/>
      <c r="BI211" s="136"/>
      <c r="BJ211" s="136"/>
      <c r="BK211" s="136"/>
      <c r="BL211" s="136"/>
      <c r="BM211" s="136"/>
      <c r="BN211" s="136"/>
      <c r="BO211" s="136"/>
      <c r="BP211" s="136"/>
      <c r="BQ211" s="136"/>
      <c r="BR211" s="136"/>
      <c r="BS211" s="136"/>
      <c r="BT211" s="136"/>
      <c r="BU211" s="136"/>
      <c r="BV211" s="136"/>
      <c r="BW211" s="136"/>
      <c r="BX211" s="136"/>
      <c r="BY211" s="136"/>
      <c r="BZ211" s="136"/>
      <c r="CA211" s="136"/>
      <c r="CB211" s="136"/>
      <c r="CC211" s="136"/>
      <c r="CD211" s="136"/>
      <c r="CE211" s="136"/>
      <c r="CF211" s="136"/>
      <c r="CG211" s="136"/>
      <c r="CH211" s="136"/>
      <c r="CI211" s="136"/>
      <c r="CJ211" s="136"/>
      <c r="CK211" s="136"/>
      <c r="CL211" s="136"/>
      <c r="CM211" s="136"/>
      <c r="CN211" s="136"/>
      <c r="CO211" s="136"/>
      <c r="CP211" s="136"/>
      <c r="CQ211" s="136"/>
      <c r="CR211" s="136"/>
      <c r="CS211" s="136"/>
      <c r="CT211" s="136"/>
      <c r="CU211" s="136"/>
      <c r="CV211" s="136"/>
      <c r="CW211" s="136"/>
      <c r="CX211" s="136"/>
      <c r="CY211" s="136"/>
      <c r="CZ211" s="136"/>
      <c r="DA211" s="136"/>
      <c r="DB211" s="136"/>
      <c r="DC211" s="136"/>
      <c r="DD211" s="136"/>
      <c r="DE211" s="136"/>
      <c r="DF211" s="136"/>
      <c r="DG211" s="136"/>
      <c r="DH211" s="136"/>
      <c r="DI211" s="136"/>
      <c r="DJ211" s="136"/>
      <c r="DK211" s="136"/>
      <c r="DL211" s="136"/>
      <c r="DM211" s="136"/>
      <c r="DN211" s="136"/>
      <c r="DO211" s="136"/>
      <c r="DP211" s="136"/>
      <c r="DQ211" s="136"/>
      <c r="DR211" s="136"/>
      <c r="DS211" s="136"/>
      <c r="DT211" s="136"/>
      <c r="DU211" s="136"/>
      <c r="DV211" s="136"/>
      <c r="DW211" s="136"/>
      <c r="DX211" s="136"/>
      <c r="DY211" s="136"/>
      <c r="DZ211" s="136"/>
      <c r="EA211" s="136"/>
      <c r="EB211" s="136"/>
      <c r="EC211" s="136"/>
      <c r="ED211" s="136"/>
      <c r="EE211" s="136"/>
      <c r="EF211" s="136"/>
      <c r="EG211" s="136"/>
      <c r="EH211" s="136"/>
      <c r="EI211" s="136"/>
      <c r="EJ211" s="136"/>
      <c r="EK211" s="136"/>
      <c r="EL211" s="136"/>
      <c r="EM211" s="136"/>
      <c r="EN211" s="136"/>
      <c r="EO211" s="136"/>
      <c r="EP211" s="136"/>
      <c r="EQ211" s="136"/>
      <c r="ER211" s="136"/>
      <c r="ES211" s="136"/>
      <c r="ET211" s="136"/>
      <c r="EU211" s="136"/>
      <c r="EV211" s="136"/>
      <c r="EW211" s="136"/>
      <c r="EX211" s="136"/>
      <c r="EY211" s="136"/>
      <c r="EZ211" s="136"/>
      <c r="FA211" s="136"/>
      <c r="FB211" s="136"/>
      <c r="FC211" s="136"/>
      <c r="FD211" s="136"/>
      <c r="FE211" s="137"/>
      <c r="FF211" s="138"/>
    </row>
    <row r="212" spans="1:162" ht="12.75" x14ac:dyDescent="0.2">
      <c r="A212" s="93">
        <v>206</v>
      </c>
      <c r="B212" s="145" t="s">
        <v>290</v>
      </c>
      <c r="C212" s="141" t="s">
        <v>871</v>
      </c>
      <c r="D212" s="142" t="s">
        <v>872</v>
      </c>
      <c r="E212" s="149" t="s">
        <v>289</v>
      </c>
      <c r="F212" s="542">
        <v>52054692</v>
      </c>
      <c r="G212" s="542">
        <v>0</v>
      </c>
      <c r="H212" s="542">
        <v>52054692</v>
      </c>
      <c r="I212" s="542">
        <v>-70</v>
      </c>
      <c r="J212" s="542">
        <v>0</v>
      </c>
      <c r="K212" s="542">
        <v>-70</v>
      </c>
      <c r="L212" s="542">
        <v>35251</v>
      </c>
      <c r="M212" s="542">
        <v>0</v>
      </c>
      <c r="N212" s="542">
        <v>35251</v>
      </c>
      <c r="O212" s="542">
        <v>-804600</v>
      </c>
      <c r="P212" s="542">
        <v>0</v>
      </c>
      <c r="Q212" s="542">
        <v>-804600</v>
      </c>
      <c r="R212" s="542">
        <v>0</v>
      </c>
      <c r="S212" s="542">
        <v>0</v>
      </c>
      <c r="T212" s="542">
        <v>0</v>
      </c>
      <c r="U212" s="542">
        <v>-955000</v>
      </c>
      <c r="V212" s="542">
        <v>0</v>
      </c>
      <c r="W212" s="542">
        <v>-955000</v>
      </c>
      <c r="X212" s="542">
        <v>0</v>
      </c>
      <c r="Y212" s="542">
        <v>0</v>
      </c>
      <c r="Z212" s="542">
        <v>0</v>
      </c>
      <c r="AA212" s="542">
        <v>-200000</v>
      </c>
      <c r="AB212" s="542">
        <v>0</v>
      </c>
      <c r="AC212" s="542">
        <v>-200000</v>
      </c>
      <c r="AD212" s="542">
        <v>50934873</v>
      </c>
      <c r="AE212" s="542">
        <v>0</v>
      </c>
      <c r="AF212" s="542">
        <v>50934873</v>
      </c>
      <c r="AG212" s="542">
        <v>0</v>
      </c>
      <c r="AH212" s="542">
        <v>0</v>
      </c>
      <c r="AI212" s="542">
        <v>0</v>
      </c>
      <c r="AJ212" s="542">
        <v>0</v>
      </c>
      <c r="AK212" s="542">
        <v>0</v>
      </c>
      <c r="AL212" s="542">
        <v>0</v>
      </c>
      <c r="AM212" s="542">
        <v>0</v>
      </c>
      <c r="AN212" s="542">
        <v>0</v>
      </c>
      <c r="AO212" s="542">
        <v>0</v>
      </c>
      <c r="AP212" s="542">
        <v>0</v>
      </c>
      <c r="AQ212" s="542">
        <v>0</v>
      </c>
      <c r="AR212" s="542">
        <v>0</v>
      </c>
      <c r="AS212" s="542">
        <v>0</v>
      </c>
      <c r="AT212" s="542">
        <v>0</v>
      </c>
      <c r="AU212" s="542">
        <v>0</v>
      </c>
      <c r="AV212" s="542">
        <v>8709438</v>
      </c>
      <c r="AW212" s="542">
        <v>-2070415</v>
      </c>
      <c r="AX212" s="136"/>
      <c r="AY212" s="136"/>
      <c r="AZ212" s="136"/>
      <c r="BA212" s="136"/>
      <c r="BB212" s="136"/>
      <c r="BC212" s="136"/>
      <c r="BD212" s="136"/>
      <c r="BE212" s="136"/>
      <c r="BF212" s="136"/>
      <c r="BG212" s="136"/>
      <c r="BH212" s="136"/>
      <c r="BI212" s="136"/>
      <c r="BJ212" s="136"/>
      <c r="BK212" s="136"/>
      <c r="BL212" s="136"/>
      <c r="BM212" s="136"/>
      <c r="BN212" s="136"/>
      <c r="BO212" s="136"/>
      <c r="BP212" s="136"/>
      <c r="BQ212" s="136"/>
      <c r="BR212" s="136"/>
      <c r="BS212" s="136"/>
      <c r="BT212" s="136"/>
      <c r="BU212" s="136"/>
      <c r="BV212" s="136"/>
      <c r="BW212" s="136"/>
      <c r="BX212" s="136"/>
      <c r="BY212" s="136"/>
      <c r="BZ212" s="136"/>
      <c r="CA212" s="136"/>
      <c r="CB212" s="136"/>
      <c r="CC212" s="136"/>
      <c r="CD212" s="136"/>
      <c r="CE212" s="136"/>
      <c r="CF212" s="136"/>
      <c r="CG212" s="136"/>
      <c r="CH212" s="136"/>
      <c r="CI212" s="136"/>
      <c r="CJ212" s="136"/>
      <c r="CK212" s="136"/>
      <c r="CL212" s="136"/>
      <c r="CM212" s="136"/>
      <c r="CN212" s="136"/>
      <c r="CO212" s="136"/>
      <c r="CP212" s="136"/>
      <c r="CQ212" s="136"/>
      <c r="CR212" s="136"/>
      <c r="CS212" s="136"/>
      <c r="CT212" s="136"/>
      <c r="CU212" s="136"/>
      <c r="CV212" s="136"/>
      <c r="CW212" s="136"/>
      <c r="CX212" s="136"/>
      <c r="CY212" s="136"/>
      <c r="CZ212" s="136"/>
      <c r="DA212" s="136"/>
      <c r="DB212" s="136"/>
      <c r="DC212" s="136"/>
      <c r="DD212" s="136"/>
      <c r="DE212" s="136"/>
      <c r="DF212" s="136"/>
      <c r="DG212" s="136"/>
      <c r="DH212" s="136"/>
      <c r="DI212" s="136"/>
      <c r="DJ212" s="136"/>
      <c r="DK212" s="136"/>
      <c r="DL212" s="136"/>
      <c r="DM212" s="136"/>
      <c r="DN212" s="136"/>
      <c r="DO212" s="136"/>
      <c r="DP212" s="136"/>
      <c r="DQ212" s="136"/>
      <c r="DR212" s="136"/>
      <c r="DS212" s="136"/>
      <c r="DT212" s="136"/>
      <c r="DU212" s="136"/>
      <c r="DV212" s="136"/>
      <c r="DW212" s="136"/>
      <c r="DX212" s="136"/>
      <c r="DY212" s="136"/>
      <c r="DZ212" s="136"/>
      <c r="EA212" s="136"/>
      <c r="EB212" s="136"/>
      <c r="EC212" s="136"/>
      <c r="ED212" s="136"/>
      <c r="EE212" s="136"/>
      <c r="EF212" s="136"/>
      <c r="EG212" s="136"/>
      <c r="EH212" s="136"/>
      <c r="EI212" s="136"/>
      <c r="EJ212" s="136"/>
      <c r="EK212" s="136"/>
      <c r="EL212" s="136"/>
      <c r="EM212" s="136"/>
      <c r="EN212" s="136"/>
      <c r="EO212" s="136"/>
      <c r="EP212" s="136"/>
      <c r="EQ212" s="136"/>
      <c r="ER212" s="136"/>
      <c r="ES212" s="136"/>
      <c r="ET212" s="136"/>
      <c r="EU212" s="136"/>
      <c r="EV212" s="136"/>
      <c r="EW212" s="136"/>
      <c r="EX212" s="136"/>
      <c r="EY212" s="136"/>
      <c r="EZ212" s="136"/>
      <c r="FA212" s="136"/>
      <c r="FB212" s="136"/>
      <c r="FC212" s="136"/>
      <c r="FD212" s="136"/>
      <c r="FE212" s="137"/>
      <c r="FF212" s="138"/>
    </row>
    <row r="213" spans="1:162" ht="12.75" x14ac:dyDescent="0.2">
      <c r="A213" s="93">
        <v>207</v>
      </c>
      <c r="B213" s="145" t="s">
        <v>292</v>
      </c>
      <c r="C213" s="141" t="s">
        <v>770</v>
      </c>
      <c r="D213" s="142" t="s">
        <v>878</v>
      </c>
      <c r="E213" s="149" t="s">
        <v>720</v>
      </c>
      <c r="F213" s="542">
        <v>40749909</v>
      </c>
      <c r="G213" s="542">
        <v>0</v>
      </c>
      <c r="H213" s="542">
        <v>40749909</v>
      </c>
      <c r="I213" s="542">
        <v>-88793</v>
      </c>
      <c r="J213" s="542">
        <v>0</v>
      </c>
      <c r="K213" s="542">
        <v>-88793</v>
      </c>
      <c r="L213" s="542">
        <v>0</v>
      </c>
      <c r="M213" s="542">
        <v>0</v>
      </c>
      <c r="N213" s="542">
        <v>0</v>
      </c>
      <c r="O213" s="542">
        <v>-428497</v>
      </c>
      <c r="P213" s="542">
        <v>0</v>
      </c>
      <c r="Q213" s="542">
        <v>-428497</v>
      </c>
      <c r="R213" s="542">
        <v>0</v>
      </c>
      <c r="S213" s="542">
        <v>0</v>
      </c>
      <c r="T213" s="542">
        <v>0</v>
      </c>
      <c r="U213" s="542">
        <v>-682671</v>
      </c>
      <c r="V213" s="542">
        <v>0</v>
      </c>
      <c r="W213" s="542">
        <v>-682671</v>
      </c>
      <c r="X213" s="542">
        <v>1831867</v>
      </c>
      <c r="Y213" s="542">
        <v>0</v>
      </c>
      <c r="Z213" s="542">
        <v>1831867</v>
      </c>
      <c r="AA213" s="542">
        <v>-1903016.3</v>
      </c>
      <c r="AB213" s="542">
        <v>0</v>
      </c>
      <c r="AC213" s="542">
        <v>-1903016.3</v>
      </c>
      <c r="AD213" s="542">
        <v>39907295.600000001</v>
      </c>
      <c r="AE213" s="542">
        <v>0</v>
      </c>
      <c r="AF213" s="542">
        <v>39907295.600000001</v>
      </c>
      <c r="AG213" s="542">
        <v>0</v>
      </c>
      <c r="AH213" s="542">
        <v>0</v>
      </c>
      <c r="AI213" s="542">
        <v>0</v>
      </c>
      <c r="AJ213" s="542">
        <v>0</v>
      </c>
      <c r="AK213" s="542">
        <v>0</v>
      </c>
      <c r="AL213" s="542">
        <v>0</v>
      </c>
      <c r="AM213" s="542">
        <v>0</v>
      </c>
      <c r="AN213" s="542">
        <v>0</v>
      </c>
      <c r="AO213" s="542">
        <v>0</v>
      </c>
      <c r="AP213" s="542">
        <v>0</v>
      </c>
      <c r="AQ213" s="542">
        <v>0</v>
      </c>
      <c r="AR213" s="542">
        <v>0</v>
      </c>
      <c r="AS213" s="542">
        <v>0</v>
      </c>
      <c r="AT213" s="542">
        <v>0</v>
      </c>
      <c r="AU213" s="542">
        <v>0</v>
      </c>
      <c r="AV213" s="542">
        <v>0</v>
      </c>
      <c r="AW213" s="542">
        <v>-1226716</v>
      </c>
      <c r="AX213" s="136"/>
      <c r="AY213" s="136"/>
      <c r="AZ213" s="136"/>
      <c r="BA213" s="136"/>
      <c r="BB213" s="136"/>
      <c r="BC213" s="136"/>
      <c r="BD213" s="136"/>
      <c r="BE213" s="136"/>
      <c r="BF213" s="136"/>
      <c r="BG213" s="136"/>
      <c r="BH213" s="136"/>
      <c r="BI213" s="136"/>
      <c r="BJ213" s="136"/>
      <c r="BK213" s="136"/>
      <c r="BL213" s="136"/>
      <c r="BM213" s="136"/>
      <c r="BN213" s="136"/>
      <c r="BO213" s="136"/>
      <c r="BP213" s="136"/>
      <c r="BQ213" s="136"/>
      <c r="BR213" s="136"/>
      <c r="BS213" s="136"/>
      <c r="BT213" s="136"/>
      <c r="BU213" s="136"/>
      <c r="BV213" s="136"/>
      <c r="BW213" s="136"/>
      <c r="BX213" s="136"/>
      <c r="BY213" s="136"/>
      <c r="BZ213" s="136"/>
      <c r="CA213" s="136"/>
      <c r="CB213" s="136"/>
      <c r="CC213" s="136"/>
      <c r="CD213" s="136"/>
      <c r="CE213" s="136"/>
      <c r="CF213" s="136"/>
      <c r="CG213" s="136"/>
      <c r="CH213" s="136"/>
      <c r="CI213" s="136"/>
      <c r="CJ213" s="136"/>
      <c r="CK213" s="136"/>
      <c r="CL213" s="136"/>
      <c r="CM213" s="136"/>
      <c r="CN213" s="136"/>
      <c r="CO213" s="136"/>
      <c r="CP213" s="136"/>
      <c r="CQ213" s="136"/>
      <c r="CR213" s="136"/>
      <c r="CS213" s="136"/>
      <c r="CT213" s="136"/>
      <c r="CU213" s="136"/>
      <c r="CV213" s="136"/>
      <c r="CW213" s="136"/>
      <c r="CX213" s="136"/>
      <c r="CY213" s="136"/>
      <c r="CZ213" s="136"/>
      <c r="DA213" s="136"/>
      <c r="DB213" s="136"/>
      <c r="DC213" s="136"/>
      <c r="DD213" s="136"/>
      <c r="DE213" s="136"/>
      <c r="DF213" s="136"/>
      <c r="DG213" s="136"/>
      <c r="DH213" s="136"/>
      <c r="DI213" s="136"/>
      <c r="DJ213" s="136"/>
      <c r="DK213" s="136"/>
      <c r="DL213" s="136"/>
      <c r="DM213" s="136"/>
      <c r="DN213" s="136"/>
      <c r="DO213" s="136"/>
      <c r="DP213" s="136"/>
      <c r="DQ213" s="136"/>
      <c r="DR213" s="136"/>
      <c r="DS213" s="136"/>
      <c r="DT213" s="136"/>
      <c r="DU213" s="136"/>
      <c r="DV213" s="136"/>
      <c r="DW213" s="136"/>
      <c r="DX213" s="136"/>
      <c r="DY213" s="136"/>
      <c r="DZ213" s="136"/>
      <c r="EA213" s="136"/>
      <c r="EB213" s="136"/>
      <c r="EC213" s="136"/>
      <c r="ED213" s="136"/>
      <c r="EE213" s="136"/>
      <c r="EF213" s="136"/>
      <c r="EG213" s="136"/>
      <c r="EH213" s="136"/>
      <c r="EI213" s="136"/>
      <c r="EJ213" s="136"/>
      <c r="EK213" s="136"/>
      <c r="EL213" s="136"/>
      <c r="EM213" s="136"/>
      <c r="EN213" s="136"/>
      <c r="EO213" s="136"/>
      <c r="EP213" s="136"/>
      <c r="EQ213" s="136"/>
      <c r="ER213" s="136"/>
      <c r="ES213" s="136"/>
      <c r="ET213" s="136"/>
      <c r="EU213" s="136"/>
      <c r="EV213" s="136"/>
      <c r="EW213" s="136"/>
      <c r="EX213" s="136"/>
      <c r="EY213" s="136"/>
      <c r="EZ213" s="136"/>
      <c r="FA213" s="136"/>
      <c r="FB213" s="136"/>
      <c r="FC213" s="136"/>
      <c r="FD213" s="136"/>
      <c r="FE213" s="137"/>
      <c r="FF213" s="138"/>
    </row>
    <row r="214" spans="1:162" ht="12.75" x14ac:dyDescent="0.2">
      <c r="A214" s="93">
        <v>208</v>
      </c>
      <c r="B214" s="145" t="s">
        <v>294</v>
      </c>
      <c r="C214" s="141" t="s">
        <v>866</v>
      </c>
      <c r="D214" s="142" t="s">
        <v>876</v>
      </c>
      <c r="E214" s="149" t="s">
        <v>293</v>
      </c>
      <c r="F214" s="542">
        <v>36112613</v>
      </c>
      <c r="G214" s="542">
        <v>0</v>
      </c>
      <c r="H214" s="542">
        <v>36112613</v>
      </c>
      <c r="I214" s="542">
        <v>0</v>
      </c>
      <c r="J214" s="542">
        <v>0</v>
      </c>
      <c r="K214" s="542">
        <v>0</v>
      </c>
      <c r="L214" s="542">
        <v>33120</v>
      </c>
      <c r="M214" s="542">
        <v>0</v>
      </c>
      <c r="N214" s="542">
        <v>33120</v>
      </c>
      <c r="O214" s="542">
        <v>-90964</v>
      </c>
      <c r="P214" s="542">
        <v>0</v>
      </c>
      <c r="Q214" s="542">
        <v>-90964</v>
      </c>
      <c r="R214" s="542">
        <v>0</v>
      </c>
      <c r="S214" s="542">
        <v>0</v>
      </c>
      <c r="T214" s="542">
        <v>0</v>
      </c>
      <c r="U214" s="542">
        <v>-234369</v>
      </c>
      <c r="V214" s="542">
        <v>0</v>
      </c>
      <c r="W214" s="542">
        <v>-234369</v>
      </c>
      <c r="X214" s="542">
        <v>0</v>
      </c>
      <c r="Y214" s="542">
        <v>0</v>
      </c>
      <c r="Z214" s="542">
        <v>0</v>
      </c>
      <c r="AA214" s="542">
        <v>-2458989</v>
      </c>
      <c r="AB214" s="542">
        <v>0</v>
      </c>
      <c r="AC214" s="542">
        <v>-2458989</v>
      </c>
      <c r="AD214" s="542">
        <v>33452375</v>
      </c>
      <c r="AE214" s="542">
        <v>0</v>
      </c>
      <c r="AF214" s="542">
        <v>33452375</v>
      </c>
      <c r="AG214" s="542">
        <v>0</v>
      </c>
      <c r="AH214" s="542">
        <v>0</v>
      </c>
      <c r="AI214" s="542">
        <v>0</v>
      </c>
      <c r="AJ214" s="542">
        <v>0</v>
      </c>
      <c r="AK214" s="542">
        <v>0</v>
      </c>
      <c r="AL214" s="542">
        <v>0</v>
      </c>
      <c r="AM214" s="542">
        <v>0</v>
      </c>
      <c r="AN214" s="542">
        <v>0</v>
      </c>
      <c r="AO214" s="542">
        <v>0</v>
      </c>
      <c r="AP214" s="542">
        <v>0</v>
      </c>
      <c r="AQ214" s="542">
        <v>0</v>
      </c>
      <c r="AR214" s="542">
        <v>0</v>
      </c>
      <c r="AS214" s="542">
        <v>0</v>
      </c>
      <c r="AT214" s="542">
        <v>0</v>
      </c>
      <c r="AU214" s="542">
        <v>0</v>
      </c>
      <c r="AV214" s="542">
        <v>2836804</v>
      </c>
      <c r="AW214" s="542">
        <v>-1005611</v>
      </c>
      <c r="AX214" s="136"/>
      <c r="AY214" s="136"/>
      <c r="AZ214" s="136"/>
      <c r="BA214" s="136"/>
      <c r="BB214" s="136"/>
      <c r="BC214" s="136"/>
      <c r="BD214" s="136"/>
      <c r="BE214" s="136"/>
      <c r="BF214" s="136"/>
      <c r="BG214" s="136"/>
      <c r="BH214" s="136"/>
      <c r="BI214" s="136"/>
      <c r="BJ214" s="136"/>
      <c r="BK214" s="136"/>
      <c r="BL214" s="136"/>
      <c r="BM214" s="136"/>
      <c r="BN214" s="136"/>
      <c r="BO214" s="136"/>
      <c r="BP214" s="136"/>
      <c r="BQ214" s="136"/>
      <c r="BR214" s="136"/>
      <c r="BS214" s="136"/>
      <c r="BT214" s="136"/>
      <c r="BU214" s="136"/>
      <c r="BV214" s="136"/>
      <c r="BW214" s="136"/>
      <c r="BX214" s="136"/>
      <c r="BY214" s="136"/>
      <c r="BZ214" s="136"/>
      <c r="CA214" s="136"/>
      <c r="CB214" s="136"/>
      <c r="CC214" s="136"/>
      <c r="CD214" s="136"/>
      <c r="CE214" s="136"/>
      <c r="CF214" s="136"/>
      <c r="CG214" s="136"/>
      <c r="CH214" s="136"/>
      <c r="CI214" s="136"/>
      <c r="CJ214" s="136"/>
      <c r="CK214" s="136"/>
      <c r="CL214" s="136"/>
      <c r="CM214" s="136"/>
      <c r="CN214" s="136"/>
      <c r="CO214" s="136"/>
      <c r="CP214" s="136"/>
      <c r="CQ214" s="136"/>
      <c r="CR214" s="136"/>
      <c r="CS214" s="136"/>
      <c r="CT214" s="136"/>
      <c r="CU214" s="136"/>
      <c r="CV214" s="136"/>
      <c r="CW214" s="136"/>
      <c r="CX214" s="136"/>
      <c r="CY214" s="136"/>
      <c r="CZ214" s="136"/>
      <c r="DA214" s="136"/>
      <c r="DB214" s="136"/>
      <c r="DC214" s="136"/>
      <c r="DD214" s="136"/>
      <c r="DE214" s="136"/>
      <c r="DF214" s="136"/>
      <c r="DG214" s="136"/>
      <c r="DH214" s="136"/>
      <c r="DI214" s="136"/>
      <c r="DJ214" s="136"/>
      <c r="DK214" s="136"/>
      <c r="DL214" s="136"/>
      <c r="DM214" s="136"/>
      <c r="DN214" s="136"/>
      <c r="DO214" s="136"/>
      <c r="DP214" s="136"/>
      <c r="DQ214" s="136"/>
      <c r="DR214" s="136"/>
      <c r="DS214" s="136"/>
      <c r="DT214" s="136"/>
      <c r="DU214" s="136"/>
      <c r="DV214" s="136"/>
      <c r="DW214" s="136"/>
      <c r="DX214" s="136"/>
      <c r="DY214" s="136"/>
      <c r="DZ214" s="136"/>
      <c r="EA214" s="136"/>
      <c r="EB214" s="136"/>
      <c r="EC214" s="136"/>
      <c r="ED214" s="136"/>
      <c r="EE214" s="136"/>
      <c r="EF214" s="136"/>
      <c r="EG214" s="136"/>
      <c r="EH214" s="136"/>
      <c r="EI214" s="136"/>
      <c r="EJ214" s="136"/>
      <c r="EK214" s="136"/>
      <c r="EL214" s="136"/>
      <c r="EM214" s="136"/>
      <c r="EN214" s="136"/>
      <c r="EO214" s="136"/>
      <c r="EP214" s="136"/>
      <c r="EQ214" s="136"/>
      <c r="ER214" s="136"/>
      <c r="ES214" s="136"/>
      <c r="ET214" s="136"/>
      <c r="EU214" s="136"/>
      <c r="EV214" s="136"/>
      <c r="EW214" s="136"/>
      <c r="EX214" s="136"/>
      <c r="EY214" s="136"/>
      <c r="EZ214" s="136"/>
      <c r="FA214" s="136"/>
      <c r="FB214" s="136"/>
      <c r="FC214" s="136"/>
      <c r="FD214" s="136"/>
      <c r="FE214" s="137"/>
      <c r="FF214" s="138"/>
    </row>
    <row r="215" spans="1:162" ht="12.75" x14ac:dyDescent="0.2">
      <c r="A215" s="93">
        <v>209</v>
      </c>
      <c r="B215" s="145" t="s">
        <v>296</v>
      </c>
      <c r="C215" s="141" t="s">
        <v>866</v>
      </c>
      <c r="D215" s="142" t="s">
        <v>867</v>
      </c>
      <c r="E215" s="149" t="s">
        <v>721</v>
      </c>
      <c r="F215" s="542">
        <v>48583687</v>
      </c>
      <c r="G215" s="542">
        <v>0</v>
      </c>
      <c r="H215" s="542">
        <v>48583687</v>
      </c>
      <c r="I215" s="542">
        <v>-1816</v>
      </c>
      <c r="J215" s="542">
        <v>0</v>
      </c>
      <c r="K215" s="542">
        <v>-1816</v>
      </c>
      <c r="L215" s="542">
        <v>0</v>
      </c>
      <c r="M215" s="542">
        <v>0</v>
      </c>
      <c r="N215" s="542">
        <v>0</v>
      </c>
      <c r="O215" s="542">
        <v>-193538</v>
      </c>
      <c r="P215" s="542">
        <v>0</v>
      </c>
      <c r="Q215" s="542">
        <v>-193538</v>
      </c>
      <c r="R215" s="542">
        <v>0</v>
      </c>
      <c r="S215" s="542">
        <v>0</v>
      </c>
      <c r="T215" s="542">
        <v>0</v>
      </c>
      <c r="U215" s="542">
        <v>-174362</v>
      </c>
      <c r="V215" s="542">
        <v>0</v>
      </c>
      <c r="W215" s="542">
        <v>-174362</v>
      </c>
      <c r="X215" s="542">
        <v>1098113</v>
      </c>
      <c r="Y215" s="542">
        <v>0</v>
      </c>
      <c r="Z215" s="542">
        <v>1098113</v>
      </c>
      <c r="AA215" s="542">
        <v>-1989015</v>
      </c>
      <c r="AB215" s="542">
        <v>0</v>
      </c>
      <c r="AC215" s="542">
        <v>-1989015</v>
      </c>
      <c r="AD215" s="542">
        <v>47516607</v>
      </c>
      <c r="AE215" s="542">
        <v>0</v>
      </c>
      <c r="AF215" s="542">
        <v>47516607</v>
      </c>
      <c r="AG215" s="542">
        <v>0</v>
      </c>
      <c r="AH215" s="542">
        <v>0</v>
      </c>
      <c r="AI215" s="542">
        <v>0</v>
      </c>
      <c r="AJ215" s="542">
        <v>0</v>
      </c>
      <c r="AK215" s="542">
        <v>0</v>
      </c>
      <c r="AL215" s="542">
        <v>0</v>
      </c>
      <c r="AM215" s="542">
        <v>0</v>
      </c>
      <c r="AN215" s="542">
        <v>0</v>
      </c>
      <c r="AO215" s="542">
        <v>0</v>
      </c>
      <c r="AP215" s="542">
        <v>0</v>
      </c>
      <c r="AQ215" s="542">
        <v>0</v>
      </c>
      <c r="AR215" s="542">
        <v>0</v>
      </c>
      <c r="AS215" s="542">
        <v>0</v>
      </c>
      <c r="AT215" s="542">
        <v>0</v>
      </c>
      <c r="AU215" s="542">
        <v>0</v>
      </c>
      <c r="AV215" s="542">
        <v>601450</v>
      </c>
      <c r="AW215" s="542">
        <v>-1326383</v>
      </c>
      <c r="AX215" s="136"/>
      <c r="AY215" s="136"/>
      <c r="AZ215" s="136"/>
      <c r="BA215" s="136"/>
      <c r="BB215" s="136"/>
      <c r="BC215" s="136"/>
      <c r="BD215" s="136"/>
      <c r="BE215" s="136"/>
      <c r="BF215" s="136"/>
      <c r="BG215" s="136"/>
      <c r="BH215" s="136"/>
      <c r="BI215" s="136"/>
      <c r="BJ215" s="136"/>
      <c r="BK215" s="136"/>
      <c r="BL215" s="136"/>
      <c r="BM215" s="136"/>
      <c r="BN215" s="136"/>
      <c r="BO215" s="136"/>
      <c r="BP215" s="136"/>
      <c r="BQ215" s="136"/>
      <c r="BR215" s="136"/>
      <c r="BS215" s="136"/>
      <c r="BT215" s="136"/>
      <c r="BU215" s="136"/>
      <c r="BV215" s="136"/>
      <c r="BW215" s="136"/>
      <c r="BX215" s="136"/>
      <c r="BY215" s="136"/>
      <c r="BZ215" s="136"/>
      <c r="CA215" s="136"/>
      <c r="CB215" s="136"/>
      <c r="CC215" s="136"/>
      <c r="CD215" s="136"/>
      <c r="CE215" s="136"/>
      <c r="CF215" s="136"/>
      <c r="CG215" s="136"/>
      <c r="CH215" s="136"/>
      <c r="CI215" s="136"/>
      <c r="CJ215" s="136"/>
      <c r="CK215" s="136"/>
      <c r="CL215" s="136"/>
      <c r="CM215" s="136"/>
      <c r="CN215" s="136"/>
      <c r="CO215" s="136"/>
      <c r="CP215" s="136"/>
      <c r="CQ215" s="136"/>
      <c r="CR215" s="136"/>
      <c r="CS215" s="136"/>
      <c r="CT215" s="136"/>
      <c r="CU215" s="136"/>
      <c r="CV215" s="136"/>
      <c r="CW215" s="136"/>
      <c r="CX215" s="136"/>
      <c r="CY215" s="136"/>
      <c r="CZ215" s="136"/>
      <c r="DA215" s="136"/>
      <c r="DB215" s="136"/>
      <c r="DC215" s="136"/>
      <c r="DD215" s="136"/>
      <c r="DE215" s="136"/>
      <c r="DF215" s="136"/>
      <c r="DG215" s="136"/>
      <c r="DH215" s="136"/>
      <c r="DI215" s="136"/>
      <c r="DJ215" s="136"/>
      <c r="DK215" s="136"/>
      <c r="DL215" s="136"/>
      <c r="DM215" s="136"/>
      <c r="DN215" s="136"/>
      <c r="DO215" s="136"/>
      <c r="DP215" s="136"/>
      <c r="DQ215" s="136"/>
      <c r="DR215" s="136"/>
      <c r="DS215" s="136"/>
      <c r="DT215" s="136"/>
      <c r="DU215" s="136"/>
      <c r="DV215" s="136"/>
      <c r="DW215" s="136"/>
      <c r="DX215" s="136"/>
      <c r="DY215" s="136"/>
      <c r="DZ215" s="136"/>
      <c r="EA215" s="136"/>
      <c r="EB215" s="136"/>
      <c r="EC215" s="136"/>
      <c r="ED215" s="136"/>
      <c r="EE215" s="136"/>
      <c r="EF215" s="136"/>
      <c r="EG215" s="136"/>
      <c r="EH215" s="136"/>
      <c r="EI215" s="136"/>
      <c r="EJ215" s="136"/>
      <c r="EK215" s="136"/>
      <c r="EL215" s="136"/>
      <c r="EM215" s="136"/>
      <c r="EN215" s="136"/>
      <c r="EO215" s="136"/>
      <c r="EP215" s="136"/>
      <c r="EQ215" s="136"/>
      <c r="ER215" s="136"/>
      <c r="ES215" s="136"/>
      <c r="ET215" s="136"/>
      <c r="EU215" s="136"/>
      <c r="EV215" s="136"/>
      <c r="EW215" s="136"/>
      <c r="EX215" s="136"/>
      <c r="EY215" s="136"/>
      <c r="EZ215" s="136"/>
      <c r="FA215" s="136"/>
      <c r="FB215" s="136"/>
      <c r="FC215" s="136"/>
      <c r="FD215" s="136"/>
      <c r="FE215" s="137"/>
      <c r="FF215" s="138"/>
    </row>
    <row r="216" spans="1:162" ht="12.75" x14ac:dyDescent="0.2">
      <c r="A216" s="93">
        <v>210</v>
      </c>
      <c r="B216" s="145" t="s">
        <v>298</v>
      </c>
      <c r="C216" s="141" t="s">
        <v>866</v>
      </c>
      <c r="D216" s="142" t="s">
        <v>868</v>
      </c>
      <c r="E216" s="149" t="s">
        <v>297</v>
      </c>
      <c r="F216" s="542">
        <v>12405961</v>
      </c>
      <c r="G216" s="542">
        <v>1836420</v>
      </c>
      <c r="H216" s="542">
        <v>14242381</v>
      </c>
      <c r="I216" s="542">
        <v>0</v>
      </c>
      <c r="J216" s="542">
        <v>0</v>
      </c>
      <c r="K216" s="542">
        <v>0</v>
      </c>
      <c r="L216" s="542">
        <v>33019</v>
      </c>
      <c r="M216" s="542">
        <v>0</v>
      </c>
      <c r="N216" s="542">
        <v>33019</v>
      </c>
      <c r="O216" s="542">
        <v>-96236</v>
      </c>
      <c r="P216" s="542">
        <v>0</v>
      </c>
      <c r="Q216" s="542">
        <v>-96236</v>
      </c>
      <c r="R216" s="542">
        <v>0</v>
      </c>
      <c r="S216" s="542">
        <v>0</v>
      </c>
      <c r="T216" s="542">
        <v>0</v>
      </c>
      <c r="U216" s="542">
        <v>-96236</v>
      </c>
      <c r="V216" s="542">
        <v>0</v>
      </c>
      <c r="W216" s="542">
        <v>-96236</v>
      </c>
      <c r="X216" s="542">
        <v>0</v>
      </c>
      <c r="Y216" s="542">
        <v>0</v>
      </c>
      <c r="Z216" s="542">
        <v>0</v>
      </c>
      <c r="AA216" s="542">
        <v>-99200</v>
      </c>
      <c r="AB216" s="542">
        <v>0</v>
      </c>
      <c r="AC216" s="542">
        <v>-99200</v>
      </c>
      <c r="AD216" s="542">
        <v>12243544</v>
      </c>
      <c r="AE216" s="542">
        <v>1836420</v>
      </c>
      <c r="AF216" s="542">
        <v>14079964</v>
      </c>
      <c r="AG216" s="542">
        <v>1836420</v>
      </c>
      <c r="AH216" s="542">
        <v>0</v>
      </c>
      <c r="AI216" s="542">
        <v>1836420</v>
      </c>
      <c r="AJ216" s="542">
        <v>129</v>
      </c>
      <c r="AK216" s="542">
        <v>0</v>
      </c>
      <c r="AL216" s="542">
        <v>0</v>
      </c>
      <c r="AM216" s="542">
        <v>129</v>
      </c>
      <c r="AN216" s="542">
        <v>0</v>
      </c>
      <c r="AO216" s="542">
        <v>0</v>
      </c>
      <c r="AP216" s="542">
        <v>0</v>
      </c>
      <c r="AQ216" s="542">
        <v>1826412</v>
      </c>
      <c r="AR216" s="542">
        <v>0</v>
      </c>
      <c r="AS216" s="542">
        <v>10008</v>
      </c>
      <c r="AT216" s="542">
        <v>0</v>
      </c>
      <c r="AU216" s="542">
        <v>10008</v>
      </c>
      <c r="AV216" s="542">
        <v>492625</v>
      </c>
      <c r="AW216" s="542">
        <v>-80032</v>
      </c>
      <c r="AX216" s="136"/>
      <c r="AY216" s="136"/>
      <c r="AZ216" s="136"/>
      <c r="BA216" s="136"/>
      <c r="BB216" s="136"/>
      <c r="BC216" s="136"/>
      <c r="BD216" s="136"/>
      <c r="BE216" s="136"/>
      <c r="BF216" s="136"/>
      <c r="BG216" s="136"/>
      <c r="BH216" s="136"/>
      <c r="BI216" s="136"/>
      <c r="BJ216" s="136"/>
      <c r="BK216" s="136"/>
      <c r="BL216" s="136"/>
      <c r="BM216" s="136"/>
      <c r="BN216" s="136"/>
      <c r="BO216" s="136"/>
      <c r="BP216" s="136"/>
      <c r="BQ216" s="136"/>
      <c r="BR216" s="136"/>
      <c r="BS216" s="136"/>
      <c r="BT216" s="136"/>
      <c r="BU216" s="136"/>
      <c r="BV216" s="136"/>
      <c r="BW216" s="136"/>
      <c r="BX216" s="136"/>
      <c r="BY216" s="136"/>
      <c r="BZ216" s="136"/>
      <c r="CA216" s="136"/>
      <c r="CB216" s="136"/>
      <c r="CC216" s="136"/>
      <c r="CD216" s="136"/>
      <c r="CE216" s="136"/>
      <c r="CF216" s="136"/>
      <c r="CG216" s="136"/>
      <c r="CH216" s="136"/>
      <c r="CI216" s="136"/>
      <c r="CJ216" s="136"/>
      <c r="CK216" s="136"/>
      <c r="CL216" s="136"/>
      <c r="CM216" s="136"/>
      <c r="CN216" s="136"/>
      <c r="CO216" s="136"/>
      <c r="CP216" s="136"/>
      <c r="CQ216" s="136"/>
      <c r="CR216" s="136"/>
      <c r="CS216" s="136"/>
      <c r="CT216" s="136"/>
      <c r="CU216" s="136"/>
      <c r="CV216" s="136"/>
      <c r="CW216" s="136"/>
      <c r="CX216" s="136"/>
      <c r="CY216" s="136"/>
      <c r="CZ216" s="136"/>
      <c r="DA216" s="136"/>
      <c r="DB216" s="136"/>
      <c r="DC216" s="136"/>
      <c r="DD216" s="136"/>
      <c r="DE216" s="136"/>
      <c r="DF216" s="136"/>
      <c r="DG216" s="136"/>
      <c r="DH216" s="136"/>
      <c r="DI216" s="136"/>
      <c r="DJ216" s="136"/>
      <c r="DK216" s="136"/>
      <c r="DL216" s="136"/>
      <c r="DM216" s="136"/>
      <c r="DN216" s="136"/>
      <c r="DO216" s="136"/>
      <c r="DP216" s="136"/>
      <c r="DQ216" s="136"/>
      <c r="DR216" s="136"/>
      <c r="DS216" s="136"/>
      <c r="DT216" s="136"/>
      <c r="DU216" s="136"/>
      <c r="DV216" s="136"/>
      <c r="DW216" s="136"/>
      <c r="DX216" s="136"/>
      <c r="DY216" s="136"/>
      <c r="DZ216" s="136"/>
      <c r="EA216" s="136"/>
      <c r="EB216" s="136"/>
      <c r="EC216" s="136"/>
      <c r="ED216" s="136"/>
      <c r="EE216" s="136"/>
      <c r="EF216" s="136"/>
      <c r="EG216" s="136"/>
      <c r="EH216" s="136"/>
      <c r="EI216" s="136"/>
      <c r="EJ216" s="136"/>
      <c r="EK216" s="136"/>
      <c r="EL216" s="136"/>
      <c r="EM216" s="136"/>
      <c r="EN216" s="136"/>
      <c r="EO216" s="136"/>
      <c r="EP216" s="136"/>
      <c r="EQ216" s="136"/>
      <c r="ER216" s="136"/>
      <c r="ES216" s="136"/>
      <c r="ET216" s="136"/>
      <c r="EU216" s="136"/>
      <c r="EV216" s="136"/>
      <c r="EW216" s="136"/>
      <c r="EX216" s="136"/>
      <c r="EY216" s="136"/>
      <c r="EZ216" s="136"/>
      <c r="FA216" s="136"/>
      <c r="FB216" s="136"/>
      <c r="FC216" s="136"/>
      <c r="FD216" s="136"/>
      <c r="FE216" s="137"/>
      <c r="FF216" s="138"/>
    </row>
    <row r="217" spans="1:162" ht="12.75" x14ac:dyDescent="0.2">
      <c r="A217" s="93">
        <v>211</v>
      </c>
      <c r="B217" s="145" t="s">
        <v>300</v>
      </c>
      <c r="C217" s="141" t="s">
        <v>871</v>
      </c>
      <c r="D217" s="142" t="s">
        <v>872</v>
      </c>
      <c r="E217" s="149" t="s">
        <v>299</v>
      </c>
      <c r="F217" s="542">
        <v>81035285</v>
      </c>
      <c r="G217" s="542">
        <v>0</v>
      </c>
      <c r="H217" s="542">
        <v>81035285</v>
      </c>
      <c r="I217" s="542">
        <v>-2256</v>
      </c>
      <c r="J217" s="542">
        <v>0</v>
      </c>
      <c r="K217" s="542">
        <v>-2256</v>
      </c>
      <c r="L217" s="542">
        <v>93294</v>
      </c>
      <c r="M217" s="542">
        <v>0</v>
      </c>
      <c r="N217" s="542">
        <v>93294</v>
      </c>
      <c r="O217" s="542">
        <v>-8422</v>
      </c>
      <c r="P217" s="542">
        <v>0</v>
      </c>
      <c r="Q217" s="542">
        <v>-8422</v>
      </c>
      <c r="R217" s="542">
        <v>0</v>
      </c>
      <c r="S217" s="542">
        <v>0</v>
      </c>
      <c r="T217" s="542">
        <v>0</v>
      </c>
      <c r="U217" s="542">
        <v>-52032</v>
      </c>
      <c r="V217" s="542">
        <v>0</v>
      </c>
      <c r="W217" s="542">
        <v>-52032</v>
      </c>
      <c r="X217" s="542">
        <v>3085696</v>
      </c>
      <c r="Y217" s="542">
        <v>0</v>
      </c>
      <c r="Z217" s="542">
        <v>3085696</v>
      </c>
      <c r="AA217" s="542">
        <v>-5688015</v>
      </c>
      <c r="AB217" s="542">
        <v>0</v>
      </c>
      <c r="AC217" s="542">
        <v>-5688015</v>
      </c>
      <c r="AD217" s="542">
        <v>78471972</v>
      </c>
      <c r="AE217" s="542">
        <v>0</v>
      </c>
      <c r="AF217" s="542">
        <v>78471972</v>
      </c>
      <c r="AG217" s="542">
        <v>0</v>
      </c>
      <c r="AH217" s="542">
        <v>0</v>
      </c>
      <c r="AI217" s="542">
        <v>0</v>
      </c>
      <c r="AJ217" s="542">
        <v>0</v>
      </c>
      <c r="AK217" s="542">
        <v>0</v>
      </c>
      <c r="AL217" s="542">
        <v>0</v>
      </c>
      <c r="AM217" s="542">
        <v>0</v>
      </c>
      <c r="AN217" s="542">
        <v>0</v>
      </c>
      <c r="AO217" s="542">
        <v>0</v>
      </c>
      <c r="AP217" s="542">
        <v>0</v>
      </c>
      <c r="AQ217" s="542">
        <v>0</v>
      </c>
      <c r="AR217" s="542">
        <v>0</v>
      </c>
      <c r="AS217" s="542">
        <v>0</v>
      </c>
      <c r="AT217" s="542">
        <v>0</v>
      </c>
      <c r="AU217" s="542">
        <v>0</v>
      </c>
      <c r="AV217" s="542">
        <v>4889057</v>
      </c>
      <c r="AW217" s="542">
        <v>-2354005</v>
      </c>
      <c r="AX217" s="136"/>
      <c r="AY217" s="136"/>
      <c r="AZ217" s="136"/>
      <c r="BA217" s="136"/>
      <c r="BB217" s="136"/>
      <c r="BC217" s="136"/>
      <c r="BD217" s="136"/>
      <c r="BE217" s="136"/>
      <c r="BF217" s="136"/>
      <c r="BG217" s="136"/>
      <c r="BH217" s="136"/>
      <c r="BI217" s="136"/>
      <c r="BJ217" s="136"/>
      <c r="BK217" s="136"/>
      <c r="BL217" s="136"/>
      <c r="BM217" s="136"/>
      <c r="BN217" s="136"/>
      <c r="BO217" s="136"/>
      <c r="BP217" s="136"/>
      <c r="BQ217" s="136"/>
      <c r="BR217" s="136"/>
      <c r="BS217" s="136"/>
      <c r="BT217" s="136"/>
      <c r="BU217" s="136"/>
      <c r="BV217" s="136"/>
      <c r="BW217" s="136"/>
      <c r="BX217" s="136"/>
      <c r="BY217" s="136"/>
      <c r="BZ217" s="136"/>
      <c r="CA217" s="136"/>
      <c r="CB217" s="136"/>
      <c r="CC217" s="136"/>
      <c r="CD217" s="136"/>
      <c r="CE217" s="136"/>
      <c r="CF217" s="136"/>
      <c r="CG217" s="136"/>
      <c r="CH217" s="136"/>
      <c r="CI217" s="136"/>
      <c r="CJ217" s="136"/>
      <c r="CK217" s="136"/>
      <c r="CL217" s="136"/>
      <c r="CM217" s="136"/>
      <c r="CN217" s="136"/>
      <c r="CO217" s="136"/>
      <c r="CP217" s="136"/>
      <c r="CQ217" s="136"/>
      <c r="CR217" s="136"/>
      <c r="CS217" s="136"/>
      <c r="CT217" s="136"/>
      <c r="CU217" s="136"/>
      <c r="CV217" s="136"/>
      <c r="CW217" s="136"/>
      <c r="CX217" s="136"/>
      <c r="CY217" s="136"/>
      <c r="CZ217" s="136"/>
      <c r="DA217" s="136"/>
      <c r="DB217" s="136"/>
      <c r="DC217" s="136"/>
      <c r="DD217" s="136"/>
      <c r="DE217" s="136"/>
      <c r="DF217" s="136"/>
      <c r="DG217" s="136"/>
      <c r="DH217" s="136"/>
      <c r="DI217" s="136"/>
      <c r="DJ217" s="136"/>
      <c r="DK217" s="136"/>
      <c r="DL217" s="136"/>
      <c r="DM217" s="136"/>
      <c r="DN217" s="136"/>
      <c r="DO217" s="136"/>
      <c r="DP217" s="136"/>
      <c r="DQ217" s="136"/>
      <c r="DR217" s="136"/>
      <c r="DS217" s="136"/>
      <c r="DT217" s="136"/>
      <c r="DU217" s="136"/>
      <c r="DV217" s="136"/>
      <c r="DW217" s="136"/>
      <c r="DX217" s="136"/>
      <c r="DY217" s="136"/>
      <c r="DZ217" s="136"/>
      <c r="EA217" s="136"/>
      <c r="EB217" s="136"/>
      <c r="EC217" s="136"/>
      <c r="ED217" s="136"/>
      <c r="EE217" s="136"/>
      <c r="EF217" s="136"/>
      <c r="EG217" s="136"/>
      <c r="EH217" s="136"/>
      <c r="EI217" s="136"/>
      <c r="EJ217" s="136"/>
      <c r="EK217" s="136"/>
      <c r="EL217" s="136"/>
      <c r="EM217" s="136"/>
      <c r="EN217" s="136"/>
      <c r="EO217" s="136"/>
      <c r="EP217" s="136"/>
      <c r="EQ217" s="136"/>
      <c r="ER217" s="136"/>
      <c r="ES217" s="136"/>
      <c r="ET217" s="136"/>
      <c r="EU217" s="136"/>
      <c r="EV217" s="136"/>
      <c r="EW217" s="136"/>
      <c r="EX217" s="136"/>
      <c r="EY217" s="136"/>
      <c r="EZ217" s="136"/>
      <c r="FA217" s="136"/>
      <c r="FB217" s="136"/>
      <c r="FC217" s="136"/>
      <c r="FD217" s="136"/>
      <c r="FE217" s="137"/>
      <c r="FF217" s="138"/>
    </row>
    <row r="218" spans="1:162" ht="12.75" x14ac:dyDescent="0.2">
      <c r="A218" s="93">
        <v>212</v>
      </c>
      <c r="B218" s="145" t="s">
        <v>302</v>
      </c>
      <c r="C218" s="141" t="s">
        <v>866</v>
      </c>
      <c r="D218" s="142" t="s">
        <v>874</v>
      </c>
      <c r="E218" s="149" t="s">
        <v>301</v>
      </c>
      <c r="F218" s="542">
        <v>8563240</v>
      </c>
      <c r="G218" s="542">
        <v>0</v>
      </c>
      <c r="H218" s="542">
        <v>8563240</v>
      </c>
      <c r="I218" s="542">
        <v>-348</v>
      </c>
      <c r="J218" s="542">
        <v>0</v>
      </c>
      <c r="K218" s="542">
        <v>-348</v>
      </c>
      <c r="L218" s="542">
        <v>5141</v>
      </c>
      <c r="M218" s="542">
        <v>0</v>
      </c>
      <c r="N218" s="542">
        <v>5141</v>
      </c>
      <c r="O218" s="542">
        <v>-18430</v>
      </c>
      <c r="P218" s="542">
        <v>0</v>
      </c>
      <c r="Q218" s="542">
        <v>-18430</v>
      </c>
      <c r="R218" s="542">
        <v>0</v>
      </c>
      <c r="S218" s="542">
        <v>0</v>
      </c>
      <c r="T218" s="542">
        <v>0</v>
      </c>
      <c r="U218" s="542">
        <v>-50193</v>
      </c>
      <c r="V218" s="542">
        <v>0</v>
      </c>
      <c r="W218" s="542">
        <v>-50193</v>
      </c>
      <c r="X218" s="542">
        <v>4309755</v>
      </c>
      <c r="Y218" s="542">
        <v>0</v>
      </c>
      <c r="Z218" s="542">
        <v>4309755</v>
      </c>
      <c r="AA218" s="542">
        <v>-3580255</v>
      </c>
      <c r="AB218" s="542">
        <v>0</v>
      </c>
      <c r="AC218" s="542">
        <v>-3580255</v>
      </c>
      <c r="AD218" s="542">
        <v>9247340</v>
      </c>
      <c r="AE218" s="542">
        <v>0</v>
      </c>
      <c r="AF218" s="542">
        <v>9247340</v>
      </c>
      <c r="AG218" s="542">
        <v>0</v>
      </c>
      <c r="AH218" s="542">
        <v>0</v>
      </c>
      <c r="AI218" s="542">
        <v>0</v>
      </c>
      <c r="AJ218" s="542">
        <v>0</v>
      </c>
      <c r="AK218" s="542">
        <v>0</v>
      </c>
      <c r="AL218" s="542">
        <v>0</v>
      </c>
      <c r="AM218" s="542">
        <v>0</v>
      </c>
      <c r="AN218" s="542">
        <v>0</v>
      </c>
      <c r="AO218" s="542">
        <v>0</v>
      </c>
      <c r="AP218" s="542">
        <v>0</v>
      </c>
      <c r="AQ218" s="542">
        <v>0</v>
      </c>
      <c r="AR218" s="542">
        <v>0</v>
      </c>
      <c r="AS218" s="542">
        <v>0</v>
      </c>
      <c r="AT218" s="542">
        <v>0</v>
      </c>
      <c r="AU218" s="542">
        <v>0</v>
      </c>
      <c r="AV218" s="542">
        <v>521476</v>
      </c>
      <c r="AW218" s="542">
        <v>-4039664</v>
      </c>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36"/>
      <c r="BS218" s="136"/>
      <c r="BT218" s="136"/>
      <c r="BU218" s="136"/>
      <c r="BV218" s="136"/>
      <c r="BW218" s="136"/>
      <c r="BX218" s="136"/>
      <c r="BY218" s="136"/>
      <c r="BZ218" s="136"/>
      <c r="CA218" s="136"/>
      <c r="CB218" s="136"/>
      <c r="CC218" s="136"/>
      <c r="CD218" s="136"/>
      <c r="CE218" s="136"/>
      <c r="CF218" s="136"/>
      <c r="CG218" s="136"/>
      <c r="CH218" s="136"/>
      <c r="CI218" s="136"/>
      <c r="CJ218" s="136"/>
      <c r="CK218" s="136"/>
      <c r="CL218" s="136"/>
      <c r="CM218" s="136"/>
      <c r="CN218" s="136"/>
      <c r="CO218" s="136"/>
      <c r="CP218" s="136"/>
      <c r="CQ218" s="136"/>
      <c r="CR218" s="136"/>
      <c r="CS218" s="136"/>
      <c r="CT218" s="136"/>
      <c r="CU218" s="136"/>
      <c r="CV218" s="136"/>
      <c r="CW218" s="136"/>
      <c r="CX218" s="136"/>
      <c r="CY218" s="136"/>
      <c r="CZ218" s="136"/>
      <c r="DA218" s="136"/>
      <c r="DB218" s="136"/>
      <c r="DC218" s="136"/>
      <c r="DD218" s="136"/>
      <c r="DE218" s="136"/>
      <c r="DF218" s="136"/>
      <c r="DG218" s="136"/>
      <c r="DH218" s="136"/>
      <c r="DI218" s="136"/>
      <c r="DJ218" s="136"/>
      <c r="DK218" s="136"/>
      <c r="DL218" s="136"/>
      <c r="DM218" s="136"/>
      <c r="DN218" s="136"/>
      <c r="DO218" s="136"/>
      <c r="DP218" s="136"/>
      <c r="DQ218" s="136"/>
      <c r="DR218" s="136"/>
      <c r="DS218" s="136"/>
      <c r="DT218" s="136"/>
      <c r="DU218" s="136"/>
      <c r="DV218" s="136"/>
      <c r="DW218" s="136"/>
      <c r="DX218" s="136"/>
      <c r="DY218" s="136"/>
      <c r="DZ218" s="136"/>
      <c r="EA218" s="136"/>
      <c r="EB218" s="136"/>
      <c r="EC218" s="136"/>
      <c r="ED218" s="136"/>
      <c r="EE218" s="136"/>
      <c r="EF218" s="136"/>
      <c r="EG218" s="136"/>
      <c r="EH218" s="136"/>
      <c r="EI218" s="136"/>
      <c r="EJ218" s="136"/>
      <c r="EK218" s="136"/>
      <c r="EL218" s="136"/>
      <c r="EM218" s="136"/>
      <c r="EN218" s="136"/>
      <c r="EO218" s="136"/>
      <c r="EP218" s="136"/>
      <c r="EQ218" s="136"/>
      <c r="ER218" s="136"/>
      <c r="ES218" s="136"/>
      <c r="ET218" s="136"/>
      <c r="EU218" s="136"/>
      <c r="EV218" s="136"/>
      <c r="EW218" s="136"/>
      <c r="EX218" s="136"/>
      <c r="EY218" s="136"/>
      <c r="EZ218" s="136"/>
      <c r="FA218" s="136"/>
      <c r="FB218" s="136"/>
      <c r="FC218" s="136"/>
      <c r="FD218" s="136"/>
      <c r="FE218" s="137"/>
      <c r="FF218" s="138"/>
    </row>
    <row r="219" spans="1:162" ht="12.75" x14ac:dyDescent="0.2">
      <c r="A219" s="93">
        <v>213</v>
      </c>
      <c r="B219" s="145" t="s">
        <v>304</v>
      </c>
      <c r="C219" s="141" t="s">
        <v>873</v>
      </c>
      <c r="D219" s="142" t="s">
        <v>868</v>
      </c>
      <c r="E219" s="149" t="s">
        <v>303</v>
      </c>
      <c r="F219" s="542">
        <v>62346834</v>
      </c>
      <c r="G219" s="542">
        <v>0</v>
      </c>
      <c r="H219" s="542">
        <v>62346834</v>
      </c>
      <c r="I219" s="542">
        <v>-7811</v>
      </c>
      <c r="J219" s="542">
        <v>0</v>
      </c>
      <c r="K219" s="542">
        <v>-7811</v>
      </c>
      <c r="L219" s="542">
        <v>171137</v>
      </c>
      <c r="M219" s="542">
        <v>0</v>
      </c>
      <c r="N219" s="542">
        <v>171137</v>
      </c>
      <c r="O219" s="542">
        <v>-1169757</v>
      </c>
      <c r="P219" s="542">
        <v>0</v>
      </c>
      <c r="Q219" s="542">
        <v>-1169757</v>
      </c>
      <c r="R219" s="542">
        <v>0</v>
      </c>
      <c r="S219" s="542">
        <v>0</v>
      </c>
      <c r="T219" s="542">
        <v>0</v>
      </c>
      <c r="U219" s="542">
        <v>-1093715</v>
      </c>
      <c r="V219" s="542">
        <v>0</v>
      </c>
      <c r="W219" s="542">
        <v>-1093715</v>
      </c>
      <c r="X219" s="542">
        <v>1933071</v>
      </c>
      <c r="Y219" s="542">
        <v>0</v>
      </c>
      <c r="Z219" s="542">
        <v>1933071</v>
      </c>
      <c r="AA219" s="542">
        <v>-6500871</v>
      </c>
      <c r="AB219" s="542">
        <v>0</v>
      </c>
      <c r="AC219" s="542">
        <v>-6500871</v>
      </c>
      <c r="AD219" s="542">
        <v>56848645</v>
      </c>
      <c r="AE219" s="542">
        <v>0</v>
      </c>
      <c r="AF219" s="542">
        <v>56848645</v>
      </c>
      <c r="AG219" s="542">
        <v>0</v>
      </c>
      <c r="AH219" s="542">
        <v>0</v>
      </c>
      <c r="AI219" s="542">
        <v>0</v>
      </c>
      <c r="AJ219" s="542">
        <v>0</v>
      </c>
      <c r="AK219" s="542">
        <v>0</v>
      </c>
      <c r="AL219" s="542">
        <v>0</v>
      </c>
      <c r="AM219" s="542">
        <v>0</v>
      </c>
      <c r="AN219" s="542">
        <v>0</v>
      </c>
      <c r="AO219" s="542">
        <v>0</v>
      </c>
      <c r="AP219" s="542">
        <v>0</v>
      </c>
      <c r="AQ219" s="542">
        <v>0</v>
      </c>
      <c r="AR219" s="542">
        <v>0</v>
      </c>
      <c r="AS219" s="542">
        <v>0</v>
      </c>
      <c r="AT219" s="542">
        <v>0</v>
      </c>
      <c r="AU219" s="542">
        <v>0</v>
      </c>
      <c r="AV219" s="542">
        <v>3124243</v>
      </c>
      <c r="AW219" s="542">
        <v>-662588</v>
      </c>
      <c r="AX219" s="136"/>
      <c r="AY219" s="136"/>
      <c r="AZ219" s="136"/>
      <c r="BA219" s="136"/>
      <c r="BB219" s="136"/>
      <c r="BC219" s="136"/>
      <c r="BD219" s="136"/>
      <c r="BE219" s="136"/>
      <c r="BF219" s="136"/>
      <c r="BG219" s="136"/>
      <c r="BH219" s="136"/>
      <c r="BI219" s="136"/>
      <c r="BJ219" s="136"/>
      <c r="BK219" s="136"/>
      <c r="BL219" s="136"/>
      <c r="BM219" s="136"/>
      <c r="BN219" s="136"/>
      <c r="BO219" s="136"/>
      <c r="BP219" s="136"/>
      <c r="BQ219" s="136"/>
      <c r="BR219" s="136"/>
      <c r="BS219" s="136"/>
      <c r="BT219" s="136"/>
      <c r="BU219" s="136"/>
      <c r="BV219" s="136"/>
      <c r="BW219" s="136"/>
      <c r="BX219" s="136"/>
      <c r="BY219" s="136"/>
      <c r="BZ219" s="136"/>
      <c r="CA219" s="136"/>
      <c r="CB219" s="136"/>
      <c r="CC219" s="136"/>
      <c r="CD219" s="136"/>
      <c r="CE219" s="136"/>
      <c r="CF219" s="136"/>
      <c r="CG219" s="136"/>
      <c r="CH219" s="136"/>
      <c r="CI219" s="136"/>
      <c r="CJ219" s="136"/>
      <c r="CK219" s="136"/>
      <c r="CL219" s="136"/>
      <c r="CM219" s="136"/>
      <c r="CN219" s="136"/>
      <c r="CO219" s="136"/>
      <c r="CP219" s="136"/>
      <c r="CQ219" s="136"/>
      <c r="CR219" s="136"/>
      <c r="CS219" s="136"/>
      <c r="CT219" s="136"/>
      <c r="CU219" s="136"/>
      <c r="CV219" s="136"/>
      <c r="CW219" s="136"/>
      <c r="CX219" s="136"/>
      <c r="CY219" s="136"/>
      <c r="CZ219" s="136"/>
      <c r="DA219" s="136"/>
      <c r="DB219" s="136"/>
      <c r="DC219" s="136"/>
      <c r="DD219" s="136"/>
      <c r="DE219" s="136"/>
      <c r="DF219" s="136"/>
      <c r="DG219" s="136"/>
      <c r="DH219" s="136"/>
      <c r="DI219" s="136"/>
      <c r="DJ219" s="136"/>
      <c r="DK219" s="136"/>
      <c r="DL219" s="136"/>
      <c r="DM219" s="136"/>
      <c r="DN219" s="136"/>
      <c r="DO219" s="136"/>
      <c r="DP219" s="136"/>
      <c r="DQ219" s="136"/>
      <c r="DR219" s="136"/>
      <c r="DS219" s="136"/>
      <c r="DT219" s="136"/>
      <c r="DU219" s="136"/>
      <c r="DV219" s="136"/>
      <c r="DW219" s="136"/>
      <c r="DX219" s="136"/>
      <c r="DY219" s="136"/>
      <c r="DZ219" s="136"/>
      <c r="EA219" s="136"/>
      <c r="EB219" s="136"/>
      <c r="EC219" s="136"/>
      <c r="ED219" s="136"/>
      <c r="EE219" s="136"/>
      <c r="EF219" s="136"/>
      <c r="EG219" s="136"/>
      <c r="EH219" s="136"/>
      <c r="EI219" s="136"/>
      <c r="EJ219" s="136"/>
      <c r="EK219" s="136"/>
      <c r="EL219" s="136"/>
      <c r="EM219" s="136"/>
      <c r="EN219" s="136"/>
      <c r="EO219" s="136"/>
      <c r="EP219" s="136"/>
      <c r="EQ219" s="136"/>
      <c r="ER219" s="136"/>
      <c r="ES219" s="136"/>
      <c r="ET219" s="136"/>
      <c r="EU219" s="136"/>
      <c r="EV219" s="136"/>
      <c r="EW219" s="136"/>
      <c r="EX219" s="136"/>
      <c r="EY219" s="136"/>
      <c r="EZ219" s="136"/>
      <c r="FA219" s="136"/>
      <c r="FB219" s="136"/>
      <c r="FC219" s="136"/>
      <c r="FD219" s="136"/>
      <c r="FE219" s="137"/>
      <c r="FF219" s="138"/>
    </row>
    <row r="220" spans="1:162" ht="12.75" x14ac:dyDescent="0.2">
      <c r="A220" s="93">
        <v>214</v>
      </c>
      <c r="B220" s="145" t="s">
        <v>306</v>
      </c>
      <c r="C220" s="141" t="s">
        <v>866</v>
      </c>
      <c r="D220" s="142" t="s">
        <v>870</v>
      </c>
      <c r="E220" s="149" t="s">
        <v>305</v>
      </c>
      <c r="F220" s="542">
        <v>15389797</v>
      </c>
      <c r="G220" s="542">
        <v>0</v>
      </c>
      <c r="H220" s="542">
        <v>15389797</v>
      </c>
      <c r="I220" s="542">
        <v>0</v>
      </c>
      <c r="J220" s="542">
        <v>0</v>
      </c>
      <c r="K220" s="542">
        <v>0</v>
      </c>
      <c r="L220" s="542">
        <v>26009</v>
      </c>
      <c r="M220" s="542">
        <v>0</v>
      </c>
      <c r="N220" s="542">
        <v>26009</v>
      </c>
      <c r="O220" s="542">
        <v>0</v>
      </c>
      <c r="P220" s="542">
        <v>0</v>
      </c>
      <c r="Q220" s="542">
        <v>0</v>
      </c>
      <c r="R220" s="542">
        <v>-106739</v>
      </c>
      <c r="S220" s="542">
        <v>0</v>
      </c>
      <c r="T220" s="542">
        <v>-106739</v>
      </c>
      <c r="U220" s="542">
        <v>21583</v>
      </c>
      <c r="V220" s="542">
        <v>0</v>
      </c>
      <c r="W220" s="542">
        <v>21583</v>
      </c>
      <c r="X220" s="542">
        <v>132030</v>
      </c>
      <c r="Y220" s="542">
        <v>0</v>
      </c>
      <c r="Z220" s="542">
        <v>132030</v>
      </c>
      <c r="AA220" s="542">
        <v>-14830</v>
      </c>
      <c r="AB220" s="542">
        <v>0</v>
      </c>
      <c r="AC220" s="542">
        <v>-14830</v>
      </c>
      <c r="AD220" s="542">
        <v>15447850</v>
      </c>
      <c r="AE220" s="542">
        <v>0</v>
      </c>
      <c r="AF220" s="542">
        <v>15447850</v>
      </c>
      <c r="AG220" s="542">
        <v>0</v>
      </c>
      <c r="AH220" s="542">
        <v>0</v>
      </c>
      <c r="AI220" s="542">
        <v>0</v>
      </c>
      <c r="AJ220" s="542">
        <v>0</v>
      </c>
      <c r="AK220" s="542">
        <v>0</v>
      </c>
      <c r="AL220" s="542">
        <v>0</v>
      </c>
      <c r="AM220" s="542">
        <v>0</v>
      </c>
      <c r="AN220" s="542">
        <v>0</v>
      </c>
      <c r="AO220" s="542">
        <v>0</v>
      </c>
      <c r="AP220" s="542">
        <v>0</v>
      </c>
      <c r="AQ220" s="542">
        <v>0</v>
      </c>
      <c r="AR220" s="542">
        <v>0</v>
      </c>
      <c r="AS220" s="542">
        <v>0</v>
      </c>
      <c r="AT220" s="542">
        <v>0</v>
      </c>
      <c r="AU220" s="542">
        <v>0</v>
      </c>
      <c r="AV220" s="542">
        <v>439022</v>
      </c>
      <c r="AW220" s="542">
        <v>-18319</v>
      </c>
      <c r="AX220" s="136"/>
      <c r="AY220" s="136"/>
      <c r="AZ220" s="136"/>
      <c r="BA220" s="136"/>
      <c r="BB220" s="136"/>
      <c r="BC220" s="136"/>
      <c r="BD220" s="136"/>
      <c r="BE220" s="136"/>
      <c r="BF220" s="136"/>
      <c r="BG220" s="136"/>
      <c r="BH220" s="136"/>
      <c r="BI220" s="136"/>
      <c r="BJ220" s="136"/>
      <c r="BK220" s="136"/>
      <c r="BL220" s="136"/>
      <c r="BM220" s="136"/>
      <c r="BN220" s="136"/>
      <c r="BO220" s="136"/>
      <c r="BP220" s="136"/>
      <c r="BQ220" s="136"/>
      <c r="BR220" s="136"/>
      <c r="BS220" s="136"/>
      <c r="BT220" s="136"/>
      <c r="BU220" s="136"/>
      <c r="BV220" s="136"/>
      <c r="BW220" s="136"/>
      <c r="BX220" s="136"/>
      <c r="BY220" s="136"/>
      <c r="BZ220" s="136"/>
      <c r="CA220" s="136"/>
      <c r="CB220" s="136"/>
      <c r="CC220" s="136"/>
      <c r="CD220" s="136"/>
      <c r="CE220" s="136"/>
      <c r="CF220" s="136"/>
      <c r="CG220" s="136"/>
      <c r="CH220" s="136"/>
      <c r="CI220" s="136"/>
      <c r="CJ220" s="136"/>
      <c r="CK220" s="136"/>
      <c r="CL220" s="136"/>
      <c r="CM220" s="136"/>
      <c r="CN220" s="136"/>
      <c r="CO220" s="136"/>
      <c r="CP220" s="136"/>
      <c r="CQ220" s="136"/>
      <c r="CR220" s="136"/>
      <c r="CS220" s="136"/>
      <c r="CT220" s="136"/>
      <c r="CU220" s="136"/>
      <c r="CV220" s="136"/>
      <c r="CW220" s="136"/>
      <c r="CX220" s="136"/>
      <c r="CY220" s="136"/>
      <c r="CZ220" s="136"/>
      <c r="DA220" s="136"/>
      <c r="DB220" s="136"/>
      <c r="DC220" s="136"/>
      <c r="DD220" s="136"/>
      <c r="DE220" s="136"/>
      <c r="DF220" s="136"/>
      <c r="DG220" s="136"/>
      <c r="DH220" s="136"/>
      <c r="DI220" s="136"/>
      <c r="DJ220" s="136"/>
      <c r="DK220" s="136"/>
      <c r="DL220" s="136"/>
      <c r="DM220" s="136"/>
      <c r="DN220" s="136"/>
      <c r="DO220" s="136"/>
      <c r="DP220" s="136"/>
      <c r="DQ220" s="136"/>
      <c r="DR220" s="136"/>
      <c r="DS220" s="136"/>
      <c r="DT220" s="136"/>
      <c r="DU220" s="136"/>
      <c r="DV220" s="136"/>
      <c r="DW220" s="136"/>
      <c r="DX220" s="136"/>
      <c r="DY220" s="136"/>
      <c r="DZ220" s="136"/>
      <c r="EA220" s="136"/>
      <c r="EB220" s="136"/>
      <c r="EC220" s="136"/>
      <c r="ED220" s="136"/>
      <c r="EE220" s="136"/>
      <c r="EF220" s="136"/>
      <c r="EG220" s="136"/>
      <c r="EH220" s="136"/>
      <c r="EI220" s="136"/>
      <c r="EJ220" s="136"/>
      <c r="EK220" s="136"/>
      <c r="EL220" s="136"/>
      <c r="EM220" s="136"/>
      <c r="EN220" s="136"/>
      <c r="EO220" s="136"/>
      <c r="EP220" s="136"/>
      <c r="EQ220" s="136"/>
      <c r="ER220" s="136"/>
      <c r="ES220" s="136"/>
      <c r="ET220" s="136"/>
      <c r="EU220" s="136"/>
      <c r="EV220" s="136"/>
      <c r="EW220" s="136"/>
      <c r="EX220" s="136"/>
      <c r="EY220" s="136"/>
      <c r="EZ220" s="136"/>
      <c r="FA220" s="136"/>
      <c r="FB220" s="136"/>
      <c r="FC220" s="136"/>
      <c r="FD220" s="136"/>
      <c r="FE220" s="137"/>
      <c r="FF220" s="138"/>
    </row>
    <row r="221" spans="1:162" ht="12.75" x14ac:dyDescent="0.2">
      <c r="A221" s="93">
        <v>215</v>
      </c>
      <c r="B221" s="145" t="s">
        <v>308</v>
      </c>
      <c r="C221" s="141" t="s">
        <v>866</v>
      </c>
      <c r="D221" s="142" t="s">
        <v>868</v>
      </c>
      <c r="E221" s="149" t="s">
        <v>307</v>
      </c>
      <c r="F221" s="542">
        <v>13742914</v>
      </c>
      <c r="G221" s="542">
        <v>0</v>
      </c>
      <c r="H221" s="542">
        <v>13742914</v>
      </c>
      <c r="I221" s="542">
        <v>0</v>
      </c>
      <c r="J221" s="542">
        <v>0</v>
      </c>
      <c r="K221" s="542">
        <v>0</v>
      </c>
      <c r="L221" s="542">
        <v>16745</v>
      </c>
      <c r="M221" s="542">
        <v>0</v>
      </c>
      <c r="N221" s="542">
        <v>16745</v>
      </c>
      <c r="O221" s="542">
        <v>-209781</v>
      </c>
      <c r="P221" s="542">
        <v>0</v>
      </c>
      <c r="Q221" s="542">
        <v>-209781</v>
      </c>
      <c r="R221" s="542">
        <v>0</v>
      </c>
      <c r="S221" s="542">
        <v>0</v>
      </c>
      <c r="T221" s="542">
        <v>0</v>
      </c>
      <c r="U221" s="542">
        <v>-165258</v>
      </c>
      <c r="V221" s="542">
        <v>0</v>
      </c>
      <c r="W221" s="542">
        <v>-165258</v>
      </c>
      <c r="X221" s="542">
        <v>0</v>
      </c>
      <c r="Y221" s="542">
        <v>0</v>
      </c>
      <c r="Z221" s="542">
        <v>0</v>
      </c>
      <c r="AA221" s="542">
        <v>-554247</v>
      </c>
      <c r="AB221" s="542">
        <v>0</v>
      </c>
      <c r="AC221" s="542">
        <v>-554247</v>
      </c>
      <c r="AD221" s="542">
        <v>13040154</v>
      </c>
      <c r="AE221" s="542">
        <v>0</v>
      </c>
      <c r="AF221" s="542">
        <v>13040154</v>
      </c>
      <c r="AG221" s="542">
        <v>0</v>
      </c>
      <c r="AH221" s="542">
        <v>0</v>
      </c>
      <c r="AI221" s="542">
        <v>0</v>
      </c>
      <c r="AJ221" s="542">
        <v>0</v>
      </c>
      <c r="AK221" s="542">
        <v>0</v>
      </c>
      <c r="AL221" s="542">
        <v>0</v>
      </c>
      <c r="AM221" s="542">
        <v>0</v>
      </c>
      <c r="AN221" s="542">
        <v>0</v>
      </c>
      <c r="AO221" s="542">
        <v>0</v>
      </c>
      <c r="AP221" s="542">
        <v>0</v>
      </c>
      <c r="AQ221" s="542">
        <v>0</v>
      </c>
      <c r="AR221" s="542">
        <v>0</v>
      </c>
      <c r="AS221" s="542">
        <v>0</v>
      </c>
      <c r="AT221" s="542">
        <v>0</v>
      </c>
      <c r="AU221" s="542">
        <v>0</v>
      </c>
      <c r="AV221" s="542">
        <v>1087745</v>
      </c>
      <c r="AW221" s="542">
        <v>0</v>
      </c>
      <c r="AX221" s="136"/>
      <c r="AY221" s="136"/>
      <c r="AZ221" s="136"/>
      <c r="BA221" s="136"/>
      <c r="BB221" s="136"/>
      <c r="BC221" s="136"/>
      <c r="BD221" s="136"/>
      <c r="BE221" s="136"/>
      <c r="BF221" s="136"/>
      <c r="BG221" s="136"/>
      <c r="BH221" s="136"/>
      <c r="BI221" s="136"/>
      <c r="BJ221" s="136"/>
      <c r="BK221" s="136"/>
      <c r="BL221" s="136"/>
      <c r="BM221" s="136"/>
      <c r="BN221" s="136"/>
      <c r="BO221" s="136"/>
      <c r="BP221" s="136"/>
      <c r="BQ221" s="136"/>
      <c r="BR221" s="136"/>
      <c r="BS221" s="136"/>
      <c r="BT221" s="136"/>
      <c r="BU221" s="136"/>
      <c r="BV221" s="136"/>
      <c r="BW221" s="136"/>
      <c r="BX221" s="136"/>
      <c r="BY221" s="136"/>
      <c r="BZ221" s="136"/>
      <c r="CA221" s="136"/>
      <c r="CB221" s="136"/>
      <c r="CC221" s="136"/>
      <c r="CD221" s="136"/>
      <c r="CE221" s="136"/>
      <c r="CF221" s="136"/>
      <c r="CG221" s="136"/>
      <c r="CH221" s="136"/>
      <c r="CI221" s="136"/>
      <c r="CJ221" s="136"/>
      <c r="CK221" s="136"/>
      <c r="CL221" s="136"/>
      <c r="CM221" s="136"/>
      <c r="CN221" s="136"/>
      <c r="CO221" s="136"/>
      <c r="CP221" s="136"/>
      <c r="CQ221" s="136"/>
      <c r="CR221" s="136"/>
      <c r="CS221" s="136"/>
      <c r="CT221" s="136"/>
      <c r="CU221" s="136"/>
      <c r="CV221" s="136"/>
      <c r="CW221" s="136"/>
      <c r="CX221" s="136"/>
      <c r="CY221" s="136"/>
      <c r="CZ221" s="136"/>
      <c r="DA221" s="136"/>
      <c r="DB221" s="136"/>
      <c r="DC221" s="136"/>
      <c r="DD221" s="136"/>
      <c r="DE221" s="136"/>
      <c r="DF221" s="136"/>
      <c r="DG221" s="136"/>
      <c r="DH221" s="136"/>
      <c r="DI221" s="136"/>
      <c r="DJ221" s="136"/>
      <c r="DK221" s="136"/>
      <c r="DL221" s="136"/>
      <c r="DM221" s="136"/>
      <c r="DN221" s="136"/>
      <c r="DO221" s="136"/>
      <c r="DP221" s="136"/>
      <c r="DQ221" s="136"/>
      <c r="DR221" s="136"/>
      <c r="DS221" s="136"/>
      <c r="DT221" s="136"/>
      <c r="DU221" s="136"/>
      <c r="DV221" s="136"/>
      <c r="DW221" s="136"/>
      <c r="DX221" s="136"/>
      <c r="DY221" s="136"/>
      <c r="DZ221" s="136"/>
      <c r="EA221" s="136"/>
      <c r="EB221" s="136"/>
      <c r="EC221" s="136"/>
      <c r="ED221" s="136"/>
      <c r="EE221" s="136"/>
      <c r="EF221" s="136"/>
      <c r="EG221" s="136"/>
      <c r="EH221" s="136"/>
      <c r="EI221" s="136"/>
      <c r="EJ221" s="136"/>
      <c r="EK221" s="136"/>
      <c r="EL221" s="136"/>
      <c r="EM221" s="136"/>
      <c r="EN221" s="136"/>
      <c r="EO221" s="136"/>
      <c r="EP221" s="136"/>
      <c r="EQ221" s="136"/>
      <c r="ER221" s="136"/>
      <c r="ES221" s="136"/>
      <c r="ET221" s="136"/>
      <c r="EU221" s="136"/>
      <c r="EV221" s="136"/>
      <c r="EW221" s="136"/>
      <c r="EX221" s="136"/>
      <c r="EY221" s="136"/>
      <c r="EZ221" s="136"/>
      <c r="FA221" s="136"/>
      <c r="FB221" s="136"/>
      <c r="FC221" s="136"/>
      <c r="FD221" s="136"/>
      <c r="FE221" s="137"/>
      <c r="FF221" s="138"/>
    </row>
    <row r="222" spans="1:162" ht="12.75" x14ac:dyDescent="0.2">
      <c r="A222" s="93">
        <v>216</v>
      </c>
      <c r="B222" s="145" t="s">
        <v>310</v>
      </c>
      <c r="C222" s="141" t="s">
        <v>866</v>
      </c>
      <c r="D222" s="142" t="s">
        <v>867</v>
      </c>
      <c r="E222" s="149" t="s">
        <v>309</v>
      </c>
      <c r="F222" s="542">
        <v>16389990</v>
      </c>
      <c r="G222" s="542">
        <v>0</v>
      </c>
      <c r="H222" s="542">
        <v>16389990</v>
      </c>
      <c r="I222" s="542">
        <v>0</v>
      </c>
      <c r="J222" s="542">
        <v>0</v>
      </c>
      <c r="K222" s="542">
        <v>0</v>
      </c>
      <c r="L222" s="542">
        <v>64344</v>
      </c>
      <c r="M222" s="542">
        <v>0</v>
      </c>
      <c r="N222" s="542">
        <v>64344</v>
      </c>
      <c r="O222" s="542">
        <v>0</v>
      </c>
      <c r="P222" s="542">
        <v>0</v>
      </c>
      <c r="Q222" s="542">
        <v>0</v>
      </c>
      <c r="R222" s="542">
        <v>-38492</v>
      </c>
      <c r="S222" s="542">
        <v>0</v>
      </c>
      <c r="T222" s="542">
        <v>-38492</v>
      </c>
      <c r="U222" s="542">
        <v>-81862</v>
      </c>
      <c r="V222" s="542">
        <v>0</v>
      </c>
      <c r="W222" s="542">
        <v>-81862</v>
      </c>
      <c r="X222" s="542">
        <v>0</v>
      </c>
      <c r="Y222" s="542">
        <v>0</v>
      </c>
      <c r="Z222" s="542">
        <v>0</v>
      </c>
      <c r="AA222" s="542">
        <v>79010</v>
      </c>
      <c r="AB222" s="542">
        <v>0</v>
      </c>
      <c r="AC222" s="542">
        <v>79010</v>
      </c>
      <c r="AD222" s="542">
        <v>16412990</v>
      </c>
      <c r="AE222" s="542">
        <v>0</v>
      </c>
      <c r="AF222" s="542">
        <v>16412990</v>
      </c>
      <c r="AG222" s="542">
        <v>0</v>
      </c>
      <c r="AH222" s="542">
        <v>0</v>
      </c>
      <c r="AI222" s="542">
        <v>0</v>
      </c>
      <c r="AJ222" s="542">
        <v>0</v>
      </c>
      <c r="AK222" s="542">
        <v>0</v>
      </c>
      <c r="AL222" s="542">
        <v>0</v>
      </c>
      <c r="AM222" s="542">
        <v>0</v>
      </c>
      <c r="AN222" s="542">
        <v>0</v>
      </c>
      <c r="AO222" s="542">
        <v>0</v>
      </c>
      <c r="AP222" s="542">
        <v>0</v>
      </c>
      <c r="AQ222" s="542">
        <v>0</v>
      </c>
      <c r="AR222" s="542">
        <v>0</v>
      </c>
      <c r="AS222" s="542">
        <v>0</v>
      </c>
      <c r="AT222" s="542">
        <v>0</v>
      </c>
      <c r="AU222" s="542">
        <v>0</v>
      </c>
      <c r="AV222" s="542">
        <v>687061</v>
      </c>
      <c r="AW222" s="542">
        <v>-223801</v>
      </c>
      <c r="AX222" s="136"/>
      <c r="AY222" s="136"/>
      <c r="AZ222" s="136"/>
      <c r="BA222" s="136"/>
      <c r="BB222" s="136"/>
      <c r="BC222" s="136"/>
      <c r="BD222" s="136"/>
      <c r="BE222" s="136"/>
      <c r="BF222" s="136"/>
      <c r="BG222" s="136"/>
      <c r="BH222" s="136"/>
      <c r="BI222" s="136"/>
      <c r="BJ222" s="136"/>
      <c r="BK222" s="136"/>
      <c r="BL222" s="136"/>
      <c r="BM222" s="136"/>
      <c r="BN222" s="136"/>
      <c r="BO222" s="136"/>
      <c r="BP222" s="136"/>
      <c r="BQ222" s="136"/>
      <c r="BR222" s="136"/>
      <c r="BS222" s="136"/>
      <c r="BT222" s="136"/>
      <c r="BU222" s="136"/>
      <c r="BV222" s="136"/>
      <c r="BW222" s="136"/>
      <c r="BX222" s="136"/>
      <c r="BY222" s="136"/>
      <c r="BZ222" s="136"/>
      <c r="CA222" s="136"/>
      <c r="CB222" s="136"/>
      <c r="CC222" s="136"/>
      <c r="CD222" s="136"/>
      <c r="CE222" s="136"/>
      <c r="CF222" s="136"/>
      <c r="CG222" s="136"/>
      <c r="CH222" s="136"/>
      <c r="CI222" s="136"/>
      <c r="CJ222" s="136"/>
      <c r="CK222" s="136"/>
      <c r="CL222" s="136"/>
      <c r="CM222" s="136"/>
      <c r="CN222" s="136"/>
      <c r="CO222" s="136"/>
      <c r="CP222" s="136"/>
      <c r="CQ222" s="136"/>
      <c r="CR222" s="136"/>
      <c r="CS222" s="136"/>
      <c r="CT222" s="136"/>
      <c r="CU222" s="136"/>
      <c r="CV222" s="136"/>
      <c r="CW222" s="136"/>
      <c r="CX222" s="136"/>
      <c r="CY222" s="136"/>
      <c r="CZ222" s="136"/>
      <c r="DA222" s="136"/>
      <c r="DB222" s="136"/>
      <c r="DC222" s="136"/>
      <c r="DD222" s="136"/>
      <c r="DE222" s="136"/>
      <c r="DF222" s="136"/>
      <c r="DG222" s="136"/>
      <c r="DH222" s="136"/>
      <c r="DI222" s="136"/>
      <c r="DJ222" s="136"/>
      <c r="DK222" s="136"/>
      <c r="DL222" s="136"/>
      <c r="DM222" s="136"/>
      <c r="DN222" s="136"/>
      <c r="DO222" s="136"/>
      <c r="DP222" s="136"/>
      <c r="DQ222" s="136"/>
      <c r="DR222" s="136"/>
      <c r="DS222" s="136"/>
      <c r="DT222" s="136"/>
      <c r="DU222" s="136"/>
      <c r="DV222" s="136"/>
      <c r="DW222" s="136"/>
      <c r="DX222" s="136"/>
      <c r="DY222" s="136"/>
      <c r="DZ222" s="136"/>
      <c r="EA222" s="136"/>
      <c r="EB222" s="136"/>
      <c r="EC222" s="136"/>
      <c r="ED222" s="136"/>
      <c r="EE222" s="136"/>
      <c r="EF222" s="136"/>
      <c r="EG222" s="136"/>
      <c r="EH222" s="136"/>
      <c r="EI222" s="136"/>
      <c r="EJ222" s="136"/>
      <c r="EK222" s="136"/>
      <c r="EL222" s="136"/>
      <c r="EM222" s="136"/>
      <c r="EN222" s="136"/>
      <c r="EO222" s="136"/>
      <c r="EP222" s="136"/>
      <c r="EQ222" s="136"/>
      <c r="ER222" s="136"/>
      <c r="ES222" s="136"/>
      <c r="ET222" s="136"/>
      <c r="EU222" s="136"/>
      <c r="EV222" s="136"/>
      <c r="EW222" s="136"/>
      <c r="EX222" s="136"/>
      <c r="EY222" s="136"/>
      <c r="EZ222" s="136"/>
      <c r="FA222" s="136"/>
      <c r="FB222" s="136"/>
      <c r="FC222" s="136"/>
      <c r="FD222" s="136"/>
      <c r="FE222" s="137"/>
      <c r="FF222" s="138"/>
    </row>
    <row r="223" spans="1:162" ht="12.75" x14ac:dyDescent="0.2">
      <c r="A223" s="93">
        <v>217</v>
      </c>
      <c r="B223" s="145" t="s">
        <v>312</v>
      </c>
      <c r="C223" s="141" t="s">
        <v>873</v>
      </c>
      <c r="D223" s="142" t="s">
        <v>874</v>
      </c>
      <c r="E223" s="149" t="s">
        <v>311</v>
      </c>
      <c r="F223" s="542">
        <v>73632884</v>
      </c>
      <c r="G223" s="542">
        <v>296564</v>
      </c>
      <c r="H223" s="542">
        <v>73929448</v>
      </c>
      <c r="I223" s="542">
        <v>-4401</v>
      </c>
      <c r="J223" s="542">
        <v>0</v>
      </c>
      <c r="K223" s="542">
        <v>-4401</v>
      </c>
      <c r="L223" s="542">
        <v>402761</v>
      </c>
      <c r="M223" s="542">
        <v>0</v>
      </c>
      <c r="N223" s="542">
        <v>402761</v>
      </c>
      <c r="O223" s="542">
        <v>-970527</v>
      </c>
      <c r="P223" s="542">
        <v>0</v>
      </c>
      <c r="Q223" s="542">
        <v>-970527</v>
      </c>
      <c r="R223" s="542">
        <v>-79349</v>
      </c>
      <c r="S223" s="542">
        <v>0</v>
      </c>
      <c r="T223" s="542">
        <v>-79349</v>
      </c>
      <c r="U223" s="542">
        <v>-482957</v>
      </c>
      <c r="V223" s="542">
        <v>0</v>
      </c>
      <c r="W223" s="542">
        <v>-482957</v>
      </c>
      <c r="X223" s="542">
        <v>3161032</v>
      </c>
      <c r="Y223" s="542">
        <v>0</v>
      </c>
      <c r="Z223" s="542">
        <v>3161032</v>
      </c>
      <c r="AA223" s="542">
        <v>-4095876</v>
      </c>
      <c r="AB223" s="542">
        <v>0</v>
      </c>
      <c r="AC223" s="542">
        <v>-4095876</v>
      </c>
      <c r="AD223" s="542">
        <v>72534094</v>
      </c>
      <c r="AE223" s="542">
        <v>296564</v>
      </c>
      <c r="AF223" s="542">
        <v>72830658</v>
      </c>
      <c r="AG223" s="542">
        <v>296564</v>
      </c>
      <c r="AH223" s="542">
        <v>0</v>
      </c>
      <c r="AI223" s="542">
        <v>296564</v>
      </c>
      <c r="AJ223" s="542">
        <v>151830</v>
      </c>
      <c r="AK223" s="542">
        <v>0</v>
      </c>
      <c r="AL223" s="542">
        <v>0</v>
      </c>
      <c r="AM223" s="542">
        <v>151830</v>
      </c>
      <c r="AN223" s="542">
        <v>-2298</v>
      </c>
      <c r="AO223" s="542">
        <v>0</v>
      </c>
      <c r="AP223" s="542">
        <v>-2298</v>
      </c>
      <c r="AQ223" s="542">
        <v>330504</v>
      </c>
      <c r="AR223" s="542">
        <v>0</v>
      </c>
      <c r="AS223" s="542">
        <v>0</v>
      </c>
      <c r="AT223" s="542">
        <v>0</v>
      </c>
      <c r="AU223" s="542">
        <v>0</v>
      </c>
      <c r="AV223" s="542">
        <v>1961994</v>
      </c>
      <c r="AW223" s="542">
        <v>-404654</v>
      </c>
      <c r="AX223" s="136"/>
      <c r="AY223" s="136"/>
      <c r="AZ223" s="136"/>
      <c r="BA223" s="136"/>
      <c r="BB223" s="136"/>
      <c r="BC223" s="136"/>
      <c r="BD223" s="136"/>
      <c r="BE223" s="136"/>
      <c r="BF223" s="136"/>
      <c r="BG223" s="136"/>
      <c r="BH223" s="136"/>
      <c r="BI223" s="136"/>
      <c r="BJ223" s="136"/>
      <c r="BK223" s="136"/>
      <c r="BL223" s="136"/>
      <c r="BM223" s="136"/>
      <c r="BN223" s="136"/>
      <c r="BO223" s="136"/>
      <c r="BP223" s="136"/>
      <c r="BQ223" s="136"/>
      <c r="BR223" s="136"/>
      <c r="BS223" s="136"/>
      <c r="BT223" s="136"/>
      <c r="BU223" s="136"/>
      <c r="BV223" s="136"/>
      <c r="BW223" s="136"/>
      <c r="BX223" s="136"/>
      <c r="BY223" s="136"/>
      <c r="BZ223" s="136"/>
      <c r="CA223" s="136"/>
      <c r="CB223" s="136"/>
      <c r="CC223" s="136"/>
      <c r="CD223" s="136"/>
      <c r="CE223" s="136"/>
      <c r="CF223" s="136"/>
      <c r="CG223" s="136"/>
      <c r="CH223" s="136"/>
      <c r="CI223" s="136"/>
      <c r="CJ223" s="136"/>
      <c r="CK223" s="136"/>
      <c r="CL223" s="136"/>
      <c r="CM223" s="136"/>
      <c r="CN223" s="136"/>
      <c r="CO223" s="136"/>
      <c r="CP223" s="136"/>
      <c r="CQ223" s="136"/>
      <c r="CR223" s="136"/>
      <c r="CS223" s="136"/>
      <c r="CT223" s="136"/>
      <c r="CU223" s="136"/>
      <c r="CV223" s="136"/>
      <c r="CW223" s="136"/>
      <c r="CX223" s="136"/>
      <c r="CY223" s="136"/>
      <c r="CZ223" s="136"/>
      <c r="DA223" s="136"/>
      <c r="DB223" s="136"/>
      <c r="DC223" s="136"/>
      <c r="DD223" s="136"/>
      <c r="DE223" s="136"/>
      <c r="DF223" s="136"/>
      <c r="DG223" s="136"/>
      <c r="DH223" s="136"/>
      <c r="DI223" s="136"/>
      <c r="DJ223" s="136"/>
      <c r="DK223" s="136"/>
      <c r="DL223" s="136"/>
      <c r="DM223" s="136"/>
      <c r="DN223" s="136"/>
      <c r="DO223" s="136"/>
      <c r="DP223" s="136"/>
      <c r="DQ223" s="136"/>
      <c r="DR223" s="136"/>
      <c r="DS223" s="136"/>
      <c r="DT223" s="136"/>
      <c r="DU223" s="136"/>
      <c r="DV223" s="136"/>
      <c r="DW223" s="136"/>
      <c r="DX223" s="136"/>
      <c r="DY223" s="136"/>
      <c r="DZ223" s="136"/>
      <c r="EA223" s="136"/>
      <c r="EB223" s="136"/>
      <c r="EC223" s="136"/>
      <c r="ED223" s="136"/>
      <c r="EE223" s="136"/>
      <c r="EF223" s="136"/>
      <c r="EG223" s="136"/>
      <c r="EH223" s="136"/>
      <c r="EI223" s="136"/>
      <c r="EJ223" s="136"/>
      <c r="EK223" s="136"/>
      <c r="EL223" s="136"/>
      <c r="EM223" s="136"/>
      <c r="EN223" s="136"/>
      <c r="EO223" s="136"/>
      <c r="EP223" s="136"/>
      <c r="EQ223" s="136"/>
      <c r="ER223" s="136"/>
      <c r="ES223" s="136"/>
      <c r="ET223" s="136"/>
      <c r="EU223" s="136"/>
      <c r="EV223" s="136"/>
      <c r="EW223" s="136"/>
      <c r="EX223" s="136"/>
      <c r="EY223" s="136"/>
      <c r="EZ223" s="136"/>
      <c r="FA223" s="136"/>
      <c r="FB223" s="136"/>
      <c r="FC223" s="136"/>
      <c r="FD223" s="136"/>
      <c r="FE223" s="137"/>
      <c r="FF223" s="138"/>
    </row>
    <row r="224" spans="1:162" ht="12.75" x14ac:dyDescent="0.2">
      <c r="A224" s="93">
        <v>218</v>
      </c>
      <c r="B224" s="145" t="s">
        <v>314</v>
      </c>
      <c r="C224" s="141" t="s">
        <v>866</v>
      </c>
      <c r="D224" s="142" t="s">
        <v>876</v>
      </c>
      <c r="E224" s="149" t="s">
        <v>313</v>
      </c>
      <c r="F224" s="542">
        <v>41897822</v>
      </c>
      <c r="G224" s="542">
        <v>0</v>
      </c>
      <c r="H224" s="542">
        <v>41897822</v>
      </c>
      <c r="I224" s="542">
        <v>0</v>
      </c>
      <c r="J224" s="542">
        <v>0</v>
      </c>
      <c r="K224" s="542">
        <v>0</v>
      </c>
      <c r="L224" s="542">
        <v>203414</v>
      </c>
      <c r="M224" s="542">
        <v>0</v>
      </c>
      <c r="N224" s="542">
        <v>203414</v>
      </c>
      <c r="O224" s="542">
        <v>-112093</v>
      </c>
      <c r="P224" s="542">
        <v>0</v>
      </c>
      <c r="Q224" s="542">
        <v>-112093</v>
      </c>
      <c r="R224" s="542">
        <v>0</v>
      </c>
      <c r="S224" s="542">
        <v>0</v>
      </c>
      <c r="T224" s="542">
        <v>0</v>
      </c>
      <c r="U224" s="542">
        <v>-170813</v>
      </c>
      <c r="V224" s="542">
        <v>0</v>
      </c>
      <c r="W224" s="542">
        <v>-170813</v>
      </c>
      <c r="X224" s="542">
        <v>327259</v>
      </c>
      <c r="Y224" s="542">
        <v>0</v>
      </c>
      <c r="Z224" s="542">
        <v>327259</v>
      </c>
      <c r="AA224" s="542">
        <v>-327259</v>
      </c>
      <c r="AB224" s="542">
        <v>0</v>
      </c>
      <c r="AC224" s="542">
        <v>-327259</v>
      </c>
      <c r="AD224" s="542">
        <v>41930423</v>
      </c>
      <c r="AE224" s="542">
        <v>0</v>
      </c>
      <c r="AF224" s="542">
        <v>41930423</v>
      </c>
      <c r="AG224" s="542">
        <v>0</v>
      </c>
      <c r="AH224" s="542">
        <v>0</v>
      </c>
      <c r="AI224" s="542">
        <v>0</v>
      </c>
      <c r="AJ224" s="542">
        <v>0</v>
      </c>
      <c r="AK224" s="542">
        <v>0</v>
      </c>
      <c r="AL224" s="542">
        <v>0</v>
      </c>
      <c r="AM224" s="542">
        <v>0</v>
      </c>
      <c r="AN224" s="542">
        <v>0</v>
      </c>
      <c r="AO224" s="542">
        <v>0</v>
      </c>
      <c r="AP224" s="542">
        <v>0</v>
      </c>
      <c r="AQ224" s="542">
        <v>0</v>
      </c>
      <c r="AR224" s="542">
        <v>0</v>
      </c>
      <c r="AS224" s="542">
        <v>0</v>
      </c>
      <c r="AT224" s="542">
        <v>0</v>
      </c>
      <c r="AU224" s="542">
        <v>0</v>
      </c>
      <c r="AV224" s="542">
        <v>905499</v>
      </c>
      <c r="AW224" s="542">
        <v>-428666</v>
      </c>
      <c r="AX224" s="136"/>
      <c r="AY224" s="136"/>
      <c r="AZ224" s="136"/>
      <c r="BA224" s="136"/>
      <c r="BB224" s="136"/>
      <c r="BC224" s="136"/>
      <c r="BD224" s="136"/>
      <c r="BE224" s="136"/>
      <c r="BF224" s="136"/>
      <c r="BG224" s="136"/>
      <c r="BH224" s="136"/>
      <c r="BI224" s="136"/>
      <c r="BJ224" s="136"/>
      <c r="BK224" s="136"/>
      <c r="BL224" s="136"/>
      <c r="BM224" s="136"/>
      <c r="BN224" s="136"/>
      <c r="BO224" s="136"/>
      <c r="BP224" s="136"/>
      <c r="BQ224" s="136"/>
      <c r="BR224" s="136"/>
      <c r="BS224" s="136"/>
      <c r="BT224" s="136"/>
      <c r="BU224" s="136"/>
      <c r="BV224" s="136"/>
      <c r="BW224" s="136"/>
      <c r="BX224" s="136"/>
      <c r="BY224" s="136"/>
      <c r="BZ224" s="136"/>
      <c r="CA224" s="136"/>
      <c r="CB224" s="136"/>
      <c r="CC224" s="136"/>
      <c r="CD224" s="136"/>
      <c r="CE224" s="136"/>
      <c r="CF224" s="136"/>
      <c r="CG224" s="136"/>
      <c r="CH224" s="136"/>
      <c r="CI224" s="136"/>
      <c r="CJ224" s="136"/>
      <c r="CK224" s="136"/>
      <c r="CL224" s="136"/>
      <c r="CM224" s="136"/>
      <c r="CN224" s="136"/>
      <c r="CO224" s="136"/>
      <c r="CP224" s="136"/>
      <c r="CQ224" s="136"/>
      <c r="CR224" s="136"/>
      <c r="CS224" s="136"/>
      <c r="CT224" s="136"/>
      <c r="CU224" s="136"/>
      <c r="CV224" s="136"/>
      <c r="CW224" s="136"/>
      <c r="CX224" s="136"/>
      <c r="CY224" s="136"/>
      <c r="CZ224" s="136"/>
      <c r="DA224" s="136"/>
      <c r="DB224" s="136"/>
      <c r="DC224" s="136"/>
      <c r="DD224" s="136"/>
      <c r="DE224" s="136"/>
      <c r="DF224" s="136"/>
      <c r="DG224" s="136"/>
      <c r="DH224" s="136"/>
      <c r="DI224" s="136"/>
      <c r="DJ224" s="136"/>
      <c r="DK224" s="136"/>
      <c r="DL224" s="136"/>
      <c r="DM224" s="136"/>
      <c r="DN224" s="136"/>
      <c r="DO224" s="136"/>
      <c r="DP224" s="136"/>
      <c r="DQ224" s="136"/>
      <c r="DR224" s="136"/>
      <c r="DS224" s="136"/>
      <c r="DT224" s="136"/>
      <c r="DU224" s="136"/>
      <c r="DV224" s="136"/>
      <c r="DW224" s="136"/>
      <c r="DX224" s="136"/>
      <c r="DY224" s="136"/>
      <c r="DZ224" s="136"/>
      <c r="EA224" s="136"/>
      <c r="EB224" s="136"/>
      <c r="EC224" s="136"/>
      <c r="ED224" s="136"/>
      <c r="EE224" s="136"/>
      <c r="EF224" s="136"/>
      <c r="EG224" s="136"/>
      <c r="EH224" s="136"/>
      <c r="EI224" s="136"/>
      <c r="EJ224" s="136"/>
      <c r="EK224" s="136"/>
      <c r="EL224" s="136"/>
      <c r="EM224" s="136"/>
      <c r="EN224" s="136"/>
      <c r="EO224" s="136"/>
      <c r="EP224" s="136"/>
      <c r="EQ224" s="136"/>
      <c r="ER224" s="136"/>
      <c r="ES224" s="136"/>
      <c r="ET224" s="136"/>
      <c r="EU224" s="136"/>
      <c r="EV224" s="136"/>
      <c r="EW224" s="136"/>
      <c r="EX224" s="136"/>
      <c r="EY224" s="136"/>
      <c r="EZ224" s="136"/>
      <c r="FA224" s="136"/>
      <c r="FB224" s="136"/>
      <c r="FC224" s="136"/>
      <c r="FD224" s="136"/>
      <c r="FE224" s="137"/>
      <c r="FF224" s="138"/>
    </row>
    <row r="225" spans="1:162" ht="12.75" x14ac:dyDescent="0.2">
      <c r="A225" s="93">
        <v>219</v>
      </c>
      <c r="B225" s="145" t="s">
        <v>316</v>
      </c>
      <c r="C225" s="141" t="s">
        <v>866</v>
      </c>
      <c r="D225" s="142" t="s">
        <v>867</v>
      </c>
      <c r="E225" s="149" t="s">
        <v>315</v>
      </c>
      <c r="F225" s="542">
        <v>42840029</v>
      </c>
      <c r="G225" s="542">
        <v>0</v>
      </c>
      <c r="H225" s="542">
        <v>42840029</v>
      </c>
      <c r="I225" s="542">
        <v>-1816</v>
      </c>
      <c r="J225" s="542">
        <v>0</v>
      </c>
      <c r="K225" s="542">
        <v>-1816</v>
      </c>
      <c r="L225" s="542">
        <v>140413</v>
      </c>
      <c r="M225" s="542">
        <v>0</v>
      </c>
      <c r="N225" s="542">
        <v>140413</v>
      </c>
      <c r="O225" s="542">
        <v>0</v>
      </c>
      <c r="P225" s="542">
        <v>0</v>
      </c>
      <c r="Q225" s="542">
        <v>0</v>
      </c>
      <c r="R225" s="542">
        <v>0</v>
      </c>
      <c r="S225" s="542">
        <v>0</v>
      </c>
      <c r="T225" s="542">
        <v>0</v>
      </c>
      <c r="U225" s="542">
        <v>-239400</v>
      </c>
      <c r="V225" s="542">
        <v>0</v>
      </c>
      <c r="W225" s="542">
        <v>-239400</v>
      </c>
      <c r="X225" s="542">
        <v>0</v>
      </c>
      <c r="Y225" s="542">
        <v>0</v>
      </c>
      <c r="Z225" s="542">
        <v>0</v>
      </c>
      <c r="AA225" s="542">
        <v>-2023254</v>
      </c>
      <c r="AB225" s="542">
        <v>0</v>
      </c>
      <c r="AC225" s="542">
        <v>-2023254</v>
      </c>
      <c r="AD225" s="542">
        <v>40715972</v>
      </c>
      <c r="AE225" s="542">
        <v>0</v>
      </c>
      <c r="AF225" s="542">
        <v>40715972</v>
      </c>
      <c r="AG225" s="542">
        <v>0</v>
      </c>
      <c r="AH225" s="542">
        <v>0</v>
      </c>
      <c r="AI225" s="542">
        <v>0</v>
      </c>
      <c r="AJ225" s="542">
        <v>0</v>
      </c>
      <c r="AK225" s="542">
        <v>0</v>
      </c>
      <c r="AL225" s="542">
        <v>0</v>
      </c>
      <c r="AM225" s="542">
        <v>0</v>
      </c>
      <c r="AN225" s="542">
        <v>0</v>
      </c>
      <c r="AO225" s="542">
        <v>0</v>
      </c>
      <c r="AP225" s="542">
        <v>0</v>
      </c>
      <c r="AQ225" s="542">
        <v>0</v>
      </c>
      <c r="AR225" s="542">
        <v>0</v>
      </c>
      <c r="AS225" s="542">
        <v>0</v>
      </c>
      <c r="AT225" s="542">
        <v>0</v>
      </c>
      <c r="AU225" s="542">
        <v>0</v>
      </c>
      <c r="AV225" s="542">
        <v>1537310</v>
      </c>
      <c r="AW225" s="542">
        <v>-619511</v>
      </c>
      <c r="AX225" s="136"/>
      <c r="AY225" s="136"/>
      <c r="AZ225" s="136"/>
      <c r="BA225" s="136"/>
      <c r="BB225" s="136"/>
      <c r="BC225" s="136"/>
      <c r="BD225" s="136"/>
      <c r="BE225" s="136"/>
      <c r="BF225" s="136"/>
      <c r="BG225" s="136"/>
      <c r="BH225" s="136"/>
      <c r="BI225" s="136"/>
      <c r="BJ225" s="136"/>
      <c r="BK225" s="136"/>
      <c r="BL225" s="136"/>
      <c r="BM225" s="136"/>
      <c r="BN225" s="136"/>
      <c r="BO225" s="136"/>
      <c r="BP225" s="136"/>
      <c r="BQ225" s="136"/>
      <c r="BR225" s="136"/>
      <c r="BS225" s="136"/>
      <c r="BT225" s="136"/>
      <c r="BU225" s="136"/>
      <c r="BV225" s="136"/>
      <c r="BW225" s="136"/>
      <c r="BX225" s="136"/>
      <c r="BY225" s="136"/>
      <c r="BZ225" s="136"/>
      <c r="CA225" s="136"/>
      <c r="CB225" s="136"/>
      <c r="CC225" s="136"/>
      <c r="CD225" s="136"/>
      <c r="CE225" s="136"/>
      <c r="CF225" s="136"/>
      <c r="CG225" s="136"/>
      <c r="CH225" s="136"/>
      <c r="CI225" s="136"/>
      <c r="CJ225" s="136"/>
      <c r="CK225" s="136"/>
      <c r="CL225" s="136"/>
      <c r="CM225" s="136"/>
      <c r="CN225" s="136"/>
      <c r="CO225" s="136"/>
      <c r="CP225" s="136"/>
      <c r="CQ225" s="136"/>
      <c r="CR225" s="136"/>
      <c r="CS225" s="136"/>
      <c r="CT225" s="136"/>
      <c r="CU225" s="136"/>
      <c r="CV225" s="136"/>
      <c r="CW225" s="136"/>
      <c r="CX225" s="136"/>
      <c r="CY225" s="136"/>
      <c r="CZ225" s="136"/>
      <c r="DA225" s="136"/>
      <c r="DB225" s="136"/>
      <c r="DC225" s="136"/>
      <c r="DD225" s="136"/>
      <c r="DE225" s="136"/>
      <c r="DF225" s="136"/>
      <c r="DG225" s="136"/>
      <c r="DH225" s="136"/>
      <c r="DI225" s="136"/>
      <c r="DJ225" s="136"/>
      <c r="DK225" s="136"/>
      <c r="DL225" s="136"/>
      <c r="DM225" s="136"/>
      <c r="DN225" s="136"/>
      <c r="DO225" s="136"/>
      <c r="DP225" s="136"/>
      <c r="DQ225" s="136"/>
      <c r="DR225" s="136"/>
      <c r="DS225" s="136"/>
      <c r="DT225" s="136"/>
      <c r="DU225" s="136"/>
      <c r="DV225" s="136"/>
      <c r="DW225" s="136"/>
      <c r="DX225" s="136"/>
      <c r="DY225" s="136"/>
      <c r="DZ225" s="136"/>
      <c r="EA225" s="136"/>
      <c r="EB225" s="136"/>
      <c r="EC225" s="136"/>
      <c r="ED225" s="136"/>
      <c r="EE225" s="136"/>
      <c r="EF225" s="136"/>
      <c r="EG225" s="136"/>
      <c r="EH225" s="136"/>
      <c r="EI225" s="136"/>
      <c r="EJ225" s="136"/>
      <c r="EK225" s="136"/>
      <c r="EL225" s="136"/>
      <c r="EM225" s="136"/>
      <c r="EN225" s="136"/>
      <c r="EO225" s="136"/>
      <c r="EP225" s="136"/>
      <c r="EQ225" s="136"/>
      <c r="ER225" s="136"/>
      <c r="ES225" s="136"/>
      <c r="ET225" s="136"/>
      <c r="EU225" s="136"/>
      <c r="EV225" s="136"/>
      <c r="EW225" s="136"/>
      <c r="EX225" s="136"/>
      <c r="EY225" s="136"/>
      <c r="EZ225" s="136"/>
      <c r="FA225" s="136"/>
      <c r="FB225" s="136"/>
      <c r="FC225" s="136"/>
      <c r="FD225" s="136"/>
      <c r="FE225" s="137"/>
      <c r="FF225" s="138"/>
    </row>
    <row r="226" spans="1:162" ht="12.75" x14ac:dyDescent="0.2">
      <c r="A226" s="93">
        <v>220</v>
      </c>
      <c r="B226" s="145" t="s">
        <v>318</v>
      </c>
      <c r="C226" s="141" t="s">
        <v>866</v>
      </c>
      <c r="D226" s="142" t="s">
        <v>869</v>
      </c>
      <c r="E226" s="149" t="s">
        <v>317</v>
      </c>
      <c r="F226" s="542">
        <v>26130540</v>
      </c>
      <c r="G226" s="542">
        <v>0</v>
      </c>
      <c r="H226" s="542">
        <v>26130540</v>
      </c>
      <c r="I226" s="542">
        <v>0</v>
      </c>
      <c r="J226" s="542">
        <v>0</v>
      </c>
      <c r="K226" s="542">
        <v>0</v>
      </c>
      <c r="L226" s="542">
        <v>41825</v>
      </c>
      <c r="M226" s="542">
        <v>0</v>
      </c>
      <c r="N226" s="542">
        <v>41825</v>
      </c>
      <c r="O226" s="542">
        <v>-107985</v>
      </c>
      <c r="P226" s="542">
        <v>0</v>
      </c>
      <c r="Q226" s="542">
        <v>-107985</v>
      </c>
      <c r="R226" s="542">
        <v>0</v>
      </c>
      <c r="S226" s="542">
        <v>0</v>
      </c>
      <c r="T226" s="542">
        <v>0</v>
      </c>
      <c r="U226" s="542">
        <v>-801485</v>
      </c>
      <c r="V226" s="542">
        <v>0</v>
      </c>
      <c r="W226" s="542">
        <v>-801485</v>
      </c>
      <c r="X226" s="542">
        <v>419155</v>
      </c>
      <c r="Y226" s="542">
        <v>0</v>
      </c>
      <c r="Z226" s="542">
        <v>419155</v>
      </c>
      <c r="AA226" s="542">
        <v>-1229155</v>
      </c>
      <c r="AB226" s="542">
        <v>0</v>
      </c>
      <c r="AC226" s="542">
        <v>-1229155</v>
      </c>
      <c r="AD226" s="542">
        <v>24560880</v>
      </c>
      <c r="AE226" s="542">
        <v>0</v>
      </c>
      <c r="AF226" s="542">
        <v>24560880</v>
      </c>
      <c r="AG226" s="542">
        <v>0</v>
      </c>
      <c r="AH226" s="542">
        <v>0</v>
      </c>
      <c r="AI226" s="542">
        <v>0</v>
      </c>
      <c r="AJ226" s="542">
        <v>46524</v>
      </c>
      <c r="AK226" s="542">
        <v>0</v>
      </c>
      <c r="AL226" s="542">
        <v>0</v>
      </c>
      <c r="AM226" s="542">
        <v>46524</v>
      </c>
      <c r="AN226" s="542">
        <v>0</v>
      </c>
      <c r="AO226" s="542">
        <v>0</v>
      </c>
      <c r="AP226" s="542">
        <v>0</v>
      </c>
      <c r="AQ226" s="542">
        <v>0</v>
      </c>
      <c r="AR226" s="542">
        <v>0</v>
      </c>
      <c r="AS226" s="542">
        <v>0</v>
      </c>
      <c r="AT226" s="542">
        <v>0</v>
      </c>
      <c r="AU226" s="542">
        <v>0</v>
      </c>
      <c r="AV226" s="542">
        <v>513639</v>
      </c>
      <c r="AW226" s="542">
        <v>-598526</v>
      </c>
      <c r="AX226" s="136"/>
      <c r="AY226" s="136"/>
      <c r="AZ226" s="136"/>
      <c r="BA226" s="136"/>
      <c r="BB226" s="136"/>
      <c r="BC226" s="136"/>
      <c r="BD226" s="136"/>
      <c r="BE226" s="136"/>
      <c r="BF226" s="136"/>
      <c r="BG226" s="136"/>
      <c r="BH226" s="136"/>
      <c r="BI226" s="136"/>
      <c r="BJ226" s="136"/>
      <c r="BK226" s="136"/>
      <c r="BL226" s="136"/>
      <c r="BM226" s="136"/>
      <c r="BN226" s="136"/>
      <c r="BO226" s="136"/>
      <c r="BP226" s="136"/>
      <c r="BQ226" s="136"/>
      <c r="BR226" s="136"/>
      <c r="BS226" s="136"/>
      <c r="BT226" s="136"/>
      <c r="BU226" s="136"/>
      <c r="BV226" s="136"/>
      <c r="BW226" s="136"/>
      <c r="BX226" s="136"/>
      <c r="BY226" s="136"/>
      <c r="BZ226" s="136"/>
      <c r="CA226" s="136"/>
      <c r="CB226" s="136"/>
      <c r="CC226" s="136"/>
      <c r="CD226" s="136"/>
      <c r="CE226" s="136"/>
      <c r="CF226" s="136"/>
      <c r="CG226" s="136"/>
      <c r="CH226" s="136"/>
      <c r="CI226" s="136"/>
      <c r="CJ226" s="136"/>
      <c r="CK226" s="136"/>
      <c r="CL226" s="136"/>
      <c r="CM226" s="136"/>
      <c r="CN226" s="136"/>
      <c r="CO226" s="136"/>
      <c r="CP226" s="136"/>
      <c r="CQ226" s="136"/>
      <c r="CR226" s="136"/>
      <c r="CS226" s="136"/>
      <c r="CT226" s="136"/>
      <c r="CU226" s="136"/>
      <c r="CV226" s="136"/>
      <c r="CW226" s="136"/>
      <c r="CX226" s="136"/>
      <c r="CY226" s="136"/>
      <c r="CZ226" s="136"/>
      <c r="DA226" s="136"/>
      <c r="DB226" s="136"/>
      <c r="DC226" s="136"/>
      <c r="DD226" s="136"/>
      <c r="DE226" s="136"/>
      <c r="DF226" s="136"/>
      <c r="DG226" s="136"/>
      <c r="DH226" s="136"/>
      <c r="DI226" s="136"/>
      <c r="DJ226" s="136"/>
      <c r="DK226" s="136"/>
      <c r="DL226" s="136"/>
      <c r="DM226" s="136"/>
      <c r="DN226" s="136"/>
      <c r="DO226" s="136"/>
      <c r="DP226" s="136"/>
      <c r="DQ226" s="136"/>
      <c r="DR226" s="136"/>
      <c r="DS226" s="136"/>
      <c r="DT226" s="136"/>
      <c r="DU226" s="136"/>
      <c r="DV226" s="136"/>
      <c r="DW226" s="136"/>
      <c r="DX226" s="136"/>
      <c r="DY226" s="136"/>
      <c r="DZ226" s="136"/>
      <c r="EA226" s="136"/>
      <c r="EB226" s="136"/>
      <c r="EC226" s="136"/>
      <c r="ED226" s="136"/>
      <c r="EE226" s="136"/>
      <c r="EF226" s="136"/>
      <c r="EG226" s="136"/>
      <c r="EH226" s="136"/>
      <c r="EI226" s="136"/>
      <c r="EJ226" s="136"/>
      <c r="EK226" s="136"/>
      <c r="EL226" s="136"/>
      <c r="EM226" s="136"/>
      <c r="EN226" s="136"/>
      <c r="EO226" s="136"/>
      <c r="EP226" s="136"/>
      <c r="EQ226" s="136"/>
      <c r="ER226" s="136"/>
      <c r="ES226" s="136"/>
      <c r="ET226" s="136"/>
      <c r="EU226" s="136"/>
      <c r="EV226" s="136"/>
      <c r="EW226" s="136"/>
      <c r="EX226" s="136"/>
      <c r="EY226" s="136"/>
      <c r="EZ226" s="136"/>
      <c r="FA226" s="136"/>
      <c r="FB226" s="136"/>
      <c r="FC226" s="136"/>
      <c r="FD226" s="136"/>
      <c r="FE226" s="137"/>
      <c r="FF226" s="138"/>
    </row>
    <row r="227" spans="1:162" ht="12.75" x14ac:dyDescent="0.2">
      <c r="A227" s="93">
        <v>221</v>
      </c>
      <c r="B227" s="145" t="s">
        <v>320</v>
      </c>
      <c r="C227" s="141" t="s">
        <v>866</v>
      </c>
      <c r="D227" s="142" t="s">
        <v>867</v>
      </c>
      <c r="E227" s="149" t="s">
        <v>319</v>
      </c>
      <c r="F227" s="542">
        <v>44377794</v>
      </c>
      <c r="G227" s="542">
        <v>0</v>
      </c>
      <c r="H227" s="542">
        <v>44377794</v>
      </c>
      <c r="I227" s="542">
        <v>-670</v>
      </c>
      <c r="J227" s="542">
        <v>0</v>
      </c>
      <c r="K227" s="542">
        <v>-670</v>
      </c>
      <c r="L227" s="542">
        <v>74387</v>
      </c>
      <c r="M227" s="542">
        <v>0</v>
      </c>
      <c r="N227" s="542">
        <v>74387</v>
      </c>
      <c r="O227" s="542">
        <v>-147272</v>
      </c>
      <c r="P227" s="542">
        <v>0</v>
      </c>
      <c r="Q227" s="542">
        <v>-147272</v>
      </c>
      <c r="R227" s="542">
        <v>0</v>
      </c>
      <c r="S227" s="542">
        <v>0</v>
      </c>
      <c r="T227" s="542">
        <v>0</v>
      </c>
      <c r="U227" s="542">
        <v>-376050</v>
      </c>
      <c r="V227" s="542">
        <v>0</v>
      </c>
      <c r="W227" s="542">
        <v>-376050</v>
      </c>
      <c r="X227" s="542">
        <v>2600540</v>
      </c>
      <c r="Y227" s="542">
        <v>0</v>
      </c>
      <c r="Z227" s="542">
        <v>2600540</v>
      </c>
      <c r="AA227" s="542">
        <v>3692203</v>
      </c>
      <c r="AB227" s="542">
        <v>0</v>
      </c>
      <c r="AC227" s="542">
        <v>3692203</v>
      </c>
      <c r="AD227" s="542">
        <v>50368204</v>
      </c>
      <c r="AE227" s="542">
        <v>0</v>
      </c>
      <c r="AF227" s="542">
        <v>50368204</v>
      </c>
      <c r="AG227" s="542">
        <v>0</v>
      </c>
      <c r="AH227" s="542">
        <v>0</v>
      </c>
      <c r="AI227" s="542">
        <v>0</v>
      </c>
      <c r="AJ227" s="542">
        <v>0</v>
      </c>
      <c r="AK227" s="542">
        <v>0</v>
      </c>
      <c r="AL227" s="542">
        <v>0</v>
      </c>
      <c r="AM227" s="542">
        <v>0</v>
      </c>
      <c r="AN227" s="542">
        <v>0</v>
      </c>
      <c r="AO227" s="542">
        <v>0</v>
      </c>
      <c r="AP227" s="542">
        <v>0</v>
      </c>
      <c r="AQ227" s="542">
        <v>0</v>
      </c>
      <c r="AR227" s="542">
        <v>0</v>
      </c>
      <c r="AS227" s="542">
        <v>0</v>
      </c>
      <c r="AT227" s="542">
        <v>0</v>
      </c>
      <c r="AU227" s="542">
        <v>0</v>
      </c>
      <c r="AV227" s="542">
        <v>1860580</v>
      </c>
      <c r="AW227" s="542">
        <v>-1779453</v>
      </c>
      <c r="AX227" s="136"/>
      <c r="AY227" s="136"/>
      <c r="AZ227" s="136"/>
      <c r="BA227" s="136"/>
      <c r="BB227" s="136"/>
      <c r="BC227" s="136"/>
      <c r="BD227" s="136"/>
      <c r="BE227" s="136"/>
      <c r="BF227" s="136"/>
      <c r="BG227" s="136"/>
      <c r="BH227" s="136"/>
      <c r="BI227" s="136"/>
      <c r="BJ227" s="136"/>
      <c r="BK227" s="136"/>
      <c r="BL227" s="136"/>
      <c r="BM227" s="136"/>
      <c r="BN227" s="136"/>
      <c r="BO227" s="136"/>
      <c r="BP227" s="136"/>
      <c r="BQ227" s="136"/>
      <c r="BR227" s="136"/>
      <c r="BS227" s="136"/>
      <c r="BT227" s="136"/>
      <c r="BU227" s="136"/>
      <c r="BV227" s="136"/>
      <c r="BW227" s="136"/>
      <c r="BX227" s="136"/>
      <c r="BY227" s="136"/>
      <c r="BZ227" s="136"/>
      <c r="CA227" s="136"/>
      <c r="CB227" s="136"/>
      <c r="CC227" s="136"/>
      <c r="CD227" s="136"/>
      <c r="CE227" s="136"/>
      <c r="CF227" s="136"/>
      <c r="CG227" s="136"/>
      <c r="CH227" s="136"/>
      <c r="CI227" s="136"/>
      <c r="CJ227" s="136"/>
      <c r="CK227" s="136"/>
      <c r="CL227" s="136"/>
      <c r="CM227" s="136"/>
      <c r="CN227" s="136"/>
      <c r="CO227" s="136"/>
      <c r="CP227" s="136"/>
      <c r="CQ227" s="136"/>
      <c r="CR227" s="136"/>
      <c r="CS227" s="136"/>
      <c r="CT227" s="136"/>
      <c r="CU227" s="136"/>
      <c r="CV227" s="136"/>
      <c r="CW227" s="136"/>
      <c r="CX227" s="136"/>
      <c r="CY227" s="136"/>
      <c r="CZ227" s="136"/>
      <c r="DA227" s="136"/>
      <c r="DB227" s="136"/>
      <c r="DC227" s="136"/>
      <c r="DD227" s="136"/>
      <c r="DE227" s="136"/>
      <c r="DF227" s="136"/>
      <c r="DG227" s="136"/>
      <c r="DH227" s="136"/>
      <c r="DI227" s="136"/>
      <c r="DJ227" s="136"/>
      <c r="DK227" s="136"/>
      <c r="DL227" s="136"/>
      <c r="DM227" s="136"/>
      <c r="DN227" s="136"/>
      <c r="DO227" s="136"/>
      <c r="DP227" s="136"/>
      <c r="DQ227" s="136"/>
      <c r="DR227" s="136"/>
      <c r="DS227" s="136"/>
      <c r="DT227" s="136"/>
      <c r="DU227" s="136"/>
      <c r="DV227" s="136"/>
      <c r="DW227" s="136"/>
      <c r="DX227" s="136"/>
      <c r="DY227" s="136"/>
      <c r="DZ227" s="136"/>
      <c r="EA227" s="136"/>
      <c r="EB227" s="136"/>
      <c r="EC227" s="136"/>
      <c r="ED227" s="136"/>
      <c r="EE227" s="136"/>
      <c r="EF227" s="136"/>
      <c r="EG227" s="136"/>
      <c r="EH227" s="136"/>
      <c r="EI227" s="136"/>
      <c r="EJ227" s="136"/>
      <c r="EK227" s="136"/>
      <c r="EL227" s="136"/>
      <c r="EM227" s="136"/>
      <c r="EN227" s="136"/>
      <c r="EO227" s="136"/>
      <c r="EP227" s="136"/>
      <c r="EQ227" s="136"/>
      <c r="ER227" s="136"/>
      <c r="ES227" s="136"/>
      <c r="ET227" s="136"/>
      <c r="EU227" s="136"/>
      <c r="EV227" s="136"/>
      <c r="EW227" s="136"/>
      <c r="EX227" s="136"/>
      <c r="EY227" s="136"/>
      <c r="EZ227" s="136"/>
      <c r="FA227" s="136"/>
      <c r="FB227" s="136"/>
      <c r="FC227" s="136"/>
      <c r="FD227" s="136"/>
      <c r="FE227" s="137"/>
      <c r="FF227" s="138"/>
    </row>
    <row r="228" spans="1:162" ht="12.75" x14ac:dyDescent="0.2">
      <c r="A228" s="93">
        <v>222</v>
      </c>
      <c r="B228" s="145" t="s">
        <v>322</v>
      </c>
      <c r="C228" s="141" t="s">
        <v>770</v>
      </c>
      <c r="D228" s="142" t="s">
        <v>869</v>
      </c>
      <c r="E228" s="149" t="s">
        <v>722</v>
      </c>
      <c r="F228" s="542">
        <v>10191488</v>
      </c>
      <c r="G228" s="542">
        <v>0</v>
      </c>
      <c r="H228" s="542">
        <v>10191488</v>
      </c>
      <c r="I228" s="542">
        <v>0</v>
      </c>
      <c r="J228" s="542">
        <v>0</v>
      </c>
      <c r="K228" s="542">
        <v>0</v>
      </c>
      <c r="L228" s="542">
        <v>2026</v>
      </c>
      <c r="M228" s="542">
        <v>0</v>
      </c>
      <c r="N228" s="542">
        <v>2026</v>
      </c>
      <c r="O228" s="542">
        <v>-35133</v>
      </c>
      <c r="P228" s="542">
        <v>0</v>
      </c>
      <c r="Q228" s="542">
        <v>-35133</v>
      </c>
      <c r="R228" s="542">
        <v>0</v>
      </c>
      <c r="S228" s="542">
        <v>0</v>
      </c>
      <c r="T228" s="542">
        <v>0</v>
      </c>
      <c r="U228" s="542">
        <v>-40332</v>
      </c>
      <c r="V228" s="542">
        <v>0</v>
      </c>
      <c r="W228" s="542">
        <v>-40332</v>
      </c>
      <c r="X228" s="542">
        <v>45300</v>
      </c>
      <c r="Y228" s="542">
        <v>0</v>
      </c>
      <c r="Z228" s="542">
        <v>45300</v>
      </c>
      <c r="AA228" s="542">
        <v>-210668</v>
      </c>
      <c r="AB228" s="542">
        <v>0</v>
      </c>
      <c r="AC228" s="542">
        <v>-210668</v>
      </c>
      <c r="AD228" s="542">
        <v>9987814</v>
      </c>
      <c r="AE228" s="542">
        <v>0</v>
      </c>
      <c r="AF228" s="542">
        <v>9987814</v>
      </c>
      <c r="AG228" s="542">
        <v>0</v>
      </c>
      <c r="AH228" s="542">
        <v>0</v>
      </c>
      <c r="AI228" s="542">
        <v>0</v>
      </c>
      <c r="AJ228" s="542">
        <v>0</v>
      </c>
      <c r="AK228" s="542">
        <v>0</v>
      </c>
      <c r="AL228" s="542">
        <v>0</v>
      </c>
      <c r="AM228" s="542">
        <v>0</v>
      </c>
      <c r="AN228" s="542">
        <v>0</v>
      </c>
      <c r="AO228" s="542">
        <v>0</v>
      </c>
      <c r="AP228" s="542">
        <v>0</v>
      </c>
      <c r="AQ228" s="542">
        <v>0</v>
      </c>
      <c r="AR228" s="542">
        <v>0</v>
      </c>
      <c r="AS228" s="542">
        <v>0</v>
      </c>
      <c r="AT228" s="542">
        <v>0</v>
      </c>
      <c r="AU228" s="542">
        <v>0</v>
      </c>
      <c r="AV228" s="542">
        <v>291043</v>
      </c>
      <c r="AW228" s="542">
        <v>-84341</v>
      </c>
      <c r="AX228" s="136"/>
      <c r="AY228" s="136"/>
      <c r="AZ228" s="136"/>
      <c r="BA228" s="136"/>
      <c r="BB228" s="136"/>
      <c r="BC228" s="136"/>
      <c r="BD228" s="136"/>
      <c r="BE228" s="136"/>
      <c r="BF228" s="136"/>
      <c r="BG228" s="136"/>
      <c r="BH228" s="136"/>
      <c r="BI228" s="136"/>
      <c r="BJ228" s="136"/>
      <c r="BK228" s="136"/>
      <c r="BL228" s="136"/>
      <c r="BM228" s="136"/>
      <c r="BN228" s="136"/>
      <c r="BO228" s="136"/>
      <c r="BP228" s="136"/>
      <c r="BQ228" s="136"/>
      <c r="BR228" s="136"/>
      <c r="BS228" s="136"/>
      <c r="BT228" s="136"/>
      <c r="BU228" s="136"/>
      <c r="BV228" s="136"/>
      <c r="BW228" s="136"/>
      <c r="BX228" s="136"/>
      <c r="BY228" s="136"/>
      <c r="BZ228" s="136"/>
      <c r="CA228" s="136"/>
      <c r="CB228" s="136"/>
      <c r="CC228" s="136"/>
      <c r="CD228" s="136"/>
      <c r="CE228" s="136"/>
      <c r="CF228" s="136"/>
      <c r="CG228" s="136"/>
      <c r="CH228" s="136"/>
      <c r="CI228" s="136"/>
      <c r="CJ228" s="136"/>
      <c r="CK228" s="136"/>
      <c r="CL228" s="136"/>
      <c r="CM228" s="136"/>
      <c r="CN228" s="136"/>
      <c r="CO228" s="136"/>
      <c r="CP228" s="136"/>
      <c r="CQ228" s="136"/>
      <c r="CR228" s="136"/>
      <c r="CS228" s="136"/>
      <c r="CT228" s="136"/>
      <c r="CU228" s="136"/>
      <c r="CV228" s="136"/>
      <c r="CW228" s="136"/>
      <c r="CX228" s="136"/>
      <c r="CY228" s="136"/>
      <c r="CZ228" s="136"/>
      <c r="DA228" s="136"/>
      <c r="DB228" s="136"/>
      <c r="DC228" s="136"/>
      <c r="DD228" s="136"/>
      <c r="DE228" s="136"/>
      <c r="DF228" s="136"/>
      <c r="DG228" s="136"/>
      <c r="DH228" s="136"/>
      <c r="DI228" s="136"/>
      <c r="DJ228" s="136"/>
      <c r="DK228" s="136"/>
      <c r="DL228" s="136"/>
      <c r="DM228" s="136"/>
      <c r="DN228" s="136"/>
      <c r="DO228" s="136"/>
      <c r="DP228" s="136"/>
      <c r="DQ228" s="136"/>
      <c r="DR228" s="136"/>
      <c r="DS228" s="136"/>
      <c r="DT228" s="136"/>
      <c r="DU228" s="136"/>
      <c r="DV228" s="136"/>
      <c r="DW228" s="136"/>
      <c r="DX228" s="136"/>
      <c r="DY228" s="136"/>
      <c r="DZ228" s="136"/>
      <c r="EA228" s="136"/>
      <c r="EB228" s="136"/>
      <c r="EC228" s="136"/>
      <c r="ED228" s="136"/>
      <c r="EE228" s="136"/>
      <c r="EF228" s="136"/>
      <c r="EG228" s="136"/>
      <c r="EH228" s="136"/>
      <c r="EI228" s="136"/>
      <c r="EJ228" s="136"/>
      <c r="EK228" s="136"/>
      <c r="EL228" s="136"/>
      <c r="EM228" s="136"/>
      <c r="EN228" s="136"/>
      <c r="EO228" s="136"/>
      <c r="EP228" s="136"/>
      <c r="EQ228" s="136"/>
      <c r="ER228" s="136"/>
      <c r="ES228" s="136"/>
      <c r="ET228" s="136"/>
      <c r="EU228" s="136"/>
      <c r="EV228" s="136"/>
      <c r="EW228" s="136"/>
      <c r="EX228" s="136"/>
      <c r="EY228" s="136"/>
      <c r="EZ228" s="136"/>
      <c r="FA228" s="136"/>
      <c r="FB228" s="136"/>
      <c r="FC228" s="136"/>
      <c r="FD228" s="136"/>
      <c r="FE228" s="137"/>
      <c r="FF228" s="138"/>
    </row>
    <row r="229" spans="1:162" ht="12.75" x14ac:dyDescent="0.2">
      <c r="A229" s="93">
        <v>223</v>
      </c>
      <c r="B229" s="145" t="s">
        <v>324</v>
      </c>
      <c r="C229" s="141" t="s">
        <v>866</v>
      </c>
      <c r="D229" s="142" t="s">
        <v>874</v>
      </c>
      <c r="E229" s="149" t="s">
        <v>323</v>
      </c>
      <c r="F229" s="542">
        <v>16320900</v>
      </c>
      <c r="G229" s="542">
        <v>0</v>
      </c>
      <c r="H229" s="542">
        <v>16320900</v>
      </c>
      <c r="I229" s="542">
        <v>0</v>
      </c>
      <c r="J229" s="542">
        <v>0</v>
      </c>
      <c r="K229" s="542">
        <v>0</v>
      </c>
      <c r="L229" s="542">
        <v>27598</v>
      </c>
      <c r="M229" s="542">
        <v>0</v>
      </c>
      <c r="N229" s="542">
        <v>27598</v>
      </c>
      <c r="O229" s="542">
        <v>-15792</v>
      </c>
      <c r="P229" s="542">
        <v>0</v>
      </c>
      <c r="Q229" s="542">
        <v>-15792</v>
      </c>
      <c r="R229" s="542">
        <v>0</v>
      </c>
      <c r="S229" s="542">
        <v>0</v>
      </c>
      <c r="T229" s="542">
        <v>0</v>
      </c>
      <c r="U229" s="542">
        <v>-45792</v>
      </c>
      <c r="V229" s="542">
        <v>0</v>
      </c>
      <c r="W229" s="542">
        <v>-45792</v>
      </c>
      <c r="X229" s="542">
        <v>1371696</v>
      </c>
      <c r="Y229" s="542">
        <v>0</v>
      </c>
      <c r="Z229" s="542">
        <v>1371696</v>
      </c>
      <c r="AA229" s="542">
        <v>-1492696</v>
      </c>
      <c r="AB229" s="542">
        <v>0</v>
      </c>
      <c r="AC229" s="542">
        <v>-1492696</v>
      </c>
      <c r="AD229" s="542">
        <v>16181706</v>
      </c>
      <c r="AE229" s="542">
        <v>0</v>
      </c>
      <c r="AF229" s="542">
        <v>16181706</v>
      </c>
      <c r="AG229" s="542">
        <v>0</v>
      </c>
      <c r="AH229" s="542">
        <v>0</v>
      </c>
      <c r="AI229" s="542">
        <v>0</v>
      </c>
      <c r="AJ229" s="542">
        <v>0</v>
      </c>
      <c r="AK229" s="542">
        <v>0</v>
      </c>
      <c r="AL229" s="542">
        <v>0</v>
      </c>
      <c r="AM229" s="542">
        <v>0</v>
      </c>
      <c r="AN229" s="542">
        <v>0</v>
      </c>
      <c r="AO229" s="542">
        <v>0</v>
      </c>
      <c r="AP229" s="542">
        <v>0</v>
      </c>
      <c r="AQ229" s="542">
        <v>0</v>
      </c>
      <c r="AR229" s="542">
        <v>0</v>
      </c>
      <c r="AS229" s="542">
        <v>0</v>
      </c>
      <c r="AT229" s="542">
        <v>0</v>
      </c>
      <c r="AU229" s="542">
        <v>0</v>
      </c>
      <c r="AV229" s="542">
        <v>259983</v>
      </c>
      <c r="AW229" s="542">
        <v>-85201</v>
      </c>
      <c r="AX229" s="136"/>
      <c r="AY229" s="136"/>
      <c r="AZ229" s="136"/>
      <c r="BA229" s="136"/>
      <c r="BB229" s="136"/>
      <c r="BC229" s="136"/>
      <c r="BD229" s="136"/>
      <c r="BE229" s="136"/>
      <c r="BF229" s="136"/>
      <c r="BG229" s="136"/>
      <c r="BH229" s="136"/>
      <c r="BI229" s="136"/>
      <c r="BJ229" s="136"/>
      <c r="BK229" s="136"/>
      <c r="BL229" s="136"/>
      <c r="BM229" s="136"/>
      <c r="BN229" s="136"/>
      <c r="BO229" s="136"/>
      <c r="BP229" s="136"/>
      <c r="BQ229" s="136"/>
      <c r="BR229" s="136"/>
      <c r="BS229" s="136"/>
      <c r="BT229" s="136"/>
      <c r="BU229" s="136"/>
      <c r="BV229" s="136"/>
      <c r="BW229" s="136"/>
      <c r="BX229" s="136"/>
      <c r="BY229" s="136"/>
      <c r="BZ229" s="136"/>
      <c r="CA229" s="136"/>
      <c r="CB229" s="136"/>
      <c r="CC229" s="136"/>
      <c r="CD229" s="136"/>
      <c r="CE229" s="136"/>
      <c r="CF229" s="136"/>
      <c r="CG229" s="136"/>
      <c r="CH229" s="136"/>
      <c r="CI229" s="136"/>
      <c r="CJ229" s="136"/>
      <c r="CK229" s="136"/>
      <c r="CL229" s="136"/>
      <c r="CM229" s="136"/>
      <c r="CN229" s="136"/>
      <c r="CO229" s="136"/>
      <c r="CP229" s="136"/>
      <c r="CQ229" s="136"/>
      <c r="CR229" s="136"/>
      <c r="CS229" s="136"/>
      <c r="CT229" s="136"/>
      <c r="CU229" s="136"/>
      <c r="CV229" s="136"/>
      <c r="CW229" s="136"/>
      <c r="CX229" s="136"/>
      <c r="CY229" s="136"/>
      <c r="CZ229" s="136"/>
      <c r="DA229" s="136"/>
      <c r="DB229" s="136"/>
      <c r="DC229" s="136"/>
      <c r="DD229" s="136"/>
      <c r="DE229" s="136"/>
      <c r="DF229" s="136"/>
      <c r="DG229" s="136"/>
      <c r="DH229" s="136"/>
      <c r="DI229" s="136"/>
      <c r="DJ229" s="136"/>
      <c r="DK229" s="136"/>
      <c r="DL229" s="136"/>
      <c r="DM229" s="136"/>
      <c r="DN229" s="136"/>
      <c r="DO229" s="136"/>
      <c r="DP229" s="136"/>
      <c r="DQ229" s="136"/>
      <c r="DR229" s="136"/>
      <c r="DS229" s="136"/>
      <c r="DT229" s="136"/>
      <c r="DU229" s="136"/>
      <c r="DV229" s="136"/>
      <c r="DW229" s="136"/>
      <c r="DX229" s="136"/>
      <c r="DY229" s="136"/>
      <c r="DZ229" s="136"/>
      <c r="EA229" s="136"/>
      <c r="EB229" s="136"/>
      <c r="EC229" s="136"/>
      <c r="ED229" s="136"/>
      <c r="EE229" s="136"/>
      <c r="EF229" s="136"/>
      <c r="EG229" s="136"/>
      <c r="EH229" s="136"/>
      <c r="EI229" s="136"/>
      <c r="EJ229" s="136"/>
      <c r="EK229" s="136"/>
      <c r="EL229" s="136"/>
      <c r="EM229" s="136"/>
      <c r="EN229" s="136"/>
      <c r="EO229" s="136"/>
      <c r="EP229" s="136"/>
      <c r="EQ229" s="136"/>
      <c r="ER229" s="136"/>
      <c r="ES229" s="136"/>
      <c r="ET229" s="136"/>
      <c r="EU229" s="136"/>
      <c r="EV229" s="136"/>
      <c r="EW229" s="136"/>
      <c r="EX229" s="136"/>
      <c r="EY229" s="136"/>
      <c r="EZ229" s="136"/>
      <c r="FA229" s="136"/>
      <c r="FB229" s="136"/>
      <c r="FC229" s="136"/>
      <c r="FD229" s="136"/>
      <c r="FE229" s="137"/>
      <c r="FF229" s="138"/>
    </row>
    <row r="230" spans="1:162" ht="12.75" x14ac:dyDescent="0.2">
      <c r="A230" s="93">
        <v>224</v>
      </c>
      <c r="B230" s="145" t="s">
        <v>326</v>
      </c>
      <c r="C230" s="141" t="s">
        <v>873</v>
      </c>
      <c r="D230" s="142" t="s">
        <v>868</v>
      </c>
      <c r="E230" s="149" t="s">
        <v>325</v>
      </c>
      <c r="F230" s="542">
        <v>96525697</v>
      </c>
      <c r="G230" s="542">
        <v>0</v>
      </c>
      <c r="H230" s="542">
        <v>96525697</v>
      </c>
      <c r="I230" s="542">
        <v>-2188</v>
      </c>
      <c r="J230" s="542">
        <v>0</v>
      </c>
      <c r="K230" s="542">
        <v>-2188</v>
      </c>
      <c r="L230" s="542">
        <v>275578</v>
      </c>
      <c r="M230" s="542">
        <v>0</v>
      </c>
      <c r="N230" s="542">
        <v>275578</v>
      </c>
      <c r="O230" s="542">
        <v>-1260927</v>
      </c>
      <c r="P230" s="542">
        <v>0</v>
      </c>
      <c r="Q230" s="542">
        <v>-1260927</v>
      </c>
      <c r="R230" s="542">
        <v>0</v>
      </c>
      <c r="S230" s="542">
        <v>0</v>
      </c>
      <c r="T230" s="542">
        <v>0</v>
      </c>
      <c r="U230" s="542">
        <v>-5504653</v>
      </c>
      <c r="V230" s="542">
        <v>0</v>
      </c>
      <c r="W230" s="542">
        <v>-5504653</v>
      </c>
      <c r="X230" s="542">
        <v>5918374</v>
      </c>
      <c r="Y230" s="542">
        <v>0</v>
      </c>
      <c r="Z230" s="542">
        <v>5918374</v>
      </c>
      <c r="AA230" s="542">
        <v>-9594085</v>
      </c>
      <c r="AB230" s="542">
        <v>0</v>
      </c>
      <c r="AC230" s="542">
        <v>-9594085</v>
      </c>
      <c r="AD230" s="542">
        <v>87618723</v>
      </c>
      <c r="AE230" s="542">
        <v>0</v>
      </c>
      <c r="AF230" s="542">
        <v>87618723</v>
      </c>
      <c r="AG230" s="542">
        <v>0</v>
      </c>
      <c r="AH230" s="542">
        <v>0</v>
      </c>
      <c r="AI230" s="542">
        <v>0</v>
      </c>
      <c r="AJ230" s="542">
        <v>0</v>
      </c>
      <c r="AK230" s="542">
        <v>0</v>
      </c>
      <c r="AL230" s="542">
        <v>0</v>
      </c>
      <c r="AM230" s="542">
        <v>0</v>
      </c>
      <c r="AN230" s="542">
        <v>0</v>
      </c>
      <c r="AO230" s="542">
        <v>0</v>
      </c>
      <c r="AP230" s="542">
        <v>0</v>
      </c>
      <c r="AQ230" s="542">
        <v>0</v>
      </c>
      <c r="AR230" s="542">
        <v>0</v>
      </c>
      <c r="AS230" s="542">
        <v>0</v>
      </c>
      <c r="AT230" s="542">
        <v>0</v>
      </c>
      <c r="AU230" s="542">
        <v>0</v>
      </c>
      <c r="AV230" s="542">
        <v>24367175</v>
      </c>
      <c r="AW230" s="542">
        <v>-3455135</v>
      </c>
      <c r="AX230" s="136"/>
      <c r="AY230" s="136"/>
      <c r="AZ230" s="136"/>
      <c r="BA230" s="136"/>
      <c r="BB230" s="136"/>
      <c r="BC230" s="136"/>
      <c r="BD230" s="136"/>
      <c r="BE230" s="136"/>
      <c r="BF230" s="136"/>
      <c r="BG230" s="136"/>
      <c r="BH230" s="136"/>
      <c r="BI230" s="136"/>
      <c r="BJ230" s="136"/>
      <c r="BK230" s="136"/>
      <c r="BL230" s="136"/>
      <c r="BM230" s="136"/>
      <c r="BN230" s="136"/>
      <c r="BO230" s="136"/>
      <c r="BP230" s="136"/>
      <c r="BQ230" s="136"/>
      <c r="BR230" s="136"/>
      <c r="BS230" s="136"/>
      <c r="BT230" s="136"/>
      <c r="BU230" s="136"/>
      <c r="BV230" s="136"/>
      <c r="BW230" s="136"/>
      <c r="BX230" s="136"/>
      <c r="BY230" s="136"/>
      <c r="BZ230" s="136"/>
      <c r="CA230" s="136"/>
      <c r="CB230" s="136"/>
      <c r="CC230" s="136"/>
      <c r="CD230" s="136"/>
      <c r="CE230" s="136"/>
      <c r="CF230" s="136"/>
      <c r="CG230" s="136"/>
      <c r="CH230" s="136"/>
      <c r="CI230" s="136"/>
      <c r="CJ230" s="136"/>
      <c r="CK230" s="136"/>
      <c r="CL230" s="136"/>
      <c r="CM230" s="136"/>
      <c r="CN230" s="136"/>
      <c r="CO230" s="136"/>
      <c r="CP230" s="136"/>
      <c r="CQ230" s="136"/>
      <c r="CR230" s="136"/>
      <c r="CS230" s="136"/>
      <c r="CT230" s="136"/>
      <c r="CU230" s="136"/>
      <c r="CV230" s="136"/>
      <c r="CW230" s="136"/>
      <c r="CX230" s="136"/>
      <c r="CY230" s="136"/>
      <c r="CZ230" s="136"/>
      <c r="DA230" s="136"/>
      <c r="DB230" s="136"/>
      <c r="DC230" s="136"/>
      <c r="DD230" s="136"/>
      <c r="DE230" s="136"/>
      <c r="DF230" s="136"/>
      <c r="DG230" s="136"/>
      <c r="DH230" s="136"/>
      <c r="DI230" s="136"/>
      <c r="DJ230" s="136"/>
      <c r="DK230" s="136"/>
      <c r="DL230" s="136"/>
      <c r="DM230" s="136"/>
      <c r="DN230" s="136"/>
      <c r="DO230" s="136"/>
      <c r="DP230" s="136"/>
      <c r="DQ230" s="136"/>
      <c r="DR230" s="136"/>
      <c r="DS230" s="136"/>
      <c r="DT230" s="136"/>
      <c r="DU230" s="136"/>
      <c r="DV230" s="136"/>
      <c r="DW230" s="136"/>
      <c r="DX230" s="136"/>
      <c r="DY230" s="136"/>
      <c r="DZ230" s="136"/>
      <c r="EA230" s="136"/>
      <c r="EB230" s="136"/>
      <c r="EC230" s="136"/>
      <c r="ED230" s="136"/>
      <c r="EE230" s="136"/>
      <c r="EF230" s="136"/>
      <c r="EG230" s="136"/>
      <c r="EH230" s="136"/>
      <c r="EI230" s="136"/>
      <c r="EJ230" s="136"/>
      <c r="EK230" s="136"/>
      <c r="EL230" s="136"/>
      <c r="EM230" s="136"/>
      <c r="EN230" s="136"/>
      <c r="EO230" s="136"/>
      <c r="EP230" s="136"/>
      <c r="EQ230" s="136"/>
      <c r="ER230" s="136"/>
      <c r="ES230" s="136"/>
      <c r="ET230" s="136"/>
      <c r="EU230" s="136"/>
      <c r="EV230" s="136"/>
      <c r="EW230" s="136"/>
      <c r="EX230" s="136"/>
      <c r="EY230" s="136"/>
      <c r="EZ230" s="136"/>
      <c r="FA230" s="136"/>
      <c r="FB230" s="136"/>
      <c r="FC230" s="136"/>
      <c r="FD230" s="136"/>
      <c r="FE230" s="137"/>
      <c r="FF230" s="138"/>
    </row>
    <row r="231" spans="1:162" ht="12.75" x14ac:dyDescent="0.2">
      <c r="A231" s="93">
        <v>225</v>
      </c>
      <c r="B231" s="145" t="s">
        <v>328</v>
      </c>
      <c r="C231" s="141" t="s">
        <v>873</v>
      </c>
      <c r="D231" s="142" t="s">
        <v>876</v>
      </c>
      <c r="E231" s="149" t="s">
        <v>327</v>
      </c>
      <c r="F231" s="542">
        <v>99879024</v>
      </c>
      <c r="G231" s="542">
        <v>0</v>
      </c>
      <c r="H231" s="542">
        <v>99879024</v>
      </c>
      <c r="I231" s="542">
        <v>-6809</v>
      </c>
      <c r="J231" s="542">
        <v>0</v>
      </c>
      <c r="K231" s="542">
        <v>-6809</v>
      </c>
      <c r="L231" s="542">
        <v>190220</v>
      </c>
      <c r="M231" s="542">
        <v>0</v>
      </c>
      <c r="N231" s="542">
        <v>190220</v>
      </c>
      <c r="O231" s="542">
        <v>-2373466</v>
      </c>
      <c r="P231" s="542">
        <v>0</v>
      </c>
      <c r="Q231" s="542">
        <v>-2373466</v>
      </c>
      <c r="R231" s="542">
        <v>0</v>
      </c>
      <c r="S231" s="542">
        <v>0</v>
      </c>
      <c r="T231" s="542">
        <v>0</v>
      </c>
      <c r="U231" s="542">
        <v>-2500815</v>
      </c>
      <c r="V231" s="542">
        <v>0</v>
      </c>
      <c r="W231" s="542">
        <v>-2500815</v>
      </c>
      <c r="X231" s="542">
        <v>0</v>
      </c>
      <c r="Y231" s="542">
        <v>0</v>
      </c>
      <c r="Z231" s="542">
        <v>0</v>
      </c>
      <c r="AA231" s="542">
        <v>378087</v>
      </c>
      <c r="AB231" s="542">
        <v>0</v>
      </c>
      <c r="AC231" s="542">
        <v>378087</v>
      </c>
      <c r="AD231" s="542">
        <v>97939707</v>
      </c>
      <c r="AE231" s="542">
        <v>0</v>
      </c>
      <c r="AF231" s="542">
        <v>97939707</v>
      </c>
      <c r="AG231" s="542">
        <v>0</v>
      </c>
      <c r="AH231" s="542">
        <v>0</v>
      </c>
      <c r="AI231" s="542">
        <v>0</v>
      </c>
      <c r="AJ231" s="542">
        <v>0</v>
      </c>
      <c r="AK231" s="542">
        <v>0</v>
      </c>
      <c r="AL231" s="542">
        <v>0</v>
      </c>
      <c r="AM231" s="542">
        <v>0</v>
      </c>
      <c r="AN231" s="542">
        <v>0</v>
      </c>
      <c r="AO231" s="542">
        <v>0</v>
      </c>
      <c r="AP231" s="542">
        <v>0</v>
      </c>
      <c r="AQ231" s="542">
        <v>0</v>
      </c>
      <c r="AR231" s="542">
        <v>0</v>
      </c>
      <c r="AS231" s="542">
        <v>0</v>
      </c>
      <c r="AT231" s="542">
        <v>0</v>
      </c>
      <c r="AU231" s="542">
        <v>0</v>
      </c>
      <c r="AV231" s="542">
        <v>5176477</v>
      </c>
      <c r="AW231" s="542">
        <v>-598131</v>
      </c>
      <c r="AX231" s="136"/>
      <c r="AY231" s="136"/>
      <c r="AZ231" s="136"/>
      <c r="BA231" s="136"/>
      <c r="BB231" s="136"/>
      <c r="BC231" s="136"/>
      <c r="BD231" s="136"/>
      <c r="BE231" s="136"/>
      <c r="BF231" s="136"/>
      <c r="BG231" s="136"/>
      <c r="BH231" s="136"/>
      <c r="BI231" s="136"/>
      <c r="BJ231" s="136"/>
      <c r="BK231" s="136"/>
      <c r="BL231" s="136"/>
      <c r="BM231" s="136"/>
      <c r="BN231" s="136"/>
      <c r="BO231" s="136"/>
      <c r="BP231" s="136"/>
      <c r="BQ231" s="136"/>
      <c r="BR231" s="136"/>
      <c r="BS231" s="136"/>
      <c r="BT231" s="136"/>
      <c r="BU231" s="136"/>
      <c r="BV231" s="136"/>
      <c r="BW231" s="136"/>
      <c r="BX231" s="136"/>
      <c r="BY231" s="136"/>
      <c r="BZ231" s="136"/>
      <c r="CA231" s="136"/>
      <c r="CB231" s="136"/>
      <c r="CC231" s="136"/>
      <c r="CD231" s="136"/>
      <c r="CE231" s="136"/>
      <c r="CF231" s="136"/>
      <c r="CG231" s="136"/>
      <c r="CH231" s="136"/>
      <c r="CI231" s="136"/>
      <c r="CJ231" s="136"/>
      <c r="CK231" s="136"/>
      <c r="CL231" s="136"/>
      <c r="CM231" s="136"/>
      <c r="CN231" s="136"/>
      <c r="CO231" s="136"/>
      <c r="CP231" s="136"/>
      <c r="CQ231" s="136"/>
      <c r="CR231" s="136"/>
      <c r="CS231" s="136"/>
      <c r="CT231" s="136"/>
      <c r="CU231" s="136"/>
      <c r="CV231" s="136"/>
      <c r="CW231" s="136"/>
      <c r="CX231" s="136"/>
      <c r="CY231" s="136"/>
      <c r="CZ231" s="136"/>
      <c r="DA231" s="136"/>
      <c r="DB231" s="136"/>
      <c r="DC231" s="136"/>
      <c r="DD231" s="136"/>
      <c r="DE231" s="136"/>
      <c r="DF231" s="136"/>
      <c r="DG231" s="136"/>
      <c r="DH231" s="136"/>
      <c r="DI231" s="136"/>
      <c r="DJ231" s="136"/>
      <c r="DK231" s="136"/>
      <c r="DL231" s="136"/>
      <c r="DM231" s="136"/>
      <c r="DN231" s="136"/>
      <c r="DO231" s="136"/>
      <c r="DP231" s="136"/>
      <c r="DQ231" s="136"/>
      <c r="DR231" s="136"/>
      <c r="DS231" s="136"/>
      <c r="DT231" s="136"/>
      <c r="DU231" s="136"/>
      <c r="DV231" s="136"/>
      <c r="DW231" s="136"/>
      <c r="DX231" s="136"/>
      <c r="DY231" s="136"/>
      <c r="DZ231" s="136"/>
      <c r="EA231" s="136"/>
      <c r="EB231" s="136"/>
      <c r="EC231" s="136"/>
      <c r="ED231" s="136"/>
      <c r="EE231" s="136"/>
      <c r="EF231" s="136"/>
      <c r="EG231" s="136"/>
      <c r="EH231" s="136"/>
      <c r="EI231" s="136"/>
      <c r="EJ231" s="136"/>
      <c r="EK231" s="136"/>
      <c r="EL231" s="136"/>
      <c r="EM231" s="136"/>
      <c r="EN231" s="136"/>
      <c r="EO231" s="136"/>
      <c r="EP231" s="136"/>
      <c r="EQ231" s="136"/>
      <c r="ER231" s="136"/>
      <c r="ES231" s="136"/>
      <c r="ET231" s="136"/>
      <c r="EU231" s="136"/>
      <c r="EV231" s="136"/>
      <c r="EW231" s="136"/>
      <c r="EX231" s="136"/>
      <c r="EY231" s="136"/>
      <c r="EZ231" s="136"/>
      <c r="FA231" s="136"/>
      <c r="FB231" s="136"/>
      <c r="FC231" s="136"/>
      <c r="FD231" s="136"/>
      <c r="FE231" s="137"/>
      <c r="FF231" s="138"/>
    </row>
    <row r="232" spans="1:162" ht="12.75" x14ac:dyDescent="0.2">
      <c r="A232" s="93">
        <v>226</v>
      </c>
      <c r="B232" s="145" t="s">
        <v>330</v>
      </c>
      <c r="C232" s="141" t="s">
        <v>866</v>
      </c>
      <c r="D232" s="142" t="s">
        <v>874</v>
      </c>
      <c r="E232" s="149" t="s">
        <v>329</v>
      </c>
      <c r="F232" s="542">
        <v>32674404</v>
      </c>
      <c r="G232" s="542">
        <v>0</v>
      </c>
      <c r="H232" s="542">
        <v>32674404</v>
      </c>
      <c r="I232" s="542">
        <v>-1519</v>
      </c>
      <c r="J232" s="542">
        <v>0</v>
      </c>
      <c r="K232" s="542">
        <v>-1519</v>
      </c>
      <c r="L232" s="542">
        <v>155854</v>
      </c>
      <c r="M232" s="542">
        <v>0</v>
      </c>
      <c r="N232" s="542">
        <v>155854</v>
      </c>
      <c r="O232" s="542">
        <v>-306778</v>
      </c>
      <c r="P232" s="542">
        <v>0</v>
      </c>
      <c r="Q232" s="542">
        <v>-306778</v>
      </c>
      <c r="R232" s="542">
        <v>0</v>
      </c>
      <c r="S232" s="542">
        <v>0</v>
      </c>
      <c r="T232" s="542">
        <v>0</v>
      </c>
      <c r="U232" s="542">
        <v>-397724</v>
      </c>
      <c r="V232" s="542">
        <v>0</v>
      </c>
      <c r="W232" s="542">
        <v>-397724</v>
      </c>
      <c r="X232" s="542">
        <v>2143442</v>
      </c>
      <c r="Y232" s="542">
        <v>0</v>
      </c>
      <c r="Z232" s="542">
        <v>2143442</v>
      </c>
      <c r="AA232" s="542">
        <v>-1810969</v>
      </c>
      <c r="AB232" s="542">
        <v>0</v>
      </c>
      <c r="AC232" s="542">
        <v>-1810969</v>
      </c>
      <c r="AD232" s="542">
        <v>32763488</v>
      </c>
      <c r="AE232" s="542">
        <v>0</v>
      </c>
      <c r="AF232" s="542">
        <v>32763488</v>
      </c>
      <c r="AG232" s="542">
        <v>0</v>
      </c>
      <c r="AH232" s="542">
        <v>0</v>
      </c>
      <c r="AI232" s="542">
        <v>0</v>
      </c>
      <c r="AJ232" s="542">
        <v>0</v>
      </c>
      <c r="AK232" s="542">
        <v>0</v>
      </c>
      <c r="AL232" s="542">
        <v>0</v>
      </c>
      <c r="AM232" s="542">
        <v>0</v>
      </c>
      <c r="AN232" s="542">
        <v>0</v>
      </c>
      <c r="AO232" s="542">
        <v>0</v>
      </c>
      <c r="AP232" s="542">
        <v>0</v>
      </c>
      <c r="AQ232" s="542">
        <v>0</v>
      </c>
      <c r="AR232" s="542">
        <v>0</v>
      </c>
      <c r="AS232" s="542">
        <v>0</v>
      </c>
      <c r="AT232" s="542">
        <v>0</v>
      </c>
      <c r="AU232" s="542">
        <v>0</v>
      </c>
      <c r="AV232" s="542">
        <v>1305462</v>
      </c>
      <c r="AW232" s="542">
        <v>-761238</v>
      </c>
      <c r="AX232" s="136"/>
      <c r="AY232" s="136"/>
      <c r="AZ232" s="136"/>
      <c r="BA232" s="136"/>
      <c r="BB232" s="136"/>
      <c r="BC232" s="136"/>
      <c r="BD232" s="136"/>
      <c r="BE232" s="136"/>
      <c r="BF232" s="136"/>
      <c r="BG232" s="136"/>
      <c r="BH232" s="136"/>
      <c r="BI232" s="136"/>
      <c r="BJ232" s="136"/>
      <c r="BK232" s="136"/>
      <c r="BL232" s="136"/>
      <c r="BM232" s="136"/>
      <c r="BN232" s="136"/>
      <c r="BO232" s="136"/>
      <c r="BP232" s="136"/>
      <c r="BQ232" s="136"/>
      <c r="BR232" s="136"/>
      <c r="BS232" s="136"/>
      <c r="BT232" s="136"/>
      <c r="BU232" s="136"/>
      <c r="BV232" s="136"/>
      <c r="BW232" s="136"/>
      <c r="BX232" s="136"/>
      <c r="BY232" s="136"/>
      <c r="BZ232" s="136"/>
      <c r="CA232" s="136"/>
      <c r="CB232" s="136"/>
      <c r="CC232" s="136"/>
      <c r="CD232" s="136"/>
      <c r="CE232" s="136"/>
      <c r="CF232" s="136"/>
      <c r="CG232" s="136"/>
      <c r="CH232" s="136"/>
      <c r="CI232" s="136"/>
      <c r="CJ232" s="136"/>
      <c r="CK232" s="136"/>
      <c r="CL232" s="136"/>
      <c r="CM232" s="136"/>
      <c r="CN232" s="136"/>
      <c r="CO232" s="136"/>
      <c r="CP232" s="136"/>
      <c r="CQ232" s="136"/>
      <c r="CR232" s="136"/>
      <c r="CS232" s="136"/>
      <c r="CT232" s="136"/>
      <c r="CU232" s="136"/>
      <c r="CV232" s="136"/>
      <c r="CW232" s="136"/>
      <c r="CX232" s="136"/>
      <c r="CY232" s="136"/>
      <c r="CZ232" s="136"/>
      <c r="DA232" s="136"/>
      <c r="DB232" s="136"/>
      <c r="DC232" s="136"/>
      <c r="DD232" s="136"/>
      <c r="DE232" s="136"/>
      <c r="DF232" s="136"/>
      <c r="DG232" s="136"/>
      <c r="DH232" s="136"/>
      <c r="DI232" s="136"/>
      <c r="DJ232" s="136"/>
      <c r="DK232" s="136"/>
      <c r="DL232" s="136"/>
      <c r="DM232" s="136"/>
      <c r="DN232" s="136"/>
      <c r="DO232" s="136"/>
      <c r="DP232" s="136"/>
      <c r="DQ232" s="136"/>
      <c r="DR232" s="136"/>
      <c r="DS232" s="136"/>
      <c r="DT232" s="136"/>
      <c r="DU232" s="136"/>
      <c r="DV232" s="136"/>
      <c r="DW232" s="136"/>
      <c r="DX232" s="136"/>
      <c r="DY232" s="136"/>
      <c r="DZ232" s="136"/>
      <c r="EA232" s="136"/>
      <c r="EB232" s="136"/>
      <c r="EC232" s="136"/>
      <c r="ED232" s="136"/>
      <c r="EE232" s="136"/>
      <c r="EF232" s="136"/>
      <c r="EG232" s="136"/>
      <c r="EH232" s="136"/>
      <c r="EI232" s="136"/>
      <c r="EJ232" s="136"/>
      <c r="EK232" s="136"/>
      <c r="EL232" s="136"/>
      <c r="EM232" s="136"/>
      <c r="EN232" s="136"/>
      <c r="EO232" s="136"/>
      <c r="EP232" s="136"/>
      <c r="EQ232" s="136"/>
      <c r="ER232" s="136"/>
      <c r="ES232" s="136"/>
      <c r="ET232" s="136"/>
      <c r="EU232" s="136"/>
      <c r="EV232" s="136"/>
      <c r="EW232" s="136"/>
      <c r="EX232" s="136"/>
      <c r="EY232" s="136"/>
      <c r="EZ232" s="136"/>
      <c r="FA232" s="136"/>
      <c r="FB232" s="136"/>
      <c r="FC232" s="136"/>
      <c r="FD232" s="136"/>
      <c r="FE232" s="137"/>
      <c r="FF232" s="138"/>
    </row>
    <row r="233" spans="1:162" ht="12.75" x14ac:dyDescent="0.2">
      <c r="A233" s="93">
        <v>227</v>
      </c>
      <c r="B233" s="145" t="s">
        <v>332</v>
      </c>
      <c r="C233" s="141" t="s">
        <v>866</v>
      </c>
      <c r="D233" s="142" t="s">
        <v>875</v>
      </c>
      <c r="E233" s="149" t="s">
        <v>331</v>
      </c>
      <c r="F233" s="542">
        <v>37425922</v>
      </c>
      <c r="G233" s="542">
        <v>0</v>
      </c>
      <c r="H233" s="542">
        <v>37425922</v>
      </c>
      <c r="I233" s="542">
        <v>-1850</v>
      </c>
      <c r="J233" s="542">
        <v>0</v>
      </c>
      <c r="K233" s="542">
        <v>-1850</v>
      </c>
      <c r="L233" s="542">
        <v>152046</v>
      </c>
      <c r="M233" s="542">
        <v>0</v>
      </c>
      <c r="N233" s="542">
        <v>152046</v>
      </c>
      <c r="O233" s="542">
        <v>0</v>
      </c>
      <c r="P233" s="542">
        <v>0</v>
      </c>
      <c r="Q233" s="542">
        <v>0</v>
      </c>
      <c r="R233" s="542">
        <v>-315807</v>
      </c>
      <c r="S233" s="542">
        <v>0</v>
      </c>
      <c r="T233" s="542">
        <v>-315807</v>
      </c>
      <c r="U233" s="542">
        <v>-243077</v>
      </c>
      <c r="V233" s="542">
        <v>0</v>
      </c>
      <c r="W233" s="542">
        <v>-243077</v>
      </c>
      <c r="X233" s="542">
        <v>0</v>
      </c>
      <c r="Y233" s="542">
        <v>0</v>
      </c>
      <c r="Z233" s="542">
        <v>0</v>
      </c>
      <c r="AA233" s="542">
        <v>-1158507</v>
      </c>
      <c r="AB233" s="542">
        <v>0</v>
      </c>
      <c r="AC233" s="542">
        <v>-1158507</v>
      </c>
      <c r="AD233" s="542">
        <v>35858727</v>
      </c>
      <c r="AE233" s="542">
        <v>0</v>
      </c>
      <c r="AF233" s="542">
        <v>35858727</v>
      </c>
      <c r="AG233" s="542">
        <v>0</v>
      </c>
      <c r="AH233" s="542">
        <v>0</v>
      </c>
      <c r="AI233" s="542">
        <v>0</v>
      </c>
      <c r="AJ233" s="542">
        <v>52993</v>
      </c>
      <c r="AK233" s="542">
        <v>0</v>
      </c>
      <c r="AL233" s="542">
        <v>0</v>
      </c>
      <c r="AM233" s="542">
        <v>52993</v>
      </c>
      <c r="AN233" s="542">
        <v>0</v>
      </c>
      <c r="AO233" s="542">
        <v>0</v>
      </c>
      <c r="AP233" s="542">
        <v>0</v>
      </c>
      <c r="AQ233" s="542">
        <v>0</v>
      </c>
      <c r="AR233" s="542">
        <v>0</v>
      </c>
      <c r="AS233" s="542">
        <v>0</v>
      </c>
      <c r="AT233" s="542">
        <v>0</v>
      </c>
      <c r="AU233" s="542">
        <v>0</v>
      </c>
      <c r="AV233" s="542">
        <v>1540241</v>
      </c>
      <c r="AW233" s="542">
        <v>-676822</v>
      </c>
      <c r="AX233" s="136"/>
      <c r="AY233" s="136"/>
      <c r="AZ233" s="136"/>
      <c r="BA233" s="136"/>
      <c r="BB233" s="136"/>
      <c r="BC233" s="136"/>
      <c r="BD233" s="136"/>
      <c r="BE233" s="136"/>
      <c r="BF233" s="136"/>
      <c r="BG233" s="136"/>
      <c r="BH233" s="136"/>
      <c r="BI233" s="136"/>
      <c r="BJ233" s="136"/>
      <c r="BK233" s="136"/>
      <c r="BL233" s="136"/>
      <c r="BM233" s="136"/>
      <c r="BN233" s="136"/>
      <c r="BO233" s="136"/>
      <c r="BP233" s="136"/>
      <c r="BQ233" s="136"/>
      <c r="BR233" s="136"/>
      <c r="BS233" s="136"/>
      <c r="BT233" s="136"/>
      <c r="BU233" s="136"/>
      <c r="BV233" s="136"/>
      <c r="BW233" s="136"/>
      <c r="BX233" s="136"/>
      <c r="BY233" s="136"/>
      <c r="BZ233" s="136"/>
      <c r="CA233" s="136"/>
      <c r="CB233" s="136"/>
      <c r="CC233" s="136"/>
      <c r="CD233" s="136"/>
      <c r="CE233" s="136"/>
      <c r="CF233" s="136"/>
      <c r="CG233" s="136"/>
      <c r="CH233" s="136"/>
      <c r="CI233" s="136"/>
      <c r="CJ233" s="136"/>
      <c r="CK233" s="136"/>
      <c r="CL233" s="136"/>
      <c r="CM233" s="136"/>
      <c r="CN233" s="136"/>
      <c r="CO233" s="136"/>
      <c r="CP233" s="136"/>
      <c r="CQ233" s="136"/>
      <c r="CR233" s="136"/>
      <c r="CS233" s="136"/>
      <c r="CT233" s="136"/>
      <c r="CU233" s="136"/>
      <c r="CV233" s="136"/>
      <c r="CW233" s="136"/>
      <c r="CX233" s="136"/>
      <c r="CY233" s="136"/>
      <c r="CZ233" s="136"/>
      <c r="DA233" s="136"/>
      <c r="DB233" s="136"/>
      <c r="DC233" s="136"/>
      <c r="DD233" s="136"/>
      <c r="DE233" s="136"/>
      <c r="DF233" s="136"/>
      <c r="DG233" s="136"/>
      <c r="DH233" s="136"/>
      <c r="DI233" s="136"/>
      <c r="DJ233" s="136"/>
      <c r="DK233" s="136"/>
      <c r="DL233" s="136"/>
      <c r="DM233" s="136"/>
      <c r="DN233" s="136"/>
      <c r="DO233" s="136"/>
      <c r="DP233" s="136"/>
      <c r="DQ233" s="136"/>
      <c r="DR233" s="136"/>
      <c r="DS233" s="136"/>
      <c r="DT233" s="136"/>
      <c r="DU233" s="136"/>
      <c r="DV233" s="136"/>
      <c r="DW233" s="136"/>
      <c r="DX233" s="136"/>
      <c r="DY233" s="136"/>
      <c r="DZ233" s="136"/>
      <c r="EA233" s="136"/>
      <c r="EB233" s="136"/>
      <c r="EC233" s="136"/>
      <c r="ED233" s="136"/>
      <c r="EE233" s="136"/>
      <c r="EF233" s="136"/>
      <c r="EG233" s="136"/>
      <c r="EH233" s="136"/>
      <c r="EI233" s="136"/>
      <c r="EJ233" s="136"/>
      <c r="EK233" s="136"/>
      <c r="EL233" s="136"/>
      <c r="EM233" s="136"/>
      <c r="EN233" s="136"/>
      <c r="EO233" s="136"/>
      <c r="EP233" s="136"/>
      <c r="EQ233" s="136"/>
      <c r="ER233" s="136"/>
      <c r="ES233" s="136"/>
      <c r="ET233" s="136"/>
      <c r="EU233" s="136"/>
      <c r="EV233" s="136"/>
      <c r="EW233" s="136"/>
      <c r="EX233" s="136"/>
      <c r="EY233" s="136"/>
      <c r="EZ233" s="136"/>
      <c r="FA233" s="136"/>
      <c r="FB233" s="136"/>
      <c r="FC233" s="136"/>
      <c r="FD233" s="136"/>
      <c r="FE233" s="137"/>
      <c r="FF233" s="138"/>
    </row>
    <row r="234" spans="1:162" ht="12.75" x14ac:dyDescent="0.2">
      <c r="A234" s="93">
        <v>228</v>
      </c>
      <c r="B234" s="145" t="s">
        <v>334</v>
      </c>
      <c r="C234" s="141" t="s">
        <v>873</v>
      </c>
      <c r="D234" s="142" t="s">
        <v>868</v>
      </c>
      <c r="E234" s="149" t="s">
        <v>333</v>
      </c>
      <c r="F234" s="542">
        <v>75208310</v>
      </c>
      <c r="G234" s="542">
        <v>0</v>
      </c>
      <c r="H234" s="542">
        <v>75208310</v>
      </c>
      <c r="I234" s="542">
        <v>-27442</v>
      </c>
      <c r="J234" s="542">
        <v>0</v>
      </c>
      <c r="K234" s="542">
        <v>-27442</v>
      </c>
      <c r="L234" s="542">
        <v>312000</v>
      </c>
      <c r="M234" s="542">
        <v>0</v>
      </c>
      <c r="N234" s="542">
        <v>312000</v>
      </c>
      <c r="O234" s="542">
        <v>-660150</v>
      </c>
      <c r="P234" s="542">
        <v>0</v>
      </c>
      <c r="Q234" s="542">
        <v>-660150</v>
      </c>
      <c r="R234" s="542">
        <v>0</v>
      </c>
      <c r="S234" s="542">
        <v>0</v>
      </c>
      <c r="T234" s="542">
        <v>0</v>
      </c>
      <c r="U234" s="542">
        <v>-700150</v>
      </c>
      <c r="V234" s="542">
        <v>0</v>
      </c>
      <c r="W234" s="542">
        <v>-700150</v>
      </c>
      <c r="X234" s="542">
        <v>2097587</v>
      </c>
      <c r="Y234" s="542">
        <v>0</v>
      </c>
      <c r="Z234" s="542">
        <v>2097587</v>
      </c>
      <c r="AA234" s="542">
        <v>-7588587</v>
      </c>
      <c r="AB234" s="542">
        <v>0</v>
      </c>
      <c r="AC234" s="542">
        <v>-7588587</v>
      </c>
      <c r="AD234" s="542">
        <v>69301718</v>
      </c>
      <c r="AE234" s="542">
        <v>0</v>
      </c>
      <c r="AF234" s="542">
        <v>69301718</v>
      </c>
      <c r="AG234" s="542">
        <v>0</v>
      </c>
      <c r="AH234" s="542">
        <v>0</v>
      </c>
      <c r="AI234" s="542">
        <v>0</v>
      </c>
      <c r="AJ234" s="542">
        <v>0</v>
      </c>
      <c r="AK234" s="542">
        <v>0</v>
      </c>
      <c r="AL234" s="542">
        <v>0</v>
      </c>
      <c r="AM234" s="542">
        <v>0</v>
      </c>
      <c r="AN234" s="542">
        <v>0</v>
      </c>
      <c r="AO234" s="542">
        <v>0</v>
      </c>
      <c r="AP234" s="542">
        <v>0</v>
      </c>
      <c r="AQ234" s="542">
        <v>0</v>
      </c>
      <c r="AR234" s="542">
        <v>0</v>
      </c>
      <c r="AS234" s="542">
        <v>0</v>
      </c>
      <c r="AT234" s="542">
        <v>0</v>
      </c>
      <c r="AU234" s="542">
        <v>0</v>
      </c>
      <c r="AV234" s="542">
        <v>3387961</v>
      </c>
      <c r="AW234" s="542">
        <v>-799901</v>
      </c>
      <c r="AX234" s="136"/>
      <c r="AY234" s="136"/>
      <c r="AZ234" s="136"/>
      <c r="BA234" s="136"/>
      <c r="BB234" s="136"/>
      <c r="BC234" s="136"/>
      <c r="BD234" s="136"/>
      <c r="BE234" s="136"/>
      <c r="BF234" s="136"/>
      <c r="BG234" s="136"/>
      <c r="BH234" s="136"/>
      <c r="BI234" s="136"/>
      <c r="BJ234" s="136"/>
      <c r="BK234" s="136"/>
      <c r="BL234" s="136"/>
      <c r="BM234" s="136"/>
      <c r="BN234" s="136"/>
      <c r="BO234" s="136"/>
      <c r="BP234" s="136"/>
      <c r="BQ234" s="136"/>
      <c r="BR234" s="136"/>
      <c r="BS234" s="136"/>
      <c r="BT234" s="136"/>
      <c r="BU234" s="136"/>
      <c r="BV234" s="136"/>
      <c r="BW234" s="136"/>
      <c r="BX234" s="136"/>
      <c r="BY234" s="136"/>
      <c r="BZ234" s="136"/>
      <c r="CA234" s="136"/>
      <c r="CB234" s="136"/>
      <c r="CC234" s="136"/>
      <c r="CD234" s="136"/>
      <c r="CE234" s="136"/>
      <c r="CF234" s="136"/>
      <c r="CG234" s="136"/>
      <c r="CH234" s="136"/>
      <c r="CI234" s="136"/>
      <c r="CJ234" s="136"/>
      <c r="CK234" s="136"/>
      <c r="CL234" s="136"/>
      <c r="CM234" s="136"/>
      <c r="CN234" s="136"/>
      <c r="CO234" s="136"/>
      <c r="CP234" s="136"/>
      <c r="CQ234" s="136"/>
      <c r="CR234" s="136"/>
      <c r="CS234" s="136"/>
      <c r="CT234" s="136"/>
      <c r="CU234" s="136"/>
      <c r="CV234" s="136"/>
      <c r="CW234" s="136"/>
      <c r="CX234" s="136"/>
      <c r="CY234" s="136"/>
      <c r="CZ234" s="136"/>
      <c r="DA234" s="136"/>
      <c r="DB234" s="136"/>
      <c r="DC234" s="136"/>
      <c r="DD234" s="136"/>
      <c r="DE234" s="136"/>
      <c r="DF234" s="136"/>
      <c r="DG234" s="136"/>
      <c r="DH234" s="136"/>
      <c r="DI234" s="136"/>
      <c r="DJ234" s="136"/>
      <c r="DK234" s="136"/>
      <c r="DL234" s="136"/>
      <c r="DM234" s="136"/>
      <c r="DN234" s="136"/>
      <c r="DO234" s="136"/>
      <c r="DP234" s="136"/>
      <c r="DQ234" s="136"/>
      <c r="DR234" s="136"/>
      <c r="DS234" s="136"/>
      <c r="DT234" s="136"/>
      <c r="DU234" s="136"/>
      <c r="DV234" s="136"/>
      <c r="DW234" s="136"/>
      <c r="DX234" s="136"/>
      <c r="DY234" s="136"/>
      <c r="DZ234" s="136"/>
      <c r="EA234" s="136"/>
      <c r="EB234" s="136"/>
      <c r="EC234" s="136"/>
      <c r="ED234" s="136"/>
      <c r="EE234" s="136"/>
      <c r="EF234" s="136"/>
      <c r="EG234" s="136"/>
      <c r="EH234" s="136"/>
      <c r="EI234" s="136"/>
      <c r="EJ234" s="136"/>
      <c r="EK234" s="136"/>
      <c r="EL234" s="136"/>
      <c r="EM234" s="136"/>
      <c r="EN234" s="136"/>
      <c r="EO234" s="136"/>
      <c r="EP234" s="136"/>
      <c r="EQ234" s="136"/>
      <c r="ER234" s="136"/>
      <c r="ES234" s="136"/>
      <c r="ET234" s="136"/>
      <c r="EU234" s="136"/>
      <c r="EV234" s="136"/>
      <c r="EW234" s="136"/>
      <c r="EX234" s="136"/>
      <c r="EY234" s="136"/>
      <c r="EZ234" s="136"/>
      <c r="FA234" s="136"/>
      <c r="FB234" s="136"/>
      <c r="FC234" s="136"/>
      <c r="FD234" s="136"/>
      <c r="FE234" s="137"/>
      <c r="FF234" s="138"/>
    </row>
    <row r="235" spans="1:162" ht="12.75" x14ac:dyDescent="0.2">
      <c r="A235" s="93">
        <v>229</v>
      </c>
      <c r="B235" s="145" t="s">
        <v>336</v>
      </c>
      <c r="C235" s="141" t="s">
        <v>866</v>
      </c>
      <c r="D235" s="142" t="s">
        <v>874</v>
      </c>
      <c r="E235" s="149" t="s">
        <v>335</v>
      </c>
      <c r="F235" s="542">
        <v>43849031</v>
      </c>
      <c r="G235" s="542">
        <v>0</v>
      </c>
      <c r="H235" s="542">
        <v>43849031</v>
      </c>
      <c r="I235" s="542">
        <v>0</v>
      </c>
      <c r="J235" s="542">
        <v>0</v>
      </c>
      <c r="K235" s="542">
        <v>0</v>
      </c>
      <c r="L235" s="542">
        <v>0</v>
      </c>
      <c r="M235" s="542">
        <v>0</v>
      </c>
      <c r="N235" s="542">
        <v>0</v>
      </c>
      <c r="O235" s="542">
        <v>-188404</v>
      </c>
      <c r="P235" s="542">
        <v>0</v>
      </c>
      <c r="Q235" s="542">
        <v>-188404</v>
      </c>
      <c r="R235" s="542">
        <v>0</v>
      </c>
      <c r="S235" s="542">
        <v>0</v>
      </c>
      <c r="T235" s="542">
        <v>0</v>
      </c>
      <c r="U235" s="542">
        <v>-59237</v>
      </c>
      <c r="V235" s="542">
        <v>0</v>
      </c>
      <c r="W235" s="542">
        <v>-59237</v>
      </c>
      <c r="X235" s="542">
        <v>221247</v>
      </c>
      <c r="Y235" s="542">
        <v>0</v>
      </c>
      <c r="Z235" s="542">
        <v>221247</v>
      </c>
      <c r="AA235" s="542">
        <v>9184</v>
      </c>
      <c r="AB235" s="542">
        <v>0</v>
      </c>
      <c r="AC235" s="542">
        <v>9184</v>
      </c>
      <c r="AD235" s="542">
        <v>44020225</v>
      </c>
      <c r="AE235" s="542">
        <v>0</v>
      </c>
      <c r="AF235" s="542">
        <v>44020225</v>
      </c>
      <c r="AG235" s="542">
        <v>0</v>
      </c>
      <c r="AH235" s="542">
        <v>0</v>
      </c>
      <c r="AI235" s="542">
        <v>0</v>
      </c>
      <c r="AJ235" s="542">
        <v>5206551</v>
      </c>
      <c r="AK235" s="542">
        <v>0</v>
      </c>
      <c r="AL235" s="542">
        <v>0</v>
      </c>
      <c r="AM235" s="542">
        <v>5206551</v>
      </c>
      <c r="AN235" s="542">
        <v>0</v>
      </c>
      <c r="AO235" s="542">
        <v>0</v>
      </c>
      <c r="AP235" s="542">
        <v>0</v>
      </c>
      <c r="AQ235" s="542">
        <v>0</v>
      </c>
      <c r="AR235" s="542">
        <v>0</v>
      </c>
      <c r="AS235" s="542">
        <v>0</v>
      </c>
      <c r="AT235" s="542">
        <v>0</v>
      </c>
      <c r="AU235" s="542">
        <v>0</v>
      </c>
      <c r="AV235" s="542">
        <v>2080815</v>
      </c>
      <c r="AW235" s="542">
        <v>-242246</v>
      </c>
      <c r="AX235" s="136"/>
      <c r="AY235" s="136"/>
      <c r="AZ235" s="136"/>
      <c r="BA235" s="136"/>
      <c r="BB235" s="136"/>
      <c r="BC235" s="136"/>
      <c r="BD235" s="136"/>
      <c r="BE235" s="136"/>
      <c r="BF235" s="136"/>
      <c r="BG235" s="136"/>
      <c r="BH235" s="136"/>
      <c r="BI235" s="136"/>
      <c r="BJ235" s="136"/>
      <c r="BK235" s="136"/>
      <c r="BL235" s="136"/>
      <c r="BM235" s="136"/>
      <c r="BN235" s="136"/>
      <c r="BO235" s="136"/>
      <c r="BP235" s="136"/>
      <c r="BQ235" s="136"/>
      <c r="BR235" s="136"/>
      <c r="BS235" s="136"/>
      <c r="BT235" s="136"/>
      <c r="BU235" s="136"/>
      <c r="BV235" s="136"/>
      <c r="BW235" s="136"/>
      <c r="BX235" s="136"/>
      <c r="BY235" s="136"/>
      <c r="BZ235" s="136"/>
      <c r="CA235" s="136"/>
      <c r="CB235" s="136"/>
      <c r="CC235" s="136"/>
      <c r="CD235" s="136"/>
      <c r="CE235" s="136"/>
      <c r="CF235" s="136"/>
      <c r="CG235" s="136"/>
      <c r="CH235" s="136"/>
      <c r="CI235" s="136"/>
      <c r="CJ235" s="136"/>
      <c r="CK235" s="136"/>
      <c r="CL235" s="136"/>
      <c r="CM235" s="136"/>
      <c r="CN235" s="136"/>
      <c r="CO235" s="136"/>
      <c r="CP235" s="136"/>
      <c r="CQ235" s="136"/>
      <c r="CR235" s="136"/>
      <c r="CS235" s="136"/>
      <c r="CT235" s="136"/>
      <c r="CU235" s="136"/>
      <c r="CV235" s="136"/>
      <c r="CW235" s="136"/>
      <c r="CX235" s="136"/>
      <c r="CY235" s="136"/>
      <c r="CZ235" s="136"/>
      <c r="DA235" s="136"/>
      <c r="DB235" s="136"/>
      <c r="DC235" s="136"/>
      <c r="DD235" s="136"/>
      <c r="DE235" s="136"/>
      <c r="DF235" s="136"/>
      <c r="DG235" s="136"/>
      <c r="DH235" s="136"/>
      <c r="DI235" s="136"/>
      <c r="DJ235" s="136"/>
      <c r="DK235" s="136"/>
      <c r="DL235" s="136"/>
      <c r="DM235" s="136"/>
      <c r="DN235" s="136"/>
      <c r="DO235" s="136"/>
      <c r="DP235" s="136"/>
      <c r="DQ235" s="136"/>
      <c r="DR235" s="136"/>
      <c r="DS235" s="136"/>
      <c r="DT235" s="136"/>
      <c r="DU235" s="136"/>
      <c r="DV235" s="136"/>
      <c r="DW235" s="136"/>
      <c r="DX235" s="136"/>
      <c r="DY235" s="136"/>
      <c r="DZ235" s="136"/>
      <c r="EA235" s="136"/>
      <c r="EB235" s="136"/>
      <c r="EC235" s="136"/>
      <c r="ED235" s="136"/>
      <c r="EE235" s="136"/>
      <c r="EF235" s="136"/>
      <c r="EG235" s="136"/>
      <c r="EH235" s="136"/>
      <c r="EI235" s="136"/>
      <c r="EJ235" s="136"/>
      <c r="EK235" s="136"/>
      <c r="EL235" s="136"/>
      <c r="EM235" s="136"/>
      <c r="EN235" s="136"/>
      <c r="EO235" s="136"/>
      <c r="EP235" s="136"/>
      <c r="EQ235" s="136"/>
      <c r="ER235" s="136"/>
      <c r="ES235" s="136"/>
      <c r="ET235" s="136"/>
      <c r="EU235" s="136"/>
      <c r="EV235" s="136"/>
      <c r="EW235" s="136"/>
      <c r="EX235" s="136"/>
      <c r="EY235" s="136"/>
      <c r="EZ235" s="136"/>
      <c r="FA235" s="136"/>
      <c r="FB235" s="136"/>
      <c r="FC235" s="136"/>
      <c r="FD235" s="136"/>
      <c r="FE235" s="137"/>
      <c r="FF235" s="138"/>
    </row>
    <row r="236" spans="1:162" ht="12.75" x14ac:dyDescent="0.2">
      <c r="A236" s="93">
        <v>230</v>
      </c>
      <c r="B236" s="145" t="s">
        <v>338</v>
      </c>
      <c r="C236" s="141" t="s">
        <v>866</v>
      </c>
      <c r="D236" s="142" t="s">
        <v>867</v>
      </c>
      <c r="E236" s="149" t="s">
        <v>337</v>
      </c>
      <c r="F236" s="542">
        <v>35429028</v>
      </c>
      <c r="G236" s="542">
        <v>0</v>
      </c>
      <c r="H236" s="542">
        <v>35429028</v>
      </c>
      <c r="I236" s="542">
        <v>-427</v>
      </c>
      <c r="J236" s="542">
        <v>0</v>
      </c>
      <c r="K236" s="542">
        <v>-427</v>
      </c>
      <c r="L236" s="542">
        <v>150879</v>
      </c>
      <c r="M236" s="542">
        <v>0</v>
      </c>
      <c r="N236" s="542">
        <v>150879</v>
      </c>
      <c r="O236" s="542">
        <v>-435621</v>
      </c>
      <c r="P236" s="542">
        <v>0</v>
      </c>
      <c r="Q236" s="542">
        <v>-435621</v>
      </c>
      <c r="R236" s="542">
        <v>0</v>
      </c>
      <c r="S236" s="542">
        <v>0</v>
      </c>
      <c r="T236" s="542">
        <v>0</v>
      </c>
      <c r="U236" s="542">
        <v>-462121</v>
      </c>
      <c r="V236" s="542">
        <v>0</v>
      </c>
      <c r="W236" s="542">
        <v>-462121</v>
      </c>
      <c r="X236" s="542">
        <v>711857</v>
      </c>
      <c r="Y236" s="542">
        <v>0</v>
      </c>
      <c r="Z236" s="542">
        <v>711857</v>
      </c>
      <c r="AA236" s="542">
        <v>-2954366</v>
      </c>
      <c r="AB236" s="542">
        <v>0</v>
      </c>
      <c r="AC236" s="542">
        <v>-2954366</v>
      </c>
      <c r="AD236" s="542">
        <v>32874850</v>
      </c>
      <c r="AE236" s="542">
        <v>0</v>
      </c>
      <c r="AF236" s="542">
        <v>32874850</v>
      </c>
      <c r="AG236" s="542">
        <v>0</v>
      </c>
      <c r="AH236" s="542">
        <v>0</v>
      </c>
      <c r="AI236" s="542">
        <v>0</v>
      </c>
      <c r="AJ236" s="542">
        <v>0</v>
      </c>
      <c r="AK236" s="542">
        <v>0</v>
      </c>
      <c r="AL236" s="542">
        <v>0</v>
      </c>
      <c r="AM236" s="542">
        <v>0</v>
      </c>
      <c r="AN236" s="542">
        <v>0</v>
      </c>
      <c r="AO236" s="542">
        <v>0</v>
      </c>
      <c r="AP236" s="542">
        <v>0</v>
      </c>
      <c r="AQ236" s="542">
        <v>0</v>
      </c>
      <c r="AR236" s="542">
        <v>0</v>
      </c>
      <c r="AS236" s="542">
        <v>0</v>
      </c>
      <c r="AT236" s="542">
        <v>0</v>
      </c>
      <c r="AU236" s="542">
        <v>0</v>
      </c>
      <c r="AV236" s="542">
        <v>2008216</v>
      </c>
      <c r="AW236" s="542">
        <v>-1299730</v>
      </c>
      <c r="AX236" s="136"/>
      <c r="AY236" s="136"/>
      <c r="AZ236" s="136"/>
      <c r="BA236" s="136"/>
      <c r="BB236" s="136"/>
      <c r="BC236" s="136"/>
      <c r="BD236" s="136"/>
      <c r="BE236" s="136"/>
      <c r="BF236" s="136"/>
      <c r="BG236" s="136"/>
      <c r="BH236" s="136"/>
      <c r="BI236" s="136"/>
      <c r="BJ236" s="136"/>
      <c r="BK236" s="136"/>
      <c r="BL236" s="136"/>
      <c r="BM236" s="136"/>
      <c r="BN236" s="136"/>
      <c r="BO236" s="136"/>
      <c r="BP236" s="136"/>
      <c r="BQ236" s="136"/>
      <c r="BR236" s="136"/>
      <c r="BS236" s="136"/>
      <c r="BT236" s="136"/>
      <c r="BU236" s="136"/>
      <c r="BV236" s="136"/>
      <c r="BW236" s="136"/>
      <c r="BX236" s="136"/>
      <c r="BY236" s="136"/>
      <c r="BZ236" s="136"/>
      <c r="CA236" s="136"/>
      <c r="CB236" s="136"/>
      <c r="CC236" s="136"/>
      <c r="CD236" s="136"/>
      <c r="CE236" s="136"/>
      <c r="CF236" s="136"/>
      <c r="CG236" s="136"/>
      <c r="CH236" s="136"/>
      <c r="CI236" s="136"/>
      <c r="CJ236" s="136"/>
      <c r="CK236" s="136"/>
      <c r="CL236" s="136"/>
      <c r="CM236" s="136"/>
      <c r="CN236" s="136"/>
      <c r="CO236" s="136"/>
      <c r="CP236" s="136"/>
      <c r="CQ236" s="136"/>
      <c r="CR236" s="136"/>
      <c r="CS236" s="136"/>
      <c r="CT236" s="136"/>
      <c r="CU236" s="136"/>
      <c r="CV236" s="136"/>
      <c r="CW236" s="136"/>
      <c r="CX236" s="136"/>
      <c r="CY236" s="136"/>
      <c r="CZ236" s="136"/>
      <c r="DA236" s="136"/>
      <c r="DB236" s="136"/>
      <c r="DC236" s="136"/>
      <c r="DD236" s="136"/>
      <c r="DE236" s="136"/>
      <c r="DF236" s="136"/>
      <c r="DG236" s="136"/>
      <c r="DH236" s="136"/>
      <c r="DI236" s="136"/>
      <c r="DJ236" s="136"/>
      <c r="DK236" s="136"/>
      <c r="DL236" s="136"/>
      <c r="DM236" s="136"/>
      <c r="DN236" s="136"/>
      <c r="DO236" s="136"/>
      <c r="DP236" s="136"/>
      <c r="DQ236" s="136"/>
      <c r="DR236" s="136"/>
      <c r="DS236" s="136"/>
      <c r="DT236" s="136"/>
      <c r="DU236" s="136"/>
      <c r="DV236" s="136"/>
      <c r="DW236" s="136"/>
      <c r="DX236" s="136"/>
      <c r="DY236" s="136"/>
      <c r="DZ236" s="136"/>
      <c r="EA236" s="136"/>
      <c r="EB236" s="136"/>
      <c r="EC236" s="136"/>
      <c r="ED236" s="136"/>
      <c r="EE236" s="136"/>
      <c r="EF236" s="136"/>
      <c r="EG236" s="136"/>
      <c r="EH236" s="136"/>
      <c r="EI236" s="136"/>
      <c r="EJ236" s="136"/>
      <c r="EK236" s="136"/>
      <c r="EL236" s="136"/>
      <c r="EM236" s="136"/>
      <c r="EN236" s="136"/>
      <c r="EO236" s="136"/>
      <c r="EP236" s="136"/>
      <c r="EQ236" s="136"/>
      <c r="ER236" s="136"/>
      <c r="ES236" s="136"/>
      <c r="ET236" s="136"/>
      <c r="EU236" s="136"/>
      <c r="EV236" s="136"/>
      <c r="EW236" s="136"/>
      <c r="EX236" s="136"/>
      <c r="EY236" s="136"/>
      <c r="EZ236" s="136"/>
      <c r="FA236" s="136"/>
      <c r="FB236" s="136"/>
      <c r="FC236" s="136"/>
      <c r="FD236" s="136"/>
      <c r="FE236" s="137"/>
      <c r="FF236" s="138"/>
    </row>
    <row r="237" spans="1:162" ht="12.75" x14ac:dyDescent="0.2">
      <c r="A237" s="93">
        <v>231</v>
      </c>
      <c r="B237" s="145" t="s">
        <v>340</v>
      </c>
      <c r="C237" s="141" t="s">
        <v>873</v>
      </c>
      <c r="D237" s="142" t="s">
        <v>874</v>
      </c>
      <c r="E237" s="149" t="s">
        <v>339</v>
      </c>
      <c r="F237" s="542">
        <v>206833251</v>
      </c>
      <c r="G237" s="542">
        <v>2955853</v>
      </c>
      <c r="H237" s="542">
        <v>209789104</v>
      </c>
      <c r="I237" s="542">
        <v>0</v>
      </c>
      <c r="J237" s="542">
        <v>0</v>
      </c>
      <c r="K237" s="542">
        <v>0</v>
      </c>
      <c r="L237" s="542">
        <v>0</v>
      </c>
      <c r="M237" s="542">
        <v>0</v>
      </c>
      <c r="N237" s="542">
        <v>0</v>
      </c>
      <c r="O237" s="542">
        <v>-2402046</v>
      </c>
      <c r="P237" s="542">
        <v>-3436066</v>
      </c>
      <c r="Q237" s="542">
        <v>-5838112</v>
      </c>
      <c r="R237" s="542">
        <v>0</v>
      </c>
      <c r="S237" s="542">
        <v>0</v>
      </c>
      <c r="T237" s="542">
        <v>0</v>
      </c>
      <c r="U237" s="542">
        <v>-3393519</v>
      </c>
      <c r="V237" s="542">
        <v>-50593</v>
      </c>
      <c r="W237" s="542">
        <v>-3444112</v>
      </c>
      <c r="X237" s="542">
        <v>6768377</v>
      </c>
      <c r="Y237" s="542">
        <v>100907</v>
      </c>
      <c r="Z237" s="542">
        <v>6869284</v>
      </c>
      <c r="AA237" s="542">
        <v>-6866908</v>
      </c>
      <c r="AB237" s="542">
        <v>-102376</v>
      </c>
      <c r="AC237" s="542">
        <v>-6969284</v>
      </c>
      <c r="AD237" s="542">
        <v>203341201</v>
      </c>
      <c r="AE237" s="542">
        <v>2903791</v>
      </c>
      <c r="AF237" s="542">
        <v>206244992</v>
      </c>
      <c r="AG237" s="542">
        <v>2017584</v>
      </c>
      <c r="AH237" s="542">
        <v>886207</v>
      </c>
      <c r="AI237" s="542">
        <v>2903791</v>
      </c>
      <c r="AJ237" s="542">
        <v>0</v>
      </c>
      <c r="AK237" s="542">
        <v>0</v>
      </c>
      <c r="AL237" s="542">
        <v>0</v>
      </c>
      <c r="AM237" s="542">
        <v>0</v>
      </c>
      <c r="AN237" s="542">
        <v>0</v>
      </c>
      <c r="AO237" s="542">
        <v>-9341</v>
      </c>
      <c r="AP237" s="542">
        <v>-9341</v>
      </c>
      <c r="AQ237" s="542">
        <v>1649764</v>
      </c>
      <c r="AR237" s="542">
        <v>1500343</v>
      </c>
      <c r="AS237" s="542">
        <v>367820</v>
      </c>
      <c r="AT237" s="542">
        <v>0</v>
      </c>
      <c r="AU237" s="542">
        <v>367820</v>
      </c>
      <c r="AV237" s="542">
        <v>11055907</v>
      </c>
      <c r="AW237" s="542">
        <v>-1912746</v>
      </c>
      <c r="AX237" s="136"/>
      <c r="AY237" s="136"/>
      <c r="AZ237" s="136"/>
      <c r="BA237" s="136"/>
      <c r="BB237" s="136"/>
      <c r="BC237" s="136"/>
      <c r="BD237" s="136"/>
      <c r="BE237" s="136"/>
      <c r="BF237" s="136"/>
      <c r="BG237" s="136"/>
      <c r="BH237" s="136"/>
      <c r="BI237" s="136"/>
      <c r="BJ237" s="136"/>
      <c r="BK237" s="136"/>
      <c r="BL237" s="136"/>
      <c r="BM237" s="136"/>
      <c r="BN237" s="136"/>
      <c r="BO237" s="136"/>
      <c r="BP237" s="136"/>
      <c r="BQ237" s="136"/>
      <c r="BR237" s="136"/>
      <c r="BS237" s="136"/>
      <c r="BT237" s="136"/>
      <c r="BU237" s="136"/>
      <c r="BV237" s="136"/>
      <c r="BW237" s="136"/>
      <c r="BX237" s="136"/>
      <c r="BY237" s="136"/>
      <c r="BZ237" s="136"/>
      <c r="CA237" s="136"/>
      <c r="CB237" s="136"/>
      <c r="CC237" s="136"/>
      <c r="CD237" s="136"/>
      <c r="CE237" s="136"/>
      <c r="CF237" s="136"/>
      <c r="CG237" s="136"/>
      <c r="CH237" s="136"/>
      <c r="CI237" s="136"/>
      <c r="CJ237" s="136"/>
      <c r="CK237" s="136"/>
      <c r="CL237" s="136"/>
      <c r="CM237" s="136"/>
      <c r="CN237" s="136"/>
      <c r="CO237" s="136"/>
      <c r="CP237" s="136"/>
      <c r="CQ237" s="136"/>
      <c r="CR237" s="136"/>
      <c r="CS237" s="136"/>
      <c r="CT237" s="136"/>
      <c r="CU237" s="136"/>
      <c r="CV237" s="136"/>
      <c r="CW237" s="136"/>
      <c r="CX237" s="136"/>
      <c r="CY237" s="136"/>
      <c r="CZ237" s="136"/>
      <c r="DA237" s="136"/>
      <c r="DB237" s="136"/>
      <c r="DC237" s="136"/>
      <c r="DD237" s="136"/>
      <c r="DE237" s="136"/>
      <c r="DF237" s="136"/>
      <c r="DG237" s="136"/>
      <c r="DH237" s="136"/>
      <c r="DI237" s="136"/>
      <c r="DJ237" s="136"/>
      <c r="DK237" s="136"/>
      <c r="DL237" s="136"/>
      <c r="DM237" s="136"/>
      <c r="DN237" s="136"/>
      <c r="DO237" s="136"/>
      <c r="DP237" s="136"/>
      <c r="DQ237" s="136"/>
      <c r="DR237" s="136"/>
      <c r="DS237" s="136"/>
      <c r="DT237" s="136"/>
      <c r="DU237" s="136"/>
      <c r="DV237" s="136"/>
      <c r="DW237" s="136"/>
      <c r="DX237" s="136"/>
      <c r="DY237" s="136"/>
      <c r="DZ237" s="136"/>
      <c r="EA237" s="136"/>
      <c r="EB237" s="136"/>
      <c r="EC237" s="136"/>
      <c r="ED237" s="136"/>
      <c r="EE237" s="136"/>
      <c r="EF237" s="136"/>
      <c r="EG237" s="136"/>
      <c r="EH237" s="136"/>
      <c r="EI237" s="136"/>
      <c r="EJ237" s="136"/>
      <c r="EK237" s="136"/>
      <c r="EL237" s="136"/>
      <c r="EM237" s="136"/>
      <c r="EN237" s="136"/>
      <c r="EO237" s="136"/>
      <c r="EP237" s="136"/>
      <c r="EQ237" s="136"/>
      <c r="ER237" s="136"/>
      <c r="ES237" s="136"/>
      <c r="ET237" s="136"/>
      <c r="EU237" s="136"/>
      <c r="EV237" s="136"/>
      <c r="EW237" s="136"/>
      <c r="EX237" s="136"/>
      <c r="EY237" s="136"/>
      <c r="EZ237" s="136"/>
      <c r="FA237" s="136"/>
      <c r="FB237" s="136"/>
      <c r="FC237" s="136"/>
      <c r="FD237" s="136"/>
      <c r="FE237" s="137"/>
      <c r="FF237" s="138"/>
    </row>
    <row r="238" spans="1:162" ht="12.75" x14ac:dyDescent="0.2">
      <c r="A238" s="93">
        <v>232</v>
      </c>
      <c r="B238" s="145" t="s">
        <v>342</v>
      </c>
      <c r="C238" s="141" t="s">
        <v>866</v>
      </c>
      <c r="D238" s="142" t="s">
        <v>867</v>
      </c>
      <c r="E238" s="149" t="s">
        <v>341</v>
      </c>
      <c r="F238" s="542">
        <v>28481294</v>
      </c>
      <c r="G238" s="542">
        <v>0</v>
      </c>
      <c r="H238" s="542">
        <v>28481294</v>
      </c>
      <c r="I238" s="542">
        <v>-43</v>
      </c>
      <c r="J238" s="542">
        <v>0</v>
      </c>
      <c r="K238" s="542">
        <v>-43</v>
      </c>
      <c r="L238" s="542">
        <v>0</v>
      </c>
      <c r="M238" s="542">
        <v>0</v>
      </c>
      <c r="N238" s="542">
        <v>0</v>
      </c>
      <c r="O238" s="542">
        <v>-318458</v>
      </c>
      <c r="P238" s="542">
        <v>0</v>
      </c>
      <c r="Q238" s="542">
        <v>-318458</v>
      </c>
      <c r="R238" s="542">
        <v>-1805</v>
      </c>
      <c r="S238" s="542">
        <v>0</v>
      </c>
      <c r="T238" s="542">
        <v>-1805</v>
      </c>
      <c r="U238" s="542">
        <v>-351581</v>
      </c>
      <c r="V238" s="542">
        <v>0</v>
      </c>
      <c r="W238" s="542">
        <v>-351581</v>
      </c>
      <c r="X238" s="542">
        <v>447923</v>
      </c>
      <c r="Y238" s="542">
        <v>0</v>
      </c>
      <c r="Z238" s="542">
        <v>447923</v>
      </c>
      <c r="AA238" s="542">
        <v>-1570251</v>
      </c>
      <c r="AB238" s="542">
        <v>0</v>
      </c>
      <c r="AC238" s="542">
        <v>-1570251</v>
      </c>
      <c r="AD238" s="542">
        <v>27005537</v>
      </c>
      <c r="AE238" s="542">
        <v>0</v>
      </c>
      <c r="AF238" s="542">
        <v>27005537</v>
      </c>
      <c r="AG238" s="542">
        <v>0</v>
      </c>
      <c r="AH238" s="542">
        <v>0</v>
      </c>
      <c r="AI238" s="542">
        <v>0</v>
      </c>
      <c r="AJ238" s="542">
        <v>0</v>
      </c>
      <c r="AK238" s="542">
        <v>0</v>
      </c>
      <c r="AL238" s="542">
        <v>0</v>
      </c>
      <c r="AM238" s="542">
        <v>0</v>
      </c>
      <c r="AN238" s="542">
        <v>0</v>
      </c>
      <c r="AO238" s="542">
        <v>0</v>
      </c>
      <c r="AP238" s="542">
        <v>0</v>
      </c>
      <c r="AQ238" s="542">
        <v>0</v>
      </c>
      <c r="AR238" s="542">
        <v>0</v>
      </c>
      <c r="AS238" s="542">
        <v>0</v>
      </c>
      <c r="AT238" s="542">
        <v>0</v>
      </c>
      <c r="AU238" s="542">
        <v>0</v>
      </c>
      <c r="AV238" s="542">
        <v>1083747</v>
      </c>
      <c r="AW238" s="542">
        <v>-408436</v>
      </c>
      <c r="AX238" s="136"/>
      <c r="AY238" s="136"/>
      <c r="AZ238" s="136"/>
      <c r="BA238" s="136"/>
      <c r="BB238" s="136"/>
      <c r="BC238" s="136"/>
      <c r="BD238" s="136"/>
      <c r="BE238" s="136"/>
      <c r="BF238" s="136"/>
      <c r="BG238" s="136"/>
      <c r="BH238" s="136"/>
      <c r="BI238" s="136"/>
      <c r="BJ238" s="136"/>
      <c r="BK238" s="136"/>
      <c r="BL238" s="136"/>
      <c r="BM238" s="136"/>
      <c r="BN238" s="136"/>
      <c r="BO238" s="136"/>
      <c r="BP238" s="136"/>
      <c r="BQ238" s="136"/>
      <c r="BR238" s="136"/>
      <c r="BS238" s="136"/>
      <c r="BT238" s="136"/>
      <c r="BU238" s="136"/>
      <c r="BV238" s="136"/>
      <c r="BW238" s="136"/>
      <c r="BX238" s="136"/>
      <c r="BY238" s="136"/>
      <c r="BZ238" s="136"/>
      <c r="CA238" s="136"/>
      <c r="CB238" s="136"/>
      <c r="CC238" s="136"/>
      <c r="CD238" s="136"/>
      <c r="CE238" s="136"/>
      <c r="CF238" s="136"/>
      <c r="CG238" s="136"/>
      <c r="CH238" s="136"/>
      <c r="CI238" s="136"/>
      <c r="CJ238" s="136"/>
      <c r="CK238" s="136"/>
      <c r="CL238" s="136"/>
      <c r="CM238" s="136"/>
      <c r="CN238" s="136"/>
      <c r="CO238" s="136"/>
      <c r="CP238" s="136"/>
      <c r="CQ238" s="136"/>
      <c r="CR238" s="136"/>
      <c r="CS238" s="136"/>
      <c r="CT238" s="136"/>
      <c r="CU238" s="136"/>
      <c r="CV238" s="136"/>
      <c r="CW238" s="136"/>
      <c r="CX238" s="136"/>
      <c r="CY238" s="136"/>
      <c r="CZ238" s="136"/>
      <c r="DA238" s="136"/>
      <c r="DB238" s="136"/>
      <c r="DC238" s="136"/>
      <c r="DD238" s="136"/>
      <c r="DE238" s="136"/>
      <c r="DF238" s="136"/>
      <c r="DG238" s="136"/>
      <c r="DH238" s="136"/>
      <c r="DI238" s="136"/>
      <c r="DJ238" s="136"/>
      <c r="DK238" s="136"/>
      <c r="DL238" s="136"/>
      <c r="DM238" s="136"/>
      <c r="DN238" s="136"/>
      <c r="DO238" s="136"/>
      <c r="DP238" s="136"/>
      <c r="DQ238" s="136"/>
      <c r="DR238" s="136"/>
      <c r="DS238" s="136"/>
      <c r="DT238" s="136"/>
      <c r="DU238" s="136"/>
      <c r="DV238" s="136"/>
      <c r="DW238" s="136"/>
      <c r="DX238" s="136"/>
      <c r="DY238" s="136"/>
      <c r="DZ238" s="136"/>
      <c r="EA238" s="136"/>
      <c r="EB238" s="136"/>
      <c r="EC238" s="136"/>
      <c r="ED238" s="136"/>
      <c r="EE238" s="136"/>
      <c r="EF238" s="136"/>
      <c r="EG238" s="136"/>
      <c r="EH238" s="136"/>
      <c r="EI238" s="136"/>
      <c r="EJ238" s="136"/>
      <c r="EK238" s="136"/>
      <c r="EL238" s="136"/>
      <c r="EM238" s="136"/>
      <c r="EN238" s="136"/>
      <c r="EO238" s="136"/>
      <c r="EP238" s="136"/>
      <c r="EQ238" s="136"/>
      <c r="ER238" s="136"/>
      <c r="ES238" s="136"/>
      <c r="ET238" s="136"/>
      <c r="EU238" s="136"/>
      <c r="EV238" s="136"/>
      <c r="EW238" s="136"/>
      <c r="EX238" s="136"/>
      <c r="EY238" s="136"/>
      <c r="EZ238" s="136"/>
      <c r="FA238" s="136"/>
      <c r="FB238" s="136"/>
      <c r="FC238" s="136"/>
      <c r="FD238" s="136"/>
      <c r="FE238" s="137"/>
      <c r="FF238" s="138"/>
    </row>
    <row r="239" spans="1:162" ht="12.75" x14ac:dyDescent="0.2">
      <c r="A239" s="93">
        <v>233</v>
      </c>
      <c r="B239" s="145" t="s">
        <v>344</v>
      </c>
      <c r="C239" s="141" t="s">
        <v>770</v>
      </c>
      <c r="D239" s="142" t="s">
        <v>876</v>
      </c>
      <c r="E239" s="149" t="s">
        <v>343</v>
      </c>
      <c r="F239" s="542">
        <v>76818790</v>
      </c>
      <c r="G239" s="542">
        <v>0</v>
      </c>
      <c r="H239" s="542">
        <v>76818790</v>
      </c>
      <c r="I239" s="542">
        <v>-8752</v>
      </c>
      <c r="J239" s="542">
        <v>0</v>
      </c>
      <c r="K239" s="542">
        <v>-8752</v>
      </c>
      <c r="L239" s="542">
        <v>266857</v>
      </c>
      <c r="M239" s="542">
        <v>0</v>
      </c>
      <c r="N239" s="542">
        <v>266857</v>
      </c>
      <c r="O239" s="542">
        <v>-759674</v>
      </c>
      <c r="P239" s="542">
        <v>0</v>
      </c>
      <c r="Q239" s="542">
        <v>-759674</v>
      </c>
      <c r="R239" s="542">
        <v>0</v>
      </c>
      <c r="S239" s="542">
        <v>0</v>
      </c>
      <c r="T239" s="542">
        <v>0</v>
      </c>
      <c r="U239" s="542">
        <v>-703065</v>
      </c>
      <c r="V239" s="542">
        <v>0</v>
      </c>
      <c r="W239" s="542">
        <v>-703065</v>
      </c>
      <c r="X239" s="542">
        <v>1993346</v>
      </c>
      <c r="Y239" s="542">
        <v>0</v>
      </c>
      <c r="Z239" s="542">
        <v>1993346</v>
      </c>
      <c r="AA239" s="542">
        <v>-8121503</v>
      </c>
      <c r="AB239" s="542">
        <v>0</v>
      </c>
      <c r="AC239" s="542">
        <v>-8121503</v>
      </c>
      <c r="AD239" s="542">
        <v>70245673</v>
      </c>
      <c r="AE239" s="542">
        <v>0</v>
      </c>
      <c r="AF239" s="542">
        <v>70245673</v>
      </c>
      <c r="AG239" s="542">
        <v>0</v>
      </c>
      <c r="AH239" s="542">
        <v>0</v>
      </c>
      <c r="AI239" s="542">
        <v>0</v>
      </c>
      <c r="AJ239" s="542">
        <v>2184357</v>
      </c>
      <c r="AK239" s="542">
        <v>0</v>
      </c>
      <c r="AL239" s="542">
        <v>0</v>
      </c>
      <c r="AM239" s="542">
        <v>2184357</v>
      </c>
      <c r="AN239" s="542">
        <v>0</v>
      </c>
      <c r="AO239" s="542">
        <v>0</v>
      </c>
      <c r="AP239" s="542">
        <v>0</v>
      </c>
      <c r="AQ239" s="542">
        <v>0</v>
      </c>
      <c r="AR239" s="542">
        <v>0</v>
      </c>
      <c r="AS239" s="542">
        <v>0</v>
      </c>
      <c r="AT239" s="542">
        <v>0</v>
      </c>
      <c r="AU239" s="542">
        <v>0</v>
      </c>
      <c r="AV239" s="542">
        <v>3183223</v>
      </c>
      <c r="AW239" s="542">
        <v>-2136619</v>
      </c>
      <c r="AX239" s="136"/>
      <c r="AY239" s="136"/>
      <c r="AZ239" s="136"/>
      <c r="BA239" s="136"/>
      <c r="BB239" s="136"/>
      <c r="BC239" s="136"/>
      <c r="BD239" s="136"/>
      <c r="BE239" s="136"/>
      <c r="BF239" s="136"/>
      <c r="BG239" s="136"/>
      <c r="BH239" s="136"/>
      <c r="BI239" s="136"/>
      <c r="BJ239" s="136"/>
      <c r="BK239" s="136"/>
      <c r="BL239" s="136"/>
      <c r="BM239" s="136"/>
      <c r="BN239" s="136"/>
      <c r="BO239" s="136"/>
      <c r="BP239" s="136"/>
      <c r="BQ239" s="136"/>
      <c r="BR239" s="136"/>
      <c r="BS239" s="136"/>
      <c r="BT239" s="136"/>
      <c r="BU239" s="136"/>
      <c r="BV239" s="136"/>
      <c r="BW239" s="136"/>
      <c r="BX239" s="136"/>
      <c r="BY239" s="136"/>
      <c r="BZ239" s="136"/>
      <c r="CA239" s="136"/>
      <c r="CB239" s="136"/>
      <c r="CC239" s="136"/>
      <c r="CD239" s="136"/>
      <c r="CE239" s="136"/>
      <c r="CF239" s="136"/>
      <c r="CG239" s="136"/>
      <c r="CH239" s="136"/>
      <c r="CI239" s="136"/>
      <c r="CJ239" s="136"/>
      <c r="CK239" s="136"/>
      <c r="CL239" s="136"/>
      <c r="CM239" s="136"/>
      <c r="CN239" s="136"/>
      <c r="CO239" s="136"/>
      <c r="CP239" s="136"/>
      <c r="CQ239" s="136"/>
      <c r="CR239" s="136"/>
      <c r="CS239" s="136"/>
      <c r="CT239" s="136"/>
      <c r="CU239" s="136"/>
      <c r="CV239" s="136"/>
      <c r="CW239" s="136"/>
      <c r="CX239" s="136"/>
      <c r="CY239" s="136"/>
      <c r="CZ239" s="136"/>
      <c r="DA239" s="136"/>
      <c r="DB239" s="136"/>
      <c r="DC239" s="136"/>
      <c r="DD239" s="136"/>
      <c r="DE239" s="136"/>
      <c r="DF239" s="136"/>
      <c r="DG239" s="136"/>
      <c r="DH239" s="136"/>
      <c r="DI239" s="136"/>
      <c r="DJ239" s="136"/>
      <c r="DK239" s="136"/>
      <c r="DL239" s="136"/>
      <c r="DM239" s="136"/>
      <c r="DN239" s="136"/>
      <c r="DO239" s="136"/>
      <c r="DP239" s="136"/>
      <c r="DQ239" s="136"/>
      <c r="DR239" s="136"/>
      <c r="DS239" s="136"/>
      <c r="DT239" s="136"/>
      <c r="DU239" s="136"/>
      <c r="DV239" s="136"/>
      <c r="DW239" s="136"/>
      <c r="DX239" s="136"/>
      <c r="DY239" s="136"/>
      <c r="DZ239" s="136"/>
      <c r="EA239" s="136"/>
      <c r="EB239" s="136"/>
      <c r="EC239" s="136"/>
      <c r="ED239" s="136"/>
      <c r="EE239" s="136"/>
      <c r="EF239" s="136"/>
      <c r="EG239" s="136"/>
      <c r="EH239" s="136"/>
      <c r="EI239" s="136"/>
      <c r="EJ239" s="136"/>
      <c r="EK239" s="136"/>
      <c r="EL239" s="136"/>
      <c r="EM239" s="136"/>
      <c r="EN239" s="136"/>
      <c r="EO239" s="136"/>
      <c r="EP239" s="136"/>
      <c r="EQ239" s="136"/>
      <c r="ER239" s="136"/>
      <c r="ES239" s="136"/>
      <c r="ET239" s="136"/>
      <c r="EU239" s="136"/>
      <c r="EV239" s="136"/>
      <c r="EW239" s="136"/>
      <c r="EX239" s="136"/>
      <c r="EY239" s="136"/>
      <c r="EZ239" s="136"/>
      <c r="FA239" s="136"/>
      <c r="FB239" s="136"/>
      <c r="FC239" s="136"/>
      <c r="FD239" s="136"/>
      <c r="FE239" s="137"/>
      <c r="FF239" s="138"/>
    </row>
    <row r="240" spans="1:162" ht="12.75" x14ac:dyDescent="0.2">
      <c r="A240" s="93">
        <v>234</v>
      </c>
      <c r="B240" s="145" t="s">
        <v>346</v>
      </c>
      <c r="C240" s="141" t="s">
        <v>770</v>
      </c>
      <c r="D240" s="142" t="s">
        <v>867</v>
      </c>
      <c r="E240" s="149" t="s">
        <v>723</v>
      </c>
      <c r="F240" s="542">
        <v>96567706</v>
      </c>
      <c r="G240" s="542">
        <v>0</v>
      </c>
      <c r="H240" s="542">
        <v>96567706</v>
      </c>
      <c r="I240" s="542">
        <v>-23115</v>
      </c>
      <c r="J240" s="542">
        <v>0</v>
      </c>
      <c r="K240" s="542">
        <v>-23115</v>
      </c>
      <c r="L240" s="542">
        <v>199614</v>
      </c>
      <c r="M240" s="542">
        <v>0</v>
      </c>
      <c r="N240" s="542">
        <v>199614</v>
      </c>
      <c r="O240" s="542">
        <v>-3237641</v>
      </c>
      <c r="P240" s="542">
        <v>0</v>
      </c>
      <c r="Q240" s="542">
        <v>-3237641</v>
      </c>
      <c r="R240" s="542">
        <v>0</v>
      </c>
      <c r="S240" s="542">
        <v>0</v>
      </c>
      <c r="T240" s="542">
        <v>0</v>
      </c>
      <c r="U240" s="542">
        <v>-2250238</v>
      </c>
      <c r="V240" s="542">
        <v>0</v>
      </c>
      <c r="W240" s="542">
        <v>-2250238</v>
      </c>
      <c r="X240" s="542">
        <v>1785229</v>
      </c>
      <c r="Y240" s="542">
        <v>0</v>
      </c>
      <c r="Z240" s="542">
        <v>1785229</v>
      </c>
      <c r="AA240" s="542">
        <v>-2506230</v>
      </c>
      <c r="AB240" s="542">
        <v>0</v>
      </c>
      <c r="AC240" s="542">
        <v>-2506230</v>
      </c>
      <c r="AD240" s="542">
        <v>93772966</v>
      </c>
      <c r="AE240" s="542">
        <v>0</v>
      </c>
      <c r="AF240" s="542">
        <v>93772966</v>
      </c>
      <c r="AG240" s="542">
        <v>0</v>
      </c>
      <c r="AH240" s="542">
        <v>0</v>
      </c>
      <c r="AI240" s="542">
        <v>0</v>
      </c>
      <c r="AJ240" s="542">
        <v>0</v>
      </c>
      <c r="AK240" s="542">
        <v>0</v>
      </c>
      <c r="AL240" s="542">
        <v>0</v>
      </c>
      <c r="AM240" s="542">
        <v>0</v>
      </c>
      <c r="AN240" s="542">
        <v>0</v>
      </c>
      <c r="AO240" s="542">
        <v>0</v>
      </c>
      <c r="AP240" s="542">
        <v>0</v>
      </c>
      <c r="AQ240" s="542">
        <v>0</v>
      </c>
      <c r="AR240" s="542">
        <v>0</v>
      </c>
      <c r="AS240" s="542">
        <v>0</v>
      </c>
      <c r="AT240" s="542">
        <v>0</v>
      </c>
      <c r="AU240" s="542">
        <v>0</v>
      </c>
      <c r="AV240" s="542">
        <v>5577994</v>
      </c>
      <c r="AW240" s="542">
        <v>-388598</v>
      </c>
      <c r="AX240" s="136"/>
      <c r="AY240" s="136"/>
      <c r="AZ240" s="136"/>
      <c r="BA240" s="136"/>
      <c r="BB240" s="136"/>
      <c r="BC240" s="136"/>
      <c r="BD240" s="136"/>
      <c r="BE240" s="136"/>
      <c r="BF240" s="136"/>
      <c r="BG240" s="136"/>
      <c r="BH240" s="136"/>
      <c r="BI240" s="136"/>
      <c r="BJ240" s="136"/>
      <c r="BK240" s="136"/>
      <c r="BL240" s="136"/>
      <c r="BM240" s="136"/>
      <c r="BN240" s="136"/>
      <c r="BO240" s="136"/>
      <c r="BP240" s="136"/>
      <c r="BQ240" s="136"/>
      <c r="BR240" s="136"/>
      <c r="BS240" s="136"/>
      <c r="BT240" s="136"/>
      <c r="BU240" s="136"/>
      <c r="BV240" s="136"/>
      <c r="BW240" s="136"/>
      <c r="BX240" s="136"/>
      <c r="BY240" s="136"/>
      <c r="BZ240" s="136"/>
      <c r="CA240" s="136"/>
      <c r="CB240" s="136"/>
      <c r="CC240" s="136"/>
      <c r="CD240" s="136"/>
      <c r="CE240" s="136"/>
      <c r="CF240" s="136"/>
      <c r="CG240" s="136"/>
      <c r="CH240" s="136"/>
      <c r="CI240" s="136"/>
      <c r="CJ240" s="136"/>
      <c r="CK240" s="136"/>
      <c r="CL240" s="136"/>
      <c r="CM240" s="136"/>
      <c r="CN240" s="136"/>
      <c r="CO240" s="136"/>
      <c r="CP240" s="136"/>
      <c r="CQ240" s="136"/>
      <c r="CR240" s="136"/>
      <c r="CS240" s="136"/>
      <c r="CT240" s="136"/>
      <c r="CU240" s="136"/>
      <c r="CV240" s="136"/>
      <c r="CW240" s="136"/>
      <c r="CX240" s="136"/>
      <c r="CY240" s="136"/>
      <c r="CZ240" s="136"/>
      <c r="DA240" s="136"/>
      <c r="DB240" s="136"/>
      <c r="DC240" s="136"/>
      <c r="DD240" s="136"/>
      <c r="DE240" s="136"/>
      <c r="DF240" s="136"/>
      <c r="DG240" s="136"/>
      <c r="DH240" s="136"/>
      <c r="DI240" s="136"/>
      <c r="DJ240" s="136"/>
      <c r="DK240" s="136"/>
      <c r="DL240" s="136"/>
      <c r="DM240" s="136"/>
      <c r="DN240" s="136"/>
      <c r="DO240" s="136"/>
      <c r="DP240" s="136"/>
      <c r="DQ240" s="136"/>
      <c r="DR240" s="136"/>
      <c r="DS240" s="136"/>
      <c r="DT240" s="136"/>
      <c r="DU240" s="136"/>
      <c r="DV240" s="136"/>
      <c r="DW240" s="136"/>
      <c r="DX240" s="136"/>
      <c r="DY240" s="136"/>
      <c r="DZ240" s="136"/>
      <c r="EA240" s="136"/>
      <c r="EB240" s="136"/>
      <c r="EC240" s="136"/>
      <c r="ED240" s="136"/>
      <c r="EE240" s="136"/>
      <c r="EF240" s="136"/>
      <c r="EG240" s="136"/>
      <c r="EH240" s="136"/>
      <c r="EI240" s="136"/>
      <c r="EJ240" s="136"/>
      <c r="EK240" s="136"/>
      <c r="EL240" s="136"/>
      <c r="EM240" s="136"/>
      <c r="EN240" s="136"/>
      <c r="EO240" s="136"/>
      <c r="EP240" s="136"/>
      <c r="EQ240" s="136"/>
      <c r="ER240" s="136"/>
      <c r="ES240" s="136"/>
      <c r="ET240" s="136"/>
      <c r="EU240" s="136"/>
      <c r="EV240" s="136"/>
      <c r="EW240" s="136"/>
      <c r="EX240" s="136"/>
      <c r="EY240" s="136"/>
      <c r="EZ240" s="136"/>
      <c r="FA240" s="136"/>
      <c r="FB240" s="136"/>
      <c r="FC240" s="136"/>
      <c r="FD240" s="136"/>
      <c r="FE240" s="137"/>
      <c r="FF240" s="138"/>
    </row>
    <row r="241" spans="1:162" ht="12.75" x14ac:dyDescent="0.2">
      <c r="A241" s="93">
        <v>235</v>
      </c>
      <c r="B241" s="145" t="s">
        <v>348</v>
      </c>
      <c r="C241" s="141" t="s">
        <v>873</v>
      </c>
      <c r="D241" s="142" t="s">
        <v>876</v>
      </c>
      <c r="E241" s="149" t="s">
        <v>347</v>
      </c>
      <c r="F241" s="542">
        <v>112131732</v>
      </c>
      <c r="G241" s="542">
        <v>0</v>
      </c>
      <c r="H241" s="542">
        <v>112131732</v>
      </c>
      <c r="I241" s="542">
        <v>-616</v>
      </c>
      <c r="J241" s="542">
        <v>0</v>
      </c>
      <c r="K241" s="542">
        <v>-616</v>
      </c>
      <c r="L241" s="542">
        <v>553877</v>
      </c>
      <c r="M241" s="542">
        <v>0</v>
      </c>
      <c r="N241" s="542">
        <v>553877</v>
      </c>
      <c r="O241" s="542">
        <v>-746830</v>
      </c>
      <c r="P241" s="542">
        <v>0</v>
      </c>
      <c r="Q241" s="542">
        <v>-746830</v>
      </c>
      <c r="R241" s="542">
        <v>0</v>
      </c>
      <c r="S241" s="542">
        <v>0</v>
      </c>
      <c r="T241" s="542">
        <v>0</v>
      </c>
      <c r="U241" s="542">
        <v>-588822</v>
      </c>
      <c r="V241" s="542">
        <v>0</v>
      </c>
      <c r="W241" s="542">
        <v>-588822</v>
      </c>
      <c r="X241" s="542">
        <v>2461921</v>
      </c>
      <c r="Y241" s="542">
        <v>0</v>
      </c>
      <c r="Z241" s="542">
        <v>2461921</v>
      </c>
      <c r="AA241" s="542">
        <v>-7907691</v>
      </c>
      <c r="AB241" s="542">
        <v>0</v>
      </c>
      <c r="AC241" s="542">
        <v>-7907691</v>
      </c>
      <c r="AD241" s="542">
        <v>106650401</v>
      </c>
      <c r="AE241" s="542">
        <v>0</v>
      </c>
      <c r="AF241" s="542">
        <v>106650401</v>
      </c>
      <c r="AG241" s="542">
        <v>0</v>
      </c>
      <c r="AH241" s="542">
        <v>0</v>
      </c>
      <c r="AI241" s="542">
        <v>0</v>
      </c>
      <c r="AJ241" s="542">
        <v>0</v>
      </c>
      <c r="AK241" s="542">
        <v>0</v>
      </c>
      <c r="AL241" s="542">
        <v>0</v>
      </c>
      <c r="AM241" s="542">
        <v>0</v>
      </c>
      <c r="AN241" s="542">
        <v>0</v>
      </c>
      <c r="AO241" s="542">
        <v>0</v>
      </c>
      <c r="AP241" s="542">
        <v>0</v>
      </c>
      <c r="AQ241" s="542">
        <v>0</v>
      </c>
      <c r="AR241" s="542">
        <v>0</v>
      </c>
      <c r="AS241" s="542">
        <v>0</v>
      </c>
      <c r="AT241" s="542">
        <v>0</v>
      </c>
      <c r="AU241" s="542">
        <v>0</v>
      </c>
      <c r="AV241" s="542">
        <v>2284808</v>
      </c>
      <c r="AW241" s="542">
        <v>-3839306</v>
      </c>
      <c r="AX241" s="136"/>
      <c r="AY241" s="136"/>
      <c r="AZ241" s="136"/>
      <c r="BA241" s="136"/>
      <c r="BB241" s="136"/>
      <c r="BC241" s="136"/>
      <c r="BD241" s="136"/>
      <c r="BE241" s="136"/>
      <c r="BF241" s="136"/>
      <c r="BG241" s="136"/>
      <c r="BH241" s="136"/>
      <c r="BI241" s="136"/>
      <c r="BJ241" s="136"/>
      <c r="BK241" s="136"/>
      <c r="BL241" s="136"/>
      <c r="BM241" s="136"/>
      <c r="BN241" s="136"/>
      <c r="BO241" s="136"/>
      <c r="BP241" s="136"/>
      <c r="BQ241" s="136"/>
      <c r="BR241" s="136"/>
      <c r="BS241" s="136"/>
      <c r="BT241" s="136"/>
      <c r="BU241" s="136"/>
      <c r="BV241" s="136"/>
      <c r="BW241" s="136"/>
      <c r="BX241" s="136"/>
      <c r="BY241" s="136"/>
      <c r="BZ241" s="136"/>
      <c r="CA241" s="136"/>
      <c r="CB241" s="136"/>
      <c r="CC241" s="136"/>
      <c r="CD241" s="136"/>
      <c r="CE241" s="136"/>
      <c r="CF241" s="136"/>
      <c r="CG241" s="136"/>
      <c r="CH241" s="136"/>
      <c r="CI241" s="136"/>
      <c r="CJ241" s="136"/>
      <c r="CK241" s="136"/>
      <c r="CL241" s="136"/>
      <c r="CM241" s="136"/>
      <c r="CN241" s="136"/>
      <c r="CO241" s="136"/>
      <c r="CP241" s="136"/>
      <c r="CQ241" s="136"/>
      <c r="CR241" s="136"/>
      <c r="CS241" s="136"/>
      <c r="CT241" s="136"/>
      <c r="CU241" s="136"/>
      <c r="CV241" s="136"/>
      <c r="CW241" s="136"/>
      <c r="CX241" s="136"/>
      <c r="CY241" s="136"/>
      <c r="CZ241" s="136"/>
      <c r="DA241" s="136"/>
      <c r="DB241" s="136"/>
      <c r="DC241" s="136"/>
      <c r="DD241" s="136"/>
      <c r="DE241" s="136"/>
      <c r="DF241" s="136"/>
      <c r="DG241" s="136"/>
      <c r="DH241" s="136"/>
      <c r="DI241" s="136"/>
      <c r="DJ241" s="136"/>
      <c r="DK241" s="136"/>
      <c r="DL241" s="136"/>
      <c r="DM241" s="136"/>
      <c r="DN241" s="136"/>
      <c r="DO241" s="136"/>
      <c r="DP241" s="136"/>
      <c r="DQ241" s="136"/>
      <c r="DR241" s="136"/>
      <c r="DS241" s="136"/>
      <c r="DT241" s="136"/>
      <c r="DU241" s="136"/>
      <c r="DV241" s="136"/>
      <c r="DW241" s="136"/>
      <c r="DX241" s="136"/>
      <c r="DY241" s="136"/>
      <c r="DZ241" s="136"/>
      <c r="EA241" s="136"/>
      <c r="EB241" s="136"/>
      <c r="EC241" s="136"/>
      <c r="ED241" s="136"/>
      <c r="EE241" s="136"/>
      <c r="EF241" s="136"/>
      <c r="EG241" s="136"/>
      <c r="EH241" s="136"/>
      <c r="EI241" s="136"/>
      <c r="EJ241" s="136"/>
      <c r="EK241" s="136"/>
      <c r="EL241" s="136"/>
      <c r="EM241" s="136"/>
      <c r="EN241" s="136"/>
      <c r="EO241" s="136"/>
      <c r="EP241" s="136"/>
      <c r="EQ241" s="136"/>
      <c r="ER241" s="136"/>
      <c r="ES241" s="136"/>
      <c r="ET241" s="136"/>
      <c r="EU241" s="136"/>
      <c r="EV241" s="136"/>
      <c r="EW241" s="136"/>
      <c r="EX241" s="136"/>
      <c r="EY241" s="136"/>
      <c r="EZ241" s="136"/>
      <c r="FA241" s="136"/>
      <c r="FB241" s="136"/>
      <c r="FC241" s="136"/>
      <c r="FD241" s="136"/>
      <c r="FE241" s="137"/>
      <c r="FF241" s="138"/>
    </row>
    <row r="242" spans="1:162" ht="12.75" x14ac:dyDescent="0.2">
      <c r="A242" s="93">
        <v>236</v>
      </c>
      <c r="B242" s="145" t="s">
        <v>350</v>
      </c>
      <c r="C242" s="141" t="s">
        <v>866</v>
      </c>
      <c r="D242" s="142" t="s">
        <v>867</v>
      </c>
      <c r="E242" s="149" t="s">
        <v>349</v>
      </c>
      <c r="F242" s="542">
        <v>30045593</v>
      </c>
      <c r="G242" s="542">
        <v>0</v>
      </c>
      <c r="H242" s="542">
        <v>30045593</v>
      </c>
      <c r="I242" s="542">
        <v>0</v>
      </c>
      <c r="J242" s="542">
        <v>0</v>
      </c>
      <c r="K242" s="542">
        <v>0</v>
      </c>
      <c r="L242" s="542">
        <v>38013</v>
      </c>
      <c r="M242" s="542">
        <v>0</v>
      </c>
      <c r="N242" s="542">
        <v>38013</v>
      </c>
      <c r="O242" s="542">
        <v>-323503</v>
      </c>
      <c r="P242" s="542">
        <v>0</v>
      </c>
      <c r="Q242" s="542">
        <v>-323503</v>
      </c>
      <c r="R242" s="542">
        <v>0</v>
      </c>
      <c r="S242" s="542">
        <v>0</v>
      </c>
      <c r="T242" s="542">
        <v>0</v>
      </c>
      <c r="U242" s="542">
        <v>-212503</v>
      </c>
      <c r="V242" s="542">
        <v>0</v>
      </c>
      <c r="W242" s="542">
        <v>-212503</v>
      </c>
      <c r="X242" s="542">
        <v>1215088</v>
      </c>
      <c r="Y242" s="542">
        <v>0</v>
      </c>
      <c r="Z242" s="542">
        <v>1215088</v>
      </c>
      <c r="AA242" s="542">
        <v>-4000625</v>
      </c>
      <c r="AB242" s="542">
        <v>0</v>
      </c>
      <c r="AC242" s="542">
        <v>-4000625</v>
      </c>
      <c r="AD242" s="542">
        <v>27085566</v>
      </c>
      <c r="AE242" s="542">
        <v>0</v>
      </c>
      <c r="AF242" s="542">
        <v>27085566</v>
      </c>
      <c r="AG242" s="542">
        <v>0</v>
      </c>
      <c r="AH242" s="542">
        <v>0</v>
      </c>
      <c r="AI242" s="542">
        <v>0</v>
      </c>
      <c r="AJ242" s="542">
        <v>0</v>
      </c>
      <c r="AK242" s="542">
        <v>0</v>
      </c>
      <c r="AL242" s="542">
        <v>0</v>
      </c>
      <c r="AM242" s="542">
        <v>0</v>
      </c>
      <c r="AN242" s="542">
        <v>0</v>
      </c>
      <c r="AO242" s="542">
        <v>0</v>
      </c>
      <c r="AP242" s="542">
        <v>0</v>
      </c>
      <c r="AQ242" s="542">
        <v>0</v>
      </c>
      <c r="AR242" s="542">
        <v>0</v>
      </c>
      <c r="AS242" s="542">
        <v>0</v>
      </c>
      <c r="AT242" s="542">
        <v>0</v>
      </c>
      <c r="AU242" s="542">
        <v>0</v>
      </c>
      <c r="AV242" s="542">
        <v>1258023</v>
      </c>
      <c r="AW242" s="542">
        <v>-535693</v>
      </c>
      <c r="AX242" s="136"/>
      <c r="AY242" s="136"/>
      <c r="AZ242" s="136"/>
      <c r="BA242" s="136"/>
      <c r="BB242" s="136"/>
      <c r="BC242" s="136"/>
      <c r="BD242" s="136"/>
      <c r="BE242" s="136"/>
      <c r="BF242" s="136"/>
      <c r="BG242" s="136"/>
      <c r="BH242" s="136"/>
      <c r="BI242" s="136"/>
      <c r="BJ242" s="136"/>
      <c r="BK242" s="136"/>
      <c r="BL242" s="136"/>
      <c r="BM242" s="136"/>
      <c r="BN242" s="136"/>
      <c r="BO242" s="136"/>
      <c r="BP242" s="136"/>
      <c r="BQ242" s="136"/>
      <c r="BR242" s="136"/>
      <c r="BS242" s="136"/>
      <c r="BT242" s="136"/>
      <c r="BU242" s="136"/>
      <c r="BV242" s="136"/>
      <c r="BW242" s="136"/>
      <c r="BX242" s="136"/>
      <c r="BY242" s="136"/>
      <c r="BZ242" s="136"/>
      <c r="CA242" s="136"/>
      <c r="CB242" s="136"/>
      <c r="CC242" s="136"/>
      <c r="CD242" s="136"/>
      <c r="CE242" s="136"/>
      <c r="CF242" s="136"/>
      <c r="CG242" s="136"/>
      <c r="CH242" s="136"/>
      <c r="CI242" s="136"/>
      <c r="CJ242" s="136"/>
      <c r="CK242" s="136"/>
      <c r="CL242" s="136"/>
      <c r="CM242" s="136"/>
      <c r="CN242" s="136"/>
      <c r="CO242" s="136"/>
      <c r="CP242" s="136"/>
      <c r="CQ242" s="136"/>
      <c r="CR242" s="136"/>
      <c r="CS242" s="136"/>
      <c r="CT242" s="136"/>
      <c r="CU242" s="136"/>
      <c r="CV242" s="136"/>
      <c r="CW242" s="136"/>
      <c r="CX242" s="136"/>
      <c r="CY242" s="136"/>
      <c r="CZ242" s="136"/>
      <c r="DA242" s="136"/>
      <c r="DB242" s="136"/>
      <c r="DC242" s="136"/>
      <c r="DD242" s="136"/>
      <c r="DE242" s="136"/>
      <c r="DF242" s="136"/>
      <c r="DG242" s="136"/>
      <c r="DH242" s="136"/>
      <c r="DI242" s="136"/>
      <c r="DJ242" s="136"/>
      <c r="DK242" s="136"/>
      <c r="DL242" s="136"/>
      <c r="DM242" s="136"/>
      <c r="DN242" s="136"/>
      <c r="DO242" s="136"/>
      <c r="DP242" s="136"/>
      <c r="DQ242" s="136"/>
      <c r="DR242" s="136"/>
      <c r="DS242" s="136"/>
      <c r="DT242" s="136"/>
      <c r="DU242" s="136"/>
      <c r="DV242" s="136"/>
      <c r="DW242" s="136"/>
      <c r="DX242" s="136"/>
      <c r="DY242" s="136"/>
      <c r="DZ242" s="136"/>
      <c r="EA242" s="136"/>
      <c r="EB242" s="136"/>
      <c r="EC242" s="136"/>
      <c r="ED242" s="136"/>
      <c r="EE242" s="136"/>
      <c r="EF242" s="136"/>
      <c r="EG242" s="136"/>
      <c r="EH242" s="136"/>
      <c r="EI242" s="136"/>
      <c r="EJ242" s="136"/>
      <c r="EK242" s="136"/>
      <c r="EL242" s="136"/>
      <c r="EM242" s="136"/>
      <c r="EN242" s="136"/>
      <c r="EO242" s="136"/>
      <c r="EP242" s="136"/>
      <c r="EQ242" s="136"/>
      <c r="ER242" s="136"/>
      <c r="ES242" s="136"/>
      <c r="ET242" s="136"/>
      <c r="EU242" s="136"/>
      <c r="EV242" s="136"/>
      <c r="EW242" s="136"/>
      <c r="EX242" s="136"/>
      <c r="EY242" s="136"/>
      <c r="EZ242" s="136"/>
      <c r="FA242" s="136"/>
      <c r="FB242" s="136"/>
      <c r="FC242" s="136"/>
      <c r="FD242" s="136"/>
      <c r="FE242" s="137"/>
      <c r="FF242" s="138"/>
    </row>
    <row r="243" spans="1:162" ht="12.75" x14ac:dyDescent="0.2">
      <c r="A243" s="93">
        <v>237</v>
      </c>
      <c r="B243" s="145" t="s">
        <v>352</v>
      </c>
      <c r="C243" s="141" t="s">
        <v>866</v>
      </c>
      <c r="D243" s="142" t="s">
        <v>870</v>
      </c>
      <c r="E243" s="149" t="s">
        <v>351</v>
      </c>
      <c r="F243" s="542">
        <v>68075368</v>
      </c>
      <c r="G243" s="542">
        <v>0</v>
      </c>
      <c r="H243" s="542">
        <v>68075368</v>
      </c>
      <c r="I243" s="542">
        <v>-3304</v>
      </c>
      <c r="J243" s="542">
        <v>0</v>
      </c>
      <c r="K243" s="542">
        <v>-3304</v>
      </c>
      <c r="L243" s="542">
        <v>23184</v>
      </c>
      <c r="M243" s="542">
        <v>0</v>
      </c>
      <c r="N243" s="542">
        <v>23184</v>
      </c>
      <c r="O243" s="542">
        <v>-357985</v>
      </c>
      <c r="P243" s="542">
        <v>0</v>
      </c>
      <c r="Q243" s="542">
        <v>-357985</v>
      </c>
      <c r="R243" s="542">
        <v>0</v>
      </c>
      <c r="S243" s="542">
        <v>0</v>
      </c>
      <c r="T243" s="542">
        <v>0</v>
      </c>
      <c r="U243" s="542">
        <v>-279515</v>
      </c>
      <c r="V243" s="542">
        <v>0</v>
      </c>
      <c r="W243" s="542">
        <v>-279515</v>
      </c>
      <c r="X243" s="542">
        <v>3200180</v>
      </c>
      <c r="Y243" s="542">
        <v>0</v>
      </c>
      <c r="Z243" s="542">
        <v>3200180</v>
      </c>
      <c r="AA243" s="542">
        <v>-3357869</v>
      </c>
      <c r="AB243" s="542">
        <v>0</v>
      </c>
      <c r="AC243" s="542">
        <v>-3357869</v>
      </c>
      <c r="AD243" s="542">
        <v>67658044</v>
      </c>
      <c r="AE243" s="542">
        <v>0</v>
      </c>
      <c r="AF243" s="542">
        <v>67658044</v>
      </c>
      <c r="AG243" s="542">
        <v>0</v>
      </c>
      <c r="AH243" s="542">
        <v>0</v>
      </c>
      <c r="AI243" s="542">
        <v>0</v>
      </c>
      <c r="AJ243" s="542">
        <v>0</v>
      </c>
      <c r="AK243" s="542">
        <v>0</v>
      </c>
      <c r="AL243" s="542">
        <v>0</v>
      </c>
      <c r="AM243" s="542">
        <v>0</v>
      </c>
      <c r="AN243" s="542">
        <v>0</v>
      </c>
      <c r="AO243" s="542">
        <v>0</v>
      </c>
      <c r="AP243" s="542">
        <v>0</v>
      </c>
      <c r="AQ243" s="542">
        <v>0</v>
      </c>
      <c r="AR243" s="542">
        <v>0</v>
      </c>
      <c r="AS243" s="542">
        <v>0</v>
      </c>
      <c r="AT243" s="542">
        <v>0</v>
      </c>
      <c r="AU243" s="542">
        <v>0</v>
      </c>
      <c r="AV243" s="542">
        <v>500777</v>
      </c>
      <c r="AW243" s="542">
        <v>-949531</v>
      </c>
      <c r="AX243" s="136"/>
      <c r="AY243" s="136"/>
      <c r="AZ243" s="136"/>
      <c r="BA243" s="136"/>
      <c r="BB243" s="136"/>
      <c r="BC243" s="136"/>
      <c r="BD243" s="136"/>
      <c r="BE243" s="136"/>
      <c r="BF243" s="136"/>
      <c r="BG243" s="136"/>
      <c r="BH243" s="136"/>
      <c r="BI243" s="136"/>
      <c r="BJ243" s="136"/>
      <c r="BK243" s="136"/>
      <c r="BL243" s="136"/>
      <c r="BM243" s="136"/>
      <c r="BN243" s="136"/>
      <c r="BO243" s="136"/>
      <c r="BP243" s="136"/>
      <c r="BQ243" s="136"/>
      <c r="BR243" s="136"/>
      <c r="BS243" s="136"/>
      <c r="BT243" s="136"/>
      <c r="BU243" s="136"/>
      <c r="BV243" s="136"/>
      <c r="BW243" s="136"/>
      <c r="BX243" s="136"/>
      <c r="BY243" s="136"/>
      <c r="BZ243" s="136"/>
      <c r="CA243" s="136"/>
      <c r="CB243" s="136"/>
      <c r="CC243" s="136"/>
      <c r="CD243" s="136"/>
      <c r="CE243" s="136"/>
      <c r="CF243" s="136"/>
      <c r="CG243" s="136"/>
      <c r="CH243" s="136"/>
      <c r="CI243" s="136"/>
      <c r="CJ243" s="136"/>
      <c r="CK243" s="136"/>
      <c r="CL243" s="136"/>
      <c r="CM243" s="136"/>
      <c r="CN243" s="136"/>
      <c r="CO243" s="136"/>
      <c r="CP243" s="136"/>
      <c r="CQ243" s="136"/>
      <c r="CR243" s="136"/>
      <c r="CS243" s="136"/>
      <c r="CT243" s="136"/>
      <c r="CU243" s="136"/>
      <c r="CV243" s="136"/>
      <c r="CW243" s="136"/>
      <c r="CX243" s="136"/>
      <c r="CY243" s="136"/>
      <c r="CZ243" s="136"/>
      <c r="DA243" s="136"/>
      <c r="DB243" s="136"/>
      <c r="DC243" s="136"/>
      <c r="DD243" s="136"/>
      <c r="DE243" s="136"/>
      <c r="DF243" s="136"/>
      <c r="DG243" s="136"/>
      <c r="DH243" s="136"/>
      <c r="DI243" s="136"/>
      <c r="DJ243" s="136"/>
      <c r="DK243" s="136"/>
      <c r="DL243" s="136"/>
      <c r="DM243" s="136"/>
      <c r="DN243" s="136"/>
      <c r="DO243" s="136"/>
      <c r="DP243" s="136"/>
      <c r="DQ243" s="136"/>
      <c r="DR243" s="136"/>
      <c r="DS243" s="136"/>
      <c r="DT243" s="136"/>
      <c r="DU243" s="136"/>
      <c r="DV243" s="136"/>
      <c r="DW243" s="136"/>
      <c r="DX243" s="136"/>
      <c r="DY243" s="136"/>
      <c r="DZ243" s="136"/>
      <c r="EA243" s="136"/>
      <c r="EB243" s="136"/>
      <c r="EC243" s="136"/>
      <c r="ED243" s="136"/>
      <c r="EE243" s="136"/>
      <c r="EF243" s="136"/>
      <c r="EG243" s="136"/>
      <c r="EH243" s="136"/>
      <c r="EI243" s="136"/>
      <c r="EJ243" s="136"/>
      <c r="EK243" s="136"/>
      <c r="EL243" s="136"/>
      <c r="EM243" s="136"/>
      <c r="EN243" s="136"/>
      <c r="EO243" s="136"/>
      <c r="EP243" s="136"/>
      <c r="EQ243" s="136"/>
      <c r="ER243" s="136"/>
      <c r="ES243" s="136"/>
      <c r="ET243" s="136"/>
      <c r="EU243" s="136"/>
      <c r="EV243" s="136"/>
      <c r="EW243" s="136"/>
      <c r="EX243" s="136"/>
      <c r="EY243" s="136"/>
      <c r="EZ243" s="136"/>
      <c r="FA243" s="136"/>
      <c r="FB243" s="136"/>
      <c r="FC243" s="136"/>
      <c r="FD243" s="136"/>
      <c r="FE243" s="137"/>
      <c r="FF243" s="138"/>
    </row>
    <row r="244" spans="1:162" ht="12.75" x14ac:dyDescent="0.2">
      <c r="A244" s="93">
        <v>238</v>
      </c>
      <c r="B244" s="145" t="s">
        <v>354</v>
      </c>
      <c r="C244" s="141" t="s">
        <v>866</v>
      </c>
      <c r="D244" s="142" t="s">
        <v>869</v>
      </c>
      <c r="E244" s="149" t="s">
        <v>353</v>
      </c>
      <c r="F244" s="542">
        <v>22737185</v>
      </c>
      <c r="G244" s="542">
        <v>0</v>
      </c>
      <c r="H244" s="542">
        <v>22737185</v>
      </c>
      <c r="I244" s="542">
        <v>-191</v>
      </c>
      <c r="J244" s="542">
        <v>0</v>
      </c>
      <c r="K244" s="542">
        <v>-191</v>
      </c>
      <c r="L244" s="542">
        <v>45475</v>
      </c>
      <c r="M244" s="542">
        <v>0</v>
      </c>
      <c r="N244" s="542">
        <v>45475</v>
      </c>
      <c r="O244" s="542">
        <v>-107376</v>
      </c>
      <c r="P244" s="542">
        <v>0</v>
      </c>
      <c r="Q244" s="542">
        <v>-107376</v>
      </c>
      <c r="R244" s="542">
        <v>0</v>
      </c>
      <c r="S244" s="542">
        <v>0</v>
      </c>
      <c r="T244" s="542">
        <v>0</v>
      </c>
      <c r="U244" s="542">
        <v>-64452</v>
      </c>
      <c r="V244" s="542">
        <v>0</v>
      </c>
      <c r="W244" s="542">
        <v>-64452</v>
      </c>
      <c r="X244" s="542">
        <v>295824</v>
      </c>
      <c r="Y244" s="542">
        <v>0</v>
      </c>
      <c r="Z244" s="542">
        <v>295824</v>
      </c>
      <c r="AA244" s="542">
        <v>-350004</v>
      </c>
      <c r="AB244" s="542">
        <v>0</v>
      </c>
      <c r="AC244" s="542">
        <v>-350004</v>
      </c>
      <c r="AD244" s="542">
        <v>22663837</v>
      </c>
      <c r="AE244" s="542">
        <v>0</v>
      </c>
      <c r="AF244" s="542">
        <v>22663837</v>
      </c>
      <c r="AG244" s="542">
        <v>0</v>
      </c>
      <c r="AH244" s="542">
        <v>0</v>
      </c>
      <c r="AI244" s="542">
        <v>0</v>
      </c>
      <c r="AJ244" s="542">
        <v>0</v>
      </c>
      <c r="AK244" s="542">
        <v>0</v>
      </c>
      <c r="AL244" s="542">
        <v>0</v>
      </c>
      <c r="AM244" s="542">
        <v>0</v>
      </c>
      <c r="AN244" s="542">
        <v>0</v>
      </c>
      <c r="AO244" s="542">
        <v>0</v>
      </c>
      <c r="AP244" s="542">
        <v>0</v>
      </c>
      <c r="AQ244" s="542">
        <v>0</v>
      </c>
      <c r="AR244" s="542">
        <v>0</v>
      </c>
      <c r="AS244" s="542">
        <v>0</v>
      </c>
      <c r="AT244" s="542">
        <v>0</v>
      </c>
      <c r="AU244" s="542">
        <v>0</v>
      </c>
      <c r="AV244" s="542">
        <v>1867184</v>
      </c>
      <c r="AW244" s="542">
        <v>-506607</v>
      </c>
      <c r="AX244" s="136"/>
      <c r="AY244" s="136"/>
      <c r="AZ244" s="136"/>
      <c r="BA244" s="136"/>
      <c r="BB244" s="136"/>
      <c r="BC244" s="136"/>
      <c r="BD244" s="136"/>
      <c r="BE244" s="136"/>
      <c r="BF244" s="136"/>
      <c r="BG244" s="136"/>
      <c r="BH244" s="136"/>
      <c r="BI244" s="136"/>
      <c r="BJ244" s="136"/>
      <c r="BK244" s="136"/>
      <c r="BL244" s="136"/>
      <c r="BM244" s="136"/>
      <c r="BN244" s="136"/>
      <c r="BO244" s="136"/>
      <c r="BP244" s="136"/>
      <c r="BQ244" s="136"/>
      <c r="BR244" s="136"/>
      <c r="BS244" s="136"/>
      <c r="BT244" s="136"/>
      <c r="BU244" s="136"/>
      <c r="BV244" s="136"/>
      <c r="BW244" s="136"/>
      <c r="BX244" s="136"/>
      <c r="BY244" s="136"/>
      <c r="BZ244" s="136"/>
      <c r="CA244" s="136"/>
      <c r="CB244" s="136"/>
      <c r="CC244" s="136"/>
      <c r="CD244" s="136"/>
      <c r="CE244" s="136"/>
      <c r="CF244" s="136"/>
      <c r="CG244" s="136"/>
      <c r="CH244" s="136"/>
      <c r="CI244" s="136"/>
      <c r="CJ244" s="136"/>
      <c r="CK244" s="136"/>
      <c r="CL244" s="136"/>
      <c r="CM244" s="136"/>
      <c r="CN244" s="136"/>
      <c r="CO244" s="136"/>
      <c r="CP244" s="136"/>
      <c r="CQ244" s="136"/>
      <c r="CR244" s="136"/>
      <c r="CS244" s="136"/>
      <c r="CT244" s="136"/>
      <c r="CU244" s="136"/>
      <c r="CV244" s="136"/>
      <c r="CW244" s="136"/>
      <c r="CX244" s="136"/>
      <c r="CY244" s="136"/>
      <c r="CZ244" s="136"/>
      <c r="DA244" s="136"/>
      <c r="DB244" s="136"/>
      <c r="DC244" s="136"/>
      <c r="DD244" s="136"/>
      <c r="DE244" s="136"/>
      <c r="DF244" s="136"/>
      <c r="DG244" s="136"/>
      <c r="DH244" s="136"/>
      <c r="DI244" s="136"/>
      <c r="DJ244" s="136"/>
      <c r="DK244" s="136"/>
      <c r="DL244" s="136"/>
      <c r="DM244" s="136"/>
      <c r="DN244" s="136"/>
      <c r="DO244" s="136"/>
      <c r="DP244" s="136"/>
      <c r="DQ244" s="136"/>
      <c r="DR244" s="136"/>
      <c r="DS244" s="136"/>
      <c r="DT244" s="136"/>
      <c r="DU244" s="136"/>
      <c r="DV244" s="136"/>
      <c r="DW244" s="136"/>
      <c r="DX244" s="136"/>
      <c r="DY244" s="136"/>
      <c r="DZ244" s="136"/>
      <c r="EA244" s="136"/>
      <c r="EB244" s="136"/>
      <c r="EC244" s="136"/>
      <c r="ED244" s="136"/>
      <c r="EE244" s="136"/>
      <c r="EF244" s="136"/>
      <c r="EG244" s="136"/>
      <c r="EH244" s="136"/>
      <c r="EI244" s="136"/>
      <c r="EJ244" s="136"/>
      <c r="EK244" s="136"/>
      <c r="EL244" s="136"/>
      <c r="EM244" s="136"/>
      <c r="EN244" s="136"/>
      <c r="EO244" s="136"/>
      <c r="EP244" s="136"/>
      <c r="EQ244" s="136"/>
      <c r="ER244" s="136"/>
      <c r="ES244" s="136"/>
      <c r="ET244" s="136"/>
      <c r="EU244" s="136"/>
      <c r="EV244" s="136"/>
      <c r="EW244" s="136"/>
      <c r="EX244" s="136"/>
      <c r="EY244" s="136"/>
      <c r="EZ244" s="136"/>
      <c r="FA244" s="136"/>
      <c r="FB244" s="136"/>
      <c r="FC244" s="136"/>
      <c r="FD244" s="136"/>
      <c r="FE244" s="137"/>
      <c r="FF244" s="138"/>
    </row>
    <row r="245" spans="1:162" ht="12.75" x14ac:dyDescent="0.2">
      <c r="A245" s="93">
        <v>239</v>
      </c>
      <c r="B245" s="145" t="s">
        <v>356</v>
      </c>
      <c r="C245" s="141" t="s">
        <v>770</v>
      </c>
      <c r="D245" s="142" t="s">
        <v>875</v>
      </c>
      <c r="E245" s="149" t="s">
        <v>724</v>
      </c>
      <c r="F245" s="542">
        <v>128395015</v>
      </c>
      <c r="G245" s="542">
        <v>3660109</v>
      </c>
      <c r="H245" s="542">
        <v>132055124</v>
      </c>
      <c r="I245" s="542">
        <v>-136363</v>
      </c>
      <c r="J245" s="542">
        <v>0</v>
      </c>
      <c r="K245" s="542">
        <v>-136363</v>
      </c>
      <c r="L245" s="542">
        <v>395598</v>
      </c>
      <c r="M245" s="542">
        <v>0</v>
      </c>
      <c r="N245" s="542">
        <v>395598</v>
      </c>
      <c r="O245" s="542">
        <v>-210363</v>
      </c>
      <c r="P245" s="542">
        <v>0</v>
      </c>
      <c r="Q245" s="542">
        <v>-210363</v>
      </c>
      <c r="R245" s="542">
        <v>0</v>
      </c>
      <c r="S245" s="542">
        <v>0</v>
      </c>
      <c r="T245" s="542">
        <v>0</v>
      </c>
      <c r="U245" s="542">
        <v>-347000</v>
      </c>
      <c r="V245" s="542">
        <v>0</v>
      </c>
      <c r="W245" s="542">
        <v>-347000</v>
      </c>
      <c r="X245" s="542">
        <v>4004407</v>
      </c>
      <c r="Y245" s="542">
        <v>0</v>
      </c>
      <c r="Z245" s="542">
        <v>4004407</v>
      </c>
      <c r="AA245" s="542">
        <v>-10599170</v>
      </c>
      <c r="AB245" s="542">
        <v>0</v>
      </c>
      <c r="AC245" s="542">
        <v>-10599170</v>
      </c>
      <c r="AD245" s="542">
        <v>121712487</v>
      </c>
      <c r="AE245" s="542">
        <v>3660109</v>
      </c>
      <c r="AF245" s="542">
        <v>125372596</v>
      </c>
      <c r="AG245" s="542">
        <v>3660109</v>
      </c>
      <c r="AH245" s="542">
        <v>0</v>
      </c>
      <c r="AI245" s="542">
        <v>3660109</v>
      </c>
      <c r="AJ245" s="542">
        <v>72977</v>
      </c>
      <c r="AK245" s="542">
        <v>0</v>
      </c>
      <c r="AL245" s="542">
        <v>0</v>
      </c>
      <c r="AM245" s="542">
        <v>72977</v>
      </c>
      <c r="AN245" s="542">
        <v>0</v>
      </c>
      <c r="AO245" s="542">
        <v>0</v>
      </c>
      <c r="AP245" s="542">
        <v>0</v>
      </c>
      <c r="AQ245" s="542">
        <v>628624</v>
      </c>
      <c r="AR245" s="542">
        <v>0</v>
      </c>
      <c r="AS245" s="542">
        <v>3031485</v>
      </c>
      <c r="AT245" s="542">
        <v>0</v>
      </c>
      <c r="AU245" s="542">
        <v>3031485</v>
      </c>
      <c r="AV245" s="542">
        <v>3060762</v>
      </c>
      <c r="AW245" s="542">
        <v>-3164993</v>
      </c>
      <c r="AX245" s="136"/>
      <c r="AY245" s="136"/>
      <c r="AZ245" s="136"/>
      <c r="BA245" s="136"/>
      <c r="BB245" s="136"/>
      <c r="BC245" s="136"/>
      <c r="BD245" s="136"/>
      <c r="BE245" s="136"/>
      <c r="BF245" s="136"/>
      <c r="BG245" s="136"/>
      <c r="BH245" s="136"/>
      <c r="BI245" s="136"/>
      <c r="BJ245" s="136"/>
      <c r="BK245" s="136"/>
      <c r="BL245" s="136"/>
      <c r="BM245" s="136"/>
      <c r="BN245" s="136"/>
      <c r="BO245" s="136"/>
      <c r="BP245" s="136"/>
      <c r="BQ245" s="136"/>
      <c r="BR245" s="136"/>
      <c r="BS245" s="136"/>
      <c r="BT245" s="136"/>
      <c r="BU245" s="136"/>
      <c r="BV245" s="136"/>
      <c r="BW245" s="136"/>
      <c r="BX245" s="136"/>
      <c r="BY245" s="136"/>
      <c r="BZ245" s="136"/>
      <c r="CA245" s="136"/>
      <c r="CB245" s="136"/>
      <c r="CC245" s="136"/>
      <c r="CD245" s="136"/>
      <c r="CE245" s="136"/>
      <c r="CF245" s="136"/>
      <c r="CG245" s="136"/>
      <c r="CH245" s="136"/>
      <c r="CI245" s="136"/>
      <c r="CJ245" s="136"/>
      <c r="CK245" s="136"/>
      <c r="CL245" s="136"/>
      <c r="CM245" s="136"/>
      <c r="CN245" s="136"/>
      <c r="CO245" s="136"/>
      <c r="CP245" s="136"/>
      <c r="CQ245" s="136"/>
      <c r="CR245" s="136"/>
      <c r="CS245" s="136"/>
      <c r="CT245" s="136"/>
      <c r="CU245" s="136"/>
      <c r="CV245" s="136"/>
      <c r="CW245" s="136"/>
      <c r="CX245" s="136"/>
      <c r="CY245" s="136"/>
      <c r="CZ245" s="136"/>
      <c r="DA245" s="136"/>
      <c r="DB245" s="136"/>
      <c r="DC245" s="136"/>
      <c r="DD245" s="136"/>
      <c r="DE245" s="136"/>
      <c r="DF245" s="136"/>
      <c r="DG245" s="136"/>
      <c r="DH245" s="136"/>
      <c r="DI245" s="136"/>
      <c r="DJ245" s="136"/>
      <c r="DK245" s="136"/>
      <c r="DL245" s="136"/>
      <c r="DM245" s="136"/>
      <c r="DN245" s="136"/>
      <c r="DO245" s="136"/>
      <c r="DP245" s="136"/>
      <c r="DQ245" s="136"/>
      <c r="DR245" s="136"/>
      <c r="DS245" s="136"/>
      <c r="DT245" s="136"/>
      <c r="DU245" s="136"/>
      <c r="DV245" s="136"/>
      <c r="DW245" s="136"/>
      <c r="DX245" s="136"/>
      <c r="DY245" s="136"/>
      <c r="DZ245" s="136"/>
      <c r="EA245" s="136"/>
      <c r="EB245" s="136"/>
      <c r="EC245" s="136"/>
      <c r="ED245" s="136"/>
      <c r="EE245" s="136"/>
      <c r="EF245" s="136"/>
      <c r="EG245" s="136"/>
      <c r="EH245" s="136"/>
      <c r="EI245" s="136"/>
      <c r="EJ245" s="136"/>
      <c r="EK245" s="136"/>
      <c r="EL245" s="136"/>
      <c r="EM245" s="136"/>
      <c r="EN245" s="136"/>
      <c r="EO245" s="136"/>
      <c r="EP245" s="136"/>
      <c r="EQ245" s="136"/>
      <c r="ER245" s="136"/>
      <c r="ES245" s="136"/>
      <c r="ET245" s="136"/>
      <c r="EU245" s="136"/>
      <c r="EV245" s="136"/>
      <c r="EW245" s="136"/>
      <c r="EX245" s="136"/>
      <c r="EY245" s="136"/>
      <c r="EZ245" s="136"/>
      <c r="FA245" s="136"/>
      <c r="FB245" s="136"/>
      <c r="FC245" s="136"/>
      <c r="FD245" s="136"/>
      <c r="FE245" s="137"/>
      <c r="FF245" s="138"/>
    </row>
    <row r="246" spans="1:162" ht="12.75" x14ac:dyDescent="0.2">
      <c r="A246" s="93">
        <v>240</v>
      </c>
      <c r="B246" s="145" t="s">
        <v>358</v>
      </c>
      <c r="C246" s="141" t="s">
        <v>866</v>
      </c>
      <c r="D246" s="142" t="s">
        <v>875</v>
      </c>
      <c r="E246" s="149" t="s">
        <v>357</v>
      </c>
      <c r="F246" s="542">
        <v>28750777</v>
      </c>
      <c r="G246" s="542">
        <v>0</v>
      </c>
      <c r="H246" s="542">
        <v>28750777</v>
      </c>
      <c r="I246" s="542">
        <v>0</v>
      </c>
      <c r="J246" s="542">
        <v>0</v>
      </c>
      <c r="K246" s="542">
        <v>0</v>
      </c>
      <c r="L246" s="542">
        <v>105787</v>
      </c>
      <c r="M246" s="542">
        <v>0</v>
      </c>
      <c r="N246" s="542">
        <v>105787</v>
      </c>
      <c r="O246" s="542">
        <v>-175352</v>
      </c>
      <c r="P246" s="542">
        <v>0</v>
      </c>
      <c r="Q246" s="542">
        <v>-175352</v>
      </c>
      <c r="R246" s="542">
        <v>0</v>
      </c>
      <c r="S246" s="542">
        <v>0</v>
      </c>
      <c r="T246" s="542">
        <v>0</v>
      </c>
      <c r="U246" s="542">
        <v>-281092</v>
      </c>
      <c r="V246" s="542">
        <v>0</v>
      </c>
      <c r="W246" s="542">
        <v>-281092</v>
      </c>
      <c r="X246" s="542">
        <v>362927</v>
      </c>
      <c r="Y246" s="542">
        <v>0</v>
      </c>
      <c r="Z246" s="542">
        <v>362927</v>
      </c>
      <c r="AA246" s="542">
        <v>-836318</v>
      </c>
      <c r="AB246" s="542">
        <v>0</v>
      </c>
      <c r="AC246" s="542">
        <v>-836318</v>
      </c>
      <c r="AD246" s="542">
        <v>28102081</v>
      </c>
      <c r="AE246" s="542">
        <v>0</v>
      </c>
      <c r="AF246" s="542">
        <v>28102081</v>
      </c>
      <c r="AG246" s="542">
        <v>0</v>
      </c>
      <c r="AH246" s="542">
        <v>0</v>
      </c>
      <c r="AI246" s="542">
        <v>0</v>
      </c>
      <c r="AJ246" s="542">
        <v>0</v>
      </c>
      <c r="AK246" s="542">
        <v>0</v>
      </c>
      <c r="AL246" s="542">
        <v>0</v>
      </c>
      <c r="AM246" s="542">
        <v>0</v>
      </c>
      <c r="AN246" s="542">
        <v>0</v>
      </c>
      <c r="AO246" s="542">
        <v>0</v>
      </c>
      <c r="AP246" s="542">
        <v>0</v>
      </c>
      <c r="AQ246" s="542">
        <v>0</v>
      </c>
      <c r="AR246" s="542">
        <v>0</v>
      </c>
      <c r="AS246" s="542">
        <v>0</v>
      </c>
      <c r="AT246" s="542">
        <v>0</v>
      </c>
      <c r="AU246" s="542">
        <v>0</v>
      </c>
      <c r="AV246" s="542">
        <v>1663925</v>
      </c>
      <c r="AW246" s="542">
        <v>-648618</v>
      </c>
      <c r="AX246" s="136"/>
      <c r="AY246" s="136"/>
      <c r="AZ246" s="136"/>
      <c r="BA246" s="136"/>
      <c r="BB246" s="136"/>
      <c r="BC246" s="136"/>
      <c r="BD246" s="136"/>
      <c r="BE246" s="136"/>
      <c r="BF246" s="136"/>
      <c r="BG246" s="136"/>
      <c r="BH246" s="136"/>
      <c r="BI246" s="136"/>
      <c r="BJ246" s="136"/>
      <c r="BK246" s="136"/>
      <c r="BL246" s="136"/>
      <c r="BM246" s="136"/>
      <c r="BN246" s="136"/>
      <c r="BO246" s="136"/>
      <c r="BP246" s="136"/>
      <c r="BQ246" s="136"/>
      <c r="BR246" s="136"/>
      <c r="BS246" s="136"/>
      <c r="BT246" s="136"/>
      <c r="BU246" s="136"/>
      <c r="BV246" s="136"/>
      <c r="BW246" s="136"/>
      <c r="BX246" s="136"/>
      <c r="BY246" s="136"/>
      <c r="BZ246" s="136"/>
      <c r="CA246" s="136"/>
      <c r="CB246" s="136"/>
      <c r="CC246" s="136"/>
      <c r="CD246" s="136"/>
      <c r="CE246" s="136"/>
      <c r="CF246" s="136"/>
      <c r="CG246" s="136"/>
      <c r="CH246" s="136"/>
      <c r="CI246" s="136"/>
      <c r="CJ246" s="136"/>
      <c r="CK246" s="136"/>
      <c r="CL246" s="136"/>
      <c r="CM246" s="136"/>
      <c r="CN246" s="136"/>
      <c r="CO246" s="136"/>
      <c r="CP246" s="136"/>
      <c r="CQ246" s="136"/>
      <c r="CR246" s="136"/>
      <c r="CS246" s="136"/>
      <c r="CT246" s="136"/>
      <c r="CU246" s="136"/>
      <c r="CV246" s="136"/>
      <c r="CW246" s="136"/>
      <c r="CX246" s="136"/>
      <c r="CY246" s="136"/>
      <c r="CZ246" s="136"/>
      <c r="DA246" s="136"/>
      <c r="DB246" s="136"/>
      <c r="DC246" s="136"/>
      <c r="DD246" s="136"/>
      <c r="DE246" s="136"/>
      <c r="DF246" s="136"/>
      <c r="DG246" s="136"/>
      <c r="DH246" s="136"/>
      <c r="DI246" s="136"/>
      <c r="DJ246" s="136"/>
      <c r="DK246" s="136"/>
      <c r="DL246" s="136"/>
      <c r="DM246" s="136"/>
      <c r="DN246" s="136"/>
      <c r="DO246" s="136"/>
      <c r="DP246" s="136"/>
      <c r="DQ246" s="136"/>
      <c r="DR246" s="136"/>
      <c r="DS246" s="136"/>
      <c r="DT246" s="136"/>
      <c r="DU246" s="136"/>
      <c r="DV246" s="136"/>
      <c r="DW246" s="136"/>
      <c r="DX246" s="136"/>
      <c r="DY246" s="136"/>
      <c r="DZ246" s="136"/>
      <c r="EA246" s="136"/>
      <c r="EB246" s="136"/>
      <c r="EC246" s="136"/>
      <c r="ED246" s="136"/>
      <c r="EE246" s="136"/>
      <c r="EF246" s="136"/>
      <c r="EG246" s="136"/>
      <c r="EH246" s="136"/>
      <c r="EI246" s="136"/>
      <c r="EJ246" s="136"/>
      <c r="EK246" s="136"/>
      <c r="EL246" s="136"/>
      <c r="EM246" s="136"/>
      <c r="EN246" s="136"/>
      <c r="EO246" s="136"/>
      <c r="EP246" s="136"/>
      <c r="EQ246" s="136"/>
      <c r="ER246" s="136"/>
      <c r="ES246" s="136"/>
      <c r="ET246" s="136"/>
      <c r="EU246" s="136"/>
      <c r="EV246" s="136"/>
      <c r="EW246" s="136"/>
      <c r="EX246" s="136"/>
      <c r="EY246" s="136"/>
      <c r="EZ246" s="136"/>
      <c r="FA246" s="136"/>
      <c r="FB246" s="136"/>
      <c r="FC246" s="136"/>
      <c r="FD246" s="136"/>
      <c r="FE246" s="137"/>
      <c r="FF246" s="138"/>
    </row>
    <row r="247" spans="1:162" ht="12.75" x14ac:dyDescent="0.2">
      <c r="A247" s="93">
        <v>241</v>
      </c>
      <c r="B247" s="145" t="s">
        <v>360</v>
      </c>
      <c r="C247" s="141" t="s">
        <v>866</v>
      </c>
      <c r="D247" s="142" t="s">
        <v>869</v>
      </c>
      <c r="E247" s="149" t="s">
        <v>359</v>
      </c>
      <c r="F247" s="542">
        <v>26201936</v>
      </c>
      <c r="G247" s="542">
        <v>0</v>
      </c>
      <c r="H247" s="542">
        <v>26201936</v>
      </c>
      <c r="I247" s="542">
        <v>-210</v>
      </c>
      <c r="J247" s="542">
        <v>0</v>
      </c>
      <c r="K247" s="542">
        <v>-210</v>
      </c>
      <c r="L247" s="542">
        <v>66107</v>
      </c>
      <c r="M247" s="542">
        <v>0</v>
      </c>
      <c r="N247" s="542">
        <v>66107</v>
      </c>
      <c r="O247" s="542">
        <v>-66785</v>
      </c>
      <c r="P247" s="542">
        <v>0</v>
      </c>
      <c r="Q247" s="542">
        <v>-66785</v>
      </c>
      <c r="R247" s="542">
        <v>0</v>
      </c>
      <c r="S247" s="542">
        <v>0</v>
      </c>
      <c r="T247" s="542">
        <v>0</v>
      </c>
      <c r="U247" s="542">
        <v>-126784</v>
      </c>
      <c r="V247" s="542">
        <v>0</v>
      </c>
      <c r="W247" s="542">
        <v>-126784</v>
      </c>
      <c r="X247" s="542">
        <v>101730</v>
      </c>
      <c r="Y247" s="542">
        <v>0</v>
      </c>
      <c r="Z247" s="542">
        <v>101730</v>
      </c>
      <c r="AA247" s="542">
        <v>-1833182</v>
      </c>
      <c r="AB247" s="542">
        <v>0</v>
      </c>
      <c r="AC247" s="542">
        <v>-1833182</v>
      </c>
      <c r="AD247" s="542">
        <v>24409597</v>
      </c>
      <c r="AE247" s="542">
        <v>0</v>
      </c>
      <c r="AF247" s="542">
        <v>24409597</v>
      </c>
      <c r="AG247" s="542">
        <v>0</v>
      </c>
      <c r="AH247" s="542">
        <v>0</v>
      </c>
      <c r="AI247" s="542">
        <v>0</v>
      </c>
      <c r="AJ247" s="542">
        <v>207260</v>
      </c>
      <c r="AK247" s="542">
        <v>0</v>
      </c>
      <c r="AL247" s="542">
        <v>0</v>
      </c>
      <c r="AM247" s="542">
        <v>207260</v>
      </c>
      <c r="AN247" s="542">
        <v>0</v>
      </c>
      <c r="AO247" s="542">
        <v>0</v>
      </c>
      <c r="AP247" s="542">
        <v>0</v>
      </c>
      <c r="AQ247" s="542">
        <v>0</v>
      </c>
      <c r="AR247" s="542">
        <v>0</v>
      </c>
      <c r="AS247" s="542">
        <v>0</v>
      </c>
      <c r="AT247" s="542">
        <v>0</v>
      </c>
      <c r="AU247" s="542">
        <v>0</v>
      </c>
      <c r="AV247" s="542">
        <v>733894</v>
      </c>
      <c r="AW247" s="542">
        <v>-441813</v>
      </c>
      <c r="AX247" s="136"/>
      <c r="AY247" s="136"/>
      <c r="AZ247" s="136"/>
      <c r="BA247" s="136"/>
      <c r="BB247" s="136"/>
      <c r="BC247" s="136"/>
      <c r="BD247" s="136"/>
      <c r="BE247" s="136"/>
      <c r="BF247" s="136"/>
      <c r="BG247" s="136"/>
      <c r="BH247" s="136"/>
      <c r="BI247" s="136"/>
      <c r="BJ247" s="136"/>
      <c r="BK247" s="136"/>
      <c r="BL247" s="136"/>
      <c r="BM247" s="136"/>
      <c r="BN247" s="136"/>
      <c r="BO247" s="136"/>
      <c r="BP247" s="136"/>
      <c r="BQ247" s="136"/>
      <c r="BR247" s="136"/>
      <c r="BS247" s="136"/>
      <c r="BT247" s="136"/>
      <c r="BU247" s="136"/>
      <c r="BV247" s="136"/>
      <c r="BW247" s="136"/>
      <c r="BX247" s="136"/>
      <c r="BY247" s="136"/>
      <c r="BZ247" s="136"/>
      <c r="CA247" s="136"/>
      <c r="CB247" s="136"/>
      <c r="CC247" s="136"/>
      <c r="CD247" s="136"/>
      <c r="CE247" s="136"/>
      <c r="CF247" s="136"/>
      <c r="CG247" s="136"/>
      <c r="CH247" s="136"/>
      <c r="CI247" s="136"/>
      <c r="CJ247" s="136"/>
      <c r="CK247" s="136"/>
      <c r="CL247" s="136"/>
      <c r="CM247" s="136"/>
      <c r="CN247" s="136"/>
      <c r="CO247" s="136"/>
      <c r="CP247" s="136"/>
      <c r="CQ247" s="136"/>
      <c r="CR247" s="136"/>
      <c r="CS247" s="136"/>
      <c r="CT247" s="136"/>
      <c r="CU247" s="136"/>
      <c r="CV247" s="136"/>
      <c r="CW247" s="136"/>
      <c r="CX247" s="136"/>
      <c r="CY247" s="136"/>
      <c r="CZ247" s="136"/>
      <c r="DA247" s="136"/>
      <c r="DB247" s="136"/>
      <c r="DC247" s="136"/>
      <c r="DD247" s="136"/>
      <c r="DE247" s="136"/>
      <c r="DF247" s="136"/>
      <c r="DG247" s="136"/>
      <c r="DH247" s="136"/>
      <c r="DI247" s="136"/>
      <c r="DJ247" s="136"/>
      <c r="DK247" s="136"/>
      <c r="DL247" s="136"/>
      <c r="DM247" s="136"/>
      <c r="DN247" s="136"/>
      <c r="DO247" s="136"/>
      <c r="DP247" s="136"/>
      <c r="DQ247" s="136"/>
      <c r="DR247" s="136"/>
      <c r="DS247" s="136"/>
      <c r="DT247" s="136"/>
      <c r="DU247" s="136"/>
      <c r="DV247" s="136"/>
      <c r="DW247" s="136"/>
      <c r="DX247" s="136"/>
      <c r="DY247" s="136"/>
      <c r="DZ247" s="136"/>
      <c r="EA247" s="136"/>
      <c r="EB247" s="136"/>
      <c r="EC247" s="136"/>
      <c r="ED247" s="136"/>
      <c r="EE247" s="136"/>
      <c r="EF247" s="136"/>
      <c r="EG247" s="136"/>
      <c r="EH247" s="136"/>
      <c r="EI247" s="136"/>
      <c r="EJ247" s="136"/>
      <c r="EK247" s="136"/>
      <c r="EL247" s="136"/>
      <c r="EM247" s="136"/>
      <c r="EN247" s="136"/>
      <c r="EO247" s="136"/>
      <c r="EP247" s="136"/>
      <c r="EQ247" s="136"/>
      <c r="ER247" s="136"/>
      <c r="ES247" s="136"/>
      <c r="ET247" s="136"/>
      <c r="EU247" s="136"/>
      <c r="EV247" s="136"/>
      <c r="EW247" s="136"/>
      <c r="EX247" s="136"/>
      <c r="EY247" s="136"/>
      <c r="EZ247" s="136"/>
      <c r="FA247" s="136"/>
      <c r="FB247" s="136"/>
      <c r="FC247" s="136"/>
      <c r="FD247" s="136"/>
      <c r="FE247" s="137"/>
      <c r="FF247" s="138"/>
    </row>
    <row r="248" spans="1:162" ht="12.75" x14ac:dyDescent="0.2">
      <c r="A248" s="93">
        <v>242</v>
      </c>
      <c r="B248" s="145" t="s">
        <v>362</v>
      </c>
      <c r="C248" s="141" t="s">
        <v>866</v>
      </c>
      <c r="D248" s="142" t="s">
        <v>869</v>
      </c>
      <c r="E248" s="149" t="s">
        <v>361</v>
      </c>
      <c r="F248" s="542">
        <v>38505582</v>
      </c>
      <c r="G248" s="542">
        <v>0</v>
      </c>
      <c r="H248" s="542">
        <v>38505582</v>
      </c>
      <c r="I248" s="542">
        <v>0</v>
      </c>
      <c r="J248" s="542">
        <v>0</v>
      </c>
      <c r="K248" s="542">
        <v>0</v>
      </c>
      <c r="L248" s="542">
        <v>117414</v>
      </c>
      <c r="M248" s="542">
        <v>0</v>
      </c>
      <c r="N248" s="542">
        <v>117414</v>
      </c>
      <c r="O248" s="542">
        <v>-273348</v>
      </c>
      <c r="P248" s="542">
        <v>0</v>
      </c>
      <c r="Q248" s="542">
        <v>-273348</v>
      </c>
      <c r="R248" s="542">
        <v>0</v>
      </c>
      <c r="S248" s="542">
        <v>0</v>
      </c>
      <c r="T248" s="542">
        <v>0</v>
      </c>
      <c r="U248" s="542">
        <v>-148348</v>
      </c>
      <c r="V248" s="542">
        <v>0</v>
      </c>
      <c r="W248" s="542">
        <v>-148348</v>
      </c>
      <c r="X248" s="542">
        <v>1044732</v>
      </c>
      <c r="Y248" s="542">
        <v>0</v>
      </c>
      <c r="Z248" s="542">
        <v>1044732</v>
      </c>
      <c r="AA248" s="542">
        <v>-1707782</v>
      </c>
      <c r="AB248" s="542">
        <v>0</v>
      </c>
      <c r="AC248" s="542">
        <v>-1707782</v>
      </c>
      <c r="AD248" s="542">
        <v>37811598</v>
      </c>
      <c r="AE248" s="542">
        <v>0</v>
      </c>
      <c r="AF248" s="542">
        <v>37811598</v>
      </c>
      <c r="AG248" s="542">
        <v>0</v>
      </c>
      <c r="AH248" s="542">
        <v>0</v>
      </c>
      <c r="AI248" s="542">
        <v>0</v>
      </c>
      <c r="AJ248" s="542">
        <v>0</v>
      </c>
      <c r="AK248" s="542">
        <v>0</v>
      </c>
      <c r="AL248" s="542">
        <v>0</v>
      </c>
      <c r="AM248" s="542">
        <v>0</v>
      </c>
      <c r="AN248" s="542">
        <v>0</v>
      </c>
      <c r="AO248" s="542">
        <v>0</v>
      </c>
      <c r="AP248" s="542">
        <v>0</v>
      </c>
      <c r="AQ248" s="542">
        <v>0</v>
      </c>
      <c r="AR248" s="542">
        <v>0</v>
      </c>
      <c r="AS248" s="542">
        <v>0</v>
      </c>
      <c r="AT248" s="542">
        <v>0</v>
      </c>
      <c r="AU248" s="542">
        <v>0</v>
      </c>
      <c r="AV248" s="542">
        <v>1400568</v>
      </c>
      <c r="AW248" s="542">
        <v>-1360732</v>
      </c>
      <c r="AX248" s="136"/>
      <c r="AY248" s="136"/>
      <c r="AZ248" s="136"/>
      <c r="BA248" s="136"/>
      <c r="BB248" s="136"/>
      <c r="BC248" s="136"/>
      <c r="BD248" s="136"/>
      <c r="BE248" s="136"/>
      <c r="BF248" s="136"/>
      <c r="BG248" s="136"/>
      <c r="BH248" s="136"/>
      <c r="BI248" s="136"/>
      <c r="BJ248" s="136"/>
      <c r="BK248" s="136"/>
      <c r="BL248" s="136"/>
      <c r="BM248" s="136"/>
      <c r="BN248" s="136"/>
      <c r="BO248" s="136"/>
      <c r="BP248" s="136"/>
      <c r="BQ248" s="136"/>
      <c r="BR248" s="136"/>
      <c r="BS248" s="136"/>
      <c r="BT248" s="136"/>
      <c r="BU248" s="136"/>
      <c r="BV248" s="136"/>
      <c r="BW248" s="136"/>
      <c r="BX248" s="136"/>
      <c r="BY248" s="136"/>
      <c r="BZ248" s="136"/>
      <c r="CA248" s="136"/>
      <c r="CB248" s="136"/>
      <c r="CC248" s="136"/>
      <c r="CD248" s="136"/>
      <c r="CE248" s="136"/>
      <c r="CF248" s="136"/>
      <c r="CG248" s="136"/>
      <c r="CH248" s="136"/>
      <c r="CI248" s="136"/>
      <c r="CJ248" s="136"/>
      <c r="CK248" s="136"/>
      <c r="CL248" s="136"/>
      <c r="CM248" s="136"/>
      <c r="CN248" s="136"/>
      <c r="CO248" s="136"/>
      <c r="CP248" s="136"/>
      <c r="CQ248" s="136"/>
      <c r="CR248" s="136"/>
      <c r="CS248" s="136"/>
      <c r="CT248" s="136"/>
      <c r="CU248" s="136"/>
      <c r="CV248" s="136"/>
      <c r="CW248" s="136"/>
      <c r="CX248" s="136"/>
      <c r="CY248" s="136"/>
      <c r="CZ248" s="136"/>
      <c r="DA248" s="136"/>
      <c r="DB248" s="136"/>
      <c r="DC248" s="136"/>
      <c r="DD248" s="136"/>
      <c r="DE248" s="136"/>
      <c r="DF248" s="136"/>
      <c r="DG248" s="136"/>
      <c r="DH248" s="136"/>
      <c r="DI248" s="136"/>
      <c r="DJ248" s="136"/>
      <c r="DK248" s="136"/>
      <c r="DL248" s="136"/>
      <c r="DM248" s="136"/>
      <c r="DN248" s="136"/>
      <c r="DO248" s="136"/>
      <c r="DP248" s="136"/>
      <c r="DQ248" s="136"/>
      <c r="DR248" s="136"/>
      <c r="DS248" s="136"/>
      <c r="DT248" s="136"/>
      <c r="DU248" s="136"/>
      <c r="DV248" s="136"/>
      <c r="DW248" s="136"/>
      <c r="DX248" s="136"/>
      <c r="DY248" s="136"/>
      <c r="DZ248" s="136"/>
      <c r="EA248" s="136"/>
      <c r="EB248" s="136"/>
      <c r="EC248" s="136"/>
      <c r="ED248" s="136"/>
      <c r="EE248" s="136"/>
      <c r="EF248" s="136"/>
      <c r="EG248" s="136"/>
      <c r="EH248" s="136"/>
      <c r="EI248" s="136"/>
      <c r="EJ248" s="136"/>
      <c r="EK248" s="136"/>
      <c r="EL248" s="136"/>
      <c r="EM248" s="136"/>
      <c r="EN248" s="136"/>
      <c r="EO248" s="136"/>
      <c r="EP248" s="136"/>
      <c r="EQ248" s="136"/>
      <c r="ER248" s="136"/>
      <c r="ES248" s="136"/>
      <c r="ET248" s="136"/>
      <c r="EU248" s="136"/>
      <c r="EV248" s="136"/>
      <c r="EW248" s="136"/>
      <c r="EX248" s="136"/>
      <c r="EY248" s="136"/>
      <c r="EZ248" s="136"/>
      <c r="FA248" s="136"/>
      <c r="FB248" s="136"/>
      <c r="FC248" s="136"/>
      <c r="FD248" s="136"/>
      <c r="FE248" s="137"/>
      <c r="FF248" s="138"/>
    </row>
    <row r="249" spans="1:162" ht="12.75" x14ac:dyDescent="0.2">
      <c r="A249" s="93">
        <v>243</v>
      </c>
      <c r="B249" s="145" t="s">
        <v>364</v>
      </c>
      <c r="C249" s="141" t="s">
        <v>866</v>
      </c>
      <c r="D249" s="142" t="s">
        <v>868</v>
      </c>
      <c r="E249" s="149" t="s">
        <v>363</v>
      </c>
      <c r="F249" s="542">
        <v>40160426</v>
      </c>
      <c r="G249" s="542">
        <v>0</v>
      </c>
      <c r="H249" s="542">
        <v>40160426</v>
      </c>
      <c r="I249" s="542">
        <v>0</v>
      </c>
      <c r="J249" s="542">
        <v>0</v>
      </c>
      <c r="K249" s="542">
        <v>0</v>
      </c>
      <c r="L249" s="542">
        <v>69310</v>
      </c>
      <c r="M249" s="542">
        <v>0</v>
      </c>
      <c r="N249" s="542">
        <v>69310</v>
      </c>
      <c r="O249" s="542">
        <v>-217841</v>
      </c>
      <c r="P249" s="542">
        <v>0</v>
      </c>
      <c r="Q249" s="542">
        <v>-217841</v>
      </c>
      <c r="R249" s="542">
        <v>0</v>
      </c>
      <c r="S249" s="542">
        <v>0</v>
      </c>
      <c r="T249" s="542">
        <v>0</v>
      </c>
      <c r="U249" s="542">
        <v>-202541</v>
      </c>
      <c r="V249" s="542">
        <v>0</v>
      </c>
      <c r="W249" s="542">
        <v>-202541</v>
      </c>
      <c r="X249" s="542">
        <v>544100</v>
      </c>
      <c r="Y249" s="542">
        <v>0</v>
      </c>
      <c r="Z249" s="542">
        <v>544100</v>
      </c>
      <c r="AA249" s="542">
        <v>-881100</v>
      </c>
      <c r="AB249" s="542">
        <v>0</v>
      </c>
      <c r="AC249" s="542">
        <v>-881100</v>
      </c>
      <c r="AD249" s="542">
        <v>39690195</v>
      </c>
      <c r="AE249" s="542">
        <v>0</v>
      </c>
      <c r="AF249" s="542">
        <v>39690195</v>
      </c>
      <c r="AG249" s="542">
        <v>0</v>
      </c>
      <c r="AH249" s="542">
        <v>0</v>
      </c>
      <c r="AI249" s="542">
        <v>0</v>
      </c>
      <c r="AJ249" s="542">
        <v>0</v>
      </c>
      <c r="AK249" s="542">
        <v>0</v>
      </c>
      <c r="AL249" s="542">
        <v>0</v>
      </c>
      <c r="AM249" s="542">
        <v>0</v>
      </c>
      <c r="AN249" s="542">
        <v>0</v>
      </c>
      <c r="AO249" s="542">
        <v>0</v>
      </c>
      <c r="AP249" s="542">
        <v>0</v>
      </c>
      <c r="AQ249" s="542">
        <v>0</v>
      </c>
      <c r="AR249" s="542">
        <v>0</v>
      </c>
      <c r="AS249" s="542">
        <v>0</v>
      </c>
      <c r="AT249" s="542">
        <v>0</v>
      </c>
      <c r="AU249" s="542">
        <v>0</v>
      </c>
      <c r="AV249" s="542">
        <v>1461940</v>
      </c>
      <c r="AW249" s="542">
        <v>-850834</v>
      </c>
      <c r="AX249" s="136"/>
      <c r="AY249" s="136"/>
      <c r="AZ249" s="136"/>
      <c r="BA249" s="136"/>
      <c r="BB249" s="136"/>
      <c r="BC249" s="136"/>
      <c r="BD249" s="136"/>
      <c r="BE249" s="136"/>
      <c r="BF249" s="136"/>
      <c r="BG249" s="136"/>
      <c r="BH249" s="136"/>
      <c r="BI249" s="136"/>
      <c r="BJ249" s="136"/>
      <c r="BK249" s="136"/>
      <c r="BL249" s="136"/>
      <c r="BM249" s="136"/>
      <c r="BN249" s="136"/>
      <c r="BO249" s="136"/>
      <c r="BP249" s="136"/>
      <c r="BQ249" s="136"/>
      <c r="BR249" s="136"/>
      <c r="BS249" s="136"/>
      <c r="BT249" s="136"/>
      <c r="BU249" s="136"/>
      <c r="BV249" s="136"/>
      <c r="BW249" s="136"/>
      <c r="BX249" s="136"/>
      <c r="BY249" s="136"/>
      <c r="BZ249" s="136"/>
      <c r="CA249" s="136"/>
      <c r="CB249" s="136"/>
      <c r="CC249" s="136"/>
      <c r="CD249" s="136"/>
      <c r="CE249" s="136"/>
      <c r="CF249" s="136"/>
      <c r="CG249" s="136"/>
      <c r="CH249" s="136"/>
      <c r="CI249" s="136"/>
      <c r="CJ249" s="136"/>
      <c r="CK249" s="136"/>
      <c r="CL249" s="136"/>
      <c r="CM249" s="136"/>
      <c r="CN249" s="136"/>
      <c r="CO249" s="136"/>
      <c r="CP249" s="136"/>
      <c r="CQ249" s="136"/>
      <c r="CR249" s="136"/>
      <c r="CS249" s="136"/>
      <c r="CT249" s="136"/>
      <c r="CU249" s="136"/>
      <c r="CV249" s="136"/>
      <c r="CW249" s="136"/>
      <c r="CX249" s="136"/>
      <c r="CY249" s="136"/>
      <c r="CZ249" s="136"/>
      <c r="DA249" s="136"/>
      <c r="DB249" s="136"/>
      <c r="DC249" s="136"/>
      <c r="DD249" s="136"/>
      <c r="DE249" s="136"/>
      <c r="DF249" s="136"/>
      <c r="DG249" s="136"/>
      <c r="DH249" s="136"/>
      <c r="DI249" s="136"/>
      <c r="DJ249" s="136"/>
      <c r="DK249" s="136"/>
      <c r="DL249" s="136"/>
      <c r="DM249" s="136"/>
      <c r="DN249" s="136"/>
      <c r="DO249" s="136"/>
      <c r="DP249" s="136"/>
      <c r="DQ249" s="136"/>
      <c r="DR249" s="136"/>
      <c r="DS249" s="136"/>
      <c r="DT249" s="136"/>
      <c r="DU249" s="136"/>
      <c r="DV249" s="136"/>
      <c r="DW249" s="136"/>
      <c r="DX249" s="136"/>
      <c r="DY249" s="136"/>
      <c r="DZ249" s="136"/>
      <c r="EA249" s="136"/>
      <c r="EB249" s="136"/>
      <c r="EC249" s="136"/>
      <c r="ED249" s="136"/>
      <c r="EE249" s="136"/>
      <c r="EF249" s="136"/>
      <c r="EG249" s="136"/>
      <c r="EH249" s="136"/>
      <c r="EI249" s="136"/>
      <c r="EJ249" s="136"/>
      <c r="EK249" s="136"/>
      <c r="EL249" s="136"/>
      <c r="EM249" s="136"/>
      <c r="EN249" s="136"/>
      <c r="EO249" s="136"/>
      <c r="EP249" s="136"/>
      <c r="EQ249" s="136"/>
      <c r="ER249" s="136"/>
      <c r="ES249" s="136"/>
      <c r="ET249" s="136"/>
      <c r="EU249" s="136"/>
      <c r="EV249" s="136"/>
      <c r="EW249" s="136"/>
      <c r="EX249" s="136"/>
      <c r="EY249" s="136"/>
      <c r="EZ249" s="136"/>
      <c r="FA249" s="136"/>
      <c r="FB249" s="136"/>
      <c r="FC249" s="136"/>
      <c r="FD249" s="136"/>
      <c r="FE249" s="137"/>
      <c r="FF249" s="138"/>
    </row>
    <row r="250" spans="1:162" ht="12.75" x14ac:dyDescent="0.2">
      <c r="A250" s="93">
        <v>244</v>
      </c>
      <c r="B250" s="145" t="s">
        <v>366</v>
      </c>
      <c r="C250" s="141" t="s">
        <v>866</v>
      </c>
      <c r="D250" s="142" t="s">
        <v>870</v>
      </c>
      <c r="E250" s="149" t="s">
        <v>365</v>
      </c>
      <c r="F250" s="542">
        <v>27794546</v>
      </c>
      <c r="G250" s="542">
        <v>0</v>
      </c>
      <c r="H250" s="542">
        <v>27794546</v>
      </c>
      <c r="I250" s="542">
        <v>0</v>
      </c>
      <c r="J250" s="542">
        <v>0</v>
      </c>
      <c r="K250" s="542">
        <v>0</v>
      </c>
      <c r="L250" s="542">
        <v>120995</v>
      </c>
      <c r="M250" s="542">
        <v>0</v>
      </c>
      <c r="N250" s="542">
        <v>120995</v>
      </c>
      <c r="O250" s="542">
        <v>-107432</v>
      </c>
      <c r="P250" s="542">
        <v>0</v>
      </c>
      <c r="Q250" s="542">
        <v>-107432</v>
      </c>
      <c r="R250" s="542">
        <v>0</v>
      </c>
      <c r="S250" s="542">
        <v>0</v>
      </c>
      <c r="T250" s="542">
        <v>0</v>
      </c>
      <c r="U250" s="542">
        <v>-21687</v>
      </c>
      <c r="V250" s="542">
        <v>0</v>
      </c>
      <c r="W250" s="542">
        <v>-21687</v>
      </c>
      <c r="X250" s="542">
        <v>0</v>
      </c>
      <c r="Y250" s="542">
        <v>0</v>
      </c>
      <c r="Z250" s="542">
        <v>0</v>
      </c>
      <c r="AA250" s="542">
        <v>435726</v>
      </c>
      <c r="AB250" s="542">
        <v>0</v>
      </c>
      <c r="AC250" s="542">
        <v>435726</v>
      </c>
      <c r="AD250" s="542">
        <v>28329580</v>
      </c>
      <c r="AE250" s="542">
        <v>0</v>
      </c>
      <c r="AF250" s="542">
        <v>28329580</v>
      </c>
      <c r="AG250" s="542">
        <v>0</v>
      </c>
      <c r="AH250" s="542">
        <v>0</v>
      </c>
      <c r="AI250" s="542">
        <v>0</v>
      </c>
      <c r="AJ250" s="542">
        <v>0</v>
      </c>
      <c r="AK250" s="542">
        <v>0</v>
      </c>
      <c r="AL250" s="542">
        <v>0</v>
      </c>
      <c r="AM250" s="542">
        <v>0</v>
      </c>
      <c r="AN250" s="542">
        <v>0</v>
      </c>
      <c r="AO250" s="542">
        <v>0</v>
      </c>
      <c r="AP250" s="542">
        <v>0</v>
      </c>
      <c r="AQ250" s="542">
        <v>0</v>
      </c>
      <c r="AR250" s="542">
        <v>0</v>
      </c>
      <c r="AS250" s="542">
        <v>0</v>
      </c>
      <c r="AT250" s="542">
        <v>0</v>
      </c>
      <c r="AU250" s="542">
        <v>0</v>
      </c>
      <c r="AV250" s="542">
        <v>1079979</v>
      </c>
      <c r="AW250" s="542">
        <v>-372192</v>
      </c>
      <c r="AX250" s="136"/>
      <c r="AY250" s="136"/>
      <c r="AZ250" s="136"/>
      <c r="BA250" s="136"/>
      <c r="BB250" s="136"/>
      <c r="BC250" s="136"/>
      <c r="BD250" s="136"/>
      <c r="BE250" s="136"/>
      <c r="BF250" s="136"/>
      <c r="BG250" s="136"/>
      <c r="BH250" s="136"/>
      <c r="BI250" s="136"/>
      <c r="BJ250" s="136"/>
      <c r="BK250" s="136"/>
      <c r="BL250" s="136"/>
      <c r="BM250" s="136"/>
      <c r="BN250" s="136"/>
      <c r="BO250" s="136"/>
      <c r="BP250" s="136"/>
      <c r="BQ250" s="136"/>
      <c r="BR250" s="136"/>
      <c r="BS250" s="136"/>
      <c r="BT250" s="136"/>
      <c r="BU250" s="136"/>
      <c r="BV250" s="136"/>
      <c r="BW250" s="136"/>
      <c r="BX250" s="136"/>
      <c r="BY250" s="136"/>
      <c r="BZ250" s="136"/>
      <c r="CA250" s="136"/>
      <c r="CB250" s="136"/>
      <c r="CC250" s="136"/>
      <c r="CD250" s="136"/>
      <c r="CE250" s="136"/>
      <c r="CF250" s="136"/>
      <c r="CG250" s="136"/>
      <c r="CH250" s="136"/>
      <c r="CI250" s="136"/>
      <c r="CJ250" s="136"/>
      <c r="CK250" s="136"/>
      <c r="CL250" s="136"/>
      <c r="CM250" s="136"/>
      <c r="CN250" s="136"/>
      <c r="CO250" s="136"/>
      <c r="CP250" s="136"/>
      <c r="CQ250" s="136"/>
      <c r="CR250" s="136"/>
      <c r="CS250" s="136"/>
      <c r="CT250" s="136"/>
      <c r="CU250" s="136"/>
      <c r="CV250" s="136"/>
      <c r="CW250" s="136"/>
      <c r="CX250" s="136"/>
      <c r="CY250" s="136"/>
      <c r="CZ250" s="136"/>
      <c r="DA250" s="136"/>
      <c r="DB250" s="136"/>
      <c r="DC250" s="136"/>
      <c r="DD250" s="136"/>
      <c r="DE250" s="136"/>
      <c r="DF250" s="136"/>
      <c r="DG250" s="136"/>
      <c r="DH250" s="136"/>
      <c r="DI250" s="136"/>
      <c r="DJ250" s="136"/>
      <c r="DK250" s="136"/>
      <c r="DL250" s="136"/>
      <c r="DM250" s="136"/>
      <c r="DN250" s="136"/>
      <c r="DO250" s="136"/>
      <c r="DP250" s="136"/>
      <c r="DQ250" s="136"/>
      <c r="DR250" s="136"/>
      <c r="DS250" s="136"/>
      <c r="DT250" s="136"/>
      <c r="DU250" s="136"/>
      <c r="DV250" s="136"/>
      <c r="DW250" s="136"/>
      <c r="DX250" s="136"/>
      <c r="DY250" s="136"/>
      <c r="DZ250" s="136"/>
      <c r="EA250" s="136"/>
      <c r="EB250" s="136"/>
      <c r="EC250" s="136"/>
      <c r="ED250" s="136"/>
      <c r="EE250" s="136"/>
      <c r="EF250" s="136"/>
      <c r="EG250" s="136"/>
      <c r="EH250" s="136"/>
      <c r="EI250" s="136"/>
      <c r="EJ250" s="136"/>
      <c r="EK250" s="136"/>
      <c r="EL250" s="136"/>
      <c r="EM250" s="136"/>
      <c r="EN250" s="136"/>
      <c r="EO250" s="136"/>
      <c r="EP250" s="136"/>
      <c r="EQ250" s="136"/>
      <c r="ER250" s="136"/>
      <c r="ES250" s="136"/>
      <c r="ET250" s="136"/>
      <c r="EU250" s="136"/>
      <c r="EV250" s="136"/>
      <c r="EW250" s="136"/>
      <c r="EX250" s="136"/>
      <c r="EY250" s="136"/>
      <c r="EZ250" s="136"/>
      <c r="FA250" s="136"/>
      <c r="FB250" s="136"/>
      <c r="FC250" s="136"/>
      <c r="FD250" s="136"/>
      <c r="FE250" s="137"/>
      <c r="FF250" s="138"/>
    </row>
    <row r="251" spans="1:162" ht="12.75" x14ac:dyDescent="0.2">
      <c r="A251" s="93">
        <v>245</v>
      </c>
      <c r="B251" s="145" t="s">
        <v>368</v>
      </c>
      <c r="C251" s="141" t="s">
        <v>866</v>
      </c>
      <c r="D251" s="142" t="s">
        <v>869</v>
      </c>
      <c r="E251" s="149" t="s">
        <v>367</v>
      </c>
      <c r="F251" s="542">
        <v>20593114</v>
      </c>
      <c r="G251" s="542">
        <v>0</v>
      </c>
      <c r="H251" s="542">
        <v>20593114</v>
      </c>
      <c r="I251" s="542">
        <v>-133</v>
      </c>
      <c r="J251" s="542">
        <v>0</v>
      </c>
      <c r="K251" s="542">
        <v>-133</v>
      </c>
      <c r="L251" s="542">
        <v>60906</v>
      </c>
      <c r="M251" s="542">
        <v>0</v>
      </c>
      <c r="N251" s="542">
        <v>60906</v>
      </c>
      <c r="O251" s="542">
        <v>0</v>
      </c>
      <c r="P251" s="542">
        <v>0</v>
      </c>
      <c r="Q251" s="542">
        <v>0</v>
      </c>
      <c r="R251" s="542">
        <v>-75250</v>
      </c>
      <c r="S251" s="542">
        <v>0</v>
      </c>
      <c r="T251" s="542">
        <v>-75250</v>
      </c>
      <c r="U251" s="542">
        <v>-100640</v>
      </c>
      <c r="V251" s="542">
        <v>0</v>
      </c>
      <c r="W251" s="542">
        <v>-100640</v>
      </c>
      <c r="X251" s="542">
        <v>0</v>
      </c>
      <c r="Y251" s="542">
        <v>0</v>
      </c>
      <c r="Z251" s="542">
        <v>0</v>
      </c>
      <c r="AA251" s="542">
        <v>-1931953</v>
      </c>
      <c r="AB251" s="542">
        <v>0</v>
      </c>
      <c r="AC251" s="542">
        <v>-1931953</v>
      </c>
      <c r="AD251" s="542">
        <v>18546044</v>
      </c>
      <c r="AE251" s="542">
        <v>0</v>
      </c>
      <c r="AF251" s="542">
        <v>18546044</v>
      </c>
      <c r="AG251" s="542">
        <v>0</v>
      </c>
      <c r="AH251" s="542">
        <v>0</v>
      </c>
      <c r="AI251" s="542">
        <v>0</v>
      </c>
      <c r="AJ251" s="542">
        <v>78282</v>
      </c>
      <c r="AK251" s="542">
        <v>0</v>
      </c>
      <c r="AL251" s="542">
        <v>0</v>
      </c>
      <c r="AM251" s="542">
        <v>78282</v>
      </c>
      <c r="AN251" s="542">
        <v>0</v>
      </c>
      <c r="AO251" s="542">
        <v>0</v>
      </c>
      <c r="AP251" s="542">
        <v>0</v>
      </c>
      <c r="AQ251" s="542">
        <v>0</v>
      </c>
      <c r="AR251" s="542">
        <v>0</v>
      </c>
      <c r="AS251" s="542">
        <v>0</v>
      </c>
      <c r="AT251" s="542">
        <v>0</v>
      </c>
      <c r="AU251" s="542">
        <v>0</v>
      </c>
      <c r="AV251" s="542">
        <v>718196</v>
      </c>
      <c r="AW251" s="542">
        <v>-156377</v>
      </c>
      <c r="AX251" s="136"/>
      <c r="AY251" s="136"/>
      <c r="AZ251" s="136"/>
      <c r="BA251" s="136"/>
      <c r="BB251" s="136"/>
      <c r="BC251" s="136"/>
      <c r="BD251" s="136"/>
      <c r="BE251" s="136"/>
      <c r="BF251" s="136"/>
      <c r="BG251" s="136"/>
      <c r="BH251" s="136"/>
      <c r="BI251" s="136"/>
      <c r="BJ251" s="136"/>
      <c r="BK251" s="136"/>
      <c r="BL251" s="136"/>
      <c r="BM251" s="136"/>
      <c r="BN251" s="136"/>
      <c r="BO251" s="136"/>
      <c r="BP251" s="136"/>
      <c r="BQ251" s="136"/>
      <c r="BR251" s="136"/>
      <c r="BS251" s="136"/>
      <c r="BT251" s="136"/>
      <c r="BU251" s="136"/>
      <c r="BV251" s="136"/>
      <c r="BW251" s="136"/>
      <c r="BX251" s="136"/>
      <c r="BY251" s="136"/>
      <c r="BZ251" s="136"/>
      <c r="CA251" s="136"/>
      <c r="CB251" s="136"/>
      <c r="CC251" s="136"/>
      <c r="CD251" s="136"/>
      <c r="CE251" s="136"/>
      <c r="CF251" s="136"/>
      <c r="CG251" s="136"/>
      <c r="CH251" s="136"/>
      <c r="CI251" s="136"/>
      <c r="CJ251" s="136"/>
      <c r="CK251" s="136"/>
      <c r="CL251" s="136"/>
      <c r="CM251" s="136"/>
      <c r="CN251" s="136"/>
      <c r="CO251" s="136"/>
      <c r="CP251" s="136"/>
      <c r="CQ251" s="136"/>
      <c r="CR251" s="136"/>
      <c r="CS251" s="136"/>
      <c r="CT251" s="136"/>
      <c r="CU251" s="136"/>
      <c r="CV251" s="136"/>
      <c r="CW251" s="136"/>
      <c r="CX251" s="136"/>
      <c r="CY251" s="136"/>
      <c r="CZ251" s="136"/>
      <c r="DA251" s="136"/>
      <c r="DB251" s="136"/>
      <c r="DC251" s="136"/>
      <c r="DD251" s="136"/>
      <c r="DE251" s="136"/>
      <c r="DF251" s="136"/>
      <c r="DG251" s="136"/>
      <c r="DH251" s="136"/>
      <c r="DI251" s="136"/>
      <c r="DJ251" s="136"/>
      <c r="DK251" s="136"/>
      <c r="DL251" s="136"/>
      <c r="DM251" s="136"/>
      <c r="DN251" s="136"/>
      <c r="DO251" s="136"/>
      <c r="DP251" s="136"/>
      <c r="DQ251" s="136"/>
      <c r="DR251" s="136"/>
      <c r="DS251" s="136"/>
      <c r="DT251" s="136"/>
      <c r="DU251" s="136"/>
      <c r="DV251" s="136"/>
      <c r="DW251" s="136"/>
      <c r="DX251" s="136"/>
      <c r="DY251" s="136"/>
      <c r="DZ251" s="136"/>
      <c r="EA251" s="136"/>
      <c r="EB251" s="136"/>
      <c r="EC251" s="136"/>
      <c r="ED251" s="136"/>
      <c r="EE251" s="136"/>
      <c r="EF251" s="136"/>
      <c r="EG251" s="136"/>
      <c r="EH251" s="136"/>
      <c r="EI251" s="136"/>
      <c r="EJ251" s="136"/>
      <c r="EK251" s="136"/>
      <c r="EL251" s="136"/>
      <c r="EM251" s="136"/>
      <c r="EN251" s="136"/>
      <c r="EO251" s="136"/>
      <c r="EP251" s="136"/>
      <c r="EQ251" s="136"/>
      <c r="ER251" s="136"/>
      <c r="ES251" s="136"/>
      <c r="ET251" s="136"/>
      <c r="EU251" s="136"/>
      <c r="EV251" s="136"/>
      <c r="EW251" s="136"/>
      <c r="EX251" s="136"/>
      <c r="EY251" s="136"/>
      <c r="EZ251" s="136"/>
      <c r="FA251" s="136"/>
      <c r="FB251" s="136"/>
      <c r="FC251" s="136"/>
      <c r="FD251" s="136"/>
      <c r="FE251" s="137"/>
      <c r="FF251" s="138"/>
    </row>
    <row r="252" spans="1:162" ht="12.75" x14ac:dyDescent="0.2">
      <c r="A252" s="93">
        <v>246</v>
      </c>
      <c r="B252" s="145" t="s">
        <v>370</v>
      </c>
      <c r="C252" s="141" t="s">
        <v>866</v>
      </c>
      <c r="D252" s="142" t="s">
        <v>867</v>
      </c>
      <c r="E252" s="149" t="s">
        <v>369</v>
      </c>
      <c r="F252" s="542">
        <v>42399925</v>
      </c>
      <c r="G252" s="542">
        <v>0</v>
      </c>
      <c r="H252" s="542">
        <v>42399925</v>
      </c>
      <c r="I252" s="542">
        <v>0</v>
      </c>
      <c r="J252" s="542">
        <v>0</v>
      </c>
      <c r="K252" s="542">
        <v>0</v>
      </c>
      <c r="L252" s="542">
        <v>195653</v>
      </c>
      <c r="M252" s="542">
        <v>0</v>
      </c>
      <c r="N252" s="542">
        <v>195653</v>
      </c>
      <c r="O252" s="542">
        <v>-82948</v>
      </c>
      <c r="P252" s="542">
        <v>0</v>
      </c>
      <c r="Q252" s="542">
        <v>-82948</v>
      </c>
      <c r="R252" s="542">
        <v>0</v>
      </c>
      <c r="S252" s="542">
        <v>0</v>
      </c>
      <c r="T252" s="542">
        <v>0</v>
      </c>
      <c r="U252" s="542">
        <v>-224748</v>
      </c>
      <c r="V252" s="542">
        <v>0</v>
      </c>
      <c r="W252" s="542">
        <v>-224748</v>
      </c>
      <c r="X252" s="542">
        <v>1286014</v>
      </c>
      <c r="Y252" s="542">
        <v>0</v>
      </c>
      <c r="Z252" s="542">
        <v>1286014</v>
      </c>
      <c r="AA252" s="542">
        <v>-2394424</v>
      </c>
      <c r="AB252" s="542">
        <v>0</v>
      </c>
      <c r="AC252" s="542">
        <v>-2394424</v>
      </c>
      <c r="AD252" s="542">
        <v>41262420</v>
      </c>
      <c r="AE252" s="542">
        <v>0</v>
      </c>
      <c r="AF252" s="542">
        <v>41262420</v>
      </c>
      <c r="AG252" s="542">
        <v>0</v>
      </c>
      <c r="AH252" s="542">
        <v>0</v>
      </c>
      <c r="AI252" s="542">
        <v>0</v>
      </c>
      <c r="AJ252" s="542">
        <v>0</v>
      </c>
      <c r="AK252" s="542">
        <v>0</v>
      </c>
      <c r="AL252" s="542">
        <v>0</v>
      </c>
      <c r="AM252" s="542">
        <v>0</v>
      </c>
      <c r="AN252" s="542">
        <v>0</v>
      </c>
      <c r="AO252" s="542">
        <v>0</v>
      </c>
      <c r="AP252" s="542">
        <v>0</v>
      </c>
      <c r="AQ252" s="542">
        <v>0</v>
      </c>
      <c r="AR252" s="542">
        <v>0</v>
      </c>
      <c r="AS252" s="542">
        <v>0</v>
      </c>
      <c r="AT252" s="542">
        <v>0</v>
      </c>
      <c r="AU252" s="542">
        <v>0</v>
      </c>
      <c r="AV252" s="542">
        <v>1806430</v>
      </c>
      <c r="AW252" s="542">
        <v>-898361</v>
      </c>
      <c r="AX252" s="136"/>
      <c r="AY252" s="136"/>
      <c r="AZ252" s="136"/>
      <c r="BA252" s="136"/>
      <c r="BB252" s="136"/>
      <c r="BC252" s="136"/>
      <c r="BD252" s="136"/>
      <c r="BE252" s="136"/>
      <c r="BF252" s="136"/>
      <c r="BG252" s="136"/>
      <c r="BH252" s="136"/>
      <c r="BI252" s="136"/>
      <c r="BJ252" s="136"/>
      <c r="BK252" s="136"/>
      <c r="BL252" s="136"/>
      <c r="BM252" s="136"/>
      <c r="BN252" s="136"/>
      <c r="BO252" s="136"/>
      <c r="BP252" s="136"/>
      <c r="BQ252" s="136"/>
      <c r="BR252" s="136"/>
      <c r="BS252" s="136"/>
      <c r="BT252" s="136"/>
      <c r="BU252" s="136"/>
      <c r="BV252" s="136"/>
      <c r="BW252" s="136"/>
      <c r="BX252" s="136"/>
      <c r="BY252" s="136"/>
      <c r="BZ252" s="136"/>
      <c r="CA252" s="136"/>
      <c r="CB252" s="136"/>
      <c r="CC252" s="136"/>
      <c r="CD252" s="136"/>
      <c r="CE252" s="136"/>
      <c r="CF252" s="136"/>
      <c r="CG252" s="136"/>
      <c r="CH252" s="136"/>
      <c r="CI252" s="136"/>
      <c r="CJ252" s="136"/>
      <c r="CK252" s="136"/>
      <c r="CL252" s="136"/>
      <c r="CM252" s="136"/>
      <c r="CN252" s="136"/>
      <c r="CO252" s="136"/>
      <c r="CP252" s="136"/>
      <c r="CQ252" s="136"/>
      <c r="CR252" s="136"/>
      <c r="CS252" s="136"/>
      <c r="CT252" s="136"/>
      <c r="CU252" s="136"/>
      <c r="CV252" s="136"/>
      <c r="CW252" s="136"/>
      <c r="CX252" s="136"/>
      <c r="CY252" s="136"/>
      <c r="CZ252" s="136"/>
      <c r="DA252" s="136"/>
      <c r="DB252" s="136"/>
      <c r="DC252" s="136"/>
      <c r="DD252" s="136"/>
      <c r="DE252" s="136"/>
      <c r="DF252" s="136"/>
      <c r="DG252" s="136"/>
      <c r="DH252" s="136"/>
      <c r="DI252" s="136"/>
      <c r="DJ252" s="136"/>
      <c r="DK252" s="136"/>
      <c r="DL252" s="136"/>
      <c r="DM252" s="136"/>
      <c r="DN252" s="136"/>
      <c r="DO252" s="136"/>
      <c r="DP252" s="136"/>
      <c r="DQ252" s="136"/>
      <c r="DR252" s="136"/>
      <c r="DS252" s="136"/>
      <c r="DT252" s="136"/>
      <c r="DU252" s="136"/>
      <c r="DV252" s="136"/>
      <c r="DW252" s="136"/>
      <c r="DX252" s="136"/>
      <c r="DY252" s="136"/>
      <c r="DZ252" s="136"/>
      <c r="EA252" s="136"/>
      <c r="EB252" s="136"/>
      <c r="EC252" s="136"/>
      <c r="ED252" s="136"/>
      <c r="EE252" s="136"/>
      <c r="EF252" s="136"/>
      <c r="EG252" s="136"/>
      <c r="EH252" s="136"/>
      <c r="EI252" s="136"/>
      <c r="EJ252" s="136"/>
      <c r="EK252" s="136"/>
      <c r="EL252" s="136"/>
      <c r="EM252" s="136"/>
      <c r="EN252" s="136"/>
      <c r="EO252" s="136"/>
      <c r="EP252" s="136"/>
      <c r="EQ252" s="136"/>
      <c r="ER252" s="136"/>
      <c r="ES252" s="136"/>
      <c r="ET252" s="136"/>
      <c r="EU252" s="136"/>
      <c r="EV252" s="136"/>
      <c r="EW252" s="136"/>
      <c r="EX252" s="136"/>
      <c r="EY252" s="136"/>
      <c r="EZ252" s="136"/>
      <c r="FA252" s="136"/>
      <c r="FB252" s="136"/>
      <c r="FC252" s="136"/>
      <c r="FD252" s="136"/>
      <c r="FE252" s="137"/>
      <c r="FF252" s="138"/>
    </row>
    <row r="253" spans="1:162" ht="12.75" x14ac:dyDescent="0.2">
      <c r="A253" s="93">
        <v>247</v>
      </c>
      <c r="B253" s="145" t="s">
        <v>372</v>
      </c>
      <c r="C253" s="141" t="s">
        <v>866</v>
      </c>
      <c r="D253" s="142" t="s">
        <v>868</v>
      </c>
      <c r="E253" s="149" t="s">
        <v>371</v>
      </c>
      <c r="F253" s="542">
        <v>37634211</v>
      </c>
      <c r="G253" s="542">
        <v>0</v>
      </c>
      <c r="H253" s="542">
        <v>37634211</v>
      </c>
      <c r="I253" s="542">
        <v>0</v>
      </c>
      <c r="J253" s="542">
        <v>0</v>
      </c>
      <c r="K253" s="542">
        <v>0</v>
      </c>
      <c r="L253" s="542">
        <v>138983</v>
      </c>
      <c r="M253" s="542">
        <v>0</v>
      </c>
      <c r="N253" s="542">
        <v>138983</v>
      </c>
      <c r="O253" s="542">
        <v>-298259</v>
      </c>
      <c r="P253" s="542">
        <v>0</v>
      </c>
      <c r="Q253" s="542">
        <v>-298259</v>
      </c>
      <c r="R253" s="542">
        <v>-67250</v>
      </c>
      <c r="S253" s="542">
        <v>0</v>
      </c>
      <c r="T253" s="542">
        <v>-67250</v>
      </c>
      <c r="U253" s="542">
        <v>-304548</v>
      </c>
      <c r="V253" s="542">
        <v>0</v>
      </c>
      <c r="W253" s="542">
        <v>-304548</v>
      </c>
      <c r="X253" s="542">
        <v>883276</v>
      </c>
      <c r="Y253" s="542">
        <v>0</v>
      </c>
      <c r="Z253" s="542">
        <v>883276</v>
      </c>
      <c r="AA253" s="542">
        <v>0</v>
      </c>
      <c r="AB253" s="542">
        <v>0</v>
      </c>
      <c r="AC253" s="542">
        <v>0</v>
      </c>
      <c r="AD253" s="542">
        <v>38284672</v>
      </c>
      <c r="AE253" s="542">
        <v>0</v>
      </c>
      <c r="AF253" s="542">
        <v>38284672</v>
      </c>
      <c r="AG253" s="542">
        <v>0</v>
      </c>
      <c r="AH253" s="542">
        <v>0</v>
      </c>
      <c r="AI253" s="542">
        <v>0</v>
      </c>
      <c r="AJ253" s="542">
        <v>0</v>
      </c>
      <c r="AK253" s="542">
        <v>0</v>
      </c>
      <c r="AL253" s="542">
        <v>0</v>
      </c>
      <c r="AM253" s="542">
        <v>0</v>
      </c>
      <c r="AN253" s="542">
        <v>0</v>
      </c>
      <c r="AO253" s="542">
        <v>0</v>
      </c>
      <c r="AP253" s="542">
        <v>0</v>
      </c>
      <c r="AQ253" s="542">
        <v>0</v>
      </c>
      <c r="AR253" s="542">
        <v>0</v>
      </c>
      <c r="AS253" s="542">
        <v>0</v>
      </c>
      <c r="AT253" s="542">
        <v>0</v>
      </c>
      <c r="AU253" s="542">
        <v>0</v>
      </c>
      <c r="AV253" s="542">
        <v>1124989</v>
      </c>
      <c r="AW253" s="542">
        <v>-742483</v>
      </c>
      <c r="AX253" s="136"/>
      <c r="AY253" s="136"/>
      <c r="AZ253" s="136"/>
      <c r="BA253" s="136"/>
      <c r="BB253" s="136"/>
      <c r="BC253" s="136"/>
      <c r="BD253" s="136"/>
      <c r="BE253" s="136"/>
      <c r="BF253" s="136"/>
      <c r="BG253" s="136"/>
      <c r="BH253" s="136"/>
      <c r="BI253" s="136"/>
      <c r="BJ253" s="136"/>
      <c r="BK253" s="136"/>
      <c r="BL253" s="136"/>
      <c r="BM253" s="136"/>
      <c r="BN253" s="136"/>
      <c r="BO253" s="136"/>
      <c r="BP253" s="136"/>
      <c r="BQ253" s="136"/>
      <c r="BR253" s="136"/>
      <c r="BS253" s="136"/>
      <c r="BT253" s="136"/>
      <c r="BU253" s="136"/>
      <c r="BV253" s="136"/>
      <c r="BW253" s="136"/>
      <c r="BX253" s="136"/>
      <c r="BY253" s="136"/>
      <c r="BZ253" s="136"/>
      <c r="CA253" s="136"/>
      <c r="CB253" s="136"/>
      <c r="CC253" s="136"/>
      <c r="CD253" s="136"/>
      <c r="CE253" s="136"/>
      <c r="CF253" s="136"/>
      <c r="CG253" s="136"/>
      <c r="CH253" s="136"/>
      <c r="CI253" s="136"/>
      <c r="CJ253" s="136"/>
      <c r="CK253" s="136"/>
      <c r="CL253" s="136"/>
      <c r="CM253" s="136"/>
      <c r="CN253" s="136"/>
      <c r="CO253" s="136"/>
      <c r="CP253" s="136"/>
      <c r="CQ253" s="136"/>
      <c r="CR253" s="136"/>
      <c r="CS253" s="136"/>
      <c r="CT253" s="136"/>
      <c r="CU253" s="136"/>
      <c r="CV253" s="136"/>
      <c r="CW253" s="136"/>
      <c r="CX253" s="136"/>
      <c r="CY253" s="136"/>
      <c r="CZ253" s="136"/>
      <c r="DA253" s="136"/>
      <c r="DB253" s="136"/>
      <c r="DC253" s="136"/>
      <c r="DD253" s="136"/>
      <c r="DE253" s="136"/>
      <c r="DF253" s="136"/>
      <c r="DG253" s="136"/>
      <c r="DH253" s="136"/>
      <c r="DI253" s="136"/>
      <c r="DJ253" s="136"/>
      <c r="DK253" s="136"/>
      <c r="DL253" s="136"/>
      <c r="DM253" s="136"/>
      <c r="DN253" s="136"/>
      <c r="DO253" s="136"/>
      <c r="DP253" s="136"/>
      <c r="DQ253" s="136"/>
      <c r="DR253" s="136"/>
      <c r="DS253" s="136"/>
      <c r="DT253" s="136"/>
      <c r="DU253" s="136"/>
      <c r="DV253" s="136"/>
      <c r="DW253" s="136"/>
      <c r="DX253" s="136"/>
      <c r="DY253" s="136"/>
      <c r="DZ253" s="136"/>
      <c r="EA253" s="136"/>
      <c r="EB253" s="136"/>
      <c r="EC253" s="136"/>
      <c r="ED253" s="136"/>
      <c r="EE253" s="136"/>
      <c r="EF253" s="136"/>
      <c r="EG253" s="136"/>
      <c r="EH253" s="136"/>
      <c r="EI253" s="136"/>
      <c r="EJ253" s="136"/>
      <c r="EK253" s="136"/>
      <c r="EL253" s="136"/>
      <c r="EM253" s="136"/>
      <c r="EN253" s="136"/>
      <c r="EO253" s="136"/>
      <c r="EP253" s="136"/>
      <c r="EQ253" s="136"/>
      <c r="ER253" s="136"/>
      <c r="ES253" s="136"/>
      <c r="ET253" s="136"/>
      <c r="EU253" s="136"/>
      <c r="EV253" s="136"/>
      <c r="EW253" s="136"/>
      <c r="EX253" s="136"/>
      <c r="EY253" s="136"/>
      <c r="EZ253" s="136"/>
      <c r="FA253" s="136"/>
      <c r="FB253" s="136"/>
      <c r="FC253" s="136"/>
      <c r="FD253" s="136"/>
      <c r="FE253" s="137"/>
      <c r="FF253" s="138"/>
    </row>
    <row r="254" spans="1:162" ht="12.75" x14ac:dyDescent="0.2">
      <c r="A254" s="93">
        <v>248</v>
      </c>
      <c r="B254" s="145" t="s">
        <v>374</v>
      </c>
      <c r="C254" s="141" t="s">
        <v>866</v>
      </c>
      <c r="D254" s="142" t="s">
        <v>875</v>
      </c>
      <c r="E254" s="149" t="s">
        <v>373</v>
      </c>
      <c r="F254" s="542">
        <v>43564589</v>
      </c>
      <c r="G254" s="542">
        <v>0</v>
      </c>
      <c r="H254" s="542">
        <v>43564589</v>
      </c>
      <c r="I254" s="542">
        <v>0</v>
      </c>
      <c r="J254" s="542">
        <v>0</v>
      </c>
      <c r="K254" s="542">
        <v>0</v>
      </c>
      <c r="L254" s="542">
        <v>104757</v>
      </c>
      <c r="M254" s="542">
        <v>0</v>
      </c>
      <c r="N254" s="542">
        <v>104757</v>
      </c>
      <c r="O254" s="542">
        <v>-297787</v>
      </c>
      <c r="P254" s="542">
        <v>0</v>
      </c>
      <c r="Q254" s="542">
        <v>-297787</v>
      </c>
      <c r="R254" s="542">
        <v>0</v>
      </c>
      <c r="S254" s="542">
        <v>0</v>
      </c>
      <c r="T254" s="542">
        <v>0</v>
      </c>
      <c r="U254" s="542">
        <v>-392500</v>
      </c>
      <c r="V254" s="542">
        <v>0</v>
      </c>
      <c r="W254" s="542">
        <v>-392500</v>
      </c>
      <c r="X254" s="542">
        <v>871241</v>
      </c>
      <c r="Y254" s="542">
        <v>0</v>
      </c>
      <c r="Z254" s="542">
        <v>871241</v>
      </c>
      <c r="AA254" s="542">
        <v>-2692244.6</v>
      </c>
      <c r="AB254" s="542">
        <v>0</v>
      </c>
      <c r="AC254" s="542">
        <v>-2692244.6</v>
      </c>
      <c r="AD254" s="542">
        <v>41455842.299999997</v>
      </c>
      <c r="AE254" s="542">
        <v>0</v>
      </c>
      <c r="AF254" s="542">
        <v>41455842.299999997</v>
      </c>
      <c r="AG254" s="542">
        <v>0</v>
      </c>
      <c r="AH254" s="542">
        <v>0</v>
      </c>
      <c r="AI254" s="542">
        <v>0</v>
      </c>
      <c r="AJ254" s="542">
        <v>142864</v>
      </c>
      <c r="AK254" s="542">
        <v>0</v>
      </c>
      <c r="AL254" s="542">
        <v>0</v>
      </c>
      <c r="AM254" s="542">
        <v>142864</v>
      </c>
      <c r="AN254" s="542">
        <v>0</v>
      </c>
      <c r="AO254" s="542">
        <v>0</v>
      </c>
      <c r="AP254" s="542">
        <v>0</v>
      </c>
      <c r="AQ254" s="542">
        <v>0</v>
      </c>
      <c r="AR254" s="542">
        <v>0</v>
      </c>
      <c r="AS254" s="542">
        <v>0</v>
      </c>
      <c r="AT254" s="542">
        <v>0</v>
      </c>
      <c r="AU254" s="542">
        <v>0</v>
      </c>
      <c r="AV254" s="542">
        <v>3294064</v>
      </c>
      <c r="AW254" s="542">
        <v>-687258</v>
      </c>
      <c r="AX254" s="136"/>
      <c r="AY254" s="136"/>
      <c r="AZ254" s="136"/>
      <c r="BA254" s="136"/>
      <c r="BB254" s="136"/>
      <c r="BC254" s="136"/>
      <c r="BD254" s="136"/>
      <c r="BE254" s="136"/>
      <c r="BF254" s="136"/>
      <c r="BG254" s="136"/>
      <c r="BH254" s="136"/>
      <c r="BI254" s="136"/>
      <c r="BJ254" s="136"/>
      <c r="BK254" s="136"/>
      <c r="BL254" s="136"/>
      <c r="BM254" s="136"/>
      <c r="BN254" s="136"/>
      <c r="BO254" s="136"/>
      <c r="BP254" s="136"/>
      <c r="BQ254" s="136"/>
      <c r="BR254" s="136"/>
      <c r="BS254" s="136"/>
      <c r="BT254" s="136"/>
      <c r="BU254" s="136"/>
      <c r="BV254" s="136"/>
      <c r="BW254" s="136"/>
      <c r="BX254" s="136"/>
      <c r="BY254" s="136"/>
      <c r="BZ254" s="136"/>
      <c r="CA254" s="136"/>
      <c r="CB254" s="136"/>
      <c r="CC254" s="136"/>
      <c r="CD254" s="136"/>
      <c r="CE254" s="136"/>
      <c r="CF254" s="136"/>
      <c r="CG254" s="136"/>
      <c r="CH254" s="136"/>
      <c r="CI254" s="136"/>
      <c r="CJ254" s="136"/>
      <c r="CK254" s="136"/>
      <c r="CL254" s="136"/>
      <c r="CM254" s="136"/>
      <c r="CN254" s="136"/>
      <c r="CO254" s="136"/>
      <c r="CP254" s="136"/>
      <c r="CQ254" s="136"/>
      <c r="CR254" s="136"/>
      <c r="CS254" s="136"/>
      <c r="CT254" s="136"/>
      <c r="CU254" s="136"/>
      <c r="CV254" s="136"/>
      <c r="CW254" s="136"/>
      <c r="CX254" s="136"/>
      <c r="CY254" s="136"/>
      <c r="CZ254" s="136"/>
      <c r="DA254" s="136"/>
      <c r="DB254" s="136"/>
      <c r="DC254" s="136"/>
      <c r="DD254" s="136"/>
      <c r="DE254" s="136"/>
      <c r="DF254" s="136"/>
      <c r="DG254" s="136"/>
      <c r="DH254" s="136"/>
      <c r="DI254" s="136"/>
      <c r="DJ254" s="136"/>
      <c r="DK254" s="136"/>
      <c r="DL254" s="136"/>
      <c r="DM254" s="136"/>
      <c r="DN254" s="136"/>
      <c r="DO254" s="136"/>
      <c r="DP254" s="136"/>
      <c r="DQ254" s="136"/>
      <c r="DR254" s="136"/>
      <c r="DS254" s="136"/>
      <c r="DT254" s="136"/>
      <c r="DU254" s="136"/>
      <c r="DV254" s="136"/>
      <c r="DW254" s="136"/>
      <c r="DX254" s="136"/>
      <c r="DY254" s="136"/>
      <c r="DZ254" s="136"/>
      <c r="EA254" s="136"/>
      <c r="EB254" s="136"/>
      <c r="EC254" s="136"/>
      <c r="ED254" s="136"/>
      <c r="EE254" s="136"/>
      <c r="EF254" s="136"/>
      <c r="EG254" s="136"/>
      <c r="EH254" s="136"/>
      <c r="EI254" s="136"/>
      <c r="EJ254" s="136"/>
      <c r="EK254" s="136"/>
      <c r="EL254" s="136"/>
      <c r="EM254" s="136"/>
      <c r="EN254" s="136"/>
      <c r="EO254" s="136"/>
      <c r="EP254" s="136"/>
      <c r="EQ254" s="136"/>
      <c r="ER254" s="136"/>
      <c r="ES254" s="136"/>
      <c r="ET254" s="136"/>
      <c r="EU254" s="136"/>
      <c r="EV254" s="136"/>
      <c r="EW254" s="136"/>
      <c r="EX254" s="136"/>
      <c r="EY254" s="136"/>
      <c r="EZ254" s="136"/>
      <c r="FA254" s="136"/>
      <c r="FB254" s="136"/>
      <c r="FC254" s="136"/>
      <c r="FD254" s="136"/>
      <c r="FE254" s="137"/>
      <c r="FF254" s="138"/>
    </row>
    <row r="255" spans="1:162" ht="12.75" x14ac:dyDescent="0.2">
      <c r="A255" s="93">
        <v>249</v>
      </c>
      <c r="B255" s="145" t="s">
        <v>376</v>
      </c>
      <c r="C255" s="141" t="s">
        <v>866</v>
      </c>
      <c r="D255" s="142" t="s">
        <v>876</v>
      </c>
      <c r="E255" s="149" t="s">
        <v>375</v>
      </c>
      <c r="F255" s="542">
        <v>19053929</v>
      </c>
      <c r="G255" s="542">
        <v>1782887</v>
      </c>
      <c r="H255" s="542">
        <v>20836816</v>
      </c>
      <c r="I255" s="542">
        <v>0</v>
      </c>
      <c r="J255" s="542">
        <v>0</v>
      </c>
      <c r="K255" s="542">
        <v>0</v>
      </c>
      <c r="L255" s="542">
        <v>3457</v>
      </c>
      <c r="M255" s="542">
        <v>0</v>
      </c>
      <c r="N255" s="542">
        <v>3457</v>
      </c>
      <c r="O255" s="542">
        <v>-180555</v>
      </c>
      <c r="P255" s="542">
        <v>0</v>
      </c>
      <c r="Q255" s="542">
        <v>-180555</v>
      </c>
      <c r="R255" s="542">
        <v>0</v>
      </c>
      <c r="S255" s="542">
        <v>0</v>
      </c>
      <c r="T255" s="542">
        <v>0</v>
      </c>
      <c r="U255" s="542">
        <v>-226555</v>
      </c>
      <c r="V255" s="542">
        <v>0</v>
      </c>
      <c r="W255" s="542">
        <v>-226555</v>
      </c>
      <c r="X255" s="542">
        <v>1273920</v>
      </c>
      <c r="Y255" s="542">
        <v>0</v>
      </c>
      <c r="Z255" s="542">
        <v>1273920</v>
      </c>
      <c r="AA255" s="542">
        <v>-2611000</v>
      </c>
      <c r="AB255" s="542">
        <v>-129000</v>
      </c>
      <c r="AC255" s="542">
        <v>-2740000</v>
      </c>
      <c r="AD255" s="542">
        <v>17493751</v>
      </c>
      <c r="AE255" s="542">
        <v>1653887</v>
      </c>
      <c r="AF255" s="542">
        <v>19147638</v>
      </c>
      <c r="AG255" s="542">
        <v>1653887</v>
      </c>
      <c r="AH255" s="542">
        <v>0</v>
      </c>
      <c r="AI255" s="542">
        <v>1653887</v>
      </c>
      <c r="AJ255" s="542">
        <v>215668</v>
      </c>
      <c r="AK255" s="542">
        <v>0</v>
      </c>
      <c r="AL255" s="542">
        <v>0</v>
      </c>
      <c r="AM255" s="542">
        <v>215668</v>
      </c>
      <c r="AN255" s="542">
        <v>0</v>
      </c>
      <c r="AO255" s="542">
        <v>0</v>
      </c>
      <c r="AP255" s="542">
        <v>0</v>
      </c>
      <c r="AQ255" s="542">
        <v>0</v>
      </c>
      <c r="AR255" s="542">
        <v>0</v>
      </c>
      <c r="AS255" s="542">
        <v>1653887</v>
      </c>
      <c r="AT255" s="542">
        <v>0</v>
      </c>
      <c r="AU255" s="542">
        <v>1653887</v>
      </c>
      <c r="AV255" s="542">
        <v>889580</v>
      </c>
      <c r="AW255" s="542">
        <v>-224965</v>
      </c>
      <c r="AX255" s="136"/>
      <c r="AY255" s="136"/>
      <c r="AZ255" s="136"/>
      <c r="BA255" s="136"/>
      <c r="BB255" s="136"/>
      <c r="BC255" s="136"/>
      <c r="BD255" s="136"/>
      <c r="BE255" s="136"/>
      <c r="BF255" s="136"/>
      <c r="BG255" s="136"/>
      <c r="BH255" s="136"/>
      <c r="BI255" s="136"/>
      <c r="BJ255" s="136"/>
      <c r="BK255" s="136"/>
      <c r="BL255" s="136"/>
      <c r="BM255" s="136"/>
      <c r="BN255" s="136"/>
      <c r="BO255" s="136"/>
      <c r="BP255" s="136"/>
      <c r="BQ255" s="136"/>
      <c r="BR255" s="136"/>
      <c r="BS255" s="136"/>
      <c r="BT255" s="136"/>
      <c r="BU255" s="136"/>
      <c r="BV255" s="136"/>
      <c r="BW255" s="136"/>
      <c r="BX255" s="136"/>
      <c r="BY255" s="136"/>
      <c r="BZ255" s="136"/>
      <c r="CA255" s="136"/>
      <c r="CB255" s="136"/>
      <c r="CC255" s="136"/>
      <c r="CD255" s="136"/>
      <c r="CE255" s="136"/>
      <c r="CF255" s="136"/>
      <c r="CG255" s="136"/>
      <c r="CH255" s="136"/>
      <c r="CI255" s="136"/>
      <c r="CJ255" s="136"/>
      <c r="CK255" s="136"/>
      <c r="CL255" s="136"/>
      <c r="CM255" s="136"/>
      <c r="CN255" s="136"/>
      <c r="CO255" s="136"/>
      <c r="CP255" s="136"/>
      <c r="CQ255" s="136"/>
      <c r="CR255" s="136"/>
      <c r="CS255" s="136"/>
      <c r="CT255" s="136"/>
      <c r="CU255" s="136"/>
      <c r="CV255" s="136"/>
      <c r="CW255" s="136"/>
      <c r="CX255" s="136"/>
      <c r="CY255" s="136"/>
      <c r="CZ255" s="136"/>
      <c r="DA255" s="136"/>
      <c r="DB255" s="136"/>
      <c r="DC255" s="136"/>
      <c r="DD255" s="136"/>
      <c r="DE255" s="136"/>
      <c r="DF255" s="136"/>
      <c r="DG255" s="136"/>
      <c r="DH255" s="136"/>
      <c r="DI255" s="136"/>
      <c r="DJ255" s="136"/>
      <c r="DK255" s="136"/>
      <c r="DL255" s="136"/>
      <c r="DM255" s="136"/>
      <c r="DN255" s="136"/>
      <c r="DO255" s="136"/>
      <c r="DP255" s="136"/>
      <c r="DQ255" s="136"/>
      <c r="DR255" s="136"/>
      <c r="DS255" s="136"/>
      <c r="DT255" s="136"/>
      <c r="DU255" s="136"/>
      <c r="DV255" s="136"/>
      <c r="DW255" s="136"/>
      <c r="DX255" s="136"/>
      <c r="DY255" s="136"/>
      <c r="DZ255" s="136"/>
      <c r="EA255" s="136"/>
      <c r="EB255" s="136"/>
      <c r="EC255" s="136"/>
      <c r="ED255" s="136"/>
      <c r="EE255" s="136"/>
      <c r="EF255" s="136"/>
      <c r="EG255" s="136"/>
      <c r="EH255" s="136"/>
      <c r="EI255" s="136"/>
      <c r="EJ255" s="136"/>
      <c r="EK255" s="136"/>
      <c r="EL255" s="136"/>
      <c r="EM255" s="136"/>
      <c r="EN255" s="136"/>
      <c r="EO255" s="136"/>
      <c r="EP255" s="136"/>
      <c r="EQ255" s="136"/>
      <c r="ER255" s="136"/>
      <c r="ES255" s="136"/>
      <c r="ET255" s="136"/>
      <c r="EU255" s="136"/>
      <c r="EV255" s="136"/>
      <c r="EW255" s="136"/>
      <c r="EX255" s="136"/>
      <c r="EY255" s="136"/>
      <c r="EZ255" s="136"/>
      <c r="FA255" s="136"/>
      <c r="FB255" s="136"/>
      <c r="FC255" s="136"/>
      <c r="FD255" s="136"/>
      <c r="FE255" s="137"/>
      <c r="FF255" s="138"/>
    </row>
    <row r="256" spans="1:162" ht="12.75" x14ac:dyDescent="0.2">
      <c r="A256" s="93">
        <v>250</v>
      </c>
      <c r="B256" s="145" t="s">
        <v>378</v>
      </c>
      <c r="C256" s="141" t="s">
        <v>873</v>
      </c>
      <c r="D256" s="142" t="s">
        <v>878</v>
      </c>
      <c r="E256" s="149" t="s">
        <v>377</v>
      </c>
      <c r="F256" s="542">
        <v>31290207</v>
      </c>
      <c r="G256" s="542">
        <v>0</v>
      </c>
      <c r="H256" s="542">
        <v>31290207</v>
      </c>
      <c r="I256" s="542">
        <v>0</v>
      </c>
      <c r="J256" s="542">
        <v>0</v>
      </c>
      <c r="K256" s="542">
        <v>0</v>
      </c>
      <c r="L256" s="542">
        <v>67593</v>
      </c>
      <c r="M256" s="542">
        <v>0</v>
      </c>
      <c r="N256" s="542">
        <v>67593</v>
      </c>
      <c r="O256" s="542">
        <v>-542906</v>
      </c>
      <c r="P256" s="542">
        <v>0</v>
      </c>
      <c r="Q256" s="542">
        <v>-542906</v>
      </c>
      <c r="R256" s="542">
        <v>0</v>
      </c>
      <c r="S256" s="542">
        <v>0</v>
      </c>
      <c r="T256" s="542">
        <v>0</v>
      </c>
      <c r="U256" s="542">
        <v>-554763</v>
      </c>
      <c r="V256" s="542">
        <v>0</v>
      </c>
      <c r="W256" s="542">
        <v>-554763</v>
      </c>
      <c r="X256" s="542">
        <v>781043</v>
      </c>
      <c r="Y256" s="542">
        <v>0</v>
      </c>
      <c r="Z256" s="542">
        <v>781043</v>
      </c>
      <c r="AA256" s="542">
        <v>-1167927</v>
      </c>
      <c r="AB256" s="542">
        <v>0</v>
      </c>
      <c r="AC256" s="542">
        <v>-1167927</v>
      </c>
      <c r="AD256" s="542">
        <v>30416153</v>
      </c>
      <c r="AE256" s="542">
        <v>0</v>
      </c>
      <c r="AF256" s="542">
        <v>30416153</v>
      </c>
      <c r="AG256" s="542">
        <v>0</v>
      </c>
      <c r="AH256" s="542">
        <v>0</v>
      </c>
      <c r="AI256" s="542">
        <v>0</v>
      </c>
      <c r="AJ256" s="542">
        <v>0</v>
      </c>
      <c r="AK256" s="542">
        <v>0</v>
      </c>
      <c r="AL256" s="542">
        <v>0</v>
      </c>
      <c r="AM256" s="542">
        <v>0</v>
      </c>
      <c r="AN256" s="542">
        <v>0</v>
      </c>
      <c r="AO256" s="542">
        <v>0</v>
      </c>
      <c r="AP256" s="542">
        <v>0</v>
      </c>
      <c r="AQ256" s="542">
        <v>0</v>
      </c>
      <c r="AR256" s="542">
        <v>0</v>
      </c>
      <c r="AS256" s="542">
        <v>0</v>
      </c>
      <c r="AT256" s="542">
        <v>0</v>
      </c>
      <c r="AU256" s="542">
        <v>0</v>
      </c>
      <c r="AV256" s="542">
        <v>1271826</v>
      </c>
      <c r="AW256" s="542">
        <v>-482865</v>
      </c>
      <c r="AX256" s="136"/>
      <c r="AY256" s="136"/>
      <c r="AZ256" s="136"/>
      <c r="BA256" s="136"/>
      <c r="BB256" s="136"/>
      <c r="BC256" s="136"/>
      <c r="BD256" s="136"/>
      <c r="BE256" s="136"/>
      <c r="BF256" s="136"/>
      <c r="BG256" s="136"/>
      <c r="BH256" s="136"/>
      <c r="BI256" s="136"/>
      <c r="BJ256" s="136"/>
      <c r="BK256" s="136"/>
      <c r="BL256" s="136"/>
      <c r="BM256" s="136"/>
      <c r="BN256" s="136"/>
      <c r="BO256" s="136"/>
      <c r="BP256" s="136"/>
      <c r="BQ256" s="136"/>
      <c r="BR256" s="136"/>
      <c r="BS256" s="136"/>
      <c r="BT256" s="136"/>
      <c r="BU256" s="136"/>
      <c r="BV256" s="136"/>
      <c r="BW256" s="136"/>
      <c r="BX256" s="136"/>
      <c r="BY256" s="136"/>
      <c r="BZ256" s="136"/>
      <c r="CA256" s="136"/>
      <c r="CB256" s="136"/>
      <c r="CC256" s="136"/>
      <c r="CD256" s="136"/>
      <c r="CE256" s="136"/>
      <c r="CF256" s="136"/>
      <c r="CG256" s="136"/>
      <c r="CH256" s="136"/>
      <c r="CI256" s="136"/>
      <c r="CJ256" s="136"/>
      <c r="CK256" s="136"/>
      <c r="CL256" s="136"/>
      <c r="CM256" s="136"/>
      <c r="CN256" s="136"/>
      <c r="CO256" s="136"/>
      <c r="CP256" s="136"/>
      <c r="CQ256" s="136"/>
      <c r="CR256" s="136"/>
      <c r="CS256" s="136"/>
      <c r="CT256" s="136"/>
      <c r="CU256" s="136"/>
      <c r="CV256" s="136"/>
      <c r="CW256" s="136"/>
      <c r="CX256" s="136"/>
      <c r="CY256" s="136"/>
      <c r="CZ256" s="136"/>
      <c r="DA256" s="136"/>
      <c r="DB256" s="136"/>
      <c r="DC256" s="136"/>
      <c r="DD256" s="136"/>
      <c r="DE256" s="136"/>
      <c r="DF256" s="136"/>
      <c r="DG256" s="136"/>
      <c r="DH256" s="136"/>
      <c r="DI256" s="136"/>
      <c r="DJ256" s="136"/>
      <c r="DK256" s="136"/>
      <c r="DL256" s="136"/>
      <c r="DM256" s="136"/>
      <c r="DN256" s="136"/>
      <c r="DO256" s="136"/>
      <c r="DP256" s="136"/>
      <c r="DQ256" s="136"/>
      <c r="DR256" s="136"/>
      <c r="DS256" s="136"/>
      <c r="DT256" s="136"/>
      <c r="DU256" s="136"/>
      <c r="DV256" s="136"/>
      <c r="DW256" s="136"/>
      <c r="DX256" s="136"/>
      <c r="DY256" s="136"/>
      <c r="DZ256" s="136"/>
      <c r="EA256" s="136"/>
      <c r="EB256" s="136"/>
      <c r="EC256" s="136"/>
      <c r="ED256" s="136"/>
      <c r="EE256" s="136"/>
      <c r="EF256" s="136"/>
      <c r="EG256" s="136"/>
      <c r="EH256" s="136"/>
      <c r="EI256" s="136"/>
      <c r="EJ256" s="136"/>
      <c r="EK256" s="136"/>
      <c r="EL256" s="136"/>
      <c r="EM256" s="136"/>
      <c r="EN256" s="136"/>
      <c r="EO256" s="136"/>
      <c r="EP256" s="136"/>
      <c r="EQ256" s="136"/>
      <c r="ER256" s="136"/>
      <c r="ES256" s="136"/>
      <c r="ET256" s="136"/>
      <c r="EU256" s="136"/>
      <c r="EV256" s="136"/>
      <c r="EW256" s="136"/>
      <c r="EX256" s="136"/>
      <c r="EY256" s="136"/>
      <c r="EZ256" s="136"/>
      <c r="FA256" s="136"/>
      <c r="FB256" s="136"/>
      <c r="FC256" s="136"/>
      <c r="FD256" s="136"/>
      <c r="FE256" s="137"/>
      <c r="FF256" s="138"/>
    </row>
    <row r="257" spans="1:162" ht="12.75" x14ac:dyDescent="0.2">
      <c r="A257" s="93">
        <v>251</v>
      </c>
      <c r="B257" s="145" t="s">
        <v>380</v>
      </c>
      <c r="C257" s="141" t="s">
        <v>770</v>
      </c>
      <c r="D257" s="142" t="s">
        <v>867</v>
      </c>
      <c r="E257" s="149" t="s">
        <v>725</v>
      </c>
      <c r="F257" s="542">
        <v>103461312</v>
      </c>
      <c r="G257" s="542">
        <v>0</v>
      </c>
      <c r="H257" s="542">
        <v>103461312</v>
      </c>
      <c r="I257" s="542">
        <v>-42</v>
      </c>
      <c r="J257" s="542">
        <v>0</v>
      </c>
      <c r="K257" s="542">
        <v>-42</v>
      </c>
      <c r="L257" s="542">
        <v>383565</v>
      </c>
      <c r="M257" s="542">
        <v>0</v>
      </c>
      <c r="N257" s="542">
        <v>383565</v>
      </c>
      <c r="O257" s="542">
        <v>-472667</v>
      </c>
      <c r="P257" s="542">
        <v>0</v>
      </c>
      <c r="Q257" s="542">
        <v>-472667</v>
      </c>
      <c r="R257" s="542">
        <v>0</v>
      </c>
      <c r="S257" s="542">
        <v>0</v>
      </c>
      <c r="T257" s="542">
        <v>0</v>
      </c>
      <c r="U257" s="542">
        <v>-693606</v>
      </c>
      <c r="V257" s="542">
        <v>0</v>
      </c>
      <c r="W257" s="542">
        <v>-693606</v>
      </c>
      <c r="X257" s="542">
        <v>5058475</v>
      </c>
      <c r="Y257" s="542">
        <v>0</v>
      </c>
      <c r="Z257" s="542">
        <v>5058475</v>
      </c>
      <c r="AA257" s="542">
        <v>-7475923</v>
      </c>
      <c r="AB257" s="542">
        <v>0</v>
      </c>
      <c r="AC257" s="542">
        <v>-7475923</v>
      </c>
      <c r="AD257" s="542">
        <v>100733781</v>
      </c>
      <c r="AE257" s="542">
        <v>0</v>
      </c>
      <c r="AF257" s="542">
        <v>100733781</v>
      </c>
      <c r="AG257" s="542">
        <v>0</v>
      </c>
      <c r="AH257" s="542">
        <v>0</v>
      </c>
      <c r="AI257" s="542">
        <v>0</v>
      </c>
      <c r="AJ257" s="542">
        <v>0</v>
      </c>
      <c r="AK257" s="542">
        <v>0</v>
      </c>
      <c r="AL257" s="542">
        <v>0</v>
      </c>
      <c r="AM257" s="542">
        <v>0</v>
      </c>
      <c r="AN257" s="542">
        <v>0</v>
      </c>
      <c r="AO257" s="542">
        <v>0</v>
      </c>
      <c r="AP257" s="542">
        <v>0</v>
      </c>
      <c r="AQ257" s="542">
        <v>0</v>
      </c>
      <c r="AR257" s="542">
        <v>0</v>
      </c>
      <c r="AS257" s="542">
        <v>0</v>
      </c>
      <c r="AT257" s="542">
        <v>0</v>
      </c>
      <c r="AU257" s="542">
        <v>0</v>
      </c>
      <c r="AV257" s="542">
        <v>3735023</v>
      </c>
      <c r="AW257" s="542">
        <v>-2507083</v>
      </c>
      <c r="AX257" s="136"/>
      <c r="AY257" s="136"/>
      <c r="AZ257" s="136"/>
      <c r="BA257" s="136"/>
      <c r="BB257" s="136"/>
      <c r="BC257" s="136"/>
      <c r="BD257" s="136"/>
      <c r="BE257" s="136"/>
      <c r="BF257" s="136"/>
      <c r="BG257" s="136"/>
      <c r="BH257" s="136"/>
      <c r="BI257" s="136"/>
      <c r="BJ257" s="136"/>
      <c r="BK257" s="136"/>
      <c r="BL257" s="136"/>
      <c r="BM257" s="136"/>
      <c r="BN257" s="136"/>
      <c r="BO257" s="136"/>
      <c r="BP257" s="136"/>
      <c r="BQ257" s="136"/>
      <c r="BR257" s="136"/>
      <c r="BS257" s="136"/>
      <c r="BT257" s="136"/>
      <c r="BU257" s="136"/>
      <c r="BV257" s="136"/>
      <c r="BW257" s="136"/>
      <c r="BX257" s="136"/>
      <c r="BY257" s="136"/>
      <c r="BZ257" s="136"/>
      <c r="CA257" s="136"/>
      <c r="CB257" s="136"/>
      <c r="CC257" s="136"/>
      <c r="CD257" s="136"/>
      <c r="CE257" s="136"/>
      <c r="CF257" s="136"/>
      <c r="CG257" s="136"/>
      <c r="CH257" s="136"/>
      <c r="CI257" s="136"/>
      <c r="CJ257" s="136"/>
      <c r="CK257" s="136"/>
      <c r="CL257" s="136"/>
      <c r="CM257" s="136"/>
      <c r="CN257" s="136"/>
      <c r="CO257" s="136"/>
      <c r="CP257" s="136"/>
      <c r="CQ257" s="136"/>
      <c r="CR257" s="136"/>
      <c r="CS257" s="136"/>
      <c r="CT257" s="136"/>
      <c r="CU257" s="136"/>
      <c r="CV257" s="136"/>
      <c r="CW257" s="136"/>
      <c r="CX257" s="136"/>
      <c r="CY257" s="136"/>
      <c r="CZ257" s="136"/>
      <c r="DA257" s="136"/>
      <c r="DB257" s="136"/>
      <c r="DC257" s="136"/>
      <c r="DD257" s="136"/>
      <c r="DE257" s="136"/>
      <c r="DF257" s="136"/>
      <c r="DG257" s="136"/>
      <c r="DH257" s="136"/>
      <c r="DI257" s="136"/>
      <c r="DJ257" s="136"/>
      <c r="DK257" s="136"/>
      <c r="DL257" s="136"/>
      <c r="DM257" s="136"/>
      <c r="DN257" s="136"/>
      <c r="DO257" s="136"/>
      <c r="DP257" s="136"/>
      <c r="DQ257" s="136"/>
      <c r="DR257" s="136"/>
      <c r="DS257" s="136"/>
      <c r="DT257" s="136"/>
      <c r="DU257" s="136"/>
      <c r="DV257" s="136"/>
      <c r="DW257" s="136"/>
      <c r="DX257" s="136"/>
      <c r="DY257" s="136"/>
      <c r="DZ257" s="136"/>
      <c r="EA257" s="136"/>
      <c r="EB257" s="136"/>
      <c r="EC257" s="136"/>
      <c r="ED257" s="136"/>
      <c r="EE257" s="136"/>
      <c r="EF257" s="136"/>
      <c r="EG257" s="136"/>
      <c r="EH257" s="136"/>
      <c r="EI257" s="136"/>
      <c r="EJ257" s="136"/>
      <c r="EK257" s="136"/>
      <c r="EL257" s="136"/>
      <c r="EM257" s="136"/>
      <c r="EN257" s="136"/>
      <c r="EO257" s="136"/>
      <c r="EP257" s="136"/>
      <c r="EQ257" s="136"/>
      <c r="ER257" s="136"/>
      <c r="ES257" s="136"/>
      <c r="ET257" s="136"/>
      <c r="EU257" s="136"/>
      <c r="EV257" s="136"/>
      <c r="EW257" s="136"/>
      <c r="EX257" s="136"/>
      <c r="EY257" s="136"/>
      <c r="EZ257" s="136"/>
      <c r="FA257" s="136"/>
      <c r="FB257" s="136"/>
      <c r="FC257" s="136"/>
      <c r="FD257" s="136"/>
      <c r="FE257" s="137"/>
      <c r="FF257" s="138"/>
    </row>
    <row r="258" spans="1:162" ht="12.75" x14ac:dyDescent="0.2">
      <c r="A258" s="93">
        <v>252</v>
      </c>
      <c r="B258" s="145" t="s">
        <v>382</v>
      </c>
      <c r="C258" s="141" t="s">
        <v>770</v>
      </c>
      <c r="D258" s="142" t="s">
        <v>870</v>
      </c>
      <c r="E258" s="149" t="s">
        <v>726</v>
      </c>
      <c r="F258" s="542">
        <v>45262663</v>
      </c>
      <c r="G258" s="542">
        <v>0</v>
      </c>
      <c r="H258" s="542">
        <v>45262663</v>
      </c>
      <c r="I258" s="542">
        <v>0</v>
      </c>
      <c r="J258" s="542">
        <v>0</v>
      </c>
      <c r="K258" s="542">
        <v>0</v>
      </c>
      <c r="L258" s="542">
        <v>146393</v>
      </c>
      <c r="M258" s="542">
        <v>0</v>
      </c>
      <c r="N258" s="542">
        <v>146393</v>
      </c>
      <c r="O258" s="542">
        <v>-286034</v>
      </c>
      <c r="P258" s="542">
        <v>0</v>
      </c>
      <c r="Q258" s="542">
        <v>-286034</v>
      </c>
      <c r="R258" s="542">
        <v>-101221</v>
      </c>
      <c r="S258" s="542">
        <v>0</v>
      </c>
      <c r="T258" s="542">
        <v>-101221</v>
      </c>
      <c r="U258" s="542">
        <v>-5140</v>
      </c>
      <c r="V258" s="542">
        <v>0</v>
      </c>
      <c r="W258" s="542">
        <v>-5140</v>
      </c>
      <c r="X258" s="542">
        <v>1720792</v>
      </c>
      <c r="Y258" s="542">
        <v>0</v>
      </c>
      <c r="Z258" s="542">
        <v>1720792</v>
      </c>
      <c r="AA258" s="542">
        <v>-2810596</v>
      </c>
      <c r="AB258" s="542">
        <v>0</v>
      </c>
      <c r="AC258" s="542">
        <v>-2810596</v>
      </c>
      <c r="AD258" s="542">
        <v>44212891</v>
      </c>
      <c r="AE258" s="542">
        <v>0</v>
      </c>
      <c r="AF258" s="542">
        <v>44212891</v>
      </c>
      <c r="AG258" s="542">
        <v>0</v>
      </c>
      <c r="AH258" s="542">
        <v>0</v>
      </c>
      <c r="AI258" s="542">
        <v>0</v>
      </c>
      <c r="AJ258" s="542">
        <v>0</v>
      </c>
      <c r="AK258" s="542">
        <v>0</v>
      </c>
      <c r="AL258" s="542">
        <v>0</v>
      </c>
      <c r="AM258" s="542">
        <v>0</v>
      </c>
      <c r="AN258" s="542">
        <v>0</v>
      </c>
      <c r="AO258" s="542">
        <v>0</v>
      </c>
      <c r="AP258" s="542">
        <v>0</v>
      </c>
      <c r="AQ258" s="542">
        <v>0</v>
      </c>
      <c r="AR258" s="542">
        <v>0</v>
      </c>
      <c r="AS258" s="542">
        <v>0</v>
      </c>
      <c r="AT258" s="542">
        <v>0</v>
      </c>
      <c r="AU258" s="542">
        <v>0</v>
      </c>
      <c r="AV258" s="542">
        <v>2046202</v>
      </c>
      <c r="AW258" s="542">
        <v>-1487142</v>
      </c>
      <c r="AX258" s="136"/>
      <c r="AY258" s="136"/>
      <c r="AZ258" s="136"/>
      <c r="BA258" s="136"/>
      <c r="BB258" s="136"/>
      <c r="BC258" s="136"/>
      <c r="BD258" s="136"/>
      <c r="BE258" s="136"/>
      <c r="BF258" s="136"/>
      <c r="BG258" s="136"/>
      <c r="BH258" s="136"/>
      <c r="BI258" s="136"/>
      <c r="BJ258" s="136"/>
      <c r="BK258" s="136"/>
      <c r="BL258" s="136"/>
      <c r="BM258" s="136"/>
      <c r="BN258" s="136"/>
      <c r="BO258" s="136"/>
      <c r="BP258" s="136"/>
      <c r="BQ258" s="136"/>
      <c r="BR258" s="136"/>
      <c r="BS258" s="136"/>
      <c r="BT258" s="136"/>
      <c r="BU258" s="136"/>
      <c r="BV258" s="136"/>
      <c r="BW258" s="136"/>
      <c r="BX258" s="136"/>
      <c r="BY258" s="136"/>
      <c r="BZ258" s="136"/>
      <c r="CA258" s="136"/>
      <c r="CB258" s="136"/>
      <c r="CC258" s="136"/>
      <c r="CD258" s="136"/>
      <c r="CE258" s="136"/>
      <c r="CF258" s="136"/>
      <c r="CG258" s="136"/>
      <c r="CH258" s="136"/>
      <c r="CI258" s="136"/>
      <c r="CJ258" s="136"/>
      <c r="CK258" s="136"/>
      <c r="CL258" s="136"/>
      <c r="CM258" s="136"/>
      <c r="CN258" s="136"/>
      <c r="CO258" s="136"/>
      <c r="CP258" s="136"/>
      <c r="CQ258" s="136"/>
      <c r="CR258" s="136"/>
      <c r="CS258" s="136"/>
      <c r="CT258" s="136"/>
      <c r="CU258" s="136"/>
      <c r="CV258" s="136"/>
      <c r="CW258" s="136"/>
      <c r="CX258" s="136"/>
      <c r="CY258" s="136"/>
      <c r="CZ258" s="136"/>
      <c r="DA258" s="136"/>
      <c r="DB258" s="136"/>
      <c r="DC258" s="136"/>
      <c r="DD258" s="136"/>
      <c r="DE258" s="136"/>
      <c r="DF258" s="136"/>
      <c r="DG258" s="136"/>
      <c r="DH258" s="136"/>
      <c r="DI258" s="136"/>
      <c r="DJ258" s="136"/>
      <c r="DK258" s="136"/>
      <c r="DL258" s="136"/>
      <c r="DM258" s="136"/>
      <c r="DN258" s="136"/>
      <c r="DO258" s="136"/>
      <c r="DP258" s="136"/>
      <c r="DQ258" s="136"/>
      <c r="DR258" s="136"/>
      <c r="DS258" s="136"/>
      <c r="DT258" s="136"/>
      <c r="DU258" s="136"/>
      <c r="DV258" s="136"/>
      <c r="DW258" s="136"/>
      <c r="DX258" s="136"/>
      <c r="DY258" s="136"/>
      <c r="DZ258" s="136"/>
      <c r="EA258" s="136"/>
      <c r="EB258" s="136"/>
      <c r="EC258" s="136"/>
      <c r="ED258" s="136"/>
      <c r="EE258" s="136"/>
      <c r="EF258" s="136"/>
      <c r="EG258" s="136"/>
      <c r="EH258" s="136"/>
      <c r="EI258" s="136"/>
      <c r="EJ258" s="136"/>
      <c r="EK258" s="136"/>
      <c r="EL258" s="136"/>
      <c r="EM258" s="136"/>
      <c r="EN258" s="136"/>
      <c r="EO258" s="136"/>
      <c r="EP258" s="136"/>
      <c r="EQ258" s="136"/>
      <c r="ER258" s="136"/>
      <c r="ES258" s="136"/>
      <c r="ET258" s="136"/>
      <c r="EU258" s="136"/>
      <c r="EV258" s="136"/>
      <c r="EW258" s="136"/>
      <c r="EX258" s="136"/>
      <c r="EY258" s="136"/>
      <c r="EZ258" s="136"/>
      <c r="FA258" s="136"/>
      <c r="FB258" s="136"/>
      <c r="FC258" s="136"/>
      <c r="FD258" s="136"/>
      <c r="FE258" s="137"/>
      <c r="FF258" s="138"/>
    </row>
    <row r="259" spans="1:162" ht="12.75" x14ac:dyDescent="0.2">
      <c r="A259" s="93">
        <v>253</v>
      </c>
      <c r="B259" s="145" t="s">
        <v>384</v>
      </c>
      <c r="C259" s="141" t="s">
        <v>877</v>
      </c>
      <c r="D259" s="142" t="s">
        <v>872</v>
      </c>
      <c r="E259" s="149" t="s">
        <v>383</v>
      </c>
      <c r="F259" s="542">
        <v>202978467</v>
      </c>
      <c r="G259" s="542">
        <v>0</v>
      </c>
      <c r="H259" s="542">
        <v>202978467</v>
      </c>
      <c r="I259" s="542">
        <v>-265</v>
      </c>
      <c r="J259" s="542">
        <v>0</v>
      </c>
      <c r="K259" s="542">
        <v>-265</v>
      </c>
      <c r="L259" s="542">
        <v>255816</v>
      </c>
      <c r="M259" s="542">
        <v>0</v>
      </c>
      <c r="N259" s="542">
        <v>255816</v>
      </c>
      <c r="O259" s="542">
        <v>0</v>
      </c>
      <c r="P259" s="542">
        <v>0</v>
      </c>
      <c r="Q259" s="542">
        <v>0</v>
      </c>
      <c r="R259" s="542">
        <v>-572937</v>
      </c>
      <c r="S259" s="542">
        <v>0</v>
      </c>
      <c r="T259" s="542">
        <v>-572937</v>
      </c>
      <c r="U259" s="542">
        <v>-675028</v>
      </c>
      <c r="V259" s="542">
        <v>0</v>
      </c>
      <c r="W259" s="542">
        <v>-675028</v>
      </c>
      <c r="X259" s="542">
        <v>9363087</v>
      </c>
      <c r="Y259" s="542">
        <v>0</v>
      </c>
      <c r="Z259" s="542">
        <v>9363087</v>
      </c>
      <c r="AA259" s="542">
        <v>-1311216</v>
      </c>
      <c r="AB259" s="542">
        <v>0</v>
      </c>
      <c r="AC259" s="542">
        <v>-1311216</v>
      </c>
      <c r="AD259" s="542">
        <v>210037924</v>
      </c>
      <c r="AE259" s="542">
        <v>0</v>
      </c>
      <c r="AF259" s="542">
        <v>210037924</v>
      </c>
      <c r="AG259" s="542">
        <v>0</v>
      </c>
      <c r="AH259" s="542">
        <v>0</v>
      </c>
      <c r="AI259" s="542">
        <v>0</v>
      </c>
      <c r="AJ259" s="542">
        <v>0</v>
      </c>
      <c r="AK259" s="542">
        <v>0</v>
      </c>
      <c r="AL259" s="542">
        <v>0</v>
      </c>
      <c r="AM259" s="542">
        <v>0</v>
      </c>
      <c r="AN259" s="542">
        <v>0</v>
      </c>
      <c r="AO259" s="542">
        <v>0</v>
      </c>
      <c r="AP259" s="542">
        <v>0</v>
      </c>
      <c r="AQ259" s="542">
        <v>0</v>
      </c>
      <c r="AR259" s="542">
        <v>0</v>
      </c>
      <c r="AS259" s="542">
        <v>0</v>
      </c>
      <c r="AT259" s="542">
        <v>0</v>
      </c>
      <c r="AU259" s="542">
        <v>0</v>
      </c>
      <c r="AV259" s="542">
        <v>9441176</v>
      </c>
      <c r="AW259" s="542">
        <v>-11763643</v>
      </c>
      <c r="AX259" s="136"/>
      <c r="AY259" s="136"/>
      <c r="AZ259" s="136"/>
      <c r="BA259" s="136"/>
      <c r="BB259" s="136"/>
      <c r="BC259" s="136"/>
      <c r="BD259" s="136"/>
      <c r="BE259" s="136"/>
      <c r="BF259" s="136"/>
      <c r="BG259" s="136"/>
      <c r="BH259" s="136"/>
      <c r="BI259" s="136"/>
      <c r="BJ259" s="136"/>
      <c r="BK259" s="136"/>
      <c r="BL259" s="136"/>
      <c r="BM259" s="136"/>
      <c r="BN259" s="136"/>
      <c r="BO259" s="136"/>
      <c r="BP259" s="136"/>
      <c r="BQ259" s="136"/>
      <c r="BR259" s="136"/>
      <c r="BS259" s="136"/>
      <c r="BT259" s="136"/>
      <c r="BU259" s="136"/>
      <c r="BV259" s="136"/>
      <c r="BW259" s="136"/>
      <c r="BX259" s="136"/>
      <c r="BY259" s="136"/>
      <c r="BZ259" s="136"/>
      <c r="CA259" s="136"/>
      <c r="CB259" s="136"/>
      <c r="CC259" s="136"/>
      <c r="CD259" s="136"/>
      <c r="CE259" s="136"/>
      <c r="CF259" s="136"/>
      <c r="CG259" s="136"/>
      <c r="CH259" s="136"/>
      <c r="CI259" s="136"/>
      <c r="CJ259" s="136"/>
      <c r="CK259" s="136"/>
      <c r="CL259" s="136"/>
      <c r="CM259" s="136"/>
      <c r="CN259" s="136"/>
      <c r="CO259" s="136"/>
      <c r="CP259" s="136"/>
      <c r="CQ259" s="136"/>
      <c r="CR259" s="136"/>
      <c r="CS259" s="136"/>
      <c r="CT259" s="136"/>
      <c r="CU259" s="136"/>
      <c r="CV259" s="136"/>
      <c r="CW259" s="136"/>
      <c r="CX259" s="136"/>
      <c r="CY259" s="136"/>
      <c r="CZ259" s="136"/>
      <c r="DA259" s="136"/>
      <c r="DB259" s="136"/>
      <c r="DC259" s="136"/>
      <c r="DD259" s="136"/>
      <c r="DE259" s="136"/>
      <c r="DF259" s="136"/>
      <c r="DG259" s="136"/>
      <c r="DH259" s="136"/>
      <c r="DI259" s="136"/>
      <c r="DJ259" s="136"/>
      <c r="DK259" s="136"/>
      <c r="DL259" s="136"/>
      <c r="DM259" s="136"/>
      <c r="DN259" s="136"/>
      <c r="DO259" s="136"/>
      <c r="DP259" s="136"/>
      <c r="DQ259" s="136"/>
      <c r="DR259" s="136"/>
      <c r="DS259" s="136"/>
      <c r="DT259" s="136"/>
      <c r="DU259" s="136"/>
      <c r="DV259" s="136"/>
      <c r="DW259" s="136"/>
      <c r="DX259" s="136"/>
      <c r="DY259" s="136"/>
      <c r="DZ259" s="136"/>
      <c r="EA259" s="136"/>
      <c r="EB259" s="136"/>
      <c r="EC259" s="136"/>
      <c r="ED259" s="136"/>
      <c r="EE259" s="136"/>
      <c r="EF259" s="136"/>
      <c r="EG259" s="136"/>
      <c r="EH259" s="136"/>
      <c r="EI259" s="136"/>
      <c r="EJ259" s="136"/>
      <c r="EK259" s="136"/>
      <c r="EL259" s="136"/>
      <c r="EM259" s="136"/>
      <c r="EN259" s="136"/>
      <c r="EO259" s="136"/>
      <c r="EP259" s="136"/>
      <c r="EQ259" s="136"/>
      <c r="ER259" s="136"/>
      <c r="ES259" s="136"/>
      <c r="ET259" s="136"/>
      <c r="EU259" s="136"/>
      <c r="EV259" s="136"/>
      <c r="EW259" s="136"/>
      <c r="EX259" s="136"/>
      <c r="EY259" s="136"/>
      <c r="EZ259" s="136"/>
      <c r="FA259" s="136"/>
      <c r="FB259" s="136"/>
      <c r="FC259" s="136"/>
      <c r="FD259" s="136"/>
      <c r="FE259" s="137"/>
      <c r="FF259" s="138"/>
    </row>
    <row r="260" spans="1:162" ht="12.75" x14ac:dyDescent="0.2">
      <c r="A260" s="93">
        <v>254</v>
      </c>
      <c r="B260" s="145" t="s">
        <v>386</v>
      </c>
      <c r="C260" s="141" t="s">
        <v>866</v>
      </c>
      <c r="D260" s="142" t="s">
        <v>867</v>
      </c>
      <c r="E260" s="149" t="s">
        <v>385</v>
      </c>
      <c r="F260" s="542">
        <v>42579623</v>
      </c>
      <c r="G260" s="542">
        <v>0</v>
      </c>
      <c r="H260" s="542">
        <v>42579623</v>
      </c>
      <c r="I260" s="542">
        <v>-49</v>
      </c>
      <c r="J260" s="542">
        <v>0</v>
      </c>
      <c r="K260" s="542">
        <v>-49</v>
      </c>
      <c r="L260" s="542">
        <v>203510</v>
      </c>
      <c r="M260" s="542">
        <v>0</v>
      </c>
      <c r="N260" s="542">
        <v>203510</v>
      </c>
      <c r="O260" s="542">
        <v>-106000</v>
      </c>
      <c r="P260" s="542">
        <v>0</v>
      </c>
      <c r="Q260" s="542">
        <v>-106000</v>
      </c>
      <c r="R260" s="542">
        <v>0</v>
      </c>
      <c r="S260" s="542">
        <v>0</v>
      </c>
      <c r="T260" s="542">
        <v>0</v>
      </c>
      <c r="U260" s="542">
        <v>58900</v>
      </c>
      <c r="V260" s="542">
        <v>0</v>
      </c>
      <c r="W260" s="542">
        <v>58900</v>
      </c>
      <c r="X260" s="542">
        <v>728916</v>
      </c>
      <c r="Y260" s="542">
        <v>0</v>
      </c>
      <c r="Z260" s="542">
        <v>728916</v>
      </c>
      <c r="AA260" s="542">
        <v>-3841826</v>
      </c>
      <c r="AB260" s="542">
        <v>0</v>
      </c>
      <c r="AC260" s="542">
        <v>-3841826</v>
      </c>
      <c r="AD260" s="542">
        <v>39729074</v>
      </c>
      <c r="AE260" s="542">
        <v>0</v>
      </c>
      <c r="AF260" s="542">
        <v>39729074</v>
      </c>
      <c r="AG260" s="542">
        <v>0</v>
      </c>
      <c r="AH260" s="542">
        <v>0</v>
      </c>
      <c r="AI260" s="542">
        <v>0</v>
      </c>
      <c r="AJ260" s="542">
        <v>0</v>
      </c>
      <c r="AK260" s="542">
        <v>0</v>
      </c>
      <c r="AL260" s="542">
        <v>0</v>
      </c>
      <c r="AM260" s="542">
        <v>0</v>
      </c>
      <c r="AN260" s="542">
        <v>0</v>
      </c>
      <c r="AO260" s="542">
        <v>0</v>
      </c>
      <c r="AP260" s="542">
        <v>0</v>
      </c>
      <c r="AQ260" s="542">
        <v>0</v>
      </c>
      <c r="AR260" s="542">
        <v>0</v>
      </c>
      <c r="AS260" s="542">
        <v>0</v>
      </c>
      <c r="AT260" s="542">
        <v>0</v>
      </c>
      <c r="AU260" s="542">
        <v>0</v>
      </c>
      <c r="AV260" s="542">
        <v>1087033</v>
      </c>
      <c r="AW260" s="542">
        <v>-1090113</v>
      </c>
      <c r="AX260" s="136"/>
      <c r="AY260" s="136"/>
      <c r="AZ260" s="136"/>
      <c r="BA260" s="136"/>
      <c r="BB260" s="136"/>
      <c r="BC260" s="136"/>
      <c r="BD260" s="136"/>
      <c r="BE260" s="136"/>
      <c r="BF260" s="136"/>
      <c r="BG260" s="136"/>
      <c r="BH260" s="136"/>
      <c r="BI260" s="136"/>
      <c r="BJ260" s="136"/>
      <c r="BK260" s="136"/>
      <c r="BL260" s="136"/>
      <c r="BM260" s="136"/>
      <c r="BN260" s="136"/>
      <c r="BO260" s="136"/>
      <c r="BP260" s="136"/>
      <c r="BQ260" s="136"/>
      <c r="BR260" s="136"/>
      <c r="BS260" s="136"/>
      <c r="BT260" s="136"/>
      <c r="BU260" s="136"/>
      <c r="BV260" s="136"/>
      <c r="BW260" s="136"/>
      <c r="BX260" s="136"/>
      <c r="BY260" s="136"/>
      <c r="BZ260" s="136"/>
      <c r="CA260" s="136"/>
      <c r="CB260" s="136"/>
      <c r="CC260" s="136"/>
      <c r="CD260" s="136"/>
      <c r="CE260" s="136"/>
      <c r="CF260" s="136"/>
      <c r="CG260" s="136"/>
      <c r="CH260" s="136"/>
      <c r="CI260" s="136"/>
      <c r="CJ260" s="136"/>
      <c r="CK260" s="136"/>
      <c r="CL260" s="136"/>
      <c r="CM260" s="136"/>
      <c r="CN260" s="136"/>
      <c r="CO260" s="136"/>
      <c r="CP260" s="136"/>
      <c r="CQ260" s="136"/>
      <c r="CR260" s="136"/>
      <c r="CS260" s="136"/>
      <c r="CT260" s="136"/>
      <c r="CU260" s="136"/>
      <c r="CV260" s="136"/>
      <c r="CW260" s="136"/>
      <c r="CX260" s="136"/>
      <c r="CY260" s="136"/>
      <c r="CZ260" s="136"/>
      <c r="DA260" s="136"/>
      <c r="DB260" s="136"/>
      <c r="DC260" s="136"/>
      <c r="DD260" s="136"/>
      <c r="DE260" s="136"/>
      <c r="DF260" s="136"/>
      <c r="DG260" s="136"/>
      <c r="DH260" s="136"/>
      <c r="DI260" s="136"/>
      <c r="DJ260" s="136"/>
      <c r="DK260" s="136"/>
      <c r="DL260" s="136"/>
      <c r="DM260" s="136"/>
      <c r="DN260" s="136"/>
      <c r="DO260" s="136"/>
      <c r="DP260" s="136"/>
      <c r="DQ260" s="136"/>
      <c r="DR260" s="136"/>
      <c r="DS260" s="136"/>
      <c r="DT260" s="136"/>
      <c r="DU260" s="136"/>
      <c r="DV260" s="136"/>
      <c r="DW260" s="136"/>
      <c r="DX260" s="136"/>
      <c r="DY260" s="136"/>
      <c r="DZ260" s="136"/>
      <c r="EA260" s="136"/>
      <c r="EB260" s="136"/>
      <c r="EC260" s="136"/>
      <c r="ED260" s="136"/>
      <c r="EE260" s="136"/>
      <c r="EF260" s="136"/>
      <c r="EG260" s="136"/>
      <c r="EH260" s="136"/>
      <c r="EI260" s="136"/>
      <c r="EJ260" s="136"/>
      <c r="EK260" s="136"/>
      <c r="EL260" s="136"/>
      <c r="EM260" s="136"/>
      <c r="EN260" s="136"/>
      <c r="EO260" s="136"/>
      <c r="EP260" s="136"/>
      <c r="EQ260" s="136"/>
      <c r="ER260" s="136"/>
      <c r="ES260" s="136"/>
      <c r="ET260" s="136"/>
      <c r="EU260" s="136"/>
      <c r="EV260" s="136"/>
      <c r="EW260" s="136"/>
      <c r="EX260" s="136"/>
      <c r="EY260" s="136"/>
      <c r="EZ260" s="136"/>
      <c r="FA260" s="136"/>
      <c r="FB260" s="136"/>
      <c r="FC260" s="136"/>
      <c r="FD260" s="136"/>
      <c r="FE260" s="137"/>
      <c r="FF260" s="138"/>
    </row>
    <row r="261" spans="1:162" ht="12.75" x14ac:dyDescent="0.2">
      <c r="A261" s="93">
        <v>255</v>
      </c>
      <c r="B261" s="145" t="s">
        <v>388</v>
      </c>
      <c r="C261" s="141" t="s">
        <v>866</v>
      </c>
      <c r="D261" s="142" t="s">
        <v>870</v>
      </c>
      <c r="E261" s="149" t="s">
        <v>387</v>
      </c>
      <c r="F261" s="542">
        <v>61622700</v>
      </c>
      <c r="G261" s="542">
        <v>0</v>
      </c>
      <c r="H261" s="542">
        <v>61622700</v>
      </c>
      <c r="I261" s="542">
        <v>-241</v>
      </c>
      <c r="J261" s="542">
        <v>0</v>
      </c>
      <c r="K261" s="542">
        <v>-241</v>
      </c>
      <c r="L261" s="542">
        <v>136729</v>
      </c>
      <c r="M261" s="542">
        <v>0</v>
      </c>
      <c r="N261" s="542">
        <v>136729</v>
      </c>
      <c r="O261" s="542">
        <v>0</v>
      </c>
      <c r="P261" s="542">
        <v>0</v>
      </c>
      <c r="Q261" s="542">
        <v>0</v>
      </c>
      <c r="R261" s="542">
        <v>-113945</v>
      </c>
      <c r="S261" s="542">
        <v>0</v>
      </c>
      <c r="T261" s="542">
        <v>-113945</v>
      </c>
      <c r="U261" s="542">
        <v>-47000</v>
      </c>
      <c r="V261" s="542">
        <v>0</v>
      </c>
      <c r="W261" s="542">
        <v>-47000</v>
      </c>
      <c r="X261" s="542">
        <v>1187316</v>
      </c>
      <c r="Y261" s="542">
        <v>0</v>
      </c>
      <c r="Z261" s="542">
        <v>1187316</v>
      </c>
      <c r="AA261" s="542">
        <v>-5373646</v>
      </c>
      <c r="AB261" s="542">
        <v>0</v>
      </c>
      <c r="AC261" s="542">
        <v>-5373646</v>
      </c>
      <c r="AD261" s="542">
        <v>57411913</v>
      </c>
      <c r="AE261" s="542">
        <v>0</v>
      </c>
      <c r="AF261" s="542">
        <v>57411913</v>
      </c>
      <c r="AG261" s="542">
        <v>0</v>
      </c>
      <c r="AH261" s="542">
        <v>0</v>
      </c>
      <c r="AI261" s="542">
        <v>0</v>
      </c>
      <c r="AJ261" s="542">
        <v>0</v>
      </c>
      <c r="AK261" s="542">
        <v>0</v>
      </c>
      <c r="AL261" s="542">
        <v>0</v>
      </c>
      <c r="AM261" s="542">
        <v>0</v>
      </c>
      <c r="AN261" s="542">
        <v>0</v>
      </c>
      <c r="AO261" s="542">
        <v>0</v>
      </c>
      <c r="AP261" s="542">
        <v>0</v>
      </c>
      <c r="AQ261" s="542">
        <v>0</v>
      </c>
      <c r="AR261" s="542">
        <v>0</v>
      </c>
      <c r="AS261" s="542">
        <v>0</v>
      </c>
      <c r="AT261" s="542">
        <v>0</v>
      </c>
      <c r="AU261" s="542">
        <v>0</v>
      </c>
      <c r="AV261" s="542">
        <v>2400018</v>
      </c>
      <c r="AW261" s="542">
        <v>-1137567</v>
      </c>
      <c r="AX261" s="136"/>
      <c r="AY261" s="136"/>
      <c r="AZ261" s="136"/>
      <c r="BA261" s="136"/>
      <c r="BB261" s="136"/>
      <c r="BC261" s="136"/>
      <c r="BD261" s="136"/>
      <c r="BE261" s="136"/>
      <c r="BF261" s="136"/>
      <c r="BG261" s="136"/>
      <c r="BH261" s="136"/>
      <c r="BI261" s="136"/>
      <c r="BJ261" s="136"/>
      <c r="BK261" s="136"/>
      <c r="BL261" s="136"/>
      <c r="BM261" s="136"/>
      <c r="BN261" s="136"/>
      <c r="BO261" s="136"/>
      <c r="BP261" s="136"/>
      <c r="BQ261" s="136"/>
      <c r="BR261" s="136"/>
      <c r="BS261" s="136"/>
      <c r="BT261" s="136"/>
      <c r="BU261" s="136"/>
      <c r="BV261" s="136"/>
      <c r="BW261" s="136"/>
      <c r="BX261" s="136"/>
      <c r="BY261" s="136"/>
      <c r="BZ261" s="136"/>
      <c r="CA261" s="136"/>
      <c r="CB261" s="136"/>
      <c r="CC261" s="136"/>
      <c r="CD261" s="136"/>
      <c r="CE261" s="136"/>
      <c r="CF261" s="136"/>
      <c r="CG261" s="136"/>
      <c r="CH261" s="136"/>
      <c r="CI261" s="136"/>
      <c r="CJ261" s="136"/>
      <c r="CK261" s="136"/>
      <c r="CL261" s="136"/>
      <c r="CM261" s="136"/>
      <c r="CN261" s="136"/>
      <c r="CO261" s="136"/>
      <c r="CP261" s="136"/>
      <c r="CQ261" s="136"/>
      <c r="CR261" s="136"/>
      <c r="CS261" s="136"/>
      <c r="CT261" s="136"/>
      <c r="CU261" s="136"/>
      <c r="CV261" s="136"/>
      <c r="CW261" s="136"/>
      <c r="CX261" s="136"/>
      <c r="CY261" s="136"/>
      <c r="CZ261" s="136"/>
      <c r="DA261" s="136"/>
      <c r="DB261" s="136"/>
      <c r="DC261" s="136"/>
      <c r="DD261" s="136"/>
      <c r="DE261" s="136"/>
      <c r="DF261" s="136"/>
      <c r="DG261" s="136"/>
      <c r="DH261" s="136"/>
      <c r="DI261" s="136"/>
      <c r="DJ261" s="136"/>
      <c r="DK261" s="136"/>
      <c r="DL261" s="136"/>
      <c r="DM261" s="136"/>
      <c r="DN261" s="136"/>
      <c r="DO261" s="136"/>
      <c r="DP261" s="136"/>
      <c r="DQ261" s="136"/>
      <c r="DR261" s="136"/>
      <c r="DS261" s="136"/>
      <c r="DT261" s="136"/>
      <c r="DU261" s="136"/>
      <c r="DV261" s="136"/>
      <c r="DW261" s="136"/>
      <c r="DX261" s="136"/>
      <c r="DY261" s="136"/>
      <c r="DZ261" s="136"/>
      <c r="EA261" s="136"/>
      <c r="EB261" s="136"/>
      <c r="EC261" s="136"/>
      <c r="ED261" s="136"/>
      <c r="EE261" s="136"/>
      <c r="EF261" s="136"/>
      <c r="EG261" s="136"/>
      <c r="EH261" s="136"/>
      <c r="EI261" s="136"/>
      <c r="EJ261" s="136"/>
      <c r="EK261" s="136"/>
      <c r="EL261" s="136"/>
      <c r="EM261" s="136"/>
      <c r="EN261" s="136"/>
      <c r="EO261" s="136"/>
      <c r="EP261" s="136"/>
      <c r="EQ261" s="136"/>
      <c r="ER261" s="136"/>
      <c r="ES261" s="136"/>
      <c r="ET261" s="136"/>
      <c r="EU261" s="136"/>
      <c r="EV261" s="136"/>
      <c r="EW261" s="136"/>
      <c r="EX261" s="136"/>
      <c r="EY261" s="136"/>
      <c r="EZ261" s="136"/>
      <c r="FA261" s="136"/>
      <c r="FB261" s="136"/>
      <c r="FC261" s="136"/>
      <c r="FD261" s="136"/>
      <c r="FE261" s="137"/>
      <c r="FF261" s="138"/>
    </row>
    <row r="262" spans="1:162" ht="12.75" x14ac:dyDescent="0.2">
      <c r="A262" s="93">
        <v>256</v>
      </c>
      <c r="B262" s="145" t="s">
        <v>390</v>
      </c>
      <c r="C262" s="141" t="s">
        <v>866</v>
      </c>
      <c r="D262" s="142" t="s">
        <v>870</v>
      </c>
      <c r="E262" s="149" t="s">
        <v>389</v>
      </c>
      <c r="F262" s="542">
        <v>46724033</v>
      </c>
      <c r="G262" s="542">
        <v>0</v>
      </c>
      <c r="H262" s="542">
        <v>46724033</v>
      </c>
      <c r="I262" s="542">
        <v>0</v>
      </c>
      <c r="J262" s="542">
        <v>0</v>
      </c>
      <c r="K262" s="542">
        <v>0</v>
      </c>
      <c r="L262" s="542">
        <v>223403</v>
      </c>
      <c r="M262" s="542">
        <v>0</v>
      </c>
      <c r="N262" s="542">
        <v>223403</v>
      </c>
      <c r="O262" s="542">
        <v>-174126</v>
      </c>
      <c r="P262" s="542">
        <v>0</v>
      </c>
      <c r="Q262" s="542">
        <v>-174126</v>
      </c>
      <c r="R262" s="542">
        <v>0</v>
      </c>
      <c r="S262" s="542">
        <v>0</v>
      </c>
      <c r="T262" s="542">
        <v>0</v>
      </c>
      <c r="U262" s="542">
        <v>-202588</v>
      </c>
      <c r="V262" s="542">
        <v>0</v>
      </c>
      <c r="W262" s="542">
        <v>-202588</v>
      </c>
      <c r="X262" s="542">
        <v>2103400</v>
      </c>
      <c r="Y262" s="542">
        <v>0</v>
      </c>
      <c r="Z262" s="542">
        <v>2103400</v>
      </c>
      <c r="AA262" s="542">
        <v>-2816954</v>
      </c>
      <c r="AB262" s="542">
        <v>0</v>
      </c>
      <c r="AC262" s="542">
        <v>-2816954</v>
      </c>
      <c r="AD262" s="542">
        <v>46031294</v>
      </c>
      <c r="AE262" s="542">
        <v>0</v>
      </c>
      <c r="AF262" s="542">
        <v>46031294</v>
      </c>
      <c r="AG262" s="542">
        <v>0</v>
      </c>
      <c r="AH262" s="542">
        <v>0</v>
      </c>
      <c r="AI262" s="542">
        <v>0</v>
      </c>
      <c r="AJ262" s="542">
        <v>254610</v>
      </c>
      <c r="AK262" s="542">
        <v>0</v>
      </c>
      <c r="AL262" s="542">
        <v>0</v>
      </c>
      <c r="AM262" s="542">
        <v>254610</v>
      </c>
      <c r="AN262" s="542">
        <v>0</v>
      </c>
      <c r="AO262" s="542">
        <v>0</v>
      </c>
      <c r="AP262" s="542">
        <v>0</v>
      </c>
      <c r="AQ262" s="542">
        <v>0</v>
      </c>
      <c r="AR262" s="542">
        <v>0</v>
      </c>
      <c r="AS262" s="542">
        <v>0</v>
      </c>
      <c r="AT262" s="542">
        <v>0</v>
      </c>
      <c r="AU262" s="542">
        <v>0</v>
      </c>
      <c r="AV262" s="542">
        <v>1580404</v>
      </c>
      <c r="AW262" s="542">
        <v>-159893</v>
      </c>
      <c r="AX262" s="136"/>
      <c r="AY262" s="136"/>
      <c r="AZ262" s="136"/>
      <c r="BA262" s="136"/>
      <c r="BB262" s="136"/>
      <c r="BC262" s="136"/>
      <c r="BD262" s="136"/>
      <c r="BE262" s="136"/>
      <c r="BF262" s="136"/>
      <c r="BG262" s="136"/>
      <c r="BH262" s="136"/>
      <c r="BI262" s="136"/>
      <c r="BJ262" s="136"/>
      <c r="BK262" s="136"/>
      <c r="BL262" s="136"/>
      <c r="BM262" s="136"/>
      <c r="BN262" s="136"/>
      <c r="BO262" s="136"/>
      <c r="BP262" s="136"/>
      <c r="BQ262" s="136"/>
      <c r="BR262" s="136"/>
      <c r="BS262" s="136"/>
      <c r="BT262" s="136"/>
      <c r="BU262" s="136"/>
      <c r="BV262" s="136"/>
      <c r="BW262" s="136"/>
      <c r="BX262" s="136"/>
      <c r="BY262" s="136"/>
      <c r="BZ262" s="136"/>
      <c r="CA262" s="136"/>
      <c r="CB262" s="136"/>
      <c r="CC262" s="136"/>
      <c r="CD262" s="136"/>
      <c r="CE262" s="136"/>
      <c r="CF262" s="136"/>
      <c r="CG262" s="136"/>
      <c r="CH262" s="136"/>
      <c r="CI262" s="136"/>
      <c r="CJ262" s="136"/>
      <c r="CK262" s="136"/>
      <c r="CL262" s="136"/>
      <c r="CM262" s="136"/>
      <c r="CN262" s="136"/>
      <c r="CO262" s="136"/>
      <c r="CP262" s="136"/>
      <c r="CQ262" s="136"/>
      <c r="CR262" s="136"/>
      <c r="CS262" s="136"/>
      <c r="CT262" s="136"/>
      <c r="CU262" s="136"/>
      <c r="CV262" s="136"/>
      <c r="CW262" s="136"/>
      <c r="CX262" s="136"/>
      <c r="CY262" s="136"/>
      <c r="CZ262" s="136"/>
      <c r="DA262" s="136"/>
      <c r="DB262" s="136"/>
      <c r="DC262" s="136"/>
      <c r="DD262" s="136"/>
      <c r="DE262" s="136"/>
      <c r="DF262" s="136"/>
      <c r="DG262" s="136"/>
      <c r="DH262" s="136"/>
      <c r="DI262" s="136"/>
      <c r="DJ262" s="136"/>
      <c r="DK262" s="136"/>
      <c r="DL262" s="136"/>
      <c r="DM262" s="136"/>
      <c r="DN262" s="136"/>
      <c r="DO262" s="136"/>
      <c r="DP262" s="136"/>
      <c r="DQ262" s="136"/>
      <c r="DR262" s="136"/>
      <c r="DS262" s="136"/>
      <c r="DT262" s="136"/>
      <c r="DU262" s="136"/>
      <c r="DV262" s="136"/>
      <c r="DW262" s="136"/>
      <c r="DX262" s="136"/>
      <c r="DY262" s="136"/>
      <c r="DZ262" s="136"/>
      <c r="EA262" s="136"/>
      <c r="EB262" s="136"/>
      <c r="EC262" s="136"/>
      <c r="ED262" s="136"/>
      <c r="EE262" s="136"/>
      <c r="EF262" s="136"/>
      <c r="EG262" s="136"/>
      <c r="EH262" s="136"/>
      <c r="EI262" s="136"/>
      <c r="EJ262" s="136"/>
      <c r="EK262" s="136"/>
      <c r="EL262" s="136"/>
      <c r="EM262" s="136"/>
      <c r="EN262" s="136"/>
      <c r="EO262" s="136"/>
      <c r="EP262" s="136"/>
      <c r="EQ262" s="136"/>
      <c r="ER262" s="136"/>
      <c r="ES262" s="136"/>
      <c r="ET262" s="136"/>
      <c r="EU262" s="136"/>
      <c r="EV262" s="136"/>
      <c r="EW262" s="136"/>
      <c r="EX262" s="136"/>
      <c r="EY262" s="136"/>
      <c r="EZ262" s="136"/>
      <c r="FA262" s="136"/>
      <c r="FB262" s="136"/>
      <c r="FC262" s="136"/>
      <c r="FD262" s="136"/>
      <c r="FE262" s="137"/>
      <c r="FF262" s="138"/>
    </row>
    <row r="263" spans="1:162" ht="12.75" x14ac:dyDescent="0.2">
      <c r="A263" s="93">
        <v>257</v>
      </c>
      <c r="B263" s="145" t="s">
        <v>392</v>
      </c>
      <c r="C263" s="141" t="s">
        <v>873</v>
      </c>
      <c r="D263" s="142" t="s">
        <v>868</v>
      </c>
      <c r="E263" s="149" t="s">
        <v>391</v>
      </c>
      <c r="F263" s="542">
        <v>51562988</v>
      </c>
      <c r="G263" s="542">
        <v>0</v>
      </c>
      <c r="H263" s="542">
        <v>51562988</v>
      </c>
      <c r="I263" s="542">
        <v>-7735</v>
      </c>
      <c r="J263" s="542">
        <v>0</v>
      </c>
      <c r="K263" s="542">
        <v>-7735</v>
      </c>
      <c r="L263" s="542">
        <v>281786</v>
      </c>
      <c r="M263" s="542">
        <v>0</v>
      </c>
      <c r="N263" s="542">
        <v>281786</v>
      </c>
      <c r="O263" s="542">
        <v>-560270</v>
      </c>
      <c r="P263" s="542">
        <v>0</v>
      </c>
      <c r="Q263" s="542">
        <v>-560270</v>
      </c>
      <c r="R263" s="542">
        <v>0</v>
      </c>
      <c r="S263" s="542">
        <v>0</v>
      </c>
      <c r="T263" s="542">
        <v>0</v>
      </c>
      <c r="U263" s="542">
        <v>-977160</v>
      </c>
      <c r="V263" s="542">
        <v>0</v>
      </c>
      <c r="W263" s="542">
        <v>-977160</v>
      </c>
      <c r="X263" s="542">
        <v>1310021</v>
      </c>
      <c r="Y263" s="542">
        <v>0</v>
      </c>
      <c r="Z263" s="542">
        <v>1310021</v>
      </c>
      <c r="AA263" s="542">
        <v>-4131359</v>
      </c>
      <c r="AB263" s="542">
        <v>0</v>
      </c>
      <c r="AC263" s="542">
        <v>-4131359</v>
      </c>
      <c r="AD263" s="542">
        <v>48038541</v>
      </c>
      <c r="AE263" s="542">
        <v>0</v>
      </c>
      <c r="AF263" s="542">
        <v>48038541</v>
      </c>
      <c r="AG263" s="542">
        <v>0</v>
      </c>
      <c r="AH263" s="542">
        <v>0</v>
      </c>
      <c r="AI263" s="542">
        <v>0</v>
      </c>
      <c r="AJ263" s="542">
        <v>0</v>
      </c>
      <c r="AK263" s="542">
        <v>0</v>
      </c>
      <c r="AL263" s="542">
        <v>0</v>
      </c>
      <c r="AM263" s="542">
        <v>0</v>
      </c>
      <c r="AN263" s="542">
        <v>0</v>
      </c>
      <c r="AO263" s="542">
        <v>0</v>
      </c>
      <c r="AP263" s="542">
        <v>0</v>
      </c>
      <c r="AQ263" s="542">
        <v>0</v>
      </c>
      <c r="AR263" s="542">
        <v>0</v>
      </c>
      <c r="AS263" s="542">
        <v>0</v>
      </c>
      <c r="AT263" s="542">
        <v>0</v>
      </c>
      <c r="AU263" s="542">
        <v>0</v>
      </c>
      <c r="AV263" s="542">
        <v>3406520</v>
      </c>
      <c r="AW263" s="542">
        <v>-705180</v>
      </c>
      <c r="AX263" s="136"/>
      <c r="AY263" s="136"/>
      <c r="AZ263" s="136"/>
      <c r="BA263" s="136"/>
      <c r="BB263" s="136"/>
      <c r="BC263" s="136"/>
      <c r="BD263" s="136"/>
      <c r="BE263" s="136"/>
      <c r="BF263" s="136"/>
      <c r="BG263" s="136"/>
      <c r="BH263" s="136"/>
      <c r="BI263" s="136"/>
      <c r="BJ263" s="136"/>
      <c r="BK263" s="136"/>
      <c r="BL263" s="136"/>
      <c r="BM263" s="136"/>
      <c r="BN263" s="136"/>
      <c r="BO263" s="136"/>
      <c r="BP263" s="136"/>
      <c r="BQ263" s="136"/>
      <c r="BR263" s="136"/>
      <c r="BS263" s="136"/>
      <c r="BT263" s="136"/>
      <c r="BU263" s="136"/>
      <c r="BV263" s="136"/>
      <c r="BW263" s="136"/>
      <c r="BX263" s="136"/>
      <c r="BY263" s="136"/>
      <c r="BZ263" s="136"/>
      <c r="CA263" s="136"/>
      <c r="CB263" s="136"/>
      <c r="CC263" s="136"/>
      <c r="CD263" s="136"/>
      <c r="CE263" s="136"/>
      <c r="CF263" s="136"/>
      <c r="CG263" s="136"/>
      <c r="CH263" s="136"/>
      <c r="CI263" s="136"/>
      <c r="CJ263" s="136"/>
      <c r="CK263" s="136"/>
      <c r="CL263" s="136"/>
      <c r="CM263" s="136"/>
      <c r="CN263" s="136"/>
      <c r="CO263" s="136"/>
      <c r="CP263" s="136"/>
      <c r="CQ263" s="136"/>
      <c r="CR263" s="136"/>
      <c r="CS263" s="136"/>
      <c r="CT263" s="136"/>
      <c r="CU263" s="136"/>
      <c r="CV263" s="136"/>
      <c r="CW263" s="136"/>
      <c r="CX263" s="136"/>
      <c r="CY263" s="136"/>
      <c r="CZ263" s="136"/>
      <c r="DA263" s="136"/>
      <c r="DB263" s="136"/>
      <c r="DC263" s="136"/>
      <c r="DD263" s="136"/>
      <c r="DE263" s="136"/>
      <c r="DF263" s="136"/>
      <c r="DG263" s="136"/>
      <c r="DH263" s="136"/>
      <c r="DI263" s="136"/>
      <c r="DJ263" s="136"/>
      <c r="DK263" s="136"/>
      <c r="DL263" s="136"/>
      <c r="DM263" s="136"/>
      <c r="DN263" s="136"/>
      <c r="DO263" s="136"/>
      <c r="DP263" s="136"/>
      <c r="DQ263" s="136"/>
      <c r="DR263" s="136"/>
      <c r="DS263" s="136"/>
      <c r="DT263" s="136"/>
      <c r="DU263" s="136"/>
      <c r="DV263" s="136"/>
      <c r="DW263" s="136"/>
      <c r="DX263" s="136"/>
      <c r="DY263" s="136"/>
      <c r="DZ263" s="136"/>
      <c r="EA263" s="136"/>
      <c r="EB263" s="136"/>
      <c r="EC263" s="136"/>
      <c r="ED263" s="136"/>
      <c r="EE263" s="136"/>
      <c r="EF263" s="136"/>
      <c r="EG263" s="136"/>
      <c r="EH263" s="136"/>
      <c r="EI263" s="136"/>
      <c r="EJ263" s="136"/>
      <c r="EK263" s="136"/>
      <c r="EL263" s="136"/>
      <c r="EM263" s="136"/>
      <c r="EN263" s="136"/>
      <c r="EO263" s="136"/>
      <c r="EP263" s="136"/>
      <c r="EQ263" s="136"/>
      <c r="ER263" s="136"/>
      <c r="ES263" s="136"/>
      <c r="ET263" s="136"/>
      <c r="EU263" s="136"/>
      <c r="EV263" s="136"/>
      <c r="EW263" s="136"/>
      <c r="EX263" s="136"/>
      <c r="EY263" s="136"/>
      <c r="EZ263" s="136"/>
      <c r="FA263" s="136"/>
      <c r="FB263" s="136"/>
      <c r="FC263" s="136"/>
      <c r="FD263" s="136"/>
      <c r="FE263" s="137"/>
      <c r="FF263" s="138"/>
    </row>
    <row r="264" spans="1:162" ht="12.75" x14ac:dyDescent="0.2">
      <c r="A264" s="93">
        <v>258</v>
      </c>
      <c r="B264" s="145" t="s">
        <v>394</v>
      </c>
      <c r="C264" s="141" t="s">
        <v>866</v>
      </c>
      <c r="D264" s="142" t="s">
        <v>876</v>
      </c>
      <c r="E264" s="149" t="s">
        <v>393</v>
      </c>
      <c r="F264" s="542">
        <v>44131880</v>
      </c>
      <c r="G264" s="542">
        <v>0</v>
      </c>
      <c r="H264" s="542">
        <v>44131880</v>
      </c>
      <c r="I264" s="542">
        <v>0</v>
      </c>
      <c r="J264" s="542">
        <v>0</v>
      </c>
      <c r="K264" s="542">
        <v>0</v>
      </c>
      <c r="L264" s="542">
        <v>455</v>
      </c>
      <c r="M264" s="542">
        <v>0</v>
      </c>
      <c r="N264" s="542">
        <v>455</v>
      </c>
      <c r="O264" s="542">
        <v>-158681</v>
      </c>
      <c r="P264" s="542">
        <v>0</v>
      </c>
      <c r="Q264" s="542">
        <v>-158681</v>
      </c>
      <c r="R264" s="542">
        <v>0</v>
      </c>
      <c r="S264" s="542">
        <v>0</v>
      </c>
      <c r="T264" s="542">
        <v>0</v>
      </c>
      <c r="U264" s="542">
        <v>-197372</v>
      </c>
      <c r="V264" s="542">
        <v>0</v>
      </c>
      <c r="W264" s="542">
        <v>-197372</v>
      </c>
      <c r="X264" s="542">
        <v>719309</v>
      </c>
      <c r="Y264" s="542">
        <v>0</v>
      </c>
      <c r="Z264" s="542">
        <v>719309</v>
      </c>
      <c r="AA264" s="542">
        <v>-3819968</v>
      </c>
      <c r="AB264" s="542">
        <v>0</v>
      </c>
      <c r="AC264" s="542">
        <v>-3819968</v>
      </c>
      <c r="AD264" s="542">
        <v>40834304</v>
      </c>
      <c r="AE264" s="542">
        <v>0</v>
      </c>
      <c r="AF264" s="542">
        <v>40834304</v>
      </c>
      <c r="AG264" s="542">
        <v>0</v>
      </c>
      <c r="AH264" s="542">
        <v>0</v>
      </c>
      <c r="AI264" s="542">
        <v>0</v>
      </c>
      <c r="AJ264" s="542">
        <v>0</v>
      </c>
      <c r="AK264" s="542">
        <v>0</v>
      </c>
      <c r="AL264" s="542">
        <v>0</v>
      </c>
      <c r="AM264" s="542">
        <v>0</v>
      </c>
      <c r="AN264" s="542">
        <v>0</v>
      </c>
      <c r="AO264" s="542">
        <v>0</v>
      </c>
      <c r="AP264" s="542">
        <v>0</v>
      </c>
      <c r="AQ264" s="542">
        <v>0</v>
      </c>
      <c r="AR264" s="542">
        <v>0</v>
      </c>
      <c r="AS264" s="542">
        <v>0</v>
      </c>
      <c r="AT264" s="542">
        <v>0</v>
      </c>
      <c r="AU264" s="542">
        <v>0</v>
      </c>
      <c r="AV264" s="542">
        <v>1877313</v>
      </c>
      <c r="AW264" s="542">
        <v>-218348</v>
      </c>
      <c r="AX264" s="136"/>
      <c r="AY264" s="136"/>
      <c r="AZ264" s="136"/>
      <c r="BA264" s="136"/>
      <c r="BB264" s="136"/>
      <c r="BC264" s="136"/>
      <c r="BD264" s="136"/>
      <c r="BE264" s="136"/>
      <c r="BF264" s="136"/>
      <c r="BG264" s="136"/>
      <c r="BH264" s="136"/>
      <c r="BI264" s="136"/>
      <c r="BJ264" s="136"/>
      <c r="BK264" s="136"/>
      <c r="BL264" s="136"/>
      <c r="BM264" s="136"/>
      <c r="BN264" s="136"/>
      <c r="BO264" s="136"/>
      <c r="BP264" s="136"/>
      <c r="BQ264" s="136"/>
      <c r="BR264" s="136"/>
      <c r="BS264" s="136"/>
      <c r="BT264" s="136"/>
      <c r="BU264" s="136"/>
      <c r="BV264" s="136"/>
      <c r="BW264" s="136"/>
      <c r="BX264" s="136"/>
      <c r="BY264" s="136"/>
      <c r="BZ264" s="136"/>
      <c r="CA264" s="136"/>
      <c r="CB264" s="136"/>
      <c r="CC264" s="136"/>
      <c r="CD264" s="136"/>
      <c r="CE264" s="136"/>
      <c r="CF264" s="136"/>
      <c r="CG264" s="136"/>
      <c r="CH264" s="136"/>
      <c r="CI264" s="136"/>
      <c r="CJ264" s="136"/>
      <c r="CK264" s="136"/>
      <c r="CL264" s="136"/>
      <c r="CM264" s="136"/>
      <c r="CN264" s="136"/>
      <c r="CO264" s="136"/>
      <c r="CP264" s="136"/>
      <c r="CQ264" s="136"/>
      <c r="CR264" s="136"/>
      <c r="CS264" s="136"/>
      <c r="CT264" s="136"/>
      <c r="CU264" s="136"/>
      <c r="CV264" s="136"/>
      <c r="CW264" s="136"/>
      <c r="CX264" s="136"/>
      <c r="CY264" s="136"/>
      <c r="CZ264" s="136"/>
      <c r="DA264" s="136"/>
      <c r="DB264" s="136"/>
      <c r="DC264" s="136"/>
      <c r="DD264" s="136"/>
      <c r="DE264" s="136"/>
      <c r="DF264" s="136"/>
      <c r="DG264" s="136"/>
      <c r="DH264" s="136"/>
      <c r="DI264" s="136"/>
      <c r="DJ264" s="136"/>
      <c r="DK264" s="136"/>
      <c r="DL264" s="136"/>
      <c r="DM264" s="136"/>
      <c r="DN264" s="136"/>
      <c r="DO264" s="136"/>
      <c r="DP264" s="136"/>
      <c r="DQ264" s="136"/>
      <c r="DR264" s="136"/>
      <c r="DS264" s="136"/>
      <c r="DT264" s="136"/>
      <c r="DU264" s="136"/>
      <c r="DV264" s="136"/>
      <c r="DW264" s="136"/>
      <c r="DX264" s="136"/>
      <c r="DY264" s="136"/>
      <c r="DZ264" s="136"/>
      <c r="EA264" s="136"/>
      <c r="EB264" s="136"/>
      <c r="EC264" s="136"/>
      <c r="ED264" s="136"/>
      <c r="EE264" s="136"/>
      <c r="EF264" s="136"/>
      <c r="EG264" s="136"/>
      <c r="EH264" s="136"/>
      <c r="EI264" s="136"/>
      <c r="EJ264" s="136"/>
      <c r="EK264" s="136"/>
      <c r="EL264" s="136"/>
      <c r="EM264" s="136"/>
      <c r="EN264" s="136"/>
      <c r="EO264" s="136"/>
      <c r="EP264" s="136"/>
      <c r="EQ264" s="136"/>
      <c r="ER264" s="136"/>
      <c r="ES264" s="136"/>
      <c r="ET264" s="136"/>
      <c r="EU264" s="136"/>
      <c r="EV264" s="136"/>
      <c r="EW264" s="136"/>
      <c r="EX264" s="136"/>
      <c r="EY264" s="136"/>
      <c r="EZ264" s="136"/>
      <c r="FA264" s="136"/>
      <c r="FB264" s="136"/>
      <c r="FC264" s="136"/>
      <c r="FD264" s="136"/>
      <c r="FE264" s="137"/>
      <c r="FF264" s="138"/>
    </row>
    <row r="265" spans="1:162" ht="12.75" x14ac:dyDescent="0.2">
      <c r="A265" s="93">
        <v>259</v>
      </c>
      <c r="B265" s="145" t="s">
        <v>396</v>
      </c>
      <c r="C265" s="141" t="s">
        <v>866</v>
      </c>
      <c r="D265" s="142" t="s">
        <v>876</v>
      </c>
      <c r="E265" s="149" t="s">
        <v>395</v>
      </c>
      <c r="F265" s="542">
        <v>17987002</v>
      </c>
      <c r="G265" s="542">
        <v>0</v>
      </c>
      <c r="H265" s="542">
        <v>17987002</v>
      </c>
      <c r="I265" s="542">
        <v>0</v>
      </c>
      <c r="J265" s="542">
        <v>0</v>
      </c>
      <c r="K265" s="542">
        <v>0</v>
      </c>
      <c r="L265" s="542">
        <v>55118</v>
      </c>
      <c r="M265" s="542">
        <v>0</v>
      </c>
      <c r="N265" s="542">
        <v>55118</v>
      </c>
      <c r="O265" s="542">
        <v>-166283</v>
      </c>
      <c r="P265" s="542">
        <v>0</v>
      </c>
      <c r="Q265" s="542">
        <v>-166283</v>
      </c>
      <c r="R265" s="542">
        <v>0</v>
      </c>
      <c r="S265" s="542">
        <v>0</v>
      </c>
      <c r="T265" s="542">
        <v>0</v>
      </c>
      <c r="U265" s="542">
        <v>-197853</v>
      </c>
      <c r="V265" s="542">
        <v>0</v>
      </c>
      <c r="W265" s="542">
        <v>-197853</v>
      </c>
      <c r="X265" s="542">
        <v>39078</v>
      </c>
      <c r="Y265" s="542">
        <v>0</v>
      </c>
      <c r="Z265" s="542">
        <v>39078</v>
      </c>
      <c r="AA265" s="542">
        <v>-694557.58</v>
      </c>
      <c r="AB265" s="542">
        <v>0</v>
      </c>
      <c r="AC265" s="542">
        <v>-694557.58</v>
      </c>
      <c r="AD265" s="542">
        <v>17188787.399999999</v>
      </c>
      <c r="AE265" s="542">
        <v>0</v>
      </c>
      <c r="AF265" s="542">
        <v>17188787.399999999</v>
      </c>
      <c r="AG265" s="542">
        <v>0</v>
      </c>
      <c r="AH265" s="542">
        <v>0</v>
      </c>
      <c r="AI265" s="542">
        <v>0</v>
      </c>
      <c r="AJ265" s="542">
        <v>0</v>
      </c>
      <c r="AK265" s="542">
        <v>0</v>
      </c>
      <c r="AL265" s="542">
        <v>0</v>
      </c>
      <c r="AM265" s="542">
        <v>0</v>
      </c>
      <c r="AN265" s="542">
        <v>0</v>
      </c>
      <c r="AO265" s="542">
        <v>0</v>
      </c>
      <c r="AP265" s="542">
        <v>0</v>
      </c>
      <c r="AQ265" s="542">
        <v>0</v>
      </c>
      <c r="AR265" s="542">
        <v>0</v>
      </c>
      <c r="AS265" s="542">
        <v>0</v>
      </c>
      <c r="AT265" s="542">
        <v>0</v>
      </c>
      <c r="AU265" s="542">
        <v>0</v>
      </c>
      <c r="AV265" s="542">
        <v>789954</v>
      </c>
      <c r="AW265" s="542">
        <v>-321704</v>
      </c>
      <c r="AX265" s="136"/>
      <c r="AY265" s="136"/>
      <c r="AZ265" s="136"/>
      <c r="BA265" s="136"/>
      <c r="BB265" s="136"/>
      <c r="BC265" s="136"/>
      <c r="BD265" s="136"/>
      <c r="BE265" s="136"/>
      <c r="BF265" s="136"/>
      <c r="BG265" s="136"/>
      <c r="BH265" s="136"/>
      <c r="BI265" s="136"/>
      <c r="BJ265" s="136"/>
      <c r="BK265" s="136"/>
      <c r="BL265" s="136"/>
      <c r="BM265" s="136"/>
      <c r="BN265" s="136"/>
      <c r="BO265" s="136"/>
      <c r="BP265" s="136"/>
      <c r="BQ265" s="136"/>
      <c r="BR265" s="136"/>
      <c r="BS265" s="136"/>
      <c r="BT265" s="136"/>
      <c r="BU265" s="136"/>
      <c r="BV265" s="136"/>
      <c r="BW265" s="136"/>
      <c r="BX265" s="136"/>
      <c r="BY265" s="136"/>
      <c r="BZ265" s="136"/>
      <c r="CA265" s="136"/>
      <c r="CB265" s="136"/>
      <c r="CC265" s="136"/>
      <c r="CD265" s="136"/>
      <c r="CE265" s="136"/>
      <c r="CF265" s="136"/>
      <c r="CG265" s="136"/>
      <c r="CH265" s="136"/>
      <c r="CI265" s="136"/>
      <c r="CJ265" s="136"/>
      <c r="CK265" s="136"/>
      <c r="CL265" s="136"/>
      <c r="CM265" s="136"/>
      <c r="CN265" s="136"/>
      <c r="CO265" s="136"/>
      <c r="CP265" s="136"/>
      <c r="CQ265" s="136"/>
      <c r="CR265" s="136"/>
      <c r="CS265" s="136"/>
      <c r="CT265" s="136"/>
      <c r="CU265" s="136"/>
      <c r="CV265" s="136"/>
      <c r="CW265" s="136"/>
      <c r="CX265" s="136"/>
      <c r="CY265" s="136"/>
      <c r="CZ265" s="136"/>
      <c r="DA265" s="136"/>
      <c r="DB265" s="136"/>
      <c r="DC265" s="136"/>
      <c r="DD265" s="136"/>
      <c r="DE265" s="136"/>
      <c r="DF265" s="136"/>
      <c r="DG265" s="136"/>
      <c r="DH265" s="136"/>
      <c r="DI265" s="136"/>
      <c r="DJ265" s="136"/>
      <c r="DK265" s="136"/>
      <c r="DL265" s="136"/>
      <c r="DM265" s="136"/>
      <c r="DN265" s="136"/>
      <c r="DO265" s="136"/>
      <c r="DP265" s="136"/>
      <c r="DQ265" s="136"/>
      <c r="DR265" s="136"/>
      <c r="DS265" s="136"/>
      <c r="DT265" s="136"/>
      <c r="DU265" s="136"/>
      <c r="DV265" s="136"/>
      <c r="DW265" s="136"/>
      <c r="DX265" s="136"/>
      <c r="DY265" s="136"/>
      <c r="DZ265" s="136"/>
      <c r="EA265" s="136"/>
      <c r="EB265" s="136"/>
      <c r="EC265" s="136"/>
      <c r="ED265" s="136"/>
      <c r="EE265" s="136"/>
      <c r="EF265" s="136"/>
      <c r="EG265" s="136"/>
      <c r="EH265" s="136"/>
      <c r="EI265" s="136"/>
      <c r="EJ265" s="136"/>
      <c r="EK265" s="136"/>
      <c r="EL265" s="136"/>
      <c r="EM265" s="136"/>
      <c r="EN265" s="136"/>
      <c r="EO265" s="136"/>
      <c r="EP265" s="136"/>
      <c r="EQ265" s="136"/>
      <c r="ER265" s="136"/>
      <c r="ES265" s="136"/>
      <c r="ET265" s="136"/>
      <c r="EU265" s="136"/>
      <c r="EV265" s="136"/>
      <c r="EW265" s="136"/>
      <c r="EX265" s="136"/>
      <c r="EY265" s="136"/>
      <c r="EZ265" s="136"/>
      <c r="FA265" s="136"/>
      <c r="FB265" s="136"/>
      <c r="FC265" s="136"/>
      <c r="FD265" s="136"/>
      <c r="FE265" s="137"/>
      <c r="FF265" s="138"/>
    </row>
    <row r="266" spans="1:162" ht="12.75" x14ac:dyDescent="0.2">
      <c r="A266" s="93">
        <v>260</v>
      </c>
      <c r="B266" s="145" t="s">
        <v>398</v>
      </c>
      <c r="C266" s="141" t="s">
        <v>866</v>
      </c>
      <c r="D266" s="142" t="s">
        <v>870</v>
      </c>
      <c r="E266" s="149" t="s">
        <v>397</v>
      </c>
      <c r="F266" s="542">
        <v>48221917</v>
      </c>
      <c r="G266" s="542">
        <v>0</v>
      </c>
      <c r="H266" s="542">
        <v>48221917</v>
      </c>
      <c r="I266" s="542">
        <v>0</v>
      </c>
      <c r="J266" s="542">
        <v>0</v>
      </c>
      <c r="K266" s="542">
        <v>0</v>
      </c>
      <c r="L266" s="542">
        <v>163834</v>
      </c>
      <c r="M266" s="542">
        <v>0</v>
      </c>
      <c r="N266" s="542">
        <v>163834</v>
      </c>
      <c r="O266" s="542">
        <v>-1184806</v>
      </c>
      <c r="P266" s="542">
        <v>0</v>
      </c>
      <c r="Q266" s="542">
        <v>-1184806</v>
      </c>
      <c r="R266" s="542">
        <v>0</v>
      </c>
      <c r="S266" s="542">
        <v>0</v>
      </c>
      <c r="T266" s="542">
        <v>0</v>
      </c>
      <c r="U266" s="542">
        <v>-996536</v>
      </c>
      <c r="V266" s="542">
        <v>0</v>
      </c>
      <c r="W266" s="542">
        <v>-996536</v>
      </c>
      <c r="X266" s="542">
        <v>0</v>
      </c>
      <c r="Y266" s="542">
        <v>0</v>
      </c>
      <c r="Z266" s="542">
        <v>0</v>
      </c>
      <c r="AA266" s="542">
        <v>-2546713</v>
      </c>
      <c r="AB266" s="542">
        <v>0</v>
      </c>
      <c r="AC266" s="542">
        <v>-2546713</v>
      </c>
      <c r="AD266" s="542">
        <v>44842502</v>
      </c>
      <c r="AE266" s="542">
        <v>0</v>
      </c>
      <c r="AF266" s="542">
        <v>44842502</v>
      </c>
      <c r="AG266" s="542">
        <v>0</v>
      </c>
      <c r="AH266" s="542">
        <v>0</v>
      </c>
      <c r="AI266" s="542">
        <v>0</v>
      </c>
      <c r="AJ266" s="542">
        <v>0</v>
      </c>
      <c r="AK266" s="542">
        <v>0</v>
      </c>
      <c r="AL266" s="542">
        <v>0</v>
      </c>
      <c r="AM266" s="542">
        <v>0</v>
      </c>
      <c r="AN266" s="542">
        <v>0</v>
      </c>
      <c r="AO266" s="542">
        <v>0</v>
      </c>
      <c r="AP266" s="542">
        <v>0</v>
      </c>
      <c r="AQ266" s="542">
        <v>0</v>
      </c>
      <c r="AR266" s="542">
        <v>0</v>
      </c>
      <c r="AS266" s="542">
        <v>0</v>
      </c>
      <c r="AT266" s="542">
        <v>0</v>
      </c>
      <c r="AU266" s="542">
        <v>0</v>
      </c>
      <c r="AV266" s="542">
        <v>3157545</v>
      </c>
      <c r="AW266" s="542">
        <v>-1122591</v>
      </c>
      <c r="AX266" s="136"/>
      <c r="AY266" s="136"/>
      <c r="AZ266" s="136"/>
      <c r="BA266" s="136"/>
      <c r="BB266" s="136"/>
      <c r="BC266" s="136"/>
      <c r="BD266" s="136"/>
      <c r="BE266" s="136"/>
      <c r="BF266" s="136"/>
      <c r="BG266" s="136"/>
      <c r="BH266" s="136"/>
      <c r="BI266" s="136"/>
      <c r="BJ266" s="136"/>
      <c r="BK266" s="136"/>
      <c r="BL266" s="136"/>
      <c r="BM266" s="136"/>
      <c r="BN266" s="136"/>
      <c r="BO266" s="136"/>
      <c r="BP266" s="136"/>
      <c r="BQ266" s="136"/>
      <c r="BR266" s="136"/>
      <c r="BS266" s="136"/>
      <c r="BT266" s="136"/>
      <c r="BU266" s="136"/>
      <c r="BV266" s="136"/>
      <c r="BW266" s="136"/>
      <c r="BX266" s="136"/>
      <c r="BY266" s="136"/>
      <c r="BZ266" s="136"/>
      <c r="CA266" s="136"/>
      <c r="CB266" s="136"/>
      <c r="CC266" s="136"/>
      <c r="CD266" s="136"/>
      <c r="CE266" s="136"/>
      <c r="CF266" s="136"/>
      <c r="CG266" s="136"/>
      <c r="CH266" s="136"/>
      <c r="CI266" s="136"/>
      <c r="CJ266" s="136"/>
      <c r="CK266" s="136"/>
      <c r="CL266" s="136"/>
      <c r="CM266" s="136"/>
      <c r="CN266" s="136"/>
      <c r="CO266" s="136"/>
      <c r="CP266" s="136"/>
      <c r="CQ266" s="136"/>
      <c r="CR266" s="136"/>
      <c r="CS266" s="136"/>
      <c r="CT266" s="136"/>
      <c r="CU266" s="136"/>
      <c r="CV266" s="136"/>
      <c r="CW266" s="136"/>
      <c r="CX266" s="136"/>
      <c r="CY266" s="136"/>
      <c r="CZ266" s="136"/>
      <c r="DA266" s="136"/>
      <c r="DB266" s="136"/>
      <c r="DC266" s="136"/>
      <c r="DD266" s="136"/>
      <c r="DE266" s="136"/>
      <c r="DF266" s="136"/>
      <c r="DG266" s="136"/>
      <c r="DH266" s="136"/>
      <c r="DI266" s="136"/>
      <c r="DJ266" s="136"/>
      <c r="DK266" s="136"/>
      <c r="DL266" s="136"/>
      <c r="DM266" s="136"/>
      <c r="DN266" s="136"/>
      <c r="DO266" s="136"/>
      <c r="DP266" s="136"/>
      <c r="DQ266" s="136"/>
      <c r="DR266" s="136"/>
      <c r="DS266" s="136"/>
      <c r="DT266" s="136"/>
      <c r="DU266" s="136"/>
      <c r="DV266" s="136"/>
      <c r="DW266" s="136"/>
      <c r="DX266" s="136"/>
      <c r="DY266" s="136"/>
      <c r="DZ266" s="136"/>
      <c r="EA266" s="136"/>
      <c r="EB266" s="136"/>
      <c r="EC266" s="136"/>
      <c r="ED266" s="136"/>
      <c r="EE266" s="136"/>
      <c r="EF266" s="136"/>
      <c r="EG266" s="136"/>
      <c r="EH266" s="136"/>
      <c r="EI266" s="136"/>
      <c r="EJ266" s="136"/>
      <c r="EK266" s="136"/>
      <c r="EL266" s="136"/>
      <c r="EM266" s="136"/>
      <c r="EN266" s="136"/>
      <c r="EO266" s="136"/>
      <c r="EP266" s="136"/>
      <c r="EQ266" s="136"/>
      <c r="ER266" s="136"/>
      <c r="ES266" s="136"/>
      <c r="ET266" s="136"/>
      <c r="EU266" s="136"/>
      <c r="EV266" s="136"/>
      <c r="EW266" s="136"/>
      <c r="EX266" s="136"/>
      <c r="EY266" s="136"/>
      <c r="EZ266" s="136"/>
      <c r="FA266" s="136"/>
      <c r="FB266" s="136"/>
      <c r="FC266" s="136"/>
      <c r="FD266" s="136"/>
      <c r="FE266" s="137"/>
      <c r="FF266" s="138"/>
    </row>
    <row r="267" spans="1:162" ht="12.75" x14ac:dyDescent="0.2">
      <c r="A267" s="93">
        <v>261</v>
      </c>
      <c r="B267" s="145" t="s">
        <v>400</v>
      </c>
      <c r="C267" s="141" t="s">
        <v>873</v>
      </c>
      <c r="D267" s="142" t="s">
        <v>868</v>
      </c>
      <c r="E267" s="149" t="s">
        <v>399</v>
      </c>
      <c r="F267" s="542">
        <v>92507562</v>
      </c>
      <c r="G267" s="542">
        <v>0</v>
      </c>
      <c r="H267" s="542">
        <v>92507562</v>
      </c>
      <c r="I267" s="542">
        <v>0</v>
      </c>
      <c r="J267" s="542">
        <v>0</v>
      </c>
      <c r="K267" s="542">
        <v>0</v>
      </c>
      <c r="L267" s="542">
        <v>395000</v>
      </c>
      <c r="M267" s="542">
        <v>0</v>
      </c>
      <c r="N267" s="542">
        <v>395000</v>
      </c>
      <c r="O267" s="542">
        <v>-840245</v>
      </c>
      <c r="P267" s="542">
        <v>0</v>
      </c>
      <c r="Q267" s="542">
        <v>-840245</v>
      </c>
      <c r="R267" s="542">
        <v>0</v>
      </c>
      <c r="S267" s="542">
        <v>0</v>
      </c>
      <c r="T267" s="542">
        <v>0</v>
      </c>
      <c r="U267" s="542">
        <v>-1569244</v>
      </c>
      <c r="V267" s="542">
        <v>0</v>
      </c>
      <c r="W267" s="542">
        <v>-1569244</v>
      </c>
      <c r="X267" s="542">
        <v>2197973</v>
      </c>
      <c r="Y267" s="542">
        <v>0</v>
      </c>
      <c r="Z267" s="542">
        <v>2197973</v>
      </c>
      <c r="AA267" s="542">
        <v>-2230692</v>
      </c>
      <c r="AB267" s="542">
        <v>0</v>
      </c>
      <c r="AC267" s="542">
        <v>-2230692</v>
      </c>
      <c r="AD267" s="542">
        <v>91300599</v>
      </c>
      <c r="AE267" s="542">
        <v>0</v>
      </c>
      <c r="AF267" s="542">
        <v>91300599</v>
      </c>
      <c r="AG267" s="542">
        <v>0</v>
      </c>
      <c r="AH267" s="542">
        <v>0</v>
      </c>
      <c r="AI267" s="542">
        <v>0</v>
      </c>
      <c r="AJ267" s="542">
        <v>0</v>
      </c>
      <c r="AK267" s="542">
        <v>0</v>
      </c>
      <c r="AL267" s="542">
        <v>0</v>
      </c>
      <c r="AM267" s="542">
        <v>0</v>
      </c>
      <c r="AN267" s="542">
        <v>0</v>
      </c>
      <c r="AO267" s="542">
        <v>0</v>
      </c>
      <c r="AP267" s="542">
        <v>0</v>
      </c>
      <c r="AQ267" s="542">
        <v>0</v>
      </c>
      <c r="AR267" s="542">
        <v>0</v>
      </c>
      <c r="AS267" s="542">
        <v>0</v>
      </c>
      <c r="AT267" s="542">
        <v>0</v>
      </c>
      <c r="AU267" s="542">
        <v>0</v>
      </c>
      <c r="AV267" s="542">
        <v>12392573</v>
      </c>
      <c r="AW267" s="542">
        <v>-1376394</v>
      </c>
      <c r="AX267" s="136"/>
      <c r="AY267" s="136"/>
      <c r="AZ267" s="136"/>
      <c r="BA267" s="136"/>
      <c r="BB267" s="136"/>
      <c r="BC267" s="136"/>
      <c r="BD267" s="136"/>
      <c r="BE267" s="136"/>
      <c r="BF267" s="136"/>
      <c r="BG267" s="136"/>
      <c r="BH267" s="136"/>
      <c r="BI267" s="136"/>
      <c r="BJ267" s="136"/>
      <c r="BK267" s="136"/>
      <c r="BL267" s="136"/>
      <c r="BM267" s="136"/>
      <c r="BN267" s="136"/>
      <c r="BO267" s="136"/>
      <c r="BP267" s="136"/>
      <c r="BQ267" s="136"/>
      <c r="BR267" s="136"/>
      <c r="BS267" s="136"/>
      <c r="BT267" s="136"/>
      <c r="BU267" s="136"/>
      <c r="BV267" s="136"/>
      <c r="BW267" s="136"/>
      <c r="BX267" s="136"/>
      <c r="BY267" s="136"/>
      <c r="BZ267" s="136"/>
      <c r="CA267" s="136"/>
      <c r="CB267" s="136"/>
      <c r="CC267" s="136"/>
      <c r="CD267" s="136"/>
      <c r="CE267" s="136"/>
      <c r="CF267" s="136"/>
      <c r="CG267" s="136"/>
      <c r="CH267" s="136"/>
      <c r="CI267" s="136"/>
      <c r="CJ267" s="136"/>
      <c r="CK267" s="136"/>
      <c r="CL267" s="136"/>
      <c r="CM267" s="136"/>
      <c r="CN267" s="136"/>
      <c r="CO267" s="136"/>
      <c r="CP267" s="136"/>
      <c r="CQ267" s="136"/>
      <c r="CR267" s="136"/>
      <c r="CS267" s="136"/>
      <c r="CT267" s="136"/>
      <c r="CU267" s="136"/>
      <c r="CV267" s="136"/>
      <c r="CW267" s="136"/>
      <c r="CX267" s="136"/>
      <c r="CY267" s="136"/>
      <c r="CZ267" s="136"/>
      <c r="DA267" s="136"/>
      <c r="DB267" s="136"/>
      <c r="DC267" s="136"/>
      <c r="DD267" s="136"/>
      <c r="DE267" s="136"/>
      <c r="DF267" s="136"/>
      <c r="DG267" s="136"/>
      <c r="DH267" s="136"/>
      <c r="DI267" s="136"/>
      <c r="DJ267" s="136"/>
      <c r="DK267" s="136"/>
      <c r="DL267" s="136"/>
      <c r="DM267" s="136"/>
      <c r="DN267" s="136"/>
      <c r="DO267" s="136"/>
      <c r="DP267" s="136"/>
      <c r="DQ267" s="136"/>
      <c r="DR267" s="136"/>
      <c r="DS267" s="136"/>
      <c r="DT267" s="136"/>
      <c r="DU267" s="136"/>
      <c r="DV267" s="136"/>
      <c r="DW267" s="136"/>
      <c r="DX267" s="136"/>
      <c r="DY267" s="136"/>
      <c r="DZ267" s="136"/>
      <c r="EA267" s="136"/>
      <c r="EB267" s="136"/>
      <c r="EC267" s="136"/>
      <c r="ED267" s="136"/>
      <c r="EE267" s="136"/>
      <c r="EF267" s="136"/>
      <c r="EG267" s="136"/>
      <c r="EH267" s="136"/>
      <c r="EI267" s="136"/>
      <c r="EJ267" s="136"/>
      <c r="EK267" s="136"/>
      <c r="EL267" s="136"/>
      <c r="EM267" s="136"/>
      <c r="EN267" s="136"/>
      <c r="EO267" s="136"/>
      <c r="EP267" s="136"/>
      <c r="EQ267" s="136"/>
      <c r="ER267" s="136"/>
      <c r="ES267" s="136"/>
      <c r="ET267" s="136"/>
      <c r="EU267" s="136"/>
      <c r="EV267" s="136"/>
      <c r="EW267" s="136"/>
      <c r="EX267" s="136"/>
      <c r="EY267" s="136"/>
      <c r="EZ267" s="136"/>
      <c r="FA267" s="136"/>
      <c r="FB267" s="136"/>
      <c r="FC267" s="136"/>
      <c r="FD267" s="136"/>
      <c r="FE267" s="137"/>
      <c r="FF267" s="138"/>
    </row>
    <row r="268" spans="1:162" ht="12.75" x14ac:dyDescent="0.2">
      <c r="A268" s="93">
        <v>262</v>
      </c>
      <c r="B268" s="145" t="s">
        <v>402</v>
      </c>
      <c r="C268" s="141" t="s">
        <v>770</v>
      </c>
      <c r="D268" s="142" t="s">
        <v>878</v>
      </c>
      <c r="E268" s="149" t="s">
        <v>727</v>
      </c>
      <c r="F268" s="542">
        <v>80411068</v>
      </c>
      <c r="G268" s="542">
        <v>112030</v>
      </c>
      <c r="H268" s="542">
        <v>80523098</v>
      </c>
      <c r="I268" s="542">
        <v>0</v>
      </c>
      <c r="J268" s="542">
        <v>0</v>
      </c>
      <c r="K268" s="542">
        <v>0</v>
      </c>
      <c r="L268" s="542">
        <v>47</v>
      </c>
      <c r="M268" s="542">
        <v>0</v>
      </c>
      <c r="N268" s="542">
        <v>47</v>
      </c>
      <c r="O268" s="542">
        <v>-316495</v>
      </c>
      <c r="P268" s="542">
        <v>0</v>
      </c>
      <c r="Q268" s="542">
        <v>-316495</v>
      </c>
      <c r="R268" s="542">
        <v>0</v>
      </c>
      <c r="S268" s="542">
        <v>0</v>
      </c>
      <c r="T268" s="542">
        <v>0</v>
      </c>
      <c r="U268" s="542">
        <v>-569977</v>
      </c>
      <c r="V268" s="542">
        <v>0</v>
      </c>
      <c r="W268" s="542">
        <v>-569977</v>
      </c>
      <c r="X268" s="542">
        <v>2830353</v>
      </c>
      <c r="Y268" s="542">
        <v>0</v>
      </c>
      <c r="Z268" s="542">
        <v>2830353</v>
      </c>
      <c r="AA268" s="542">
        <v>-5912727</v>
      </c>
      <c r="AB268" s="542">
        <v>0</v>
      </c>
      <c r="AC268" s="542">
        <v>-5912727</v>
      </c>
      <c r="AD268" s="542">
        <v>76758764</v>
      </c>
      <c r="AE268" s="542">
        <v>112030</v>
      </c>
      <c r="AF268" s="542">
        <v>76870794</v>
      </c>
      <c r="AG268" s="542">
        <v>112030</v>
      </c>
      <c r="AH268" s="542">
        <v>0</v>
      </c>
      <c r="AI268" s="542">
        <v>112030</v>
      </c>
      <c r="AJ268" s="542">
        <v>0</v>
      </c>
      <c r="AK268" s="542">
        <v>0</v>
      </c>
      <c r="AL268" s="542">
        <v>0</v>
      </c>
      <c r="AM268" s="542">
        <v>0</v>
      </c>
      <c r="AN268" s="542">
        <v>0</v>
      </c>
      <c r="AO268" s="542">
        <v>0</v>
      </c>
      <c r="AP268" s="542">
        <v>0</v>
      </c>
      <c r="AQ268" s="542">
        <v>0</v>
      </c>
      <c r="AR268" s="542">
        <v>0</v>
      </c>
      <c r="AS268" s="542">
        <v>112030</v>
      </c>
      <c r="AT268" s="542">
        <v>0</v>
      </c>
      <c r="AU268" s="542">
        <v>112030</v>
      </c>
      <c r="AV268" s="542">
        <v>1128223</v>
      </c>
      <c r="AW268" s="542">
        <v>-909738</v>
      </c>
      <c r="AX268" s="136"/>
      <c r="AY268" s="136"/>
      <c r="AZ268" s="136"/>
      <c r="BA268" s="136"/>
      <c r="BB268" s="136"/>
      <c r="BC268" s="136"/>
      <c r="BD268" s="136"/>
      <c r="BE268" s="136"/>
      <c r="BF268" s="136"/>
      <c r="BG268" s="136"/>
      <c r="BH268" s="136"/>
      <c r="BI268" s="136"/>
      <c r="BJ268" s="136"/>
      <c r="BK268" s="136"/>
      <c r="BL268" s="136"/>
      <c r="BM268" s="136"/>
      <c r="BN268" s="136"/>
      <c r="BO268" s="136"/>
      <c r="BP268" s="136"/>
      <c r="BQ268" s="136"/>
      <c r="BR268" s="136"/>
      <c r="BS268" s="136"/>
      <c r="BT268" s="136"/>
      <c r="BU268" s="136"/>
      <c r="BV268" s="136"/>
      <c r="BW268" s="136"/>
      <c r="BX268" s="136"/>
      <c r="BY268" s="136"/>
      <c r="BZ268" s="136"/>
      <c r="CA268" s="136"/>
      <c r="CB268" s="136"/>
      <c r="CC268" s="136"/>
      <c r="CD268" s="136"/>
      <c r="CE268" s="136"/>
      <c r="CF268" s="136"/>
      <c r="CG268" s="136"/>
      <c r="CH268" s="136"/>
      <c r="CI268" s="136"/>
      <c r="CJ268" s="136"/>
      <c r="CK268" s="136"/>
      <c r="CL268" s="136"/>
      <c r="CM268" s="136"/>
      <c r="CN268" s="136"/>
      <c r="CO268" s="136"/>
      <c r="CP268" s="136"/>
      <c r="CQ268" s="136"/>
      <c r="CR268" s="136"/>
      <c r="CS268" s="136"/>
      <c r="CT268" s="136"/>
      <c r="CU268" s="136"/>
      <c r="CV268" s="136"/>
      <c r="CW268" s="136"/>
      <c r="CX268" s="136"/>
      <c r="CY268" s="136"/>
      <c r="CZ268" s="136"/>
      <c r="DA268" s="136"/>
      <c r="DB268" s="136"/>
      <c r="DC268" s="136"/>
      <c r="DD268" s="136"/>
      <c r="DE268" s="136"/>
      <c r="DF268" s="136"/>
      <c r="DG268" s="136"/>
      <c r="DH268" s="136"/>
      <c r="DI268" s="136"/>
      <c r="DJ268" s="136"/>
      <c r="DK268" s="136"/>
      <c r="DL268" s="136"/>
      <c r="DM268" s="136"/>
      <c r="DN268" s="136"/>
      <c r="DO268" s="136"/>
      <c r="DP268" s="136"/>
      <c r="DQ268" s="136"/>
      <c r="DR268" s="136"/>
      <c r="DS268" s="136"/>
      <c r="DT268" s="136"/>
      <c r="DU268" s="136"/>
      <c r="DV268" s="136"/>
      <c r="DW268" s="136"/>
      <c r="DX268" s="136"/>
      <c r="DY268" s="136"/>
      <c r="DZ268" s="136"/>
      <c r="EA268" s="136"/>
      <c r="EB268" s="136"/>
      <c r="EC268" s="136"/>
      <c r="ED268" s="136"/>
      <c r="EE268" s="136"/>
      <c r="EF268" s="136"/>
      <c r="EG268" s="136"/>
      <c r="EH268" s="136"/>
      <c r="EI268" s="136"/>
      <c r="EJ268" s="136"/>
      <c r="EK268" s="136"/>
      <c r="EL268" s="136"/>
      <c r="EM268" s="136"/>
      <c r="EN268" s="136"/>
      <c r="EO268" s="136"/>
      <c r="EP268" s="136"/>
      <c r="EQ268" s="136"/>
      <c r="ER268" s="136"/>
      <c r="ES268" s="136"/>
      <c r="ET268" s="136"/>
      <c r="EU268" s="136"/>
      <c r="EV268" s="136"/>
      <c r="EW268" s="136"/>
      <c r="EX268" s="136"/>
      <c r="EY268" s="136"/>
      <c r="EZ268" s="136"/>
      <c r="FA268" s="136"/>
      <c r="FB268" s="136"/>
      <c r="FC268" s="136"/>
      <c r="FD268" s="136"/>
      <c r="FE268" s="137"/>
      <c r="FF268" s="138"/>
    </row>
    <row r="269" spans="1:162" ht="12.75" x14ac:dyDescent="0.2">
      <c r="A269" s="93">
        <v>263</v>
      </c>
      <c r="B269" s="145" t="s">
        <v>404</v>
      </c>
      <c r="C269" s="141" t="s">
        <v>770</v>
      </c>
      <c r="D269" s="142" t="s">
        <v>876</v>
      </c>
      <c r="E269" s="149" t="s">
        <v>728</v>
      </c>
      <c r="F269" s="542">
        <v>84505330</v>
      </c>
      <c r="G269" s="542">
        <v>0</v>
      </c>
      <c r="H269" s="542">
        <v>84505330</v>
      </c>
      <c r="I269" s="542">
        <v>0</v>
      </c>
      <c r="J269" s="542">
        <v>0</v>
      </c>
      <c r="K269" s="542">
        <v>0</v>
      </c>
      <c r="L269" s="542">
        <v>0</v>
      </c>
      <c r="M269" s="542">
        <v>0</v>
      </c>
      <c r="N269" s="542">
        <v>0</v>
      </c>
      <c r="O269" s="542">
        <v>-728702</v>
      </c>
      <c r="P269" s="542">
        <v>0</v>
      </c>
      <c r="Q269" s="542">
        <v>-728702</v>
      </c>
      <c r="R269" s="542">
        <v>0</v>
      </c>
      <c r="S269" s="542">
        <v>0</v>
      </c>
      <c r="T269" s="542">
        <v>0</v>
      </c>
      <c r="U269" s="542">
        <v>-1588702</v>
      </c>
      <c r="V269" s="542">
        <v>0</v>
      </c>
      <c r="W269" s="542">
        <v>-1588702</v>
      </c>
      <c r="X269" s="542">
        <v>7038852</v>
      </c>
      <c r="Y269" s="542">
        <v>0</v>
      </c>
      <c r="Z269" s="542">
        <v>7038852</v>
      </c>
      <c r="AA269" s="542">
        <v>-11638852</v>
      </c>
      <c r="AB269" s="542">
        <v>0</v>
      </c>
      <c r="AC269" s="542">
        <v>-11638852</v>
      </c>
      <c r="AD269" s="542">
        <v>78316628</v>
      </c>
      <c r="AE269" s="542">
        <v>0</v>
      </c>
      <c r="AF269" s="542">
        <v>78316628</v>
      </c>
      <c r="AG269" s="542">
        <v>0</v>
      </c>
      <c r="AH269" s="542">
        <v>0</v>
      </c>
      <c r="AI269" s="542">
        <v>0</v>
      </c>
      <c r="AJ269" s="542">
        <v>0</v>
      </c>
      <c r="AK269" s="542">
        <v>0</v>
      </c>
      <c r="AL269" s="542">
        <v>0</v>
      </c>
      <c r="AM269" s="542">
        <v>0</v>
      </c>
      <c r="AN269" s="542">
        <v>0</v>
      </c>
      <c r="AO269" s="542">
        <v>0</v>
      </c>
      <c r="AP269" s="542">
        <v>0</v>
      </c>
      <c r="AQ269" s="542">
        <v>0</v>
      </c>
      <c r="AR269" s="542">
        <v>0</v>
      </c>
      <c r="AS269" s="542">
        <v>0</v>
      </c>
      <c r="AT269" s="542">
        <v>0</v>
      </c>
      <c r="AU269" s="542">
        <v>0</v>
      </c>
      <c r="AV269" s="542">
        <v>5313463</v>
      </c>
      <c r="AW269" s="542">
        <v>-4548934</v>
      </c>
      <c r="AX269" s="136"/>
      <c r="AY269" s="136"/>
      <c r="AZ269" s="136"/>
      <c r="BA269" s="136"/>
      <c r="BB269" s="136"/>
      <c r="BC269" s="136"/>
      <c r="BD269" s="136"/>
      <c r="BE269" s="136"/>
      <c r="BF269" s="136"/>
      <c r="BG269" s="136"/>
      <c r="BH269" s="136"/>
      <c r="BI269" s="136"/>
      <c r="BJ269" s="136"/>
      <c r="BK269" s="136"/>
      <c r="BL269" s="136"/>
      <c r="BM269" s="136"/>
      <c r="BN269" s="136"/>
      <c r="BO269" s="136"/>
      <c r="BP269" s="136"/>
      <c r="BQ269" s="136"/>
      <c r="BR269" s="136"/>
      <c r="BS269" s="136"/>
      <c r="BT269" s="136"/>
      <c r="BU269" s="136"/>
      <c r="BV269" s="136"/>
      <c r="BW269" s="136"/>
      <c r="BX269" s="136"/>
      <c r="BY269" s="136"/>
      <c r="BZ269" s="136"/>
      <c r="CA269" s="136"/>
      <c r="CB269" s="136"/>
      <c r="CC269" s="136"/>
      <c r="CD269" s="136"/>
      <c r="CE269" s="136"/>
      <c r="CF269" s="136"/>
      <c r="CG269" s="136"/>
      <c r="CH269" s="136"/>
      <c r="CI269" s="136"/>
      <c r="CJ269" s="136"/>
      <c r="CK269" s="136"/>
      <c r="CL269" s="136"/>
      <c r="CM269" s="136"/>
      <c r="CN269" s="136"/>
      <c r="CO269" s="136"/>
      <c r="CP269" s="136"/>
      <c r="CQ269" s="136"/>
      <c r="CR269" s="136"/>
      <c r="CS269" s="136"/>
      <c r="CT269" s="136"/>
      <c r="CU269" s="136"/>
      <c r="CV269" s="136"/>
      <c r="CW269" s="136"/>
      <c r="CX269" s="136"/>
      <c r="CY269" s="136"/>
      <c r="CZ269" s="136"/>
      <c r="DA269" s="136"/>
      <c r="DB269" s="136"/>
      <c r="DC269" s="136"/>
      <c r="DD269" s="136"/>
      <c r="DE269" s="136"/>
      <c r="DF269" s="136"/>
      <c r="DG269" s="136"/>
      <c r="DH269" s="136"/>
      <c r="DI269" s="136"/>
      <c r="DJ269" s="136"/>
      <c r="DK269" s="136"/>
      <c r="DL269" s="136"/>
      <c r="DM269" s="136"/>
      <c r="DN269" s="136"/>
      <c r="DO269" s="136"/>
      <c r="DP269" s="136"/>
      <c r="DQ269" s="136"/>
      <c r="DR269" s="136"/>
      <c r="DS269" s="136"/>
      <c r="DT269" s="136"/>
      <c r="DU269" s="136"/>
      <c r="DV269" s="136"/>
      <c r="DW269" s="136"/>
      <c r="DX269" s="136"/>
      <c r="DY269" s="136"/>
      <c r="DZ269" s="136"/>
      <c r="EA269" s="136"/>
      <c r="EB269" s="136"/>
      <c r="EC269" s="136"/>
      <c r="ED269" s="136"/>
      <c r="EE269" s="136"/>
      <c r="EF269" s="136"/>
      <c r="EG269" s="136"/>
      <c r="EH269" s="136"/>
      <c r="EI269" s="136"/>
      <c r="EJ269" s="136"/>
      <c r="EK269" s="136"/>
      <c r="EL269" s="136"/>
      <c r="EM269" s="136"/>
      <c r="EN269" s="136"/>
      <c r="EO269" s="136"/>
      <c r="EP269" s="136"/>
      <c r="EQ269" s="136"/>
      <c r="ER269" s="136"/>
      <c r="ES269" s="136"/>
      <c r="ET269" s="136"/>
      <c r="EU269" s="136"/>
      <c r="EV269" s="136"/>
      <c r="EW269" s="136"/>
      <c r="EX269" s="136"/>
      <c r="EY269" s="136"/>
      <c r="EZ269" s="136"/>
      <c r="FA269" s="136"/>
      <c r="FB269" s="136"/>
      <c r="FC269" s="136"/>
      <c r="FD269" s="136"/>
      <c r="FE269" s="137"/>
      <c r="FF269" s="138"/>
    </row>
    <row r="270" spans="1:162" ht="12.75" x14ac:dyDescent="0.2">
      <c r="A270" s="93">
        <v>264</v>
      </c>
      <c r="B270" s="145" t="s">
        <v>406</v>
      </c>
      <c r="C270" s="141" t="s">
        <v>866</v>
      </c>
      <c r="D270" s="142" t="s">
        <v>876</v>
      </c>
      <c r="E270" s="149" t="s">
        <v>405</v>
      </c>
      <c r="F270" s="542">
        <v>52603090</v>
      </c>
      <c r="G270" s="542">
        <v>0</v>
      </c>
      <c r="H270" s="542">
        <v>52603090</v>
      </c>
      <c r="I270" s="542">
        <v>-71</v>
      </c>
      <c r="J270" s="542">
        <v>0</v>
      </c>
      <c r="K270" s="542">
        <v>-71</v>
      </c>
      <c r="L270" s="542">
        <v>161363</v>
      </c>
      <c r="M270" s="542">
        <v>0</v>
      </c>
      <c r="N270" s="542">
        <v>161363</v>
      </c>
      <c r="O270" s="542">
        <v>-179472</v>
      </c>
      <c r="P270" s="542">
        <v>0</v>
      </c>
      <c r="Q270" s="542">
        <v>-179472</v>
      </c>
      <c r="R270" s="542">
        <v>0</v>
      </c>
      <c r="S270" s="542">
        <v>0</v>
      </c>
      <c r="T270" s="542">
        <v>0</v>
      </c>
      <c r="U270" s="542">
        <v>-301274</v>
      </c>
      <c r="V270" s="542">
        <v>0</v>
      </c>
      <c r="W270" s="542">
        <v>-301274</v>
      </c>
      <c r="X270" s="542">
        <v>0</v>
      </c>
      <c r="Y270" s="542">
        <v>0</v>
      </c>
      <c r="Z270" s="542">
        <v>0</v>
      </c>
      <c r="AA270" s="542">
        <v>-420366</v>
      </c>
      <c r="AB270" s="542">
        <v>0</v>
      </c>
      <c r="AC270" s="542">
        <v>-420366</v>
      </c>
      <c r="AD270" s="542">
        <v>52042742</v>
      </c>
      <c r="AE270" s="542">
        <v>0</v>
      </c>
      <c r="AF270" s="542">
        <v>52042742</v>
      </c>
      <c r="AG270" s="542">
        <v>0</v>
      </c>
      <c r="AH270" s="542">
        <v>0</v>
      </c>
      <c r="AI270" s="542">
        <v>0</v>
      </c>
      <c r="AJ270" s="542">
        <v>0</v>
      </c>
      <c r="AK270" s="542">
        <v>0</v>
      </c>
      <c r="AL270" s="542">
        <v>0</v>
      </c>
      <c r="AM270" s="542">
        <v>0</v>
      </c>
      <c r="AN270" s="542">
        <v>0</v>
      </c>
      <c r="AO270" s="542">
        <v>0</v>
      </c>
      <c r="AP270" s="542">
        <v>0</v>
      </c>
      <c r="AQ270" s="542">
        <v>0</v>
      </c>
      <c r="AR270" s="542">
        <v>0</v>
      </c>
      <c r="AS270" s="542">
        <v>0</v>
      </c>
      <c r="AT270" s="542">
        <v>0</v>
      </c>
      <c r="AU270" s="542">
        <v>0</v>
      </c>
      <c r="AV270" s="542">
        <v>1771202</v>
      </c>
      <c r="AW270" s="542">
        <v>-682799</v>
      </c>
      <c r="AX270" s="136"/>
      <c r="AY270" s="136"/>
      <c r="AZ270" s="136"/>
      <c r="BA270" s="136"/>
      <c r="BB270" s="136"/>
      <c r="BC270" s="136"/>
      <c r="BD270" s="136"/>
      <c r="BE270" s="136"/>
      <c r="BF270" s="136"/>
      <c r="BG270" s="136"/>
      <c r="BH270" s="136"/>
      <c r="BI270" s="136"/>
      <c r="BJ270" s="136"/>
      <c r="BK270" s="136"/>
      <c r="BL270" s="136"/>
      <c r="BM270" s="136"/>
      <c r="BN270" s="136"/>
      <c r="BO270" s="136"/>
      <c r="BP270" s="136"/>
      <c r="BQ270" s="136"/>
      <c r="BR270" s="136"/>
      <c r="BS270" s="136"/>
      <c r="BT270" s="136"/>
      <c r="BU270" s="136"/>
      <c r="BV270" s="136"/>
      <c r="BW270" s="136"/>
      <c r="BX270" s="136"/>
      <c r="BY270" s="136"/>
      <c r="BZ270" s="136"/>
      <c r="CA270" s="136"/>
      <c r="CB270" s="136"/>
      <c r="CC270" s="136"/>
      <c r="CD270" s="136"/>
      <c r="CE270" s="136"/>
      <c r="CF270" s="136"/>
      <c r="CG270" s="136"/>
      <c r="CH270" s="136"/>
      <c r="CI270" s="136"/>
      <c r="CJ270" s="136"/>
      <c r="CK270" s="136"/>
      <c r="CL270" s="136"/>
      <c r="CM270" s="136"/>
      <c r="CN270" s="136"/>
      <c r="CO270" s="136"/>
      <c r="CP270" s="136"/>
      <c r="CQ270" s="136"/>
      <c r="CR270" s="136"/>
      <c r="CS270" s="136"/>
      <c r="CT270" s="136"/>
      <c r="CU270" s="136"/>
      <c r="CV270" s="136"/>
      <c r="CW270" s="136"/>
      <c r="CX270" s="136"/>
      <c r="CY270" s="136"/>
      <c r="CZ270" s="136"/>
      <c r="DA270" s="136"/>
      <c r="DB270" s="136"/>
      <c r="DC270" s="136"/>
      <c r="DD270" s="136"/>
      <c r="DE270" s="136"/>
      <c r="DF270" s="136"/>
      <c r="DG270" s="136"/>
      <c r="DH270" s="136"/>
      <c r="DI270" s="136"/>
      <c r="DJ270" s="136"/>
      <c r="DK270" s="136"/>
      <c r="DL270" s="136"/>
      <c r="DM270" s="136"/>
      <c r="DN270" s="136"/>
      <c r="DO270" s="136"/>
      <c r="DP270" s="136"/>
      <c r="DQ270" s="136"/>
      <c r="DR270" s="136"/>
      <c r="DS270" s="136"/>
      <c r="DT270" s="136"/>
      <c r="DU270" s="136"/>
      <c r="DV270" s="136"/>
      <c r="DW270" s="136"/>
      <c r="DX270" s="136"/>
      <c r="DY270" s="136"/>
      <c r="DZ270" s="136"/>
      <c r="EA270" s="136"/>
      <c r="EB270" s="136"/>
      <c r="EC270" s="136"/>
      <c r="ED270" s="136"/>
      <c r="EE270" s="136"/>
      <c r="EF270" s="136"/>
      <c r="EG270" s="136"/>
      <c r="EH270" s="136"/>
      <c r="EI270" s="136"/>
      <c r="EJ270" s="136"/>
      <c r="EK270" s="136"/>
      <c r="EL270" s="136"/>
      <c r="EM270" s="136"/>
      <c r="EN270" s="136"/>
      <c r="EO270" s="136"/>
      <c r="EP270" s="136"/>
      <c r="EQ270" s="136"/>
      <c r="ER270" s="136"/>
      <c r="ES270" s="136"/>
      <c r="ET270" s="136"/>
      <c r="EU270" s="136"/>
      <c r="EV270" s="136"/>
      <c r="EW270" s="136"/>
      <c r="EX270" s="136"/>
      <c r="EY270" s="136"/>
      <c r="EZ270" s="136"/>
      <c r="FA270" s="136"/>
      <c r="FB270" s="136"/>
      <c r="FC270" s="136"/>
      <c r="FD270" s="136"/>
      <c r="FE270" s="137"/>
      <c r="FF270" s="138"/>
    </row>
    <row r="271" spans="1:162" ht="12.75" x14ac:dyDescent="0.2">
      <c r="A271" s="93">
        <v>265</v>
      </c>
      <c r="B271" s="145" t="s">
        <v>408</v>
      </c>
      <c r="C271" s="141" t="s">
        <v>866</v>
      </c>
      <c r="D271" s="142" t="s">
        <v>875</v>
      </c>
      <c r="E271" s="149" t="s">
        <v>407</v>
      </c>
      <c r="F271" s="542">
        <v>24699554</v>
      </c>
      <c r="G271" s="542">
        <v>0</v>
      </c>
      <c r="H271" s="542">
        <v>24699554</v>
      </c>
      <c r="I271" s="542">
        <v>0</v>
      </c>
      <c r="J271" s="542">
        <v>0</v>
      </c>
      <c r="K271" s="542">
        <v>0</v>
      </c>
      <c r="L271" s="542">
        <v>0</v>
      </c>
      <c r="M271" s="542">
        <v>0</v>
      </c>
      <c r="N271" s="542">
        <v>0</v>
      </c>
      <c r="O271" s="542">
        <v>-234492</v>
      </c>
      <c r="P271" s="542">
        <v>0</v>
      </c>
      <c r="Q271" s="542">
        <v>-234492</v>
      </c>
      <c r="R271" s="542">
        <v>0</v>
      </c>
      <c r="S271" s="542">
        <v>0</v>
      </c>
      <c r="T271" s="542">
        <v>0</v>
      </c>
      <c r="U271" s="542">
        <v>-384230</v>
      </c>
      <c r="V271" s="542">
        <v>0</v>
      </c>
      <c r="W271" s="542">
        <v>-384230</v>
      </c>
      <c r="X271" s="542">
        <v>606895</v>
      </c>
      <c r="Y271" s="542">
        <v>0</v>
      </c>
      <c r="Z271" s="542">
        <v>606895</v>
      </c>
      <c r="AA271" s="542">
        <v>-1471523</v>
      </c>
      <c r="AB271" s="542">
        <v>0</v>
      </c>
      <c r="AC271" s="542">
        <v>-1471523</v>
      </c>
      <c r="AD271" s="542">
        <v>23450696</v>
      </c>
      <c r="AE271" s="542">
        <v>0</v>
      </c>
      <c r="AF271" s="542">
        <v>23450696</v>
      </c>
      <c r="AG271" s="542">
        <v>0</v>
      </c>
      <c r="AH271" s="542">
        <v>0</v>
      </c>
      <c r="AI271" s="542">
        <v>0</v>
      </c>
      <c r="AJ271" s="542">
        <v>699</v>
      </c>
      <c r="AK271" s="542">
        <v>0</v>
      </c>
      <c r="AL271" s="542">
        <v>0</v>
      </c>
      <c r="AM271" s="542">
        <v>699</v>
      </c>
      <c r="AN271" s="542">
        <v>0</v>
      </c>
      <c r="AO271" s="542">
        <v>0</v>
      </c>
      <c r="AP271" s="542">
        <v>0</v>
      </c>
      <c r="AQ271" s="542">
        <v>0</v>
      </c>
      <c r="AR271" s="542">
        <v>0</v>
      </c>
      <c r="AS271" s="542">
        <v>0</v>
      </c>
      <c r="AT271" s="542">
        <v>0</v>
      </c>
      <c r="AU271" s="542">
        <v>0</v>
      </c>
      <c r="AV271" s="542">
        <v>738604</v>
      </c>
      <c r="AW271" s="542">
        <v>-358777</v>
      </c>
      <c r="AX271" s="136"/>
      <c r="AY271" s="136"/>
      <c r="AZ271" s="136"/>
      <c r="BA271" s="136"/>
      <c r="BB271" s="136"/>
      <c r="BC271" s="136"/>
      <c r="BD271" s="136"/>
      <c r="BE271" s="136"/>
      <c r="BF271" s="136"/>
      <c r="BG271" s="136"/>
      <c r="BH271" s="136"/>
      <c r="BI271" s="136"/>
      <c r="BJ271" s="136"/>
      <c r="BK271" s="136"/>
      <c r="BL271" s="136"/>
      <c r="BM271" s="136"/>
      <c r="BN271" s="136"/>
      <c r="BO271" s="136"/>
      <c r="BP271" s="136"/>
      <c r="BQ271" s="136"/>
      <c r="BR271" s="136"/>
      <c r="BS271" s="136"/>
      <c r="BT271" s="136"/>
      <c r="BU271" s="136"/>
      <c r="BV271" s="136"/>
      <c r="BW271" s="136"/>
      <c r="BX271" s="136"/>
      <c r="BY271" s="136"/>
      <c r="BZ271" s="136"/>
      <c r="CA271" s="136"/>
      <c r="CB271" s="136"/>
      <c r="CC271" s="136"/>
      <c r="CD271" s="136"/>
      <c r="CE271" s="136"/>
      <c r="CF271" s="136"/>
      <c r="CG271" s="136"/>
      <c r="CH271" s="136"/>
      <c r="CI271" s="136"/>
      <c r="CJ271" s="136"/>
      <c r="CK271" s="136"/>
      <c r="CL271" s="136"/>
      <c r="CM271" s="136"/>
      <c r="CN271" s="136"/>
      <c r="CO271" s="136"/>
      <c r="CP271" s="136"/>
      <c r="CQ271" s="136"/>
      <c r="CR271" s="136"/>
      <c r="CS271" s="136"/>
      <c r="CT271" s="136"/>
      <c r="CU271" s="136"/>
      <c r="CV271" s="136"/>
      <c r="CW271" s="136"/>
      <c r="CX271" s="136"/>
      <c r="CY271" s="136"/>
      <c r="CZ271" s="136"/>
      <c r="DA271" s="136"/>
      <c r="DB271" s="136"/>
      <c r="DC271" s="136"/>
      <c r="DD271" s="136"/>
      <c r="DE271" s="136"/>
      <c r="DF271" s="136"/>
      <c r="DG271" s="136"/>
      <c r="DH271" s="136"/>
      <c r="DI271" s="136"/>
      <c r="DJ271" s="136"/>
      <c r="DK271" s="136"/>
      <c r="DL271" s="136"/>
      <c r="DM271" s="136"/>
      <c r="DN271" s="136"/>
      <c r="DO271" s="136"/>
      <c r="DP271" s="136"/>
      <c r="DQ271" s="136"/>
      <c r="DR271" s="136"/>
      <c r="DS271" s="136"/>
      <c r="DT271" s="136"/>
      <c r="DU271" s="136"/>
      <c r="DV271" s="136"/>
      <c r="DW271" s="136"/>
      <c r="DX271" s="136"/>
      <c r="DY271" s="136"/>
      <c r="DZ271" s="136"/>
      <c r="EA271" s="136"/>
      <c r="EB271" s="136"/>
      <c r="EC271" s="136"/>
      <c r="ED271" s="136"/>
      <c r="EE271" s="136"/>
      <c r="EF271" s="136"/>
      <c r="EG271" s="136"/>
      <c r="EH271" s="136"/>
      <c r="EI271" s="136"/>
      <c r="EJ271" s="136"/>
      <c r="EK271" s="136"/>
      <c r="EL271" s="136"/>
      <c r="EM271" s="136"/>
      <c r="EN271" s="136"/>
      <c r="EO271" s="136"/>
      <c r="EP271" s="136"/>
      <c r="EQ271" s="136"/>
      <c r="ER271" s="136"/>
      <c r="ES271" s="136"/>
      <c r="ET271" s="136"/>
      <c r="EU271" s="136"/>
      <c r="EV271" s="136"/>
      <c r="EW271" s="136"/>
      <c r="EX271" s="136"/>
      <c r="EY271" s="136"/>
      <c r="EZ271" s="136"/>
      <c r="FA271" s="136"/>
      <c r="FB271" s="136"/>
      <c r="FC271" s="136"/>
      <c r="FD271" s="136"/>
      <c r="FE271" s="137"/>
      <c r="FF271" s="138"/>
    </row>
    <row r="272" spans="1:162" ht="12.75" x14ac:dyDescent="0.2">
      <c r="A272" s="93">
        <v>266</v>
      </c>
      <c r="B272" s="145" t="s">
        <v>410</v>
      </c>
      <c r="C272" s="141" t="s">
        <v>866</v>
      </c>
      <c r="D272" s="142" t="s">
        <v>870</v>
      </c>
      <c r="E272" s="149" t="s">
        <v>409</v>
      </c>
      <c r="F272" s="542">
        <v>50669070</v>
      </c>
      <c r="G272" s="542">
        <v>0</v>
      </c>
      <c r="H272" s="542">
        <v>50669070</v>
      </c>
      <c r="I272" s="542">
        <v>0</v>
      </c>
      <c r="J272" s="542">
        <v>0</v>
      </c>
      <c r="K272" s="542">
        <v>0</v>
      </c>
      <c r="L272" s="542">
        <v>131435</v>
      </c>
      <c r="M272" s="542">
        <v>0</v>
      </c>
      <c r="N272" s="542">
        <v>131435</v>
      </c>
      <c r="O272" s="542">
        <v>155876</v>
      </c>
      <c r="P272" s="542">
        <v>0</v>
      </c>
      <c r="Q272" s="542">
        <v>155876</v>
      </c>
      <c r="R272" s="542">
        <v>0</v>
      </c>
      <c r="S272" s="542">
        <v>0</v>
      </c>
      <c r="T272" s="542">
        <v>0</v>
      </c>
      <c r="U272" s="542">
        <v>40721</v>
      </c>
      <c r="V272" s="542">
        <v>0</v>
      </c>
      <c r="W272" s="542">
        <v>40721</v>
      </c>
      <c r="X272" s="542">
        <v>1341929</v>
      </c>
      <c r="Y272" s="542">
        <v>0</v>
      </c>
      <c r="Z272" s="542">
        <v>1341929</v>
      </c>
      <c r="AA272" s="542">
        <v>14655757</v>
      </c>
      <c r="AB272" s="542">
        <v>0</v>
      </c>
      <c r="AC272" s="542">
        <v>14655757</v>
      </c>
      <c r="AD272" s="542">
        <v>66838912</v>
      </c>
      <c r="AE272" s="542">
        <v>0</v>
      </c>
      <c r="AF272" s="542">
        <v>66838912</v>
      </c>
      <c r="AG272" s="542">
        <v>0</v>
      </c>
      <c r="AH272" s="542">
        <v>0</v>
      </c>
      <c r="AI272" s="542">
        <v>0</v>
      </c>
      <c r="AJ272" s="542">
        <v>48462</v>
      </c>
      <c r="AK272" s="542">
        <v>0</v>
      </c>
      <c r="AL272" s="542">
        <v>0</v>
      </c>
      <c r="AM272" s="542">
        <v>48462</v>
      </c>
      <c r="AN272" s="542">
        <v>0</v>
      </c>
      <c r="AO272" s="542">
        <v>0</v>
      </c>
      <c r="AP272" s="542">
        <v>0</v>
      </c>
      <c r="AQ272" s="542">
        <v>0</v>
      </c>
      <c r="AR272" s="542">
        <v>0</v>
      </c>
      <c r="AS272" s="542">
        <v>0</v>
      </c>
      <c r="AT272" s="542">
        <v>0</v>
      </c>
      <c r="AU272" s="542">
        <v>0</v>
      </c>
      <c r="AV272" s="542">
        <v>847765</v>
      </c>
      <c r="AW272" s="542">
        <v>-395489</v>
      </c>
      <c r="AX272" s="136"/>
      <c r="AY272" s="136"/>
      <c r="AZ272" s="136"/>
      <c r="BA272" s="136"/>
      <c r="BB272" s="136"/>
      <c r="BC272" s="136"/>
      <c r="BD272" s="136"/>
      <c r="BE272" s="136"/>
      <c r="BF272" s="136"/>
      <c r="BG272" s="136"/>
      <c r="BH272" s="136"/>
      <c r="BI272" s="136"/>
      <c r="BJ272" s="136"/>
      <c r="BK272" s="136"/>
      <c r="BL272" s="136"/>
      <c r="BM272" s="136"/>
      <c r="BN272" s="136"/>
      <c r="BO272" s="136"/>
      <c r="BP272" s="136"/>
      <c r="BQ272" s="136"/>
      <c r="BR272" s="136"/>
      <c r="BS272" s="136"/>
      <c r="BT272" s="136"/>
      <c r="BU272" s="136"/>
      <c r="BV272" s="136"/>
      <c r="BW272" s="136"/>
      <c r="BX272" s="136"/>
      <c r="BY272" s="136"/>
      <c r="BZ272" s="136"/>
      <c r="CA272" s="136"/>
      <c r="CB272" s="136"/>
      <c r="CC272" s="136"/>
      <c r="CD272" s="136"/>
      <c r="CE272" s="136"/>
      <c r="CF272" s="136"/>
      <c r="CG272" s="136"/>
      <c r="CH272" s="136"/>
      <c r="CI272" s="136"/>
      <c r="CJ272" s="136"/>
      <c r="CK272" s="136"/>
      <c r="CL272" s="136"/>
      <c r="CM272" s="136"/>
      <c r="CN272" s="136"/>
      <c r="CO272" s="136"/>
      <c r="CP272" s="136"/>
      <c r="CQ272" s="136"/>
      <c r="CR272" s="136"/>
      <c r="CS272" s="136"/>
      <c r="CT272" s="136"/>
      <c r="CU272" s="136"/>
      <c r="CV272" s="136"/>
      <c r="CW272" s="136"/>
      <c r="CX272" s="136"/>
      <c r="CY272" s="136"/>
      <c r="CZ272" s="136"/>
      <c r="DA272" s="136"/>
      <c r="DB272" s="136"/>
      <c r="DC272" s="136"/>
      <c r="DD272" s="136"/>
      <c r="DE272" s="136"/>
      <c r="DF272" s="136"/>
      <c r="DG272" s="136"/>
      <c r="DH272" s="136"/>
      <c r="DI272" s="136"/>
      <c r="DJ272" s="136"/>
      <c r="DK272" s="136"/>
      <c r="DL272" s="136"/>
      <c r="DM272" s="136"/>
      <c r="DN272" s="136"/>
      <c r="DO272" s="136"/>
      <c r="DP272" s="136"/>
      <c r="DQ272" s="136"/>
      <c r="DR272" s="136"/>
      <c r="DS272" s="136"/>
      <c r="DT272" s="136"/>
      <c r="DU272" s="136"/>
      <c r="DV272" s="136"/>
      <c r="DW272" s="136"/>
      <c r="DX272" s="136"/>
      <c r="DY272" s="136"/>
      <c r="DZ272" s="136"/>
      <c r="EA272" s="136"/>
      <c r="EB272" s="136"/>
      <c r="EC272" s="136"/>
      <c r="ED272" s="136"/>
      <c r="EE272" s="136"/>
      <c r="EF272" s="136"/>
      <c r="EG272" s="136"/>
      <c r="EH272" s="136"/>
      <c r="EI272" s="136"/>
      <c r="EJ272" s="136"/>
      <c r="EK272" s="136"/>
      <c r="EL272" s="136"/>
      <c r="EM272" s="136"/>
      <c r="EN272" s="136"/>
      <c r="EO272" s="136"/>
      <c r="EP272" s="136"/>
      <c r="EQ272" s="136"/>
      <c r="ER272" s="136"/>
      <c r="ES272" s="136"/>
      <c r="ET272" s="136"/>
      <c r="EU272" s="136"/>
      <c r="EV272" s="136"/>
      <c r="EW272" s="136"/>
      <c r="EX272" s="136"/>
      <c r="EY272" s="136"/>
      <c r="EZ272" s="136"/>
      <c r="FA272" s="136"/>
      <c r="FB272" s="136"/>
      <c r="FC272" s="136"/>
      <c r="FD272" s="136"/>
      <c r="FE272" s="137"/>
      <c r="FF272" s="138"/>
    </row>
    <row r="273" spans="1:162" ht="12.75" x14ac:dyDescent="0.2">
      <c r="A273" s="93">
        <v>267</v>
      </c>
      <c r="B273" s="145" t="s">
        <v>412</v>
      </c>
      <c r="C273" s="141" t="s">
        <v>873</v>
      </c>
      <c r="D273" s="142" t="s">
        <v>878</v>
      </c>
      <c r="E273" s="149" t="s">
        <v>411</v>
      </c>
      <c r="F273" s="542">
        <v>89339996</v>
      </c>
      <c r="G273" s="542">
        <v>792890</v>
      </c>
      <c r="H273" s="542">
        <v>90132886</v>
      </c>
      <c r="I273" s="542">
        <v>-2881</v>
      </c>
      <c r="J273" s="542">
        <v>0</v>
      </c>
      <c r="K273" s="542">
        <v>-2881</v>
      </c>
      <c r="L273" s="542">
        <v>56</v>
      </c>
      <c r="M273" s="542">
        <v>0</v>
      </c>
      <c r="N273" s="542">
        <v>56</v>
      </c>
      <c r="O273" s="542">
        <v>-1151042</v>
      </c>
      <c r="P273" s="542">
        <v>0</v>
      </c>
      <c r="Q273" s="542">
        <v>-1151042</v>
      </c>
      <c r="R273" s="542">
        <v>0</v>
      </c>
      <c r="S273" s="542">
        <v>0</v>
      </c>
      <c r="T273" s="542">
        <v>0</v>
      </c>
      <c r="U273" s="542">
        <v>-1174076</v>
      </c>
      <c r="V273" s="542">
        <v>0</v>
      </c>
      <c r="W273" s="542">
        <v>-1174076</v>
      </c>
      <c r="X273" s="542">
        <v>3862373</v>
      </c>
      <c r="Y273" s="542">
        <v>0</v>
      </c>
      <c r="Z273" s="542">
        <v>3862373</v>
      </c>
      <c r="AA273" s="542">
        <v>-7441517</v>
      </c>
      <c r="AB273" s="542">
        <v>0</v>
      </c>
      <c r="AC273" s="542">
        <v>-7441517</v>
      </c>
      <c r="AD273" s="542">
        <v>84583951</v>
      </c>
      <c r="AE273" s="542">
        <v>792890</v>
      </c>
      <c r="AF273" s="542">
        <v>85376841</v>
      </c>
      <c r="AG273" s="542">
        <v>792890</v>
      </c>
      <c r="AH273" s="542">
        <v>0</v>
      </c>
      <c r="AI273" s="542">
        <v>792890</v>
      </c>
      <c r="AJ273" s="542">
        <v>0</v>
      </c>
      <c r="AK273" s="542">
        <v>0</v>
      </c>
      <c r="AL273" s="542">
        <v>0</v>
      </c>
      <c r="AM273" s="542">
        <v>0</v>
      </c>
      <c r="AN273" s="542">
        <v>0</v>
      </c>
      <c r="AO273" s="542">
        <v>0</v>
      </c>
      <c r="AP273" s="542">
        <v>0</v>
      </c>
      <c r="AQ273" s="542">
        <v>139977</v>
      </c>
      <c r="AR273" s="542">
        <v>0</v>
      </c>
      <c r="AS273" s="542">
        <v>652913</v>
      </c>
      <c r="AT273" s="542">
        <v>0</v>
      </c>
      <c r="AU273" s="542">
        <v>652913</v>
      </c>
      <c r="AV273" s="542">
        <v>7355358</v>
      </c>
      <c r="AW273" s="542">
        <v>-1438582</v>
      </c>
      <c r="AX273" s="136"/>
      <c r="AY273" s="136"/>
      <c r="AZ273" s="136"/>
      <c r="BA273" s="136"/>
      <c r="BB273" s="136"/>
      <c r="BC273" s="136"/>
      <c r="BD273" s="136"/>
      <c r="BE273" s="136"/>
      <c r="BF273" s="136"/>
      <c r="BG273" s="136"/>
      <c r="BH273" s="136"/>
      <c r="BI273" s="136"/>
      <c r="BJ273" s="136"/>
      <c r="BK273" s="136"/>
      <c r="BL273" s="136"/>
      <c r="BM273" s="136"/>
      <c r="BN273" s="136"/>
      <c r="BO273" s="136"/>
      <c r="BP273" s="136"/>
      <c r="BQ273" s="136"/>
      <c r="BR273" s="136"/>
      <c r="BS273" s="136"/>
      <c r="BT273" s="136"/>
      <c r="BU273" s="136"/>
      <c r="BV273" s="136"/>
      <c r="BW273" s="136"/>
      <c r="BX273" s="136"/>
      <c r="BY273" s="136"/>
      <c r="BZ273" s="136"/>
      <c r="CA273" s="136"/>
      <c r="CB273" s="136"/>
      <c r="CC273" s="136"/>
      <c r="CD273" s="136"/>
      <c r="CE273" s="136"/>
      <c r="CF273" s="136"/>
      <c r="CG273" s="136"/>
      <c r="CH273" s="136"/>
      <c r="CI273" s="136"/>
      <c r="CJ273" s="136"/>
      <c r="CK273" s="136"/>
      <c r="CL273" s="136"/>
      <c r="CM273" s="136"/>
      <c r="CN273" s="136"/>
      <c r="CO273" s="136"/>
      <c r="CP273" s="136"/>
      <c r="CQ273" s="136"/>
      <c r="CR273" s="136"/>
      <c r="CS273" s="136"/>
      <c r="CT273" s="136"/>
      <c r="CU273" s="136"/>
      <c r="CV273" s="136"/>
      <c r="CW273" s="136"/>
      <c r="CX273" s="136"/>
      <c r="CY273" s="136"/>
      <c r="CZ273" s="136"/>
      <c r="DA273" s="136"/>
      <c r="DB273" s="136"/>
      <c r="DC273" s="136"/>
      <c r="DD273" s="136"/>
      <c r="DE273" s="136"/>
      <c r="DF273" s="136"/>
      <c r="DG273" s="136"/>
      <c r="DH273" s="136"/>
      <c r="DI273" s="136"/>
      <c r="DJ273" s="136"/>
      <c r="DK273" s="136"/>
      <c r="DL273" s="136"/>
      <c r="DM273" s="136"/>
      <c r="DN273" s="136"/>
      <c r="DO273" s="136"/>
      <c r="DP273" s="136"/>
      <c r="DQ273" s="136"/>
      <c r="DR273" s="136"/>
      <c r="DS273" s="136"/>
      <c r="DT273" s="136"/>
      <c r="DU273" s="136"/>
      <c r="DV273" s="136"/>
      <c r="DW273" s="136"/>
      <c r="DX273" s="136"/>
      <c r="DY273" s="136"/>
      <c r="DZ273" s="136"/>
      <c r="EA273" s="136"/>
      <c r="EB273" s="136"/>
      <c r="EC273" s="136"/>
      <c r="ED273" s="136"/>
      <c r="EE273" s="136"/>
      <c r="EF273" s="136"/>
      <c r="EG273" s="136"/>
      <c r="EH273" s="136"/>
      <c r="EI273" s="136"/>
      <c r="EJ273" s="136"/>
      <c r="EK273" s="136"/>
      <c r="EL273" s="136"/>
      <c r="EM273" s="136"/>
      <c r="EN273" s="136"/>
      <c r="EO273" s="136"/>
      <c r="EP273" s="136"/>
      <c r="EQ273" s="136"/>
      <c r="ER273" s="136"/>
      <c r="ES273" s="136"/>
      <c r="ET273" s="136"/>
      <c r="EU273" s="136"/>
      <c r="EV273" s="136"/>
      <c r="EW273" s="136"/>
      <c r="EX273" s="136"/>
      <c r="EY273" s="136"/>
      <c r="EZ273" s="136"/>
      <c r="FA273" s="136"/>
      <c r="FB273" s="136"/>
      <c r="FC273" s="136"/>
      <c r="FD273" s="136"/>
      <c r="FE273" s="137"/>
      <c r="FF273" s="138"/>
    </row>
    <row r="274" spans="1:162" ht="12.75" x14ac:dyDescent="0.2">
      <c r="A274" s="93">
        <v>268</v>
      </c>
      <c r="B274" s="145" t="s">
        <v>414</v>
      </c>
      <c r="C274" s="141" t="s">
        <v>866</v>
      </c>
      <c r="D274" s="142" t="s">
        <v>867</v>
      </c>
      <c r="E274" s="149" t="s">
        <v>413</v>
      </c>
      <c r="F274" s="542">
        <v>34893842</v>
      </c>
      <c r="G274" s="542">
        <v>0</v>
      </c>
      <c r="H274" s="542">
        <v>34893842</v>
      </c>
      <c r="I274" s="542">
        <v>-693</v>
      </c>
      <c r="J274" s="542">
        <v>0</v>
      </c>
      <c r="K274" s="542">
        <v>-693</v>
      </c>
      <c r="L274" s="542">
        <v>60591</v>
      </c>
      <c r="M274" s="542">
        <v>0</v>
      </c>
      <c r="N274" s="542">
        <v>60591</v>
      </c>
      <c r="O274" s="542">
        <v>-350758</v>
      </c>
      <c r="P274" s="542">
        <v>0</v>
      </c>
      <c r="Q274" s="542">
        <v>-350758</v>
      </c>
      <c r="R274" s="542">
        <v>0</v>
      </c>
      <c r="S274" s="542">
        <v>0</v>
      </c>
      <c r="T274" s="542">
        <v>0</v>
      </c>
      <c r="U274" s="542">
        <v>-361258</v>
      </c>
      <c r="V274" s="542">
        <v>0</v>
      </c>
      <c r="W274" s="542">
        <v>-361258</v>
      </c>
      <c r="X274" s="542">
        <v>1400500</v>
      </c>
      <c r="Y274" s="542">
        <v>0</v>
      </c>
      <c r="Z274" s="542">
        <v>1400500</v>
      </c>
      <c r="AA274" s="542">
        <v>-3200000</v>
      </c>
      <c r="AB274" s="542">
        <v>0</v>
      </c>
      <c r="AC274" s="542">
        <v>-3200000</v>
      </c>
      <c r="AD274" s="542">
        <v>32792982</v>
      </c>
      <c r="AE274" s="542">
        <v>0</v>
      </c>
      <c r="AF274" s="542">
        <v>32792982</v>
      </c>
      <c r="AG274" s="542">
        <v>0</v>
      </c>
      <c r="AH274" s="542">
        <v>0</v>
      </c>
      <c r="AI274" s="542">
        <v>0</v>
      </c>
      <c r="AJ274" s="542">
        <v>0</v>
      </c>
      <c r="AK274" s="542">
        <v>0</v>
      </c>
      <c r="AL274" s="542">
        <v>0</v>
      </c>
      <c r="AM274" s="542">
        <v>0</v>
      </c>
      <c r="AN274" s="542">
        <v>0</v>
      </c>
      <c r="AO274" s="542">
        <v>0</v>
      </c>
      <c r="AP274" s="542">
        <v>0</v>
      </c>
      <c r="AQ274" s="542">
        <v>0</v>
      </c>
      <c r="AR274" s="542">
        <v>0</v>
      </c>
      <c r="AS274" s="542">
        <v>0</v>
      </c>
      <c r="AT274" s="542">
        <v>0</v>
      </c>
      <c r="AU274" s="542">
        <v>0</v>
      </c>
      <c r="AV274" s="542">
        <v>1176627</v>
      </c>
      <c r="AW274" s="542">
        <v>-518074</v>
      </c>
      <c r="AX274" s="136"/>
      <c r="AY274" s="136"/>
      <c r="AZ274" s="136"/>
      <c r="BA274" s="136"/>
      <c r="BB274" s="136"/>
      <c r="BC274" s="136"/>
      <c r="BD274" s="136"/>
      <c r="BE274" s="136"/>
      <c r="BF274" s="136"/>
      <c r="BG274" s="136"/>
      <c r="BH274" s="136"/>
      <c r="BI274" s="136"/>
      <c r="BJ274" s="136"/>
      <c r="BK274" s="136"/>
      <c r="BL274" s="136"/>
      <c r="BM274" s="136"/>
      <c r="BN274" s="136"/>
      <c r="BO274" s="136"/>
      <c r="BP274" s="136"/>
      <c r="BQ274" s="136"/>
      <c r="BR274" s="136"/>
      <c r="BS274" s="136"/>
      <c r="BT274" s="136"/>
      <c r="BU274" s="136"/>
      <c r="BV274" s="136"/>
      <c r="BW274" s="136"/>
      <c r="BX274" s="136"/>
      <c r="BY274" s="136"/>
      <c r="BZ274" s="136"/>
      <c r="CA274" s="136"/>
      <c r="CB274" s="136"/>
      <c r="CC274" s="136"/>
      <c r="CD274" s="136"/>
      <c r="CE274" s="136"/>
      <c r="CF274" s="136"/>
      <c r="CG274" s="136"/>
      <c r="CH274" s="136"/>
      <c r="CI274" s="136"/>
      <c r="CJ274" s="136"/>
      <c r="CK274" s="136"/>
      <c r="CL274" s="136"/>
      <c r="CM274" s="136"/>
      <c r="CN274" s="136"/>
      <c r="CO274" s="136"/>
      <c r="CP274" s="136"/>
      <c r="CQ274" s="136"/>
      <c r="CR274" s="136"/>
      <c r="CS274" s="136"/>
      <c r="CT274" s="136"/>
      <c r="CU274" s="136"/>
      <c r="CV274" s="136"/>
      <c r="CW274" s="136"/>
      <c r="CX274" s="136"/>
      <c r="CY274" s="136"/>
      <c r="CZ274" s="136"/>
      <c r="DA274" s="136"/>
      <c r="DB274" s="136"/>
      <c r="DC274" s="136"/>
      <c r="DD274" s="136"/>
      <c r="DE274" s="136"/>
      <c r="DF274" s="136"/>
      <c r="DG274" s="136"/>
      <c r="DH274" s="136"/>
      <c r="DI274" s="136"/>
      <c r="DJ274" s="136"/>
      <c r="DK274" s="136"/>
      <c r="DL274" s="136"/>
      <c r="DM274" s="136"/>
      <c r="DN274" s="136"/>
      <c r="DO274" s="136"/>
      <c r="DP274" s="136"/>
      <c r="DQ274" s="136"/>
      <c r="DR274" s="136"/>
      <c r="DS274" s="136"/>
      <c r="DT274" s="136"/>
      <c r="DU274" s="136"/>
      <c r="DV274" s="136"/>
      <c r="DW274" s="136"/>
      <c r="DX274" s="136"/>
      <c r="DY274" s="136"/>
      <c r="DZ274" s="136"/>
      <c r="EA274" s="136"/>
      <c r="EB274" s="136"/>
      <c r="EC274" s="136"/>
      <c r="ED274" s="136"/>
      <c r="EE274" s="136"/>
      <c r="EF274" s="136"/>
      <c r="EG274" s="136"/>
      <c r="EH274" s="136"/>
      <c r="EI274" s="136"/>
      <c r="EJ274" s="136"/>
      <c r="EK274" s="136"/>
      <c r="EL274" s="136"/>
      <c r="EM274" s="136"/>
      <c r="EN274" s="136"/>
      <c r="EO274" s="136"/>
      <c r="EP274" s="136"/>
      <c r="EQ274" s="136"/>
      <c r="ER274" s="136"/>
      <c r="ES274" s="136"/>
      <c r="ET274" s="136"/>
      <c r="EU274" s="136"/>
      <c r="EV274" s="136"/>
      <c r="EW274" s="136"/>
      <c r="EX274" s="136"/>
      <c r="EY274" s="136"/>
      <c r="EZ274" s="136"/>
      <c r="FA274" s="136"/>
      <c r="FB274" s="136"/>
      <c r="FC274" s="136"/>
      <c r="FD274" s="136"/>
      <c r="FE274" s="137"/>
      <c r="FF274" s="138"/>
    </row>
    <row r="275" spans="1:162" ht="12.75" x14ac:dyDescent="0.2">
      <c r="A275" s="93">
        <v>269</v>
      </c>
      <c r="B275" s="145" t="s">
        <v>416</v>
      </c>
      <c r="C275" s="141" t="s">
        <v>871</v>
      </c>
      <c r="D275" s="142" t="s">
        <v>872</v>
      </c>
      <c r="E275" s="149" t="s">
        <v>415</v>
      </c>
      <c r="F275" s="542">
        <v>50747628</v>
      </c>
      <c r="G275" s="542">
        <v>0</v>
      </c>
      <c r="H275" s="542">
        <v>50747628</v>
      </c>
      <c r="I275" s="542">
        <v>-28</v>
      </c>
      <c r="J275" s="542">
        <v>0</v>
      </c>
      <c r="K275" s="542">
        <v>-28</v>
      </c>
      <c r="L275" s="542">
        <v>134777</v>
      </c>
      <c r="M275" s="542">
        <v>0</v>
      </c>
      <c r="N275" s="542">
        <v>134777</v>
      </c>
      <c r="O275" s="542">
        <v>-695543</v>
      </c>
      <c r="P275" s="542">
        <v>0</v>
      </c>
      <c r="Q275" s="542">
        <v>-695543</v>
      </c>
      <c r="R275" s="542">
        <v>0</v>
      </c>
      <c r="S275" s="542">
        <v>0</v>
      </c>
      <c r="T275" s="542">
        <v>0</v>
      </c>
      <c r="U275" s="542">
        <v>-713108</v>
      </c>
      <c r="V275" s="542">
        <v>0</v>
      </c>
      <c r="W275" s="542">
        <v>-713108</v>
      </c>
      <c r="X275" s="542">
        <v>1298025</v>
      </c>
      <c r="Y275" s="542">
        <v>0</v>
      </c>
      <c r="Z275" s="542">
        <v>1298025</v>
      </c>
      <c r="AA275" s="542">
        <v>-4893020</v>
      </c>
      <c r="AB275" s="542">
        <v>0</v>
      </c>
      <c r="AC275" s="542">
        <v>-4893020</v>
      </c>
      <c r="AD275" s="542">
        <v>46574274</v>
      </c>
      <c r="AE275" s="542">
        <v>0</v>
      </c>
      <c r="AF275" s="542">
        <v>46574274</v>
      </c>
      <c r="AG275" s="542">
        <v>0</v>
      </c>
      <c r="AH275" s="542">
        <v>0</v>
      </c>
      <c r="AI275" s="542">
        <v>0</v>
      </c>
      <c r="AJ275" s="542">
        <v>0</v>
      </c>
      <c r="AK275" s="542">
        <v>0</v>
      </c>
      <c r="AL275" s="542">
        <v>0</v>
      </c>
      <c r="AM275" s="542">
        <v>0</v>
      </c>
      <c r="AN275" s="542">
        <v>0</v>
      </c>
      <c r="AO275" s="542">
        <v>0</v>
      </c>
      <c r="AP275" s="542">
        <v>0</v>
      </c>
      <c r="AQ275" s="542">
        <v>0</v>
      </c>
      <c r="AR275" s="542">
        <v>0</v>
      </c>
      <c r="AS275" s="542">
        <v>0</v>
      </c>
      <c r="AT275" s="542">
        <v>0</v>
      </c>
      <c r="AU275" s="542">
        <v>0</v>
      </c>
      <c r="AV275" s="542">
        <v>2526846</v>
      </c>
      <c r="AW275" s="542">
        <v>-719634</v>
      </c>
      <c r="AX275" s="136"/>
      <c r="AY275" s="136"/>
      <c r="AZ275" s="136"/>
      <c r="BA275" s="136"/>
      <c r="BB275" s="136"/>
      <c r="BC275" s="136"/>
      <c r="BD275" s="136"/>
      <c r="BE275" s="136"/>
      <c r="BF275" s="136"/>
      <c r="BG275" s="136"/>
      <c r="BH275" s="136"/>
      <c r="BI275" s="136"/>
      <c r="BJ275" s="136"/>
      <c r="BK275" s="136"/>
      <c r="BL275" s="136"/>
      <c r="BM275" s="136"/>
      <c r="BN275" s="136"/>
      <c r="BO275" s="136"/>
      <c r="BP275" s="136"/>
      <c r="BQ275" s="136"/>
      <c r="BR275" s="136"/>
      <c r="BS275" s="136"/>
      <c r="BT275" s="136"/>
      <c r="BU275" s="136"/>
      <c r="BV275" s="136"/>
      <c r="BW275" s="136"/>
      <c r="BX275" s="136"/>
      <c r="BY275" s="136"/>
      <c r="BZ275" s="136"/>
      <c r="CA275" s="136"/>
      <c r="CB275" s="136"/>
      <c r="CC275" s="136"/>
      <c r="CD275" s="136"/>
      <c r="CE275" s="136"/>
      <c r="CF275" s="136"/>
      <c r="CG275" s="136"/>
      <c r="CH275" s="136"/>
      <c r="CI275" s="136"/>
      <c r="CJ275" s="136"/>
      <c r="CK275" s="136"/>
      <c r="CL275" s="136"/>
      <c r="CM275" s="136"/>
      <c r="CN275" s="136"/>
      <c r="CO275" s="136"/>
      <c r="CP275" s="136"/>
      <c r="CQ275" s="136"/>
      <c r="CR275" s="136"/>
      <c r="CS275" s="136"/>
      <c r="CT275" s="136"/>
      <c r="CU275" s="136"/>
      <c r="CV275" s="136"/>
      <c r="CW275" s="136"/>
      <c r="CX275" s="136"/>
      <c r="CY275" s="136"/>
      <c r="CZ275" s="136"/>
      <c r="DA275" s="136"/>
      <c r="DB275" s="136"/>
      <c r="DC275" s="136"/>
      <c r="DD275" s="136"/>
      <c r="DE275" s="136"/>
      <c r="DF275" s="136"/>
      <c r="DG275" s="136"/>
      <c r="DH275" s="136"/>
      <c r="DI275" s="136"/>
      <c r="DJ275" s="136"/>
      <c r="DK275" s="136"/>
      <c r="DL275" s="136"/>
      <c r="DM275" s="136"/>
      <c r="DN275" s="136"/>
      <c r="DO275" s="136"/>
      <c r="DP275" s="136"/>
      <c r="DQ275" s="136"/>
      <c r="DR275" s="136"/>
      <c r="DS275" s="136"/>
      <c r="DT275" s="136"/>
      <c r="DU275" s="136"/>
      <c r="DV275" s="136"/>
      <c r="DW275" s="136"/>
      <c r="DX275" s="136"/>
      <c r="DY275" s="136"/>
      <c r="DZ275" s="136"/>
      <c r="EA275" s="136"/>
      <c r="EB275" s="136"/>
      <c r="EC275" s="136"/>
      <c r="ED275" s="136"/>
      <c r="EE275" s="136"/>
      <c r="EF275" s="136"/>
      <c r="EG275" s="136"/>
      <c r="EH275" s="136"/>
      <c r="EI275" s="136"/>
      <c r="EJ275" s="136"/>
      <c r="EK275" s="136"/>
      <c r="EL275" s="136"/>
      <c r="EM275" s="136"/>
      <c r="EN275" s="136"/>
      <c r="EO275" s="136"/>
      <c r="EP275" s="136"/>
      <c r="EQ275" s="136"/>
      <c r="ER275" s="136"/>
      <c r="ES275" s="136"/>
      <c r="ET275" s="136"/>
      <c r="EU275" s="136"/>
      <c r="EV275" s="136"/>
      <c r="EW275" s="136"/>
      <c r="EX275" s="136"/>
      <c r="EY275" s="136"/>
      <c r="EZ275" s="136"/>
      <c r="FA275" s="136"/>
      <c r="FB275" s="136"/>
      <c r="FC275" s="136"/>
      <c r="FD275" s="136"/>
      <c r="FE275" s="137"/>
      <c r="FF275" s="138"/>
    </row>
    <row r="276" spans="1:162" ht="12.75" x14ac:dyDescent="0.2">
      <c r="A276" s="93">
        <v>270</v>
      </c>
      <c r="B276" s="145" t="s">
        <v>418</v>
      </c>
      <c r="C276" s="141" t="s">
        <v>866</v>
      </c>
      <c r="D276" s="142" t="s">
        <v>867</v>
      </c>
      <c r="E276" s="149" t="s">
        <v>417</v>
      </c>
      <c r="F276" s="542">
        <v>44831248</v>
      </c>
      <c r="G276" s="542">
        <v>0</v>
      </c>
      <c r="H276" s="542">
        <v>44831248</v>
      </c>
      <c r="I276" s="542">
        <v>0</v>
      </c>
      <c r="J276" s="542">
        <v>0</v>
      </c>
      <c r="K276" s="542">
        <v>0</v>
      </c>
      <c r="L276" s="542">
        <v>235146</v>
      </c>
      <c r="M276" s="542">
        <v>0</v>
      </c>
      <c r="N276" s="542">
        <v>235146</v>
      </c>
      <c r="O276" s="542">
        <v>-192280</v>
      </c>
      <c r="P276" s="542">
        <v>0</v>
      </c>
      <c r="Q276" s="542">
        <v>-192280</v>
      </c>
      <c r="R276" s="542">
        <v>0</v>
      </c>
      <c r="S276" s="542">
        <v>0</v>
      </c>
      <c r="T276" s="542">
        <v>0</v>
      </c>
      <c r="U276" s="542">
        <v>-670118</v>
      </c>
      <c r="V276" s="542">
        <v>0</v>
      </c>
      <c r="W276" s="542">
        <v>-670118</v>
      </c>
      <c r="X276" s="542">
        <v>1286921</v>
      </c>
      <c r="Y276" s="542">
        <v>0</v>
      </c>
      <c r="Z276" s="542">
        <v>1286921</v>
      </c>
      <c r="AA276" s="542">
        <v>-4488169.3</v>
      </c>
      <c r="AB276" s="542">
        <v>0</v>
      </c>
      <c r="AC276" s="542">
        <v>-4488169.3</v>
      </c>
      <c r="AD276" s="542">
        <v>41195027.600000001</v>
      </c>
      <c r="AE276" s="542">
        <v>0</v>
      </c>
      <c r="AF276" s="542">
        <v>41195027.600000001</v>
      </c>
      <c r="AG276" s="542">
        <v>0</v>
      </c>
      <c r="AH276" s="542">
        <v>0</v>
      </c>
      <c r="AI276" s="542">
        <v>0</v>
      </c>
      <c r="AJ276" s="542">
        <v>69964</v>
      </c>
      <c r="AK276" s="542">
        <v>0</v>
      </c>
      <c r="AL276" s="542">
        <v>0</v>
      </c>
      <c r="AM276" s="542">
        <v>69964</v>
      </c>
      <c r="AN276" s="542">
        <v>0</v>
      </c>
      <c r="AO276" s="542">
        <v>0</v>
      </c>
      <c r="AP276" s="542">
        <v>0</v>
      </c>
      <c r="AQ276" s="542">
        <v>0</v>
      </c>
      <c r="AR276" s="542">
        <v>0</v>
      </c>
      <c r="AS276" s="542">
        <v>0</v>
      </c>
      <c r="AT276" s="542">
        <v>0</v>
      </c>
      <c r="AU276" s="542">
        <v>0</v>
      </c>
      <c r="AV276" s="542">
        <v>2555255</v>
      </c>
      <c r="AW276" s="542">
        <v>-493460</v>
      </c>
      <c r="AX276" s="136"/>
      <c r="AY276" s="136"/>
      <c r="AZ276" s="136"/>
      <c r="BA276" s="136"/>
      <c r="BB276" s="136"/>
      <c r="BC276" s="136"/>
      <c r="BD276" s="136"/>
      <c r="BE276" s="136"/>
      <c r="BF276" s="136"/>
      <c r="BG276" s="136"/>
      <c r="BH276" s="136"/>
      <c r="BI276" s="136"/>
      <c r="BJ276" s="136"/>
      <c r="BK276" s="136"/>
      <c r="BL276" s="136"/>
      <c r="BM276" s="136"/>
      <c r="BN276" s="136"/>
      <c r="BO276" s="136"/>
      <c r="BP276" s="136"/>
      <c r="BQ276" s="136"/>
      <c r="BR276" s="136"/>
      <c r="BS276" s="136"/>
      <c r="BT276" s="136"/>
      <c r="BU276" s="136"/>
      <c r="BV276" s="136"/>
      <c r="BW276" s="136"/>
      <c r="BX276" s="136"/>
      <c r="BY276" s="136"/>
      <c r="BZ276" s="136"/>
      <c r="CA276" s="136"/>
      <c r="CB276" s="136"/>
      <c r="CC276" s="136"/>
      <c r="CD276" s="136"/>
      <c r="CE276" s="136"/>
      <c r="CF276" s="136"/>
      <c r="CG276" s="136"/>
      <c r="CH276" s="136"/>
      <c r="CI276" s="136"/>
      <c r="CJ276" s="136"/>
      <c r="CK276" s="136"/>
      <c r="CL276" s="136"/>
      <c r="CM276" s="136"/>
      <c r="CN276" s="136"/>
      <c r="CO276" s="136"/>
      <c r="CP276" s="136"/>
      <c r="CQ276" s="136"/>
      <c r="CR276" s="136"/>
      <c r="CS276" s="136"/>
      <c r="CT276" s="136"/>
      <c r="CU276" s="136"/>
      <c r="CV276" s="136"/>
      <c r="CW276" s="136"/>
      <c r="CX276" s="136"/>
      <c r="CY276" s="136"/>
      <c r="CZ276" s="136"/>
      <c r="DA276" s="136"/>
      <c r="DB276" s="136"/>
      <c r="DC276" s="136"/>
      <c r="DD276" s="136"/>
      <c r="DE276" s="136"/>
      <c r="DF276" s="136"/>
      <c r="DG276" s="136"/>
      <c r="DH276" s="136"/>
      <c r="DI276" s="136"/>
      <c r="DJ276" s="136"/>
      <c r="DK276" s="136"/>
      <c r="DL276" s="136"/>
      <c r="DM276" s="136"/>
      <c r="DN276" s="136"/>
      <c r="DO276" s="136"/>
      <c r="DP276" s="136"/>
      <c r="DQ276" s="136"/>
      <c r="DR276" s="136"/>
      <c r="DS276" s="136"/>
      <c r="DT276" s="136"/>
      <c r="DU276" s="136"/>
      <c r="DV276" s="136"/>
      <c r="DW276" s="136"/>
      <c r="DX276" s="136"/>
      <c r="DY276" s="136"/>
      <c r="DZ276" s="136"/>
      <c r="EA276" s="136"/>
      <c r="EB276" s="136"/>
      <c r="EC276" s="136"/>
      <c r="ED276" s="136"/>
      <c r="EE276" s="136"/>
      <c r="EF276" s="136"/>
      <c r="EG276" s="136"/>
      <c r="EH276" s="136"/>
      <c r="EI276" s="136"/>
      <c r="EJ276" s="136"/>
      <c r="EK276" s="136"/>
      <c r="EL276" s="136"/>
      <c r="EM276" s="136"/>
      <c r="EN276" s="136"/>
      <c r="EO276" s="136"/>
      <c r="EP276" s="136"/>
      <c r="EQ276" s="136"/>
      <c r="ER276" s="136"/>
      <c r="ES276" s="136"/>
      <c r="ET276" s="136"/>
      <c r="EU276" s="136"/>
      <c r="EV276" s="136"/>
      <c r="EW276" s="136"/>
      <c r="EX276" s="136"/>
      <c r="EY276" s="136"/>
      <c r="EZ276" s="136"/>
      <c r="FA276" s="136"/>
      <c r="FB276" s="136"/>
      <c r="FC276" s="136"/>
      <c r="FD276" s="136"/>
      <c r="FE276" s="137"/>
      <c r="FF276" s="138"/>
    </row>
    <row r="277" spans="1:162" ht="12.75" x14ac:dyDescent="0.2">
      <c r="A277" s="93">
        <v>271</v>
      </c>
      <c r="B277" s="145" t="s">
        <v>420</v>
      </c>
      <c r="C277" s="141" t="s">
        <v>770</v>
      </c>
      <c r="D277" s="142" t="s">
        <v>875</v>
      </c>
      <c r="E277" s="149" t="s">
        <v>729</v>
      </c>
      <c r="F277" s="542">
        <v>108446253</v>
      </c>
      <c r="G277" s="542">
        <v>0</v>
      </c>
      <c r="H277" s="542">
        <v>108446253</v>
      </c>
      <c r="I277" s="542">
        <v>-234</v>
      </c>
      <c r="J277" s="542">
        <v>0</v>
      </c>
      <c r="K277" s="542">
        <v>-234</v>
      </c>
      <c r="L277" s="542">
        <v>359072</v>
      </c>
      <c r="M277" s="542">
        <v>0</v>
      </c>
      <c r="N277" s="542">
        <v>359072</v>
      </c>
      <c r="O277" s="542">
        <v>-428955</v>
      </c>
      <c r="P277" s="542">
        <v>0</v>
      </c>
      <c r="Q277" s="542">
        <v>-428955</v>
      </c>
      <c r="R277" s="542">
        <v>0</v>
      </c>
      <c r="S277" s="542">
        <v>0</v>
      </c>
      <c r="T277" s="542">
        <v>0</v>
      </c>
      <c r="U277" s="542">
        <v>-472045</v>
      </c>
      <c r="V277" s="542">
        <v>0</v>
      </c>
      <c r="W277" s="542">
        <v>-472045</v>
      </c>
      <c r="X277" s="542">
        <v>2934218</v>
      </c>
      <c r="Y277" s="542">
        <v>0</v>
      </c>
      <c r="Z277" s="542">
        <v>2934218</v>
      </c>
      <c r="AA277" s="542">
        <v>-6684969</v>
      </c>
      <c r="AB277" s="542">
        <v>0</v>
      </c>
      <c r="AC277" s="542">
        <v>-6684969</v>
      </c>
      <c r="AD277" s="542">
        <v>104582295</v>
      </c>
      <c r="AE277" s="542">
        <v>0</v>
      </c>
      <c r="AF277" s="542">
        <v>104582295</v>
      </c>
      <c r="AG277" s="542">
        <v>0</v>
      </c>
      <c r="AH277" s="542">
        <v>0</v>
      </c>
      <c r="AI277" s="542">
        <v>0</v>
      </c>
      <c r="AJ277" s="542">
        <v>183308</v>
      </c>
      <c r="AK277" s="542">
        <v>0</v>
      </c>
      <c r="AL277" s="542">
        <v>0</v>
      </c>
      <c r="AM277" s="542">
        <v>183308</v>
      </c>
      <c r="AN277" s="542">
        <v>0</v>
      </c>
      <c r="AO277" s="542">
        <v>0</v>
      </c>
      <c r="AP277" s="542">
        <v>0</v>
      </c>
      <c r="AQ277" s="542">
        <v>0</v>
      </c>
      <c r="AR277" s="542">
        <v>0</v>
      </c>
      <c r="AS277" s="542">
        <v>0</v>
      </c>
      <c r="AT277" s="542">
        <v>0</v>
      </c>
      <c r="AU277" s="542">
        <v>0</v>
      </c>
      <c r="AV277" s="542">
        <v>3733882</v>
      </c>
      <c r="AW277" s="542">
        <v>-455053</v>
      </c>
      <c r="AX277" s="136"/>
      <c r="AY277" s="136"/>
      <c r="AZ277" s="136"/>
      <c r="BA277" s="136"/>
      <c r="BB277" s="136"/>
      <c r="BC277" s="136"/>
      <c r="BD277" s="136"/>
      <c r="BE277" s="136"/>
      <c r="BF277" s="136"/>
      <c r="BG277" s="136"/>
      <c r="BH277" s="136"/>
      <c r="BI277" s="136"/>
      <c r="BJ277" s="136"/>
      <c r="BK277" s="136"/>
      <c r="BL277" s="136"/>
      <c r="BM277" s="136"/>
      <c r="BN277" s="136"/>
      <c r="BO277" s="136"/>
      <c r="BP277" s="136"/>
      <c r="BQ277" s="136"/>
      <c r="BR277" s="136"/>
      <c r="BS277" s="136"/>
      <c r="BT277" s="136"/>
      <c r="BU277" s="136"/>
      <c r="BV277" s="136"/>
      <c r="BW277" s="136"/>
      <c r="BX277" s="136"/>
      <c r="BY277" s="136"/>
      <c r="BZ277" s="136"/>
      <c r="CA277" s="136"/>
      <c r="CB277" s="136"/>
      <c r="CC277" s="136"/>
      <c r="CD277" s="136"/>
      <c r="CE277" s="136"/>
      <c r="CF277" s="136"/>
      <c r="CG277" s="136"/>
      <c r="CH277" s="136"/>
      <c r="CI277" s="136"/>
      <c r="CJ277" s="136"/>
      <c r="CK277" s="136"/>
      <c r="CL277" s="136"/>
      <c r="CM277" s="136"/>
      <c r="CN277" s="136"/>
      <c r="CO277" s="136"/>
      <c r="CP277" s="136"/>
      <c r="CQ277" s="136"/>
      <c r="CR277" s="136"/>
      <c r="CS277" s="136"/>
      <c r="CT277" s="136"/>
      <c r="CU277" s="136"/>
      <c r="CV277" s="136"/>
      <c r="CW277" s="136"/>
      <c r="CX277" s="136"/>
      <c r="CY277" s="136"/>
      <c r="CZ277" s="136"/>
      <c r="DA277" s="136"/>
      <c r="DB277" s="136"/>
      <c r="DC277" s="136"/>
      <c r="DD277" s="136"/>
      <c r="DE277" s="136"/>
      <c r="DF277" s="136"/>
      <c r="DG277" s="136"/>
      <c r="DH277" s="136"/>
      <c r="DI277" s="136"/>
      <c r="DJ277" s="136"/>
      <c r="DK277" s="136"/>
      <c r="DL277" s="136"/>
      <c r="DM277" s="136"/>
      <c r="DN277" s="136"/>
      <c r="DO277" s="136"/>
      <c r="DP277" s="136"/>
      <c r="DQ277" s="136"/>
      <c r="DR277" s="136"/>
      <c r="DS277" s="136"/>
      <c r="DT277" s="136"/>
      <c r="DU277" s="136"/>
      <c r="DV277" s="136"/>
      <c r="DW277" s="136"/>
      <c r="DX277" s="136"/>
      <c r="DY277" s="136"/>
      <c r="DZ277" s="136"/>
      <c r="EA277" s="136"/>
      <c r="EB277" s="136"/>
      <c r="EC277" s="136"/>
      <c r="ED277" s="136"/>
      <c r="EE277" s="136"/>
      <c r="EF277" s="136"/>
      <c r="EG277" s="136"/>
      <c r="EH277" s="136"/>
      <c r="EI277" s="136"/>
      <c r="EJ277" s="136"/>
      <c r="EK277" s="136"/>
      <c r="EL277" s="136"/>
      <c r="EM277" s="136"/>
      <c r="EN277" s="136"/>
      <c r="EO277" s="136"/>
      <c r="EP277" s="136"/>
      <c r="EQ277" s="136"/>
      <c r="ER277" s="136"/>
      <c r="ES277" s="136"/>
      <c r="ET277" s="136"/>
      <c r="EU277" s="136"/>
      <c r="EV277" s="136"/>
      <c r="EW277" s="136"/>
      <c r="EX277" s="136"/>
      <c r="EY277" s="136"/>
      <c r="EZ277" s="136"/>
      <c r="FA277" s="136"/>
      <c r="FB277" s="136"/>
      <c r="FC277" s="136"/>
      <c r="FD277" s="136"/>
      <c r="FE277" s="137"/>
      <c r="FF277" s="138"/>
    </row>
    <row r="278" spans="1:162" ht="12.75" x14ac:dyDescent="0.2">
      <c r="A278" s="93">
        <v>272</v>
      </c>
      <c r="B278" s="145" t="s">
        <v>422</v>
      </c>
      <c r="C278" s="141" t="s">
        <v>873</v>
      </c>
      <c r="D278" s="142" t="s">
        <v>868</v>
      </c>
      <c r="E278" s="149" t="s">
        <v>421</v>
      </c>
      <c r="F278" s="542">
        <v>58446192</v>
      </c>
      <c r="G278" s="542">
        <v>0</v>
      </c>
      <c r="H278" s="542">
        <v>58446192</v>
      </c>
      <c r="I278" s="542">
        <v>0</v>
      </c>
      <c r="J278" s="542">
        <v>0</v>
      </c>
      <c r="K278" s="542">
        <v>0</v>
      </c>
      <c r="L278" s="542">
        <v>51758</v>
      </c>
      <c r="M278" s="542">
        <v>0</v>
      </c>
      <c r="N278" s="542">
        <v>51758</v>
      </c>
      <c r="O278" s="542">
        <v>-159298</v>
      </c>
      <c r="P278" s="542">
        <v>0</v>
      </c>
      <c r="Q278" s="542">
        <v>-159298</v>
      </c>
      <c r="R278" s="542">
        <v>0</v>
      </c>
      <c r="S278" s="542">
        <v>0</v>
      </c>
      <c r="T278" s="542">
        <v>0</v>
      </c>
      <c r="U278" s="542">
        <v>-1223312</v>
      </c>
      <c r="V278" s="542">
        <v>0</v>
      </c>
      <c r="W278" s="542">
        <v>-1223312</v>
      </c>
      <c r="X278" s="542">
        <v>680766</v>
      </c>
      <c r="Y278" s="542">
        <v>0</v>
      </c>
      <c r="Z278" s="542">
        <v>680766</v>
      </c>
      <c r="AA278" s="542">
        <v>-2792670</v>
      </c>
      <c r="AB278" s="542">
        <v>0</v>
      </c>
      <c r="AC278" s="542">
        <v>-2792670</v>
      </c>
      <c r="AD278" s="542">
        <v>55162734</v>
      </c>
      <c r="AE278" s="542">
        <v>0</v>
      </c>
      <c r="AF278" s="542">
        <v>55162734</v>
      </c>
      <c r="AG278" s="542">
        <v>0</v>
      </c>
      <c r="AH278" s="542">
        <v>0</v>
      </c>
      <c r="AI278" s="542">
        <v>0</v>
      </c>
      <c r="AJ278" s="542">
        <v>0</v>
      </c>
      <c r="AK278" s="542">
        <v>0</v>
      </c>
      <c r="AL278" s="542">
        <v>0</v>
      </c>
      <c r="AM278" s="542">
        <v>0</v>
      </c>
      <c r="AN278" s="542">
        <v>0</v>
      </c>
      <c r="AO278" s="542">
        <v>0</v>
      </c>
      <c r="AP278" s="542">
        <v>0</v>
      </c>
      <c r="AQ278" s="542">
        <v>0</v>
      </c>
      <c r="AR278" s="542">
        <v>0</v>
      </c>
      <c r="AS278" s="542">
        <v>0</v>
      </c>
      <c r="AT278" s="542">
        <v>0</v>
      </c>
      <c r="AU278" s="542">
        <v>0</v>
      </c>
      <c r="AV278" s="542">
        <v>6671794</v>
      </c>
      <c r="AW278" s="542">
        <v>-2079775</v>
      </c>
      <c r="AX278" s="136"/>
      <c r="AY278" s="136"/>
      <c r="AZ278" s="136"/>
      <c r="BA278" s="136"/>
      <c r="BB278" s="136"/>
      <c r="BC278" s="136"/>
      <c r="BD278" s="136"/>
      <c r="BE278" s="136"/>
      <c r="BF278" s="136"/>
      <c r="BG278" s="136"/>
      <c r="BH278" s="136"/>
      <c r="BI278" s="136"/>
      <c r="BJ278" s="136"/>
      <c r="BK278" s="136"/>
      <c r="BL278" s="136"/>
      <c r="BM278" s="136"/>
      <c r="BN278" s="136"/>
      <c r="BO278" s="136"/>
      <c r="BP278" s="136"/>
      <c r="BQ278" s="136"/>
      <c r="BR278" s="136"/>
      <c r="BS278" s="136"/>
      <c r="BT278" s="136"/>
      <c r="BU278" s="136"/>
      <c r="BV278" s="136"/>
      <c r="BW278" s="136"/>
      <c r="BX278" s="136"/>
      <c r="BY278" s="136"/>
      <c r="BZ278" s="136"/>
      <c r="CA278" s="136"/>
      <c r="CB278" s="136"/>
      <c r="CC278" s="136"/>
      <c r="CD278" s="136"/>
      <c r="CE278" s="136"/>
      <c r="CF278" s="136"/>
      <c r="CG278" s="136"/>
      <c r="CH278" s="136"/>
      <c r="CI278" s="136"/>
      <c r="CJ278" s="136"/>
      <c r="CK278" s="136"/>
      <c r="CL278" s="136"/>
      <c r="CM278" s="136"/>
      <c r="CN278" s="136"/>
      <c r="CO278" s="136"/>
      <c r="CP278" s="136"/>
      <c r="CQ278" s="136"/>
      <c r="CR278" s="136"/>
      <c r="CS278" s="136"/>
      <c r="CT278" s="136"/>
      <c r="CU278" s="136"/>
      <c r="CV278" s="136"/>
      <c r="CW278" s="136"/>
      <c r="CX278" s="136"/>
      <c r="CY278" s="136"/>
      <c r="CZ278" s="136"/>
      <c r="DA278" s="136"/>
      <c r="DB278" s="136"/>
      <c r="DC278" s="136"/>
      <c r="DD278" s="136"/>
      <c r="DE278" s="136"/>
      <c r="DF278" s="136"/>
      <c r="DG278" s="136"/>
      <c r="DH278" s="136"/>
      <c r="DI278" s="136"/>
      <c r="DJ278" s="136"/>
      <c r="DK278" s="136"/>
      <c r="DL278" s="136"/>
      <c r="DM278" s="136"/>
      <c r="DN278" s="136"/>
      <c r="DO278" s="136"/>
      <c r="DP278" s="136"/>
      <c r="DQ278" s="136"/>
      <c r="DR278" s="136"/>
      <c r="DS278" s="136"/>
      <c r="DT278" s="136"/>
      <c r="DU278" s="136"/>
      <c r="DV278" s="136"/>
      <c r="DW278" s="136"/>
      <c r="DX278" s="136"/>
      <c r="DY278" s="136"/>
      <c r="DZ278" s="136"/>
      <c r="EA278" s="136"/>
      <c r="EB278" s="136"/>
      <c r="EC278" s="136"/>
      <c r="ED278" s="136"/>
      <c r="EE278" s="136"/>
      <c r="EF278" s="136"/>
      <c r="EG278" s="136"/>
      <c r="EH278" s="136"/>
      <c r="EI278" s="136"/>
      <c r="EJ278" s="136"/>
      <c r="EK278" s="136"/>
      <c r="EL278" s="136"/>
      <c r="EM278" s="136"/>
      <c r="EN278" s="136"/>
      <c r="EO278" s="136"/>
      <c r="EP278" s="136"/>
      <c r="EQ278" s="136"/>
      <c r="ER278" s="136"/>
      <c r="ES278" s="136"/>
      <c r="ET278" s="136"/>
      <c r="EU278" s="136"/>
      <c r="EV278" s="136"/>
      <c r="EW278" s="136"/>
      <c r="EX278" s="136"/>
      <c r="EY278" s="136"/>
      <c r="EZ278" s="136"/>
      <c r="FA278" s="136"/>
      <c r="FB278" s="136"/>
      <c r="FC278" s="136"/>
      <c r="FD278" s="136"/>
      <c r="FE278" s="137"/>
      <c r="FF278" s="138"/>
    </row>
    <row r="279" spans="1:162" ht="12.75" x14ac:dyDescent="0.2">
      <c r="A279" s="93">
        <v>273</v>
      </c>
      <c r="B279" s="145" t="s">
        <v>424</v>
      </c>
      <c r="C279" s="141" t="s">
        <v>866</v>
      </c>
      <c r="D279" s="142" t="s">
        <v>876</v>
      </c>
      <c r="E279" s="149" t="s">
        <v>423</v>
      </c>
      <c r="F279" s="542">
        <v>33443743</v>
      </c>
      <c r="G279" s="542">
        <v>0</v>
      </c>
      <c r="H279" s="542">
        <v>33443743</v>
      </c>
      <c r="I279" s="542">
        <v>0</v>
      </c>
      <c r="J279" s="542">
        <v>0</v>
      </c>
      <c r="K279" s="542">
        <v>0</v>
      </c>
      <c r="L279" s="542">
        <v>177161</v>
      </c>
      <c r="M279" s="542">
        <v>0</v>
      </c>
      <c r="N279" s="542">
        <v>177161</v>
      </c>
      <c r="O279" s="542">
        <v>-179658</v>
      </c>
      <c r="P279" s="542">
        <v>0</v>
      </c>
      <c r="Q279" s="542">
        <v>-179658</v>
      </c>
      <c r="R279" s="542">
        <v>0</v>
      </c>
      <c r="S279" s="542">
        <v>0</v>
      </c>
      <c r="T279" s="542">
        <v>0</v>
      </c>
      <c r="U279" s="542">
        <v>-241113</v>
      </c>
      <c r="V279" s="542">
        <v>0</v>
      </c>
      <c r="W279" s="542">
        <v>-241113</v>
      </c>
      <c r="X279" s="542">
        <v>770685</v>
      </c>
      <c r="Y279" s="542">
        <v>0</v>
      </c>
      <c r="Z279" s="542">
        <v>770685</v>
      </c>
      <c r="AA279" s="542">
        <v>-3602739</v>
      </c>
      <c r="AB279" s="542">
        <v>0</v>
      </c>
      <c r="AC279" s="542">
        <v>-3602739</v>
      </c>
      <c r="AD279" s="542">
        <v>30547737</v>
      </c>
      <c r="AE279" s="542">
        <v>0</v>
      </c>
      <c r="AF279" s="542">
        <v>30547737</v>
      </c>
      <c r="AG279" s="542">
        <v>0</v>
      </c>
      <c r="AH279" s="542">
        <v>0</v>
      </c>
      <c r="AI279" s="542">
        <v>0</v>
      </c>
      <c r="AJ279" s="542">
        <v>0</v>
      </c>
      <c r="AK279" s="542">
        <v>0</v>
      </c>
      <c r="AL279" s="542">
        <v>0</v>
      </c>
      <c r="AM279" s="542">
        <v>0</v>
      </c>
      <c r="AN279" s="542">
        <v>0</v>
      </c>
      <c r="AO279" s="542">
        <v>0</v>
      </c>
      <c r="AP279" s="542">
        <v>0</v>
      </c>
      <c r="AQ279" s="542">
        <v>0</v>
      </c>
      <c r="AR279" s="542">
        <v>0</v>
      </c>
      <c r="AS279" s="542">
        <v>0</v>
      </c>
      <c r="AT279" s="542">
        <v>0</v>
      </c>
      <c r="AU279" s="542">
        <v>0</v>
      </c>
      <c r="AV279" s="542">
        <v>1077958</v>
      </c>
      <c r="AW279" s="542">
        <v>-831759</v>
      </c>
      <c r="AX279" s="136"/>
      <c r="AY279" s="136"/>
      <c r="AZ279" s="136"/>
      <c r="BA279" s="136"/>
      <c r="BB279" s="136"/>
      <c r="BC279" s="136"/>
      <c r="BD279" s="136"/>
      <c r="BE279" s="136"/>
      <c r="BF279" s="136"/>
      <c r="BG279" s="136"/>
      <c r="BH279" s="136"/>
      <c r="BI279" s="136"/>
      <c r="BJ279" s="136"/>
      <c r="BK279" s="136"/>
      <c r="BL279" s="136"/>
      <c r="BM279" s="136"/>
      <c r="BN279" s="136"/>
      <c r="BO279" s="136"/>
      <c r="BP279" s="136"/>
      <c r="BQ279" s="136"/>
      <c r="BR279" s="136"/>
      <c r="BS279" s="136"/>
      <c r="BT279" s="136"/>
      <c r="BU279" s="136"/>
      <c r="BV279" s="136"/>
      <c r="BW279" s="136"/>
      <c r="BX279" s="136"/>
      <c r="BY279" s="136"/>
      <c r="BZ279" s="136"/>
      <c r="CA279" s="136"/>
      <c r="CB279" s="136"/>
      <c r="CC279" s="136"/>
      <c r="CD279" s="136"/>
      <c r="CE279" s="136"/>
      <c r="CF279" s="136"/>
      <c r="CG279" s="136"/>
      <c r="CH279" s="136"/>
      <c r="CI279" s="136"/>
      <c r="CJ279" s="136"/>
      <c r="CK279" s="136"/>
      <c r="CL279" s="136"/>
      <c r="CM279" s="136"/>
      <c r="CN279" s="136"/>
      <c r="CO279" s="136"/>
      <c r="CP279" s="136"/>
      <c r="CQ279" s="136"/>
      <c r="CR279" s="136"/>
      <c r="CS279" s="136"/>
      <c r="CT279" s="136"/>
      <c r="CU279" s="136"/>
      <c r="CV279" s="136"/>
      <c r="CW279" s="136"/>
      <c r="CX279" s="136"/>
      <c r="CY279" s="136"/>
      <c r="CZ279" s="136"/>
      <c r="DA279" s="136"/>
      <c r="DB279" s="136"/>
      <c r="DC279" s="136"/>
      <c r="DD279" s="136"/>
      <c r="DE279" s="136"/>
      <c r="DF279" s="136"/>
      <c r="DG279" s="136"/>
      <c r="DH279" s="136"/>
      <c r="DI279" s="136"/>
      <c r="DJ279" s="136"/>
      <c r="DK279" s="136"/>
      <c r="DL279" s="136"/>
      <c r="DM279" s="136"/>
      <c r="DN279" s="136"/>
      <c r="DO279" s="136"/>
      <c r="DP279" s="136"/>
      <c r="DQ279" s="136"/>
      <c r="DR279" s="136"/>
      <c r="DS279" s="136"/>
      <c r="DT279" s="136"/>
      <c r="DU279" s="136"/>
      <c r="DV279" s="136"/>
      <c r="DW279" s="136"/>
      <c r="DX279" s="136"/>
      <c r="DY279" s="136"/>
      <c r="DZ279" s="136"/>
      <c r="EA279" s="136"/>
      <c r="EB279" s="136"/>
      <c r="EC279" s="136"/>
      <c r="ED279" s="136"/>
      <c r="EE279" s="136"/>
      <c r="EF279" s="136"/>
      <c r="EG279" s="136"/>
      <c r="EH279" s="136"/>
      <c r="EI279" s="136"/>
      <c r="EJ279" s="136"/>
      <c r="EK279" s="136"/>
      <c r="EL279" s="136"/>
      <c r="EM279" s="136"/>
      <c r="EN279" s="136"/>
      <c r="EO279" s="136"/>
      <c r="EP279" s="136"/>
      <c r="EQ279" s="136"/>
      <c r="ER279" s="136"/>
      <c r="ES279" s="136"/>
      <c r="ET279" s="136"/>
      <c r="EU279" s="136"/>
      <c r="EV279" s="136"/>
      <c r="EW279" s="136"/>
      <c r="EX279" s="136"/>
      <c r="EY279" s="136"/>
      <c r="EZ279" s="136"/>
      <c r="FA279" s="136"/>
      <c r="FB279" s="136"/>
      <c r="FC279" s="136"/>
      <c r="FD279" s="136"/>
      <c r="FE279" s="137"/>
      <c r="FF279" s="138"/>
    </row>
    <row r="280" spans="1:162" ht="12.75" x14ac:dyDescent="0.2">
      <c r="A280" s="93">
        <v>274</v>
      </c>
      <c r="B280" s="145" t="s">
        <v>426</v>
      </c>
      <c r="C280" s="141" t="s">
        <v>866</v>
      </c>
      <c r="D280" s="142" t="s">
        <v>867</v>
      </c>
      <c r="E280" s="149" t="s">
        <v>425</v>
      </c>
      <c r="F280" s="542">
        <v>19949402</v>
      </c>
      <c r="G280" s="542">
        <v>0</v>
      </c>
      <c r="H280" s="542">
        <v>19949402</v>
      </c>
      <c r="I280" s="542">
        <v>0</v>
      </c>
      <c r="J280" s="542">
        <v>0</v>
      </c>
      <c r="K280" s="542">
        <v>0</v>
      </c>
      <c r="L280" s="542">
        <v>115898</v>
      </c>
      <c r="M280" s="542">
        <v>0</v>
      </c>
      <c r="N280" s="542">
        <v>115898</v>
      </c>
      <c r="O280" s="542">
        <v>-93861</v>
      </c>
      <c r="P280" s="542">
        <v>0</v>
      </c>
      <c r="Q280" s="542">
        <v>-93861</v>
      </c>
      <c r="R280" s="542">
        <v>0</v>
      </c>
      <c r="S280" s="542">
        <v>0</v>
      </c>
      <c r="T280" s="542">
        <v>0</v>
      </c>
      <c r="U280" s="542">
        <v>-76650</v>
      </c>
      <c r="V280" s="542">
        <v>0</v>
      </c>
      <c r="W280" s="542">
        <v>-76650</v>
      </c>
      <c r="X280" s="542">
        <v>210936</v>
      </c>
      <c r="Y280" s="542">
        <v>0</v>
      </c>
      <c r="Z280" s="542">
        <v>210936</v>
      </c>
      <c r="AA280" s="542">
        <v>-640005</v>
      </c>
      <c r="AB280" s="542">
        <v>0</v>
      </c>
      <c r="AC280" s="542">
        <v>-640005</v>
      </c>
      <c r="AD280" s="542">
        <v>19559581</v>
      </c>
      <c r="AE280" s="542">
        <v>0</v>
      </c>
      <c r="AF280" s="542">
        <v>19559581</v>
      </c>
      <c r="AG280" s="542">
        <v>0</v>
      </c>
      <c r="AH280" s="542">
        <v>0</v>
      </c>
      <c r="AI280" s="542">
        <v>0</v>
      </c>
      <c r="AJ280" s="542">
        <v>0</v>
      </c>
      <c r="AK280" s="542">
        <v>0</v>
      </c>
      <c r="AL280" s="542">
        <v>0</v>
      </c>
      <c r="AM280" s="542">
        <v>0</v>
      </c>
      <c r="AN280" s="542">
        <v>0</v>
      </c>
      <c r="AO280" s="542">
        <v>0</v>
      </c>
      <c r="AP280" s="542">
        <v>0</v>
      </c>
      <c r="AQ280" s="542">
        <v>0</v>
      </c>
      <c r="AR280" s="542">
        <v>0</v>
      </c>
      <c r="AS280" s="542">
        <v>0</v>
      </c>
      <c r="AT280" s="542">
        <v>0</v>
      </c>
      <c r="AU280" s="542">
        <v>0</v>
      </c>
      <c r="AV280" s="542">
        <v>0</v>
      </c>
      <c r="AW280" s="542">
        <v>0</v>
      </c>
      <c r="AX280" s="136"/>
      <c r="AY280" s="136"/>
      <c r="AZ280" s="136"/>
      <c r="BA280" s="136"/>
      <c r="BB280" s="136"/>
      <c r="BC280" s="136"/>
      <c r="BD280" s="136"/>
      <c r="BE280" s="136"/>
      <c r="BF280" s="136"/>
      <c r="BG280" s="136"/>
      <c r="BH280" s="136"/>
      <c r="BI280" s="136"/>
      <c r="BJ280" s="136"/>
      <c r="BK280" s="136"/>
      <c r="BL280" s="136"/>
      <c r="BM280" s="136"/>
      <c r="BN280" s="136"/>
      <c r="BO280" s="136"/>
      <c r="BP280" s="136"/>
      <c r="BQ280" s="136"/>
      <c r="BR280" s="136"/>
      <c r="BS280" s="136"/>
      <c r="BT280" s="136"/>
      <c r="BU280" s="136"/>
      <c r="BV280" s="136"/>
      <c r="BW280" s="136"/>
      <c r="BX280" s="136"/>
      <c r="BY280" s="136"/>
      <c r="BZ280" s="136"/>
      <c r="CA280" s="136"/>
      <c r="CB280" s="136"/>
      <c r="CC280" s="136"/>
      <c r="CD280" s="136"/>
      <c r="CE280" s="136"/>
      <c r="CF280" s="136"/>
      <c r="CG280" s="136"/>
      <c r="CH280" s="136"/>
      <c r="CI280" s="136"/>
      <c r="CJ280" s="136"/>
      <c r="CK280" s="136"/>
      <c r="CL280" s="136"/>
      <c r="CM280" s="136"/>
      <c r="CN280" s="136"/>
      <c r="CO280" s="136"/>
      <c r="CP280" s="136"/>
      <c r="CQ280" s="136"/>
      <c r="CR280" s="136"/>
      <c r="CS280" s="136"/>
      <c r="CT280" s="136"/>
      <c r="CU280" s="136"/>
      <c r="CV280" s="136"/>
      <c r="CW280" s="136"/>
      <c r="CX280" s="136"/>
      <c r="CY280" s="136"/>
      <c r="CZ280" s="136"/>
      <c r="DA280" s="136"/>
      <c r="DB280" s="136"/>
      <c r="DC280" s="136"/>
      <c r="DD280" s="136"/>
      <c r="DE280" s="136"/>
      <c r="DF280" s="136"/>
      <c r="DG280" s="136"/>
      <c r="DH280" s="136"/>
      <c r="DI280" s="136"/>
      <c r="DJ280" s="136"/>
      <c r="DK280" s="136"/>
      <c r="DL280" s="136"/>
      <c r="DM280" s="136"/>
      <c r="DN280" s="136"/>
      <c r="DO280" s="136"/>
      <c r="DP280" s="136"/>
      <c r="DQ280" s="136"/>
      <c r="DR280" s="136"/>
      <c r="DS280" s="136"/>
      <c r="DT280" s="136"/>
      <c r="DU280" s="136"/>
      <c r="DV280" s="136"/>
      <c r="DW280" s="136"/>
      <c r="DX280" s="136"/>
      <c r="DY280" s="136"/>
      <c r="DZ280" s="136"/>
      <c r="EA280" s="136"/>
      <c r="EB280" s="136"/>
      <c r="EC280" s="136"/>
      <c r="ED280" s="136"/>
      <c r="EE280" s="136"/>
      <c r="EF280" s="136"/>
      <c r="EG280" s="136"/>
      <c r="EH280" s="136"/>
      <c r="EI280" s="136"/>
      <c r="EJ280" s="136"/>
      <c r="EK280" s="136"/>
      <c r="EL280" s="136"/>
      <c r="EM280" s="136"/>
      <c r="EN280" s="136"/>
      <c r="EO280" s="136"/>
      <c r="EP280" s="136"/>
      <c r="EQ280" s="136"/>
      <c r="ER280" s="136"/>
      <c r="ES280" s="136"/>
      <c r="ET280" s="136"/>
      <c r="EU280" s="136"/>
      <c r="EV280" s="136"/>
      <c r="EW280" s="136"/>
      <c r="EX280" s="136"/>
      <c r="EY280" s="136"/>
      <c r="EZ280" s="136"/>
      <c r="FA280" s="136"/>
      <c r="FB280" s="136"/>
      <c r="FC280" s="136"/>
      <c r="FD280" s="136"/>
      <c r="FE280" s="137"/>
      <c r="FF280" s="138"/>
    </row>
    <row r="281" spans="1:162" ht="12.75" x14ac:dyDescent="0.2">
      <c r="A281" s="93">
        <v>275</v>
      </c>
      <c r="B281" s="145" t="s">
        <v>428</v>
      </c>
      <c r="C281" s="141" t="s">
        <v>866</v>
      </c>
      <c r="D281" s="142" t="s">
        <v>875</v>
      </c>
      <c r="E281" s="149" t="s">
        <v>427</v>
      </c>
      <c r="F281" s="542">
        <v>40804063</v>
      </c>
      <c r="G281" s="542">
        <v>0</v>
      </c>
      <c r="H281" s="542">
        <v>40804063</v>
      </c>
      <c r="I281" s="542">
        <v>0</v>
      </c>
      <c r="J281" s="542">
        <v>0</v>
      </c>
      <c r="K281" s="542">
        <v>0</v>
      </c>
      <c r="L281" s="542">
        <v>100998</v>
      </c>
      <c r="M281" s="542">
        <v>0</v>
      </c>
      <c r="N281" s="542">
        <v>100998</v>
      </c>
      <c r="O281" s="542">
        <v>-203982</v>
      </c>
      <c r="P281" s="542">
        <v>0</v>
      </c>
      <c r="Q281" s="542">
        <v>-203982</v>
      </c>
      <c r="R281" s="542">
        <v>0</v>
      </c>
      <c r="S281" s="542">
        <v>0</v>
      </c>
      <c r="T281" s="542">
        <v>0</v>
      </c>
      <c r="U281" s="542">
        <v>-368130</v>
      </c>
      <c r="V281" s="542">
        <v>0</v>
      </c>
      <c r="W281" s="542">
        <v>-368130</v>
      </c>
      <c r="X281" s="542">
        <v>1304477</v>
      </c>
      <c r="Y281" s="542">
        <v>0</v>
      </c>
      <c r="Z281" s="542">
        <v>1304477</v>
      </c>
      <c r="AA281" s="542">
        <v>-5702000</v>
      </c>
      <c r="AB281" s="542">
        <v>0</v>
      </c>
      <c r="AC281" s="542">
        <v>-5702000</v>
      </c>
      <c r="AD281" s="542">
        <v>36139408</v>
      </c>
      <c r="AE281" s="542">
        <v>0</v>
      </c>
      <c r="AF281" s="542">
        <v>36139408</v>
      </c>
      <c r="AG281" s="542">
        <v>0</v>
      </c>
      <c r="AH281" s="542">
        <v>0</v>
      </c>
      <c r="AI281" s="542">
        <v>0</v>
      </c>
      <c r="AJ281" s="542">
        <v>98448</v>
      </c>
      <c r="AK281" s="542">
        <v>0</v>
      </c>
      <c r="AL281" s="542">
        <v>0</v>
      </c>
      <c r="AM281" s="542">
        <v>98448</v>
      </c>
      <c r="AN281" s="542">
        <v>0</v>
      </c>
      <c r="AO281" s="542">
        <v>0</v>
      </c>
      <c r="AP281" s="542">
        <v>0</v>
      </c>
      <c r="AQ281" s="542">
        <v>0</v>
      </c>
      <c r="AR281" s="542">
        <v>0</v>
      </c>
      <c r="AS281" s="542">
        <v>0</v>
      </c>
      <c r="AT281" s="542">
        <v>0</v>
      </c>
      <c r="AU281" s="542">
        <v>0</v>
      </c>
      <c r="AV281" s="542">
        <v>1331167</v>
      </c>
      <c r="AW281" s="542">
        <v>-593672</v>
      </c>
      <c r="AX281" s="136"/>
      <c r="AY281" s="136"/>
      <c r="AZ281" s="136"/>
      <c r="BA281" s="136"/>
      <c r="BB281" s="136"/>
      <c r="BC281" s="136"/>
      <c r="BD281" s="136"/>
      <c r="BE281" s="136"/>
      <c r="BF281" s="136"/>
      <c r="BG281" s="136"/>
      <c r="BH281" s="136"/>
      <c r="BI281" s="136"/>
      <c r="BJ281" s="136"/>
      <c r="BK281" s="136"/>
      <c r="BL281" s="136"/>
      <c r="BM281" s="136"/>
      <c r="BN281" s="136"/>
      <c r="BO281" s="136"/>
      <c r="BP281" s="136"/>
      <c r="BQ281" s="136"/>
      <c r="BR281" s="136"/>
      <c r="BS281" s="136"/>
      <c r="BT281" s="136"/>
      <c r="BU281" s="136"/>
      <c r="BV281" s="136"/>
      <c r="BW281" s="136"/>
      <c r="BX281" s="136"/>
      <c r="BY281" s="136"/>
      <c r="BZ281" s="136"/>
      <c r="CA281" s="136"/>
      <c r="CB281" s="136"/>
      <c r="CC281" s="136"/>
      <c r="CD281" s="136"/>
      <c r="CE281" s="136"/>
      <c r="CF281" s="136"/>
      <c r="CG281" s="136"/>
      <c r="CH281" s="136"/>
      <c r="CI281" s="136"/>
      <c r="CJ281" s="136"/>
      <c r="CK281" s="136"/>
      <c r="CL281" s="136"/>
      <c r="CM281" s="136"/>
      <c r="CN281" s="136"/>
      <c r="CO281" s="136"/>
      <c r="CP281" s="136"/>
      <c r="CQ281" s="136"/>
      <c r="CR281" s="136"/>
      <c r="CS281" s="136"/>
      <c r="CT281" s="136"/>
      <c r="CU281" s="136"/>
      <c r="CV281" s="136"/>
      <c r="CW281" s="136"/>
      <c r="CX281" s="136"/>
      <c r="CY281" s="136"/>
      <c r="CZ281" s="136"/>
      <c r="DA281" s="136"/>
      <c r="DB281" s="136"/>
      <c r="DC281" s="136"/>
      <c r="DD281" s="136"/>
      <c r="DE281" s="136"/>
      <c r="DF281" s="136"/>
      <c r="DG281" s="136"/>
      <c r="DH281" s="136"/>
      <c r="DI281" s="136"/>
      <c r="DJ281" s="136"/>
      <c r="DK281" s="136"/>
      <c r="DL281" s="136"/>
      <c r="DM281" s="136"/>
      <c r="DN281" s="136"/>
      <c r="DO281" s="136"/>
      <c r="DP281" s="136"/>
      <c r="DQ281" s="136"/>
      <c r="DR281" s="136"/>
      <c r="DS281" s="136"/>
      <c r="DT281" s="136"/>
      <c r="DU281" s="136"/>
      <c r="DV281" s="136"/>
      <c r="DW281" s="136"/>
      <c r="DX281" s="136"/>
      <c r="DY281" s="136"/>
      <c r="DZ281" s="136"/>
      <c r="EA281" s="136"/>
      <c r="EB281" s="136"/>
      <c r="EC281" s="136"/>
      <c r="ED281" s="136"/>
      <c r="EE281" s="136"/>
      <c r="EF281" s="136"/>
      <c r="EG281" s="136"/>
      <c r="EH281" s="136"/>
      <c r="EI281" s="136"/>
      <c r="EJ281" s="136"/>
      <c r="EK281" s="136"/>
      <c r="EL281" s="136"/>
      <c r="EM281" s="136"/>
      <c r="EN281" s="136"/>
      <c r="EO281" s="136"/>
      <c r="EP281" s="136"/>
      <c r="EQ281" s="136"/>
      <c r="ER281" s="136"/>
      <c r="ES281" s="136"/>
      <c r="ET281" s="136"/>
      <c r="EU281" s="136"/>
      <c r="EV281" s="136"/>
      <c r="EW281" s="136"/>
      <c r="EX281" s="136"/>
      <c r="EY281" s="136"/>
      <c r="EZ281" s="136"/>
      <c r="FA281" s="136"/>
      <c r="FB281" s="136"/>
      <c r="FC281" s="136"/>
      <c r="FD281" s="136"/>
      <c r="FE281" s="137"/>
      <c r="FF281" s="138"/>
    </row>
    <row r="282" spans="1:162" ht="12.75" x14ac:dyDescent="0.2">
      <c r="A282" s="93">
        <v>276</v>
      </c>
      <c r="B282" s="145" t="s">
        <v>430</v>
      </c>
      <c r="C282" s="141" t="s">
        <v>866</v>
      </c>
      <c r="D282" s="142" t="s">
        <v>875</v>
      </c>
      <c r="E282" s="149" t="s">
        <v>429</v>
      </c>
      <c r="F282" s="542">
        <v>31664629</v>
      </c>
      <c r="G282" s="542">
        <v>0</v>
      </c>
      <c r="H282" s="542">
        <v>31664629</v>
      </c>
      <c r="I282" s="542">
        <v>-335</v>
      </c>
      <c r="J282" s="542">
        <v>0</v>
      </c>
      <c r="K282" s="542">
        <v>-335</v>
      </c>
      <c r="L282" s="542">
        <v>59633</v>
      </c>
      <c r="M282" s="542">
        <v>0</v>
      </c>
      <c r="N282" s="542">
        <v>59633</v>
      </c>
      <c r="O282" s="542">
        <v>-171951</v>
      </c>
      <c r="P282" s="542">
        <v>0</v>
      </c>
      <c r="Q282" s="542">
        <v>-171951</v>
      </c>
      <c r="R282" s="542">
        <v>0</v>
      </c>
      <c r="S282" s="542">
        <v>0</v>
      </c>
      <c r="T282" s="542">
        <v>0</v>
      </c>
      <c r="U282" s="542">
        <v>-171951</v>
      </c>
      <c r="V282" s="542">
        <v>0</v>
      </c>
      <c r="W282" s="542">
        <v>-171951</v>
      </c>
      <c r="X282" s="542">
        <v>0</v>
      </c>
      <c r="Y282" s="542">
        <v>0</v>
      </c>
      <c r="Z282" s="542">
        <v>0</v>
      </c>
      <c r="AA282" s="542">
        <v>-210127</v>
      </c>
      <c r="AB282" s="542">
        <v>0</v>
      </c>
      <c r="AC282" s="542">
        <v>-210127</v>
      </c>
      <c r="AD282" s="542">
        <v>31341849</v>
      </c>
      <c r="AE282" s="542">
        <v>0</v>
      </c>
      <c r="AF282" s="542">
        <v>31341849</v>
      </c>
      <c r="AG282" s="542">
        <v>0</v>
      </c>
      <c r="AH282" s="542">
        <v>0</v>
      </c>
      <c r="AI282" s="542">
        <v>0</v>
      </c>
      <c r="AJ282" s="542">
        <v>2920</v>
      </c>
      <c r="AK282" s="542">
        <v>0</v>
      </c>
      <c r="AL282" s="542">
        <v>0</v>
      </c>
      <c r="AM282" s="542">
        <v>2920</v>
      </c>
      <c r="AN282" s="542">
        <v>0</v>
      </c>
      <c r="AO282" s="542">
        <v>0</v>
      </c>
      <c r="AP282" s="542">
        <v>0</v>
      </c>
      <c r="AQ282" s="542">
        <v>0</v>
      </c>
      <c r="AR282" s="542">
        <v>0</v>
      </c>
      <c r="AS282" s="542">
        <v>0</v>
      </c>
      <c r="AT282" s="542">
        <v>0</v>
      </c>
      <c r="AU282" s="542">
        <v>0</v>
      </c>
      <c r="AV282" s="542">
        <v>644492</v>
      </c>
      <c r="AW282" s="542">
        <v>-272848</v>
      </c>
      <c r="AX282" s="136"/>
      <c r="AY282" s="136"/>
      <c r="AZ282" s="136"/>
      <c r="BA282" s="136"/>
      <c r="BB282" s="136"/>
      <c r="BC282" s="136"/>
      <c r="BD282" s="136"/>
      <c r="BE282" s="136"/>
      <c r="BF282" s="136"/>
      <c r="BG282" s="136"/>
      <c r="BH282" s="136"/>
      <c r="BI282" s="136"/>
      <c r="BJ282" s="136"/>
      <c r="BK282" s="136"/>
      <c r="BL282" s="136"/>
      <c r="BM282" s="136"/>
      <c r="BN282" s="136"/>
      <c r="BO282" s="136"/>
      <c r="BP282" s="136"/>
      <c r="BQ282" s="136"/>
      <c r="BR282" s="136"/>
      <c r="BS282" s="136"/>
      <c r="BT282" s="136"/>
      <c r="BU282" s="136"/>
      <c r="BV282" s="136"/>
      <c r="BW282" s="136"/>
      <c r="BX282" s="136"/>
      <c r="BY282" s="136"/>
      <c r="BZ282" s="136"/>
      <c r="CA282" s="136"/>
      <c r="CB282" s="136"/>
      <c r="CC282" s="136"/>
      <c r="CD282" s="136"/>
      <c r="CE282" s="136"/>
      <c r="CF282" s="136"/>
      <c r="CG282" s="136"/>
      <c r="CH282" s="136"/>
      <c r="CI282" s="136"/>
      <c r="CJ282" s="136"/>
      <c r="CK282" s="136"/>
      <c r="CL282" s="136"/>
      <c r="CM282" s="136"/>
      <c r="CN282" s="136"/>
      <c r="CO282" s="136"/>
      <c r="CP282" s="136"/>
      <c r="CQ282" s="136"/>
      <c r="CR282" s="136"/>
      <c r="CS282" s="136"/>
      <c r="CT282" s="136"/>
      <c r="CU282" s="136"/>
      <c r="CV282" s="136"/>
      <c r="CW282" s="136"/>
      <c r="CX282" s="136"/>
      <c r="CY282" s="136"/>
      <c r="CZ282" s="136"/>
      <c r="DA282" s="136"/>
      <c r="DB282" s="136"/>
      <c r="DC282" s="136"/>
      <c r="DD282" s="136"/>
      <c r="DE282" s="136"/>
      <c r="DF282" s="136"/>
      <c r="DG282" s="136"/>
      <c r="DH282" s="136"/>
      <c r="DI282" s="136"/>
      <c r="DJ282" s="136"/>
      <c r="DK282" s="136"/>
      <c r="DL282" s="136"/>
      <c r="DM282" s="136"/>
      <c r="DN282" s="136"/>
      <c r="DO282" s="136"/>
      <c r="DP282" s="136"/>
      <c r="DQ282" s="136"/>
      <c r="DR282" s="136"/>
      <c r="DS282" s="136"/>
      <c r="DT282" s="136"/>
      <c r="DU282" s="136"/>
      <c r="DV282" s="136"/>
      <c r="DW282" s="136"/>
      <c r="DX282" s="136"/>
      <c r="DY282" s="136"/>
      <c r="DZ282" s="136"/>
      <c r="EA282" s="136"/>
      <c r="EB282" s="136"/>
      <c r="EC282" s="136"/>
      <c r="ED282" s="136"/>
      <c r="EE282" s="136"/>
      <c r="EF282" s="136"/>
      <c r="EG282" s="136"/>
      <c r="EH282" s="136"/>
      <c r="EI282" s="136"/>
      <c r="EJ282" s="136"/>
      <c r="EK282" s="136"/>
      <c r="EL282" s="136"/>
      <c r="EM282" s="136"/>
      <c r="EN282" s="136"/>
      <c r="EO282" s="136"/>
      <c r="EP282" s="136"/>
      <c r="EQ282" s="136"/>
      <c r="ER282" s="136"/>
      <c r="ES282" s="136"/>
      <c r="ET282" s="136"/>
      <c r="EU282" s="136"/>
      <c r="EV282" s="136"/>
      <c r="EW282" s="136"/>
      <c r="EX282" s="136"/>
      <c r="EY282" s="136"/>
      <c r="EZ282" s="136"/>
      <c r="FA282" s="136"/>
      <c r="FB282" s="136"/>
      <c r="FC282" s="136"/>
      <c r="FD282" s="136"/>
      <c r="FE282" s="137"/>
      <c r="FF282" s="138"/>
    </row>
    <row r="283" spans="1:162" ht="12.75" x14ac:dyDescent="0.2">
      <c r="A283" s="93">
        <v>277</v>
      </c>
      <c r="B283" s="145" t="s">
        <v>432</v>
      </c>
      <c r="C283" s="141" t="s">
        <v>770</v>
      </c>
      <c r="D283" s="142" t="s">
        <v>876</v>
      </c>
      <c r="E283" s="149" t="s">
        <v>730</v>
      </c>
      <c r="F283" s="542">
        <v>70343529</v>
      </c>
      <c r="G283" s="542">
        <v>0</v>
      </c>
      <c r="H283" s="542">
        <v>70343529</v>
      </c>
      <c r="I283" s="542">
        <v>-5821</v>
      </c>
      <c r="J283" s="542">
        <v>0</v>
      </c>
      <c r="K283" s="542">
        <v>-5821</v>
      </c>
      <c r="L283" s="542">
        <v>188347</v>
      </c>
      <c r="M283" s="542">
        <v>0</v>
      </c>
      <c r="N283" s="542">
        <v>188347</v>
      </c>
      <c r="O283" s="542">
        <v>-489651</v>
      </c>
      <c r="P283" s="542">
        <v>0</v>
      </c>
      <c r="Q283" s="542">
        <v>-489651</v>
      </c>
      <c r="R283" s="542">
        <v>0</v>
      </c>
      <c r="S283" s="542">
        <v>0</v>
      </c>
      <c r="T283" s="542">
        <v>0</v>
      </c>
      <c r="U283" s="542">
        <v>-587651</v>
      </c>
      <c r="V283" s="542">
        <v>0</v>
      </c>
      <c r="W283" s="542">
        <v>-587651</v>
      </c>
      <c r="X283" s="542">
        <v>1818369</v>
      </c>
      <c r="Y283" s="542">
        <v>0</v>
      </c>
      <c r="Z283" s="542">
        <v>1818369</v>
      </c>
      <c r="AA283" s="542">
        <v>-2614369</v>
      </c>
      <c r="AB283" s="542">
        <v>0</v>
      </c>
      <c r="AC283" s="542">
        <v>-2614369</v>
      </c>
      <c r="AD283" s="542">
        <v>69142404</v>
      </c>
      <c r="AE283" s="542">
        <v>0</v>
      </c>
      <c r="AF283" s="542">
        <v>69142404</v>
      </c>
      <c r="AG283" s="542">
        <v>0</v>
      </c>
      <c r="AH283" s="542">
        <v>0</v>
      </c>
      <c r="AI283" s="542">
        <v>0</v>
      </c>
      <c r="AJ283" s="542">
        <v>4654</v>
      </c>
      <c r="AK283" s="542">
        <v>0</v>
      </c>
      <c r="AL283" s="542">
        <v>0</v>
      </c>
      <c r="AM283" s="542">
        <v>4654</v>
      </c>
      <c r="AN283" s="542">
        <v>0</v>
      </c>
      <c r="AO283" s="542">
        <v>0</v>
      </c>
      <c r="AP283" s="542">
        <v>0</v>
      </c>
      <c r="AQ283" s="542">
        <v>0</v>
      </c>
      <c r="AR283" s="542">
        <v>0</v>
      </c>
      <c r="AS283" s="542">
        <v>0</v>
      </c>
      <c r="AT283" s="542">
        <v>0</v>
      </c>
      <c r="AU283" s="542">
        <v>0</v>
      </c>
      <c r="AV283" s="542">
        <v>3267214</v>
      </c>
      <c r="AW283" s="542">
        <v>-2129817</v>
      </c>
      <c r="AX283" s="136"/>
      <c r="AY283" s="136"/>
      <c r="AZ283" s="136"/>
      <c r="BA283" s="136"/>
      <c r="BB283" s="136"/>
      <c r="BC283" s="136"/>
      <c r="BD283" s="136"/>
      <c r="BE283" s="136"/>
      <c r="BF283" s="136"/>
      <c r="BG283" s="136"/>
      <c r="BH283" s="136"/>
      <c r="BI283" s="136"/>
      <c r="BJ283" s="136"/>
      <c r="BK283" s="136"/>
      <c r="BL283" s="136"/>
      <c r="BM283" s="136"/>
      <c r="BN283" s="136"/>
      <c r="BO283" s="136"/>
      <c r="BP283" s="136"/>
      <c r="BQ283" s="136"/>
      <c r="BR283" s="136"/>
      <c r="BS283" s="136"/>
      <c r="BT283" s="136"/>
      <c r="BU283" s="136"/>
      <c r="BV283" s="136"/>
      <c r="BW283" s="136"/>
      <c r="BX283" s="136"/>
      <c r="BY283" s="136"/>
      <c r="BZ283" s="136"/>
      <c r="CA283" s="136"/>
      <c r="CB283" s="136"/>
      <c r="CC283" s="136"/>
      <c r="CD283" s="136"/>
      <c r="CE283" s="136"/>
      <c r="CF283" s="136"/>
      <c r="CG283" s="136"/>
      <c r="CH283" s="136"/>
      <c r="CI283" s="136"/>
      <c r="CJ283" s="136"/>
      <c r="CK283" s="136"/>
      <c r="CL283" s="136"/>
      <c r="CM283" s="136"/>
      <c r="CN283" s="136"/>
      <c r="CO283" s="136"/>
      <c r="CP283" s="136"/>
      <c r="CQ283" s="136"/>
      <c r="CR283" s="136"/>
      <c r="CS283" s="136"/>
      <c r="CT283" s="136"/>
      <c r="CU283" s="136"/>
      <c r="CV283" s="136"/>
      <c r="CW283" s="136"/>
      <c r="CX283" s="136"/>
      <c r="CY283" s="136"/>
      <c r="CZ283" s="136"/>
      <c r="DA283" s="136"/>
      <c r="DB283" s="136"/>
      <c r="DC283" s="136"/>
      <c r="DD283" s="136"/>
      <c r="DE283" s="136"/>
      <c r="DF283" s="136"/>
      <c r="DG283" s="136"/>
      <c r="DH283" s="136"/>
      <c r="DI283" s="136"/>
      <c r="DJ283" s="136"/>
      <c r="DK283" s="136"/>
      <c r="DL283" s="136"/>
      <c r="DM283" s="136"/>
      <c r="DN283" s="136"/>
      <c r="DO283" s="136"/>
      <c r="DP283" s="136"/>
      <c r="DQ283" s="136"/>
      <c r="DR283" s="136"/>
      <c r="DS283" s="136"/>
      <c r="DT283" s="136"/>
      <c r="DU283" s="136"/>
      <c r="DV283" s="136"/>
      <c r="DW283" s="136"/>
      <c r="DX283" s="136"/>
      <c r="DY283" s="136"/>
      <c r="DZ283" s="136"/>
      <c r="EA283" s="136"/>
      <c r="EB283" s="136"/>
      <c r="EC283" s="136"/>
      <c r="ED283" s="136"/>
      <c r="EE283" s="136"/>
      <c r="EF283" s="136"/>
      <c r="EG283" s="136"/>
      <c r="EH283" s="136"/>
      <c r="EI283" s="136"/>
      <c r="EJ283" s="136"/>
      <c r="EK283" s="136"/>
      <c r="EL283" s="136"/>
      <c r="EM283" s="136"/>
      <c r="EN283" s="136"/>
      <c r="EO283" s="136"/>
      <c r="EP283" s="136"/>
      <c r="EQ283" s="136"/>
      <c r="ER283" s="136"/>
      <c r="ES283" s="136"/>
      <c r="ET283" s="136"/>
      <c r="EU283" s="136"/>
      <c r="EV283" s="136"/>
      <c r="EW283" s="136"/>
      <c r="EX283" s="136"/>
      <c r="EY283" s="136"/>
      <c r="EZ283" s="136"/>
      <c r="FA283" s="136"/>
      <c r="FB283" s="136"/>
      <c r="FC283" s="136"/>
      <c r="FD283" s="136"/>
      <c r="FE283" s="137"/>
      <c r="FF283" s="138"/>
    </row>
    <row r="284" spans="1:162" ht="12.75" x14ac:dyDescent="0.2">
      <c r="A284" s="93">
        <v>278</v>
      </c>
      <c r="B284" s="145" t="s">
        <v>434</v>
      </c>
      <c r="C284" s="141" t="s">
        <v>866</v>
      </c>
      <c r="D284" s="142" t="s">
        <v>870</v>
      </c>
      <c r="E284" s="149" t="s">
        <v>433</v>
      </c>
      <c r="F284" s="542">
        <v>25167302</v>
      </c>
      <c r="G284" s="542">
        <v>0</v>
      </c>
      <c r="H284" s="542">
        <v>25167302</v>
      </c>
      <c r="I284" s="542">
        <v>-10</v>
      </c>
      <c r="J284" s="542">
        <v>0</v>
      </c>
      <c r="K284" s="542">
        <v>-10</v>
      </c>
      <c r="L284" s="542">
        <v>105493</v>
      </c>
      <c r="M284" s="542">
        <v>0</v>
      </c>
      <c r="N284" s="542">
        <v>105493</v>
      </c>
      <c r="O284" s="542">
        <v>-108438</v>
      </c>
      <c r="P284" s="542">
        <v>0</v>
      </c>
      <c r="Q284" s="542">
        <v>-108438</v>
      </c>
      <c r="R284" s="542">
        <v>0</v>
      </c>
      <c r="S284" s="542">
        <v>0</v>
      </c>
      <c r="T284" s="542">
        <v>0</v>
      </c>
      <c r="U284" s="542">
        <v>-78741</v>
      </c>
      <c r="V284" s="542">
        <v>0</v>
      </c>
      <c r="W284" s="542">
        <v>-78741</v>
      </c>
      <c r="X284" s="542">
        <v>973000</v>
      </c>
      <c r="Y284" s="542">
        <v>0</v>
      </c>
      <c r="Z284" s="542">
        <v>973000</v>
      </c>
      <c r="AA284" s="542">
        <v>-1720000</v>
      </c>
      <c r="AB284" s="542">
        <v>0</v>
      </c>
      <c r="AC284" s="542">
        <v>-1720000</v>
      </c>
      <c r="AD284" s="542">
        <v>24447044</v>
      </c>
      <c r="AE284" s="542">
        <v>0</v>
      </c>
      <c r="AF284" s="542">
        <v>24447044</v>
      </c>
      <c r="AG284" s="542">
        <v>0</v>
      </c>
      <c r="AH284" s="542">
        <v>0</v>
      </c>
      <c r="AI284" s="542">
        <v>0</v>
      </c>
      <c r="AJ284" s="542">
        <v>115505</v>
      </c>
      <c r="AK284" s="542">
        <v>0</v>
      </c>
      <c r="AL284" s="542">
        <v>0</v>
      </c>
      <c r="AM284" s="542">
        <v>115505</v>
      </c>
      <c r="AN284" s="542">
        <v>0</v>
      </c>
      <c r="AO284" s="542">
        <v>0</v>
      </c>
      <c r="AP284" s="542">
        <v>0</v>
      </c>
      <c r="AQ284" s="542">
        <v>0</v>
      </c>
      <c r="AR284" s="542">
        <v>0</v>
      </c>
      <c r="AS284" s="542">
        <v>0</v>
      </c>
      <c r="AT284" s="542">
        <v>0</v>
      </c>
      <c r="AU284" s="542">
        <v>0</v>
      </c>
      <c r="AV284" s="542">
        <v>398107</v>
      </c>
      <c r="AW284" s="542">
        <v>-349664</v>
      </c>
      <c r="AX284" s="136"/>
      <c r="AY284" s="136"/>
      <c r="AZ284" s="136"/>
      <c r="BA284" s="136"/>
      <c r="BB284" s="136"/>
      <c r="BC284" s="136"/>
      <c r="BD284" s="136"/>
      <c r="BE284" s="136"/>
      <c r="BF284" s="136"/>
      <c r="BG284" s="136"/>
      <c r="BH284" s="136"/>
      <c r="BI284" s="136"/>
      <c r="BJ284" s="136"/>
      <c r="BK284" s="136"/>
      <c r="BL284" s="136"/>
      <c r="BM284" s="136"/>
      <c r="BN284" s="136"/>
      <c r="BO284" s="136"/>
      <c r="BP284" s="136"/>
      <c r="BQ284" s="136"/>
      <c r="BR284" s="136"/>
      <c r="BS284" s="136"/>
      <c r="BT284" s="136"/>
      <c r="BU284" s="136"/>
      <c r="BV284" s="136"/>
      <c r="BW284" s="136"/>
      <c r="BX284" s="136"/>
      <c r="BY284" s="136"/>
      <c r="BZ284" s="136"/>
      <c r="CA284" s="136"/>
      <c r="CB284" s="136"/>
      <c r="CC284" s="136"/>
      <c r="CD284" s="136"/>
      <c r="CE284" s="136"/>
      <c r="CF284" s="136"/>
      <c r="CG284" s="136"/>
      <c r="CH284" s="136"/>
      <c r="CI284" s="136"/>
      <c r="CJ284" s="136"/>
      <c r="CK284" s="136"/>
      <c r="CL284" s="136"/>
      <c r="CM284" s="136"/>
      <c r="CN284" s="136"/>
      <c r="CO284" s="136"/>
      <c r="CP284" s="136"/>
      <c r="CQ284" s="136"/>
      <c r="CR284" s="136"/>
      <c r="CS284" s="136"/>
      <c r="CT284" s="136"/>
      <c r="CU284" s="136"/>
      <c r="CV284" s="136"/>
      <c r="CW284" s="136"/>
      <c r="CX284" s="136"/>
      <c r="CY284" s="136"/>
      <c r="CZ284" s="136"/>
      <c r="DA284" s="136"/>
      <c r="DB284" s="136"/>
      <c r="DC284" s="136"/>
      <c r="DD284" s="136"/>
      <c r="DE284" s="136"/>
      <c r="DF284" s="136"/>
      <c r="DG284" s="136"/>
      <c r="DH284" s="136"/>
      <c r="DI284" s="136"/>
      <c r="DJ284" s="136"/>
      <c r="DK284" s="136"/>
      <c r="DL284" s="136"/>
      <c r="DM284" s="136"/>
      <c r="DN284" s="136"/>
      <c r="DO284" s="136"/>
      <c r="DP284" s="136"/>
      <c r="DQ284" s="136"/>
      <c r="DR284" s="136"/>
      <c r="DS284" s="136"/>
      <c r="DT284" s="136"/>
      <c r="DU284" s="136"/>
      <c r="DV284" s="136"/>
      <c r="DW284" s="136"/>
      <c r="DX284" s="136"/>
      <c r="DY284" s="136"/>
      <c r="DZ284" s="136"/>
      <c r="EA284" s="136"/>
      <c r="EB284" s="136"/>
      <c r="EC284" s="136"/>
      <c r="ED284" s="136"/>
      <c r="EE284" s="136"/>
      <c r="EF284" s="136"/>
      <c r="EG284" s="136"/>
      <c r="EH284" s="136"/>
      <c r="EI284" s="136"/>
      <c r="EJ284" s="136"/>
      <c r="EK284" s="136"/>
      <c r="EL284" s="136"/>
      <c r="EM284" s="136"/>
      <c r="EN284" s="136"/>
      <c r="EO284" s="136"/>
      <c r="EP284" s="136"/>
      <c r="EQ284" s="136"/>
      <c r="ER284" s="136"/>
      <c r="ES284" s="136"/>
      <c r="ET284" s="136"/>
      <c r="EU284" s="136"/>
      <c r="EV284" s="136"/>
      <c r="EW284" s="136"/>
      <c r="EX284" s="136"/>
      <c r="EY284" s="136"/>
      <c r="EZ284" s="136"/>
      <c r="FA284" s="136"/>
      <c r="FB284" s="136"/>
      <c r="FC284" s="136"/>
      <c r="FD284" s="136"/>
      <c r="FE284" s="137"/>
      <c r="FF284" s="138"/>
    </row>
    <row r="285" spans="1:162" ht="12.75" x14ac:dyDescent="0.2">
      <c r="A285" s="93">
        <v>279</v>
      </c>
      <c r="B285" s="145" t="s">
        <v>436</v>
      </c>
      <c r="C285" s="141" t="s">
        <v>866</v>
      </c>
      <c r="D285" s="142" t="s">
        <v>867</v>
      </c>
      <c r="E285" s="149" t="s">
        <v>435</v>
      </c>
      <c r="F285" s="542">
        <v>46565106</v>
      </c>
      <c r="G285" s="542">
        <v>0</v>
      </c>
      <c r="H285" s="542">
        <v>46565106</v>
      </c>
      <c r="I285" s="542">
        <v>-91742</v>
      </c>
      <c r="J285" s="542">
        <v>0</v>
      </c>
      <c r="K285" s="542">
        <v>-91742</v>
      </c>
      <c r="L285" s="542">
        <v>184844</v>
      </c>
      <c r="M285" s="542">
        <v>0</v>
      </c>
      <c r="N285" s="542">
        <v>184844</v>
      </c>
      <c r="O285" s="542">
        <v>-579652</v>
      </c>
      <c r="P285" s="542">
        <v>0</v>
      </c>
      <c r="Q285" s="542">
        <v>-579652</v>
      </c>
      <c r="R285" s="542">
        <v>0</v>
      </c>
      <c r="S285" s="542">
        <v>0</v>
      </c>
      <c r="T285" s="542">
        <v>0</v>
      </c>
      <c r="U285" s="542">
        <v>-720544</v>
      </c>
      <c r="V285" s="542">
        <v>0</v>
      </c>
      <c r="W285" s="542">
        <v>-720544</v>
      </c>
      <c r="X285" s="542">
        <v>3634845</v>
      </c>
      <c r="Y285" s="542">
        <v>0</v>
      </c>
      <c r="Z285" s="542">
        <v>3634845</v>
      </c>
      <c r="AA285" s="542">
        <v>-5746031</v>
      </c>
      <c r="AB285" s="542">
        <v>0</v>
      </c>
      <c r="AC285" s="542">
        <v>-5746031</v>
      </c>
      <c r="AD285" s="542">
        <v>43826478</v>
      </c>
      <c r="AE285" s="542">
        <v>0</v>
      </c>
      <c r="AF285" s="542">
        <v>43826478</v>
      </c>
      <c r="AG285" s="542">
        <v>0</v>
      </c>
      <c r="AH285" s="542">
        <v>0</v>
      </c>
      <c r="AI285" s="542">
        <v>0</v>
      </c>
      <c r="AJ285" s="542">
        <v>22654</v>
      </c>
      <c r="AK285" s="542">
        <v>0</v>
      </c>
      <c r="AL285" s="542">
        <v>0</v>
      </c>
      <c r="AM285" s="542">
        <v>22654</v>
      </c>
      <c r="AN285" s="542">
        <v>0</v>
      </c>
      <c r="AO285" s="542">
        <v>0</v>
      </c>
      <c r="AP285" s="542">
        <v>0</v>
      </c>
      <c r="AQ285" s="542">
        <v>0</v>
      </c>
      <c r="AR285" s="542">
        <v>0</v>
      </c>
      <c r="AS285" s="542">
        <v>0</v>
      </c>
      <c r="AT285" s="542">
        <v>0</v>
      </c>
      <c r="AU285" s="542">
        <v>0</v>
      </c>
      <c r="AV285" s="542">
        <v>2900639</v>
      </c>
      <c r="AW285" s="542">
        <v>-387596</v>
      </c>
      <c r="AX285" s="136"/>
      <c r="AY285" s="136"/>
      <c r="AZ285" s="136"/>
      <c r="BA285" s="136"/>
      <c r="BB285" s="136"/>
      <c r="BC285" s="136"/>
      <c r="BD285" s="136"/>
      <c r="BE285" s="136"/>
      <c r="BF285" s="136"/>
      <c r="BG285" s="136"/>
      <c r="BH285" s="136"/>
      <c r="BI285" s="136"/>
      <c r="BJ285" s="136"/>
      <c r="BK285" s="136"/>
      <c r="BL285" s="136"/>
      <c r="BM285" s="136"/>
      <c r="BN285" s="136"/>
      <c r="BO285" s="136"/>
      <c r="BP285" s="136"/>
      <c r="BQ285" s="136"/>
      <c r="BR285" s="136"/>
      <c r="BS285" s="136"/>
      <c r="BT285" s="136"/>
      <c r="BU285" s="136"/>
      <c r="BV285" s="136"/>
      <c r="BW285" s="136"/>
      <c r="BX285" s="136"/>
      <c r="BY285" s="136"/>
      <c r="BZ285" s="136"/>
      <c r="CA285" s="136"/>
      <c r="CB285" s="136"/>
      <c r="CC285" s="136"/>
      <c r="CD285" s="136"/>
      <c r="CE285" s="136"/>
      <c r="CF285" s="136"/>
      <c r="CG285" s="136"/>
      <c r="CH285" s="136"/>
      <c r="CI285" s="136"/>
      <c r="CJ285" s="136"/>
      <c r="CK285" s="136"/>
      <c r="CL285" s="136"/>
      <c r="CM285" s="136"/>
      <c r="CN285" s="136"/>
      <c r="CO285" s="136"/>
      <c r="CP285" s="136"/>
      <c r="CQ285" s="136"/>
      <c r="CR285" s="136"/>
      <c r="CS285" s="136"/>
      <c r="CT285" s="136"/>
      <c r="CU285" s="136"/>
      <c r="CV285" s="136"/>
      <c r="CW285" s="136"/>
      <c r="CX285" s="136"/>
      <c r="CY285" s="136"/>
      <c r="CZ285" s="136"/>
      <c r="DA285" s="136"/>
      <c r="DB285" s="136"/>
      <c r="DC285" s="136"/>
      <c r="DD285" s="136"/>
      <c r="DE285" s="136"/>
      <c r="DF285" s="136"/>
      <c r="DG285" s="136"/>
      <c r="DH285" s="136"/>
      <c r="DI285" s="136"/>
      <c r="DJ285" s="136"/>
      <c r="DK285" s="136"/>
      <c r="DL285" s="136"/>
      <c r="DM285" s="136"/>
      <c r="DN285" s="136"/>
      <c r="DO285" s="136"/>
      <c r="DP285" s="136"/>
      <c r="DQ285" s="136"/>
      <c r="DR285" s="136"/>
      <c r="DS285" s="136"/>
      <c r="DT285" s="136"/>
      <c r="DU285" s="136"/>
      <c r="DV285" s="136"/>
      <c r="DW285" s="136"/>
      <c r="DX285" s="136"/>
      <c r="DY285" s="136"/>
      <c r="DZ285" s="136"/>
      <c r="EA285" s="136"/>
      <c r="EB285" s="136"/>
      <c r="EC285" s="136"/>
      <c r="ED285" s="136"/>
      <c r="EE285" s="136"/>
      <c r="EF285" s="136"/>
      <c r="EG285" s="136"/>
      <c r="EH285" s="136"/>
      <c r="EI285" s="136"/>
      <c r="EJ285" s="136"/>
      <c r="EK285" s="136"/>
      <c r="EL285" s="136"/>
      <c r="EM285" s="136"/>
      <c r="EN285" s="136"/>
      <c r="EO285" s="136"/>
      <c r="EP285" s="136"/>
      <c r="EQ285" s="136"/>
      <c r="ER285" s="136"/>
      <c r="ES285" s="136"/>
      <c r="ET285" s="136"/>
      <c r="EU285" s="136"/>
      <c r="EV285" s="136"/>
      <c r="EW285" s="136"/>
      <c r="EX285" s="136"/>
      <c r="EY285" s="136"/>
      <c r="EZ285" s="136"/>
      <c r="FA285" s="136"/>
      <c r="FB285" s="136"/>
      <c r="FC285" s="136"/>
      <c r="FD285" s="136"/>
      <c r="FE285" s="137"/>
      <c r="FF285" s="138"/>
    </row>
    <row r="286" spans="1:162" ht="12.75" x14ac:dyDescent="0.2">
      <c r="A286" s="93">
        <v>280</v>
      </c>
      <c r="B286" s="145" t="s">
        <v>438</v>
      </c>
      <c r="C286" s="141" t="s">
        <v>866</v>
      </c>
      <c r="D286" s="142" t="s">
        <v>875</v>
      </c>
      <c r="E286" s="149" t="s">
        <v>437</v>
      </c>
      <c r="F286" s="542">
        <v>31179452</v>
      </c>
      <c r="G286" s="542">
        <v>0</v>
      </c>
      <c r="H286" s="542">
        <v>31179452</v>
      </c>
      <c r="I286" s="542">
        <v>-126611</v>
      </c>
      <c r="J286" s="542">
        <v>0</v>
      </c>
      <c r="K286" s="542">
        <v>-126611</v>
      </c>
      <c r="L286" s="542">
        <v>0</v>
      </c>
      <c r="M286" s="542">
        <v>0</v>
      </c>
      <c r="N286" s="542">
        <v>0</v>
      </c>
      <c r="O286" s="542">
        <v>-162921</v>
      </c>
      <c r="P286" s="542">
        <v>0</v>
      </c>
      <c r="Q286" s="542">
        <v>-162921</v>
      </c>
      <c r="R286" s="542">
        <v>0</v>
      </c>
      <c r="S286" s="542">
        <v>0</v>
      </c>
      <c r="T286" s="542">
        <v>0</v>
      </c>
      <c r="U286" s="542">
        <v>-127921</v>
      </c>
      <c r="V286" s="542">
        <v>0</v>
      </c>
      <c r="W286" s="542">
        <v>-127921</v>
      </c>
      <c r="X286" s="542">
        <v>2931936</v>
      </c>
      <c r="Y286" s="542">
        <v>0</v>
      </c>
      <c r="Z286" s="542">
        <v>2931936</v>
      </c>
      <c r="AA286" s="542">
        <v>-9511995</v>
      </c>
      <c r="AB286" s="542">
        <v>0</v>
      </c>
      <c r="AC286" s="542">
        <v>-9511995</v>
      </c>
      <c r="AD286" s="542">
        <v>24344861</v>
      </c>
      <c r="AE286" s="542">
        <v>0</v>
      </c>
      <c r="AF286" s="542">
        <v>24344861</v>
      </c>
      <c r="AG286" s="542">
        <v>0</v>
      </c>
      <c r="AH286" s="542">
        <v>0</v>
      </c>
      <c r="AI286" s="542">
        <v>0</v>
      </c>
      <c r="AJ286" s="542">
        <v>0</v>
      </c>
      <c r="AK286" s="542">
        <v>0</v>
      </c>
      <c r="AL286" s="542">
        <v>0</v>
      </c>
      <c r="AM286" s="542">
        <v>0</v>
      </c>
      <c r="AN286" s="542">
        <v>0</v>
      </c>
      <c r="AO286" s="542">
        <v>0</v>
      </c>
      <c r="AP286" s="542">
        <v>0</v>
      </c>
      <c r="AQ286" s="542">
        <v>0</v>
      </c>
      <c r="AR286" s="542">
        <v>0</v>
      </c>
      <c r="AS286" s="542">
        <v>0</v>
      </c>
      <c r="AT286" s="542">
        <v>0</v>
      </c>
      <c r="AU286" s="542">
        <v>0</v>
      </c>
      <c r="AV286" s="542">
        <v>576692</v>
      </c>
      <c r="AW286" s="542">
        <v>-164069</v>
      </c>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7"/>
      <c r="FF286" s="138"/>
    </row>
    <row r="287" spans="1:162" ht="12.75" x14ac:dyDescent="0.2">
      <c r="A287" s="93">
        <v>281</v>
      </c>
      <c r="B287" s="145" t="s">
        <v>440</v>
      </c>
      <c r="C287" s="141" t="s">
        <v>866</v>
      </c>
      <c r="D287" s="142" t="s">
        <v>867</v>
      </c>
      <c r="E287" s="149" t="s">
        <v>439</v>
      </c>
      <c r="F287" s="542">
        <v>31629988</v>
      </c>
      <c r="G287" s="542">
        <v>0</v>
      </c>
      <c r="H287" s="542">
        <v>31629988</v>
      </c>
      <c r="I287" s="542">
        <v>0</v>
      </c>
      <c r="J287" s="542">
        <v>0</v>
      </c>
      <c r="K287" s="542">
        <v>0</v>
      </c>
      <c r="L287" s="542">
        <v>410367</v>
      </c>
      <c r="M287" s="542">
        <v>0</v>
      </c>
      <c r="N287" s="542">
        <v>410367</v>
      </c>
      <c r="O287" s="542">
        <v>-294732</v>
      </c>
      <c r="P287" s="542">
        <v>0</v>
      </c>
      <c r="Q287" s="542">
        <v>-294732</v>
      </c>
      <c r="R287" s="542">
        <v>0</v>
      </c>
      <c r="S287" s="542">
        <v>0</v>
      </c>
      <c r="T287" s="542">
        <v>0</v>
      </c>
      <c r="U287" s="542">
        <v>-307910</v>
      </c>
      <c r="V287" s="542">
        <v>0</v>
      </c>
      <c r="W287" s="542">
        <v>-307910</v>
      </c>
      <c r="X287" s="542">
        <v>508282</v>
      </c>
      <c r="Y287" s="542">
        <v>0</v>
      </c>
      <c r="Z287" s="542">
        <v>508282</v>
      </c>
      <c r="AA287" s="542">
        <v>-6115988</v>
      </c>
      <c r="AB287" s="542">
        <v>0</v>
      </c>
      <c r="AC287" s="542">
        <v>-6115988</v>
      </c>
      <c r="AD287" s="542">
        <v>26124739</v>
      </c>
      <c r="AE287" s="542">
        <v>0</v>
      </c>
      <c r="AF287" s="542">
        <v>26124739</v>
      </c>
      <c r="AG287" s="542">
        <v>0</v>
      </c>
      <c r="AH287" s="542">
        <v>0</v>
      </c>
      <c r="AI287" s="542">
        <v>0</v>
      </c>
      <c r="AJ287" s="542">
        <v>0</v>
      </c>
      <c r="AK287" s="542">
        <v>0</v>
      </c>
      <c r="AL287" s="542">
        <v>0</v>
      </c>
      <c r="AM287" s="542">
        <v>0</v>
      </c>
      <c r="AN287" s="542">
        <v>0</v>
      </c>
      <c r="AO287" s="542">
        <v>0</v>
      </c>
      <c r="AP287" s="542">
        <v>0</v>
      </c>
      <c r="AQ287" s="542">
        <v>0</v>
      </c>
      <c r="AR287" s="542">
        <v>0</v>
      </c>
      <c r="AS287" s="542">
        <v>0</v>
      </c>
      <c r="AT287" s="542">
        <v>0</v>
      </c>
      <c r="AU287" s="542">
        <v>0</v>
      </c>
      <c r="AV287" s="542">
        <v>1694462</v>
      </c>
      <c r="AW287" s="542">
        <v>-718925</v>
      </c>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7"/>
      <c r="FF287" s="138"/>
    </row>
    <row r="288" spans="1:162" ht="12.75" x14ac:dyDescent="0.2">
      <c r="A288" s="93">
        <v>282</v>
      </c>
      <c r="B288" s="145" t="s">
        <v>442</v>
      </c>
      <c r="C288" s="141" t="s">
        <v>866</v>
      </c>
      <c r="D288" s="142" t="s">
        <v>870</v>
      </c>
      <c r="E288" s="149" t="s">
        <v>441</v>
      </c>
      <c r="F288" s="542">
        <v>26925270</v>
      </c>
      <c r="G288" s="542">
        <v>0</v>
      </c>
      <c r="H288" s="542">
        <v>26925270</v>
      </c>
      <c r="I288" s="542">
        <v>-71</v>
      </c>
      <c r="J288" s="542">
        <v>0</v>
      </c>
      <c r="K288" s="542">
        <v>-71</v>
      </c>
      <c r="L288" s="542">
        <v>32606</v>
      </c>
      <c r="M288" s="542">
        <v>0</v>
      </c>
      <c r="N288" s="542">
        <v>32606</v>
      </c>
      <c r="O288" s="542">
        <v>-262336</v>
      </c>
      <c r="P288" s="542">
        <v>0</v>
      </c>
      <c r="Q288" s="542">
        <v>-262336</v>
      </c>
      <c r="R288" s="542">
        <v>0</v>
      </c>
      <c r="S288" s="542">
        <v>0</v>
      </c>
      <c r="T288" s="542">
        <v>0</v>
      </c>
      <c r="U288" s="542">
        <v>-260000</v>
      </c>
      <c r="V288" s="542">
        <v>0</v>
      </c>
      <c r="W288" s="542">
        <v>-260000</v>
      </c>
      <c r="X288" s="542">
        <v>1631052</v>
      </c>
      <c r="Y288" s="542">
        <v>0</v>
      </c>
      <c r="Z288" s="542">
        <v>1631052</v>
      </c>
      <c r="AA288" s="542">
        <v>-6278570</v>
      </c>
      <c r="AB288" s="542">
        <v>0</v>
      </c>
      <c r="AC288" s="542">
        <v>-6278570</v>
      </c>
      <c r="AD288" s="542">
        <v>22050287</v>
      </c>
      <c r="AE288" s="542">
        <v>0</v>
      </c>
      <c r="AF288" s="542">
        <v>22050287</v>
      </c>
      <c r="AG288" s="542">
        <v>0</v>
      </c>
      <c r="AH288" s="542">
        <v>0</v>
      </c>
      <c r="AI288" s="542">
        <v>0</v>
      </c>
      <c r="AJ288" s="542">
        <v>0</v>
      </c>
      <c r="AK288" s="542">
        <v>0</v>
      </c>
      <c r="AL288" s="542">
        <v>0</v>
      </c>
      <c r="AM288" s="542">
        <v>0</v>
      </c>
      <c r="AN288" s="542">
        <v>0</v>
      </c>
      <c r="AO288" s="542">
        <v>0</v>
      </c>
      <c r="AP288" s="542">
        <v>0</v>
      </c>
      <c r="AQ288" s="542">
        <v>0</v>
      </c>
      <c r="AR288" s="542">
        <v>0</v>
      </c>
      <c r="AS288" s="542">
        <v>0</v>
      </c>
      <c r="AT288" s="542">
        <v>0</v>
      </c>
      <c r="AU288" s="542">
        <v>0</v>
      </c>
      <c r="AV288" s="542">
        <v>1305139</v>
      </c>
      <c r="AW288" s="542">
        <v>-907129</v>
      </c>
      <c r="AX288" s="136"/>
      <c r="AY288" s="136"/>
      <c r="AZ288" s="136"/>
      <c r="BA288" s="136"/>
      <c r="BB288" s="136"/>
      <c r="BC288" s="136"/>
      <c r="BD288" s="136"/>
      <c r="BE288" s="136"/>
      <c r="BF288" s="136"/>
      <c r="BG288" s="136"/>
      <c r="BH288" s="136"/>
      <c r="BI288" s="136"/>
      <c r="BJ288" s="136"/>
      <c r="BK288" s="136"/>
      <c r="BL288" s="136"/>
      <c r="BM288" s="136"/>
      <c r="BN288" s="136"/>
      <c r="BO288" s="136"/>
      <c r="BP288" s="136"/>
      <c r="BQ288" s="136"/>
      <c r="BR288" s="136"/>
      <c r="BS288" s="136"/>
      <c r="BT288" s="136"/>
      <c r="BU288" s="136"/>
      <c r="BV288" s="136"/>
      <c r="BW288" s="136"/>
      <c r="BX288" s="136"/>
      <c r="BY288" s="136"/>
      <c r="BZ288" s="136"/>
      <c r="CA288" s="136"/>
      <c r="CB288" s="136"/>
      <c r="CC288" s="136"/>
      <c r="CD288" s="136"/>
      <c r="CE288" s="136"/>
      <c r="CF288" s="136"/>
      <c r="CG288" s="136"/>
      <c r="CH288" s="136"/>
      <c r="CI288" s="136"/>
      <c r="CJ288" s="136"/>
      <c r="CK288" s="136"/>
      <c r="CL288" s="136"/>
      <c r="CM288" s="136"/>
      <c r="CN288" s="136"/>
      <c r="CO288" s="136"/>
      <c r="CP288" s="136"/>
      <c r="CQ288" s="136"/>
      <c r="CR288" s="136"/>
      <c r="CS288" s="136"/>
      <c r="CT288" s="136"/>
      <c r="CU288" s="136"/>
      <c r="CV288" s="136"/>
      <c r="CW288" s="136"/>
      <c r="CX288" s="136"/>
      <c r="CY288" s="136"/>
      <c r="CZ288" s="136"/>
      <c r="DA288" s="136"/>
      <c r="DB288" s="136"/>
      <c r="DC288" s="136"/>
      <c r="DD288" s="136"/>
      <c r="DE288" s="136"/>
      <c r="DF288" s="136"/>
      <c r="DG288" s="136"/>
      <c r="DH288" s="136"/>
      <c r="DI288" s="136"/>
      <c r="DJ288" s="136"/>
      <c r="DK288" s="136"/>
      <c r="DL288" s="136"/>
      <c r="DM288" s="136"/>
      <c r="DN288" s="136"/>
      <c r="DO288" s="136"/>
      <c r="DP288" s="136"/>
      <c r="DQ288" s="136"/>
      <c r="DR288" s="136"/>
      <c r="DS288" s="136"/>
      <c r="DT288" s="136"/>
      <c r="DU288" s="136"/>
      <c r="DV288" s="136"/>
      <c r="DW288" s="136"/>
      <c r="DX288" s="136"/>
      <c r="DY288" s="136"/>
      <c r="DZ288" s="136"/>
      <c r="EA288" s="136"/>
      <c r="EB288" s="136"/>
      <c r="EC288" s="136"/>
      <c r="ED288" s="136"/>
      <c r="EE288" s="136"/>
      <c r="EF288" s="136"/>
      <c r="EG288" s="136"/>
      <c r="EH288" s="136"/>
      <c r="EI288" s="136"/>
      <c r="EJ288" s="136"/>
      <c r="EK288" s="136"/>
      <c r="EL288" s="136"/>
      <c r="EM288" s="136"/>
      <c r="EN288" s="136"/>
      <c r="EO288" s="136"/>
      <c r="EP288" s="136"/>
      <c r="EQ288" s="136"/>
      <c r="ER288" s="136"/>
      <c r="ES288" s="136"/>
      <c r="ET288" s="136"/>
      <c r="EU288" s="136"/>
      <c r="EV288" s="136"/>
      <c r="EW288" s="136"/>
      <c r="EX288" s="136"/>
      <c r="EY288" s="136"/>
      <c r="EZ288" s="136"/>
      <c r="FA288" s="136"/>
      <c r="FB288" s="136"/>
      <c r="FC288" s="136"/>
      <c r="FD288" s="136"/>
      <c r="FE288" s="137"/>
      <c r="FF288" s="138"/>
    </row>
    <row r="289" spans="1:162" ht="12.75" x14ac:dyDescent="0.2">
      <c r="A289" s="93">
        <v>283</v>
      </c>
      <c r="B289" s="145" t="s">
        <v>444</v>
      </c>
      <c r="C289" s="141" t="s">
        <v>770</v>
      </c>
      <c r="D289" s="142" t="s">
        <v>870</v>
      </c>
      <c r="E289" s="149" t="s">
        <v>731</v>
      </c>
      <c r="F289" s="542">
        <v>102884842</v>
      </c>
      <c r="G289" s="542">
        <v>0</v>
      </c>
      <c r="H289" s="542">
        <v>102884842</v>
      </c>
      <c r="I289" s="542">
        <v>-2159</v>
      </c>
      <c r="J289" s="542">
        <v>0</v>
      </c>
      <c r="K289" s="542">
        <v>-2159</v>
      </c>
      <c r="L289" s="542">
        <v>560486</v>
      </c>
      <c r="M289" s="542">
        <v>0</v>
      </c>
      <c r="N289" s="542">
        <v>560486</v>
      </c>
      <c r="O289" s="542">
        <v>0</v>
      </c>
      <c r="P289" s="542">
        <v>0</v>
      </c>
      <c r="Q289" s="542">
        <v>0</v>
      </c>
      <c r="R289" s="542">
        <v>-260897</v>
      </c>
      <c r="S289" s="542">
        <v>0</v>
      </c>
      <c r="T289" s="542">
        <v>-260897</v>
      </c>
      <c r="U289" s="542">
        <v>486712</v>
      </c>
      <c r="V289" s="542">
        <v>0</v>
      </c>
      <c r="W289" s="542">
        <v>486712</v>
      </c>
      <c r="X289" s="542">
        <v>5394868</v>
      </c>
      <c r="Y289" s="542">
        <v>0</v>
      </c>
      <c r="Z289" s="542">
        <v>5394868</v>
      </c>
      <c r="AA289" s="542">
        <v>-7227532</v>
      </c>
      <c r="AB289" s="542">
        <v>0</v>
      </c>
      <c r="AC289" s="542">
        <v>-7227532</v>
      </c>
      <c r="AD289" s="542">
        <v>101836320</v>
      </c>
      <c r="AE289" s="542">
        <v>0</v>
      </c>
      <c r="AF289" s="542">
        <v>101836320</v>
      </c>
      <c r="AG289" s="542">
        <v>0</v>
      </c>
      <c r="AH289" s="542">
        <v>0</v>
      </c>
      <c r="AI289" s="542">
        <v>0</v>
      </c>
      <c r="AJ289" s="542">
        <v>0</v>
      </c>
      <c r="AK289" s="542">
        <v>0</v>
      </c>
      <c r="AL289" s="542">
        <v>0</v>
      </c>
      <c r="AM289" s="542">
        <v>0</v>
      </c>
      <c r="AN289" s="542">
        <v>0</v>
      </c>
      <c r="AO289" s="542">
        <v>0</v>
      </c>
      <c r="AP289" s="542">
        <v>0</v>
      </c>
      <c r="AQ289" s="542">
        <v>0</v>
      </c>
      <c r="AR289" s="542">
        <v>0</v>
      </c>
      <c r="AS289" s="542">
        <v>0</v>
      </c>
      <c r="AT289" s="542">
        <v>0</v>
      </c>
      <c r="AU289" s="542">
        <v>0</v>
      </c>
      <c r="AV289" s="542">
        <v>2588747</v>
      </c>
      <c r="AW289" s="542">
        <v>-492198</v>
      </c>
      <c r="AX289" s="136"/>
      <c r="AY289" s="136"/>
      <c r="AZ289" s="136"/>
      <c r="BA289" s="136"/>
      <c r="BB289" s="136"/>
      <c r="BC289" s="136"/>
      <c r="BD289" s="136"/>
      <c r="BE289" s="136"/>
      <c r="BF289" s="136"/>
      <c r="BG289" s="136"/>
      <c r="BH289" s="136"/>
      <c r="BI289" s="136"/>
      <c r="BJ289" s="136"/>
      <c r="BK289" s="136"/>
      <c r="BL289" s="136"/>
      <c r="BM289" s="136"/>
      <c r="BN289" s="136"/>
      <c r="BO289" s="136"/>
      <c r="BP289" s="136"/>
      <c r="BQ289" s="136"/>
      <c r="BR289" s="136"/>
      <c r="BS289" s="136"/>
      <c r="BT289" s="136"/>
      <c r="BU289" s="136"/>
      <c r="BV289" s="136"/>
      <c r="BW289" s="136"/>
      <c r="BX289" s="136"/>
      <c r="BY289" s="136"/>
      <c r="BZ289" s="136"/>
      <c r="CA289" s="136"/>
      <c r="CB289" s="136"/>
      <c r="CC289" s="136"/>
      <c r="CD289" s="136"/>
      <c r="CE289" s="136"/>
      <c r="CF289" s="136"/>
      <c r="CG289" s="136"/>
      <c r="CH289" s="136"/>
      <c r="CI289" s="136"/>
      <c r="CJ289" s="136"/>
      <c r="CK289" s="136"/>
      <c r="CL289" s="136"/>
      <c r="CM289" s="136"/>
      <c r="CN289" s="136"/>
      <c r="CO289" s="136"/>
      <c r="CP289" s="136"/>
      <c r="CQ289" s="136"/>
      <c r="CR289" s="136"/>
      <c r="CS289" s="136"/>
      <c r="CT289" s="136"/>
      <c r="CU289" s="136"/>
      <c r="CV289" s="136"/>
      <c r="CW289" s="136"/>
      <c r="CX289" s="136"/>
      <c r="CY289" s="136"/>
      <c r="CZ289" s="136"/>
      <c r="DA289" s="136"/>
      <c r="DB289" s="136"/>
      <c r="DC289" s="136"/>
      <c r="DD289" s="136"/>
      <c r="DE289" s="136"/>
      <c r="DF289" s="136"/>
      <c r="DG289" s="136"/>
      <c r="DH289" s="136"/>
      <c r="DI289" s="136"/>
      <c r="DJ289" s="136"/>
      <c r="DK289" s="136"/>
      <c r="DL289" s="136"/>
      <c r="DM289" s="136"/>
      <c r="DN289" s="136"/>
      <c r="DO289" s="136"/>
      <c r="DP289" s="136"/>
      <c r="DQ289" s="136"/>
      <c r="DR289" s="136"/>
      <c r="DS289" s="136"/>
      <c r="DT289" s="136"/>
      <c r="DU289" s="136"/>
      <c r="DV289" s="136"/>
      <c r="DW289" s="136"/>
      <c r="DX289" s="136"/>
      <c r="DY289" s="136"/>
      <c r="DZ289" s="136"/>
      <c r="EA289" s="136"/>
      <c r="EB289" s="136"/>
      <c r="EC289" s="136"/>
      <c r="ED289" s="136"/>
      <c r="EE289" s="136"/>
      <c r="EF289" s="136"/>
      <c r="EG289" s="136"/>
      <c r="EH289" s="136"/>
      <c r="EI289" s="136"/>
      <c r="EJ289" s="136"/>
      <c r="EK289" s="136"/>
      <c r="EL289" s="136"/>
      <c r="EM289" s="136"/>
      <c r="EN289" s="136"/>
      <c r="EO289" s="136"/>
      <c r="EP289" s="136"/>
      <c r="EQ289" s="136"/>
      <c r="ER289" s="136"/>
      <c r="ES289" s="136"/>
      <c r="ET289" s="136"/>
      <c r="EU289" s="136"/>
      <c r="EV289" s="136"/>
      <c r="EW289" s="136"/>
      <c r="EX289" s="136"/>
      <c r="EY289" s="136"/>
      <c r="EZ289" s="136"/>
      <c r="FA289" s="136"/>
      <c r="FB289" s="136"/>
      <c r="FC289" s="136"/>
      <c r="FD289" s="136"/>
      <c r="FE289" s="137"/>
      <c r="FF289" s="138"/>
    </row>
    <row r="290" spans="1:162" ht="12.75" x14ac:dyDescent="0.2">
      <c r="A290" s="93">
        <v>284</v>
      </c>
      <c r="B290" s="145" t="s">
        <v>446</v>
      </c>
      <c r="C290" s="141" t="s">
        <v>866</v>
      </c>
      <c r="D290" s="142" t="s">
        <v>867</v>
      </c>
      <c r="E290" s="149" t="s">
        <v>732</v>
      </c>
      <c r="F290" s="542">
        <v>53770843</v>
      </c>
      <c r="G290" s="542">
        <v>0</v>
      </c>
      <c r="H290" s="542">
        <v>53770843</v>
      </c>
      <c r="I290" s="542">
        <v>0</v>
      </c>
      <c r="J290" s="542">
        <v>0</v>
      </c>
      <c r="K290" s="542">
        <v>0</v>
      </c>
      <c r="L290" s="542">
        <v>294556</v>
      </c>
      <c r="M290" s="542">
        <v>0</v>
      </c>
      <c r="N290" s="542">
        <v>294556</v>
      </c>
      <c r="O290" s="542">
        <v>-471448</v>
      </c>
      <c r="P290" s="542">
        <v>0</v>
      </c>
      <c r="Q290" s="542">
        <v>-471448</v>
      </c>
      <c r="R290" s="542">
        <v>0</v>
      </c>
      <c r="S290" s="542">
        <v>0</v>
      </c>
      <c r="T290" s="542">
        <v>0</v>
      </c>
      <c r="U290" s="542">
        <v>-441448</v>
      </c>
      <c r="V290" s="542">
        <v>0</v>
      </c>
      <c r="W290" s="542">
        <v>-441448</v>
      </c>
      <c r="X290" s="542">
        <v>2140000</v>
      </c>
      <c r="Y290" s="542">
        <v>0</v>
      </c>
      <c r="Z290" s="542">
        <v>2140000</v>
      </c>
      <c r="AA290" s="542">
        <v>-6070000</v>
      </c>
      <c r="AB290" s="542">
        <v>0</v>
      </c>
      <c r="AC290" s="542">
        <v>-6070000</v>
      </c>
      <c r="AD290" s="542">
        <v>49693951</v>
      </c>
      <c r="AE290" s="542">
        <v>0</v>
      </c>
      <c r="AF290" s="542">
        <v>49693951</v>
      </c>
      <c r="AG290" s="542">
        <v>0</v>
      </c>
      <c r="AH290" s="542">
        <v>0</v>
      </c>
      <c r="AI290" s="542">
        <v>0</v>
      </c>
      <c r="AJ290" s="542">
        <v>0</v>
      </c>
      <c r="AK290" s="542">
        <v>0</v>
      </c>
      <c r="AL290" s="542">
        <v>0</v>
      </c>
      <c r="AM290" s="542">
        <v>0</v>
      </c>
      <c r="AN290" s="542">
        <v>0</v>
      </c>
      <c r="AO290" s="542">
        <v>0</v>
      </c>
      <c r="AP290" s="542">
        <v>0</v>
      </c>
      <c r="AQ290" s="542">
        <v>0</v>
      </c>
      <c r="AR290" s="542">
        <v>0</v>
      </c>
      <c r="AS290" s="542">
        <v>0</v>
      </c>
      <c r="AT290" s="542">
        <v>0</v>
      </c>
      <c r="AU290" s="542">
        <v>0</v>
      </c>
      <c r="AV290" s="542">
        <v>1085945</v>
      </c>
      <c r="AW290" s="542">
        <v>-1097426</v>
      </c>
      <c r="AX290" s="136"/>
      <c r="AY290" s="136"/>
      <c r="AZ290" s="136"/>
      <c r="BA290" s="136"/>
      <c r="BB290" s="136"/>
      <c r="BC290" s="136"/>
      <c r="BD290" s="136"/>
      <c r="BE290" s="136"/>
      <c r="BF290" s="136"/>
      <c r="BG290" s="136"/>
      <c r="BH290" s="136"/>
      <c r="BI290" s="136"/>
      <c r="BJ290" s="136"/>
      <c r="BK290" s="136"/>
      <c r="BL290" s="136"/>
      <c r="BM290" s="136"/>
      <c r="BN290" s="136"/>
      <c r="BO290" s="136"/>
      <c r="BP290" s="136"/>
      <c r="BQ290" s="136"/>
      <c r="BR290" s="136"/>
      <c r="BS290" s="136"/>
      <c r="BT290" s="136"/>
      <c r="BU290" s="136"/>
      <c r="BV290" s="136"/>
      <c r="BW290" s="136"/>
      <c r="BX290" s="136"/>
      <c r="BY290" s="136"/>
      <c r="BZ290" s="136"/>
      <c r="CA290" s="136"/>
      <c r="CB290" s="136"/>
      <c r="CC290" s="136"/>
      <c r="CD290" s="136"/>
      <c r="CE290" s="136"/>
      <c r="CF290" s="136"/>
      <c r="CG290" s="136"/>
      <c r="CH290" s="136"/>
      <c r="CI290" s="136"/>
      <c r="CJ290" s="136"/>
      <c r="CK290" s="136"/>
      <c r="CL290" s="136"/>
      <c r="CM290" s="136"/>
      <c r="CN290" s="136"/>
      <c r="CO290" s="136"/>
      <c r="CP290" s="136"/>
      <c r="CQ290" s="136"/>
      <c r="CR290" s="136"/>
      <c r="CS290" s="136"/>
      <c r="CT290" s="136"/>
      <c r="CU290" s="136"/>
      <c r="CV290" s="136"/>
      <c r="CW290" s="136"/>
      <c r="CX290" s="136"/>
      <c r="CY290" s="136"/>
      <c r="CZ290" s="136"/>
      <c r="DA290" s="136"/>
      <c r="DB290" s="136"/>
      <c r="DC290" s="136"/>
      <c r="DD290" s="136"/>
      <c r="DE290" s="136"/>
      <c r="DF290" s="136"/>
      <c r="DG290" s="136"/>
      <c r="DH290" s="136"/>
      <c r="DI290" s="136"/>
      <c r="DJ290" s="136"/>
      <c r="DK290" s="136"/>
      <c r="DL290" s="136"/>
      <c r="DM290" s="136"/>
      <c r="DN290" s="136"/>
      <c r="DO290" s="136"/>
      <c r="DP290" s="136"/>
      <c r="DQ290" s="136"/>
      <c r="DR290" s="136"/>
      <c r="DS290" s="136"/>
      <c r="DT290" s="136"/>
      <c r="DU290" s="136"/>
      <c r="DV290" s="136"/>
      <c r="DW290" s="136"/>
      <c r="DX290" s="136"/>
      <c r="DY290" s="136"/>
      <c r="DZ290" s="136"/>
      <c r="EA290" s="136"/>
      <c r="EB290" s="136"/>
      <c r="EC290" s="136"/>
      <c r="ED290" s="136"/>
      <c r="EE290" s="136"/>
      <c r="EF290" s="136"/>
      <c r="EG290" s="136"/>
      <c r="EH290" s="136"/>
      <c r="EI290" s="136"/>
      <c r="EJ290" s="136"/>
      <c r="EK290" s="136"/>
      <c r="EL290" s="136"/>
      <c r="EM290" s="136"/>
      <c r="EN290" s="136"/>
      <c r="EO290" s="136"/>
      <c r="EP290" s="136"/>
      <c r="EQ290" s="136"/>
      <c r="ER290" s="136"/>
      <c r="ES290" s="136"/>
      <c r="ET290" s="136"/>
      <c r="EU290" s="136"/>
      <c r="EV290" s="136"/>
      <c r="EW290" s="136"/>
      <c r="EX290" s="136"/>
      <c r="EY290" s="136"/>
      <c r="EZ290" s="136"/>
      <c r="FA290" s="136"/>
      <c r="FB290" s="136"/>
      <c r="FC290" s="136"/>
      <c r="FD290" s="136"/>
      <c r="FE290" s="137"/>
      <c r="FF290" s="138"/>
    </row>
    <row r="291" spans="1:162" ht="12.75" x14ac:dyDescent="0.2">
      <c r="A291" s="93">
        <v>285</v>
      </c>
      <c r="B291" s="145" t="s">
        <v>448</v>
      </c>
      <c r="C291" s="141" t="s">
        <v>770</v>
      </c>
      <c r="D291" s="142" t="s">
        <v>875</v>
      </c>
      <c r="E291" s="149" t="s">
        <v>733</v>
      </c>
      <c r="F291" s="542">
        <v>35740748</v>
      </c>
      <c r="G291" s="542">
        <v>0</v>
      </c>
      <c r="H291" s="542">
        <v>35740748</v>
      </c>
      <c r="I291" s="542">
        <v>0</v>
      </c>
      <c r="J291" s="542">
        <v>0</v>
      </c>
      <c r="K291" s="542">
        <v>0</v>
      </c>
      <c r="L291" s="542">
        <v>50536</v>
      </c>
      <c r="M291" s="542">
        <v>0</v>
      </c>
      <c r="N291" s="542">
        <v>50536</v>
      </c>
      <c r="O291" s="542">
        <v>-447585</v>
      </c>
      <c r="P291" s="542">
        <v>0</v>
      </c>
      <c r="Q291" s="542">
        <v>-447585</v>
      </c>
      <c r="R291" s="542">
        <v>0</v>
      </c>
      <c r="S291" s="542">
        <v>0</v>
      </c>
      <c r="T291" s="542">
        <v>0</v>
      </c>
      <c r="U291" s="542">
        <v>-278410</v>
      </c>
      <c r="V291" s="542">
        <v>0</v>
      </c>
      <c r="W291" s="542">
        <v>-278410</v>
      </c>
      <c r="X291" s="542">
        <v>0</v>
      </c>
      <c r="Y291" s="542">
        <v>0</v>
      </c>
      <c r="Z291" s="542">
        <v>0</v>
      </c>
      <c r="AA291" s="542">
        <v>52678</v>
      </c>
      <c r="AB291" s="542">
        <v>0</v>
      </c>
      <c r="AC291" s="542">
        <v>52678</v>
      </c>
      <c r="AD291" s="542">
        <v>35565552</v>
      </c>
      <c r="AE291" s="542">
        <v>0</v>
      </c>
      <c r="AF291" s="542">
        <v>35565552</v>
      </c>
      <c r="AG291" s="542">
        <v>0</v>
      </c>
      <c r="AH291" s="542">
        <v>0</v>
      </c>
      <c r="AI291" s="542">
        <v>0</v>
      </c>
      <c r="AJ291" s="542">
        <v>0</v>
      </c>
      <c r="AK291" s="542">
        <v>0</v>
      </c>
      <c r="AL291" s="542">
        <v>0</v>
      </c>
      <c r="AM291" s="542">
        <v>0</v>
      </c>
      <c r="AN291" s="542">
        <v>0</v>
      </c>
      <c r="AO291" s="542">
        <v>0</v>
      </c>
      <c r="AP291" s="542">
        <v>0</v>
      </c>
      <c r="AQ291" s="542">
        <v>0</v>
      </c>
      <c r="AR291" s="542">
        <v>0</v>
      </c>
      <c r="AS291" s="542">
        <v>0</v>
      </c>
      <c r="AT291" s="542">
        <v>0</v>
      </c>
      <c r="AU291" s="542">
        <v>0</v>
      </c>
      <c r="AV291" s="542">
        <v>1809057</v>
      </c>
      <c r="AW291" s="542">
        <v>-900280</v>
      </c>
      <c r="AX291" s="136"/>
      <c r="AY291" s="136"/>
      <c r="AZ291" s="136"/>
      <c r="BA291" s="136"/>
      <c r="BB291" s="136"/>
      <c r="BC291" s="136"/>
      <c r="BD291" s="136"/>
      <c r="BE291" s="136"/>
      <c r="BF291" s="136"/>
      <c r="BG291" s="136"/>
      <c r="BH291" s="136"/>
      <c r="BI291" s="136"/>
      <c r="BJ291" s="136"/>
      <c r="BK291" s="136"/>
      <c r="BL291" s="136"/>
      <c r="BM291" s="136"/>
      <c r="BN291" s="136"/>
      <c r="BO291" s="136"/>
      <c r="BP291" s="136"/>
      <c r="BQ291" s="136"/>
      <c r="BR291" s="136"/>
      <c r="BS291" s="136"/>
      <c r="BT291" s="136"/>
      <c r="BU291" s="136"/>
      <c r="BV291" s="136"/>
      <c r="BW291" s="136"/>
      <c r="BX291" s="136"/>
      <c r="BY291" s="136"/>
      <c r="BZ291" s="136"/>
      <c r="CA291" s="136"/>
      <c r="CB291" s="136"/>
      <c r="CC291" s="136"/>
      <c r="CD291" s="136"/>
      <c r="CE291" s="136"/>
      <c r="CF291" s="136"/>
      <c r="CG291" s="136"/>
      <c r="CH291" s="136"/>
      <c r="CI291" s="136"/>
      <c r="CJ291" s="136"/>
      <c r="CK291" s="136"/>
      <c r="CL291" s="136"/>
      <c r="CM291" s="136"/>
      <c r="CN291" s="136"/>
      <c r="CO291" s="136"/>
      <c r="CP291" s="136"/>
      <c r="CQ291" s="136"/>
      <c r="CR291" s="136"/>
      <c r="CS291" s="136"/>
      <c r="CT291" s="136"/>
      <c r="CU291" s="136"/>
      <c r="CV291" s="136"/>
      <c r="CW291" s="136"/>
      <c r="CX291" s="136"/>
      <c r="CY291" s="136"/>
      <c r="CZ291" s="136"/>
      <c r="DA291" s="136"/>
      <c r="DB291" s="136"/>
      <c r="DC291" s="136"/>
      <c r="DD291" s="136"/>
      <c r="DE291" s="136"/>
      <c r="DF291" s="136"/>
      <c r="DG291" s="136"/>
      <c r="DH291" s="136"/>
      <c r="DI291" s="136"/>
      <c r="DJ291" s="136"/>
      <c r="DK291" s="136"/>
      <c r="DL291" s="136"/>
      <c r="DM291" s="136"/>
      <c r="DN291" s="136"/>
      <c r="DO291" s="136"/>
      <c r="DP291" s="136"/>
      <c r="DQ291" s="136"/>
      <c r="DR291" s="136"/>
      <c r="DS291" s="136"/>
      <c r="DT291" s="136"/>
      <c r="DU291" s="136"/>
      <c r="DV291" s="136"/>
      <c r="DW291" s="136"/>
      <c r="DX291" s="136"/>
      <c r="DY291" s="136"/>
      <c r="DZ291" s="136"/>
      <c r="EA291" s="136"/>
      <c r="EB291" s="136"/>
      <c r="EC291" s="136"/>
      <c r="ED291" s="136"/>
      <c r="EE291" s="136"/>
      <c r="EF291" s="136"/>
      <c r="EG291" s="136"/>
      <c r="EH291" s="136"/>
      <c r="EI291" s="136"/>
      <c r="EJ291" s="136"/>
      <c r="EK291" s="136"/>
      <c r="EL291" s="136"/>
      <c r="EM291" s="136"/>
      <c r="EN291" s="136"/>
      <c r="EO291" s="136"/>
      <c r="EP291" s="136"/>
      <c r="EQ291" s="136"/>
      <c r="ER291" s="136"/>
      <c r="ES291" s="136"/>
      <c r="ET291" s="136"/>
      <c r="EU291" s="136"/>
      <c r="EV291" s="136"/>
      <c r="EW291" s="136"/>
      <c r="EX291" s="136"/>
      <c r="EY291" s="136"/>
      <c r="EZ291" s="136"/>
      <c r="FA291" s="136"/>
      <c r="FB291" s="136"/>
      <c r="FC291" s="136"/>
      <c r="FD291" s="136"/>
      <c r="FE291" s="137"/>
      <c r="FF291" s="138"/>
    </row>
    <row r="292" spans="1:162" ht="12.75" x14ac:dyDescent="0.2">
      <c r="A292" s="93">
        <v>286</v>
      </c>
      <c r="B292" s="145" t="s">
        <v>450</v>
      </c>
      <c r="C292" s="141" t="s">
        <v>866</v>
      </c>
      <c r="D292" s="142" t="s">
        <v>875</v>
      </c>
      <c r="E292" s="149" t="s">
        <v>449</v>
      </c>
      <c r="F292" s="542">
        <v>10630484</v>
      </c>
      <c r="G292" s="542">
        <v>0</v>
      </c>
      <c r="H292" s="542">
        <v>10630484</v>
      </c>
      <c r="I292" s="542">
        <v>0</v>
      </c>
      <c r="J292" s="542">
        <v>0</v>
      </c>
      <c r="K292" s="542">
        <v>0</v>
      </c>
      <c r="L292" s="542">
        <v>0</v>
      </c>
      <c r="M292" s="542">
        <v>0</v>
      </c>
      <c r="N292" s="542">
        <v>0</v>
      </c>
      <c r="O292" s="542">
        <v>-60575</v>
      </c>
      <c r="P292" s="542">
        <v>0</v>
      </c>
      <c r="Q292" s="542">
        <v>-60575</v>
      </c>
      <c r="R292" s="542">
        <v>0</v>
      </c>
      <c r="S292" s="542">
        <v>0</v>
      </c>
      <c r="T292" s="542">
        <v>0</v>
      </c>
      <c r="U292" s="542">
        <v>-5723</v>
      </c>
      <c r="V292" s="542">
        <v>0</v>
      </c>
      <c r="W292" s="542">
        <v>-5723</v>
      </c>
      <c r="X292" s="542">
        <v>72782</v>
      </c>
      <c r="Y292" s="542">
        <v>0</v>
      </c>
      <c r="Z292" s="542">
        <v>72782</v>
      </c>
      <c r="AA292" s="542">
        <v>-152283</v>
      </c>
      <c r="AB292" s="542">
        <v>0</v>
      </c>
      <c r="AC292" s="542">
        <v>-152283</v>
      </c>
      <c r="AD292" s="542">
        <v>10545260</v>
      </c>
      <c r="AE292" s="542">
        <v>0</v>
      </c>
      <c r="AF292" s="542">
        <v>10545260</v>
      </c>
      <c r="AG292" s="542">
        <v>0</v>
      </c>
      <c r="AH292" s="542">
        <v>0</v>
      </c>
      <c r="AI292" s="542">
        <v>0</v>
      </c>
      <c r="AJ292" s="542">
        <v>0</v>
      </c>
      <c r="AK292" s="542">
        <v>268488</v>
      </c>
      <c r="AL292" s="542">
        <v>0</v>
      </c>
      <c r="AM292" s="542">
        <v>268488</v>
      </c>
      <c r="AN292" s="542">
        <v>0</v>
      </c>
      <c r="AO292" s="542">
        <v>0</v>
      </c>
      <c r="AP292" s="542">
        <v>0</v>
      </c>
      <c r="AQ292" s="542">
        <v>0</v>
      </c>
      <c r="AR292" s="542">
        <v>0</v>
      </c>
      <c r="AS292" s="542">
        <v>0</v>
      </c>
      <c r="AT292" s="542">
        <v>0</v>
      </c>
      <c r="AU292" s="542">
        <v>0</v>
      </c>
      <c r="AV292" s="542">
        <v>361434</v>
      </c>
      <c r="AW292" s="542">
        <v>-157618</v>
      </c>
      <c r="AX292" s="136"/>
      <c r="AY292" s="136"/>
      <c r="AZ292" s="136"/>
      <c r="BA292" s="136"/>
      <c r="BB292" s="136"/>
      <c r="BC292" s="136"/>
      <c r="BD292" s="136"/>
      <c r="BE292" s="136"/>
      <c r="BF292" s="136"/>
      <c r="BG292" s="136"/>
      <c r="BH292" s="136"/>
      <c r="BI292" s="136"/>
      <c r="BJ292" s="136"/>
      <c r="BK292" s="136"/>
      <c r="BL292" s="136"/>
      <c r="BM292" s="136"/>
      <c r="BN292" s="136"/>
      <c r="BO292" s="136"/>
      <c r="BP292" s="136"/>
      <c r="BQ292" s="136"/>
      <c r="BR292" s="136"/>
      <c r="BS292" s="136"/>
      <c r="BT292" s="136"/>
      <c r="BU292" s="136"/>
      <c r="BV292" s="136"/>
      <c r="BW292" s="136"/>
      <c r="BX292" s="136"/>
      <c r="BY292" s="136"/>
      <c r="BZ292" s="136"/>
      <c r="CA292" s="136"/>
      <c r="CB292" s="136"/>
      <c r="CC292" s="136"/>
      <c r="CD292" s="136"/>
      <c r="CE292" s="136"/>
      <c r="CF292" s="136"/>
      <c r="CG292" s="136"/>
      <c r="CH292" s="136"/>
      <c r="CI292" s="136"/>
      <c r="CJ292" s="136"/>
      <c r="CK292" s="136"/>
      <c r="CL292" s="136"/>
      <c r="CM292" s="136"/>
      <c r="CN292" s="136"/>
      <c r="CO292" s="136"/>
      <c r="CP292" s="136"/>
      <c r="CQ292" s="136"/>
      <c r="CR292" s="136"/>
      <c r="CS292" s="136"/>
      <c r="CT292" s="136"/>
      <c r="CU292" s="136"/>
      <c r="CV292" s="136"/>
      <c r="CW292" s="136"/>
      <c r="CX292" s="136"/>
      <c r="CY292" s="136"/>
      <c r="CZ292" s="136"/>
      <c r="DA292" s="136"/>
      <c r="DB292" s="136"/>
      <c r="DC292" s="136"/>
      <c r="DD292" s="136"/>
      <c r="DE292" s="136"/>
      <c r="DF292" s="136"/>
      <c r="DG292" s="136"/>
      <c r="DH292" s="136"/>
      <c r="DI292" s="136"/>
      <c r="DJ292" s="136"/>
      <c r="DK292" s="136"/>
      <c r="DL292" s="136"/>
      <c r="DM292" s="136"/>
      <c r="DN292" s="136"/>
      <c r="DO292" s="136"/>
      <c r="DP292" s="136"/>
      <c r="DQ292" s="136"/>
      <c r="DR292" s="136"/>
      <c r="DS292" s="136"/>
      <c r="DT292" s="136"/>
      <c r="DU292" s="136"/>
      <c r="DV292" s="136"/>
      <c r="DW292" s="136"/>
      <c r="DX292" s="136"/>
      <c r="DY292" s="136"/>
      <c r="DZ292" s="136"/>
      <c r="EA292" s="136"/>
      <c r="EB292" s="136"/>
      <c r="EC292" s="136"/>
      <c r="ED292" s="136"/>
      <c r="EE292" s="136"/>
      <c r="EF292" s="136"/>
      <c r="EG292" s="136"/>
      <c r="EH292" s="136"/>
      <c r="EI292" s="136"/>
      <c r="EJ292" s="136"/>
      <c r="EK292" s="136"/>
      <c r="EL292" s="136"/>
      <c r="EM292" s="136"/>
      <c r="EN292" s="136"/>
      <c r="EO292" s="136"/>
      <c r="EP292" s="136"/>
      <c r="EQ292" s="136"/>
      <c r="ER292" s="136"/>
      <c r="ES292" s="136"/>
      <c r="ET292" s="136"/>
      <c r="EU292" s="136"/>
      <c r="EV292" s="136"/>
      <c r="EW292" s="136"/>
      <c r="EX292" s="136"/>
      <c r="EY292" s="136"/>
      <c r="EZ292" s="136"/>
      <c r="FA292" s="136"/>
      <c r="FB292" s="136"/>
      <c r="FC292" s="136"/>
      <c r="FD292" s="136"/>
      <c r="FE292" s="137"/>
      <c r="FF292" s="138"/>
    </row>
    <row r="293" spans="1:162" ht="12.75" x14ac:dyDescent="0.2">
      <c r="A293" s="93">
        <v>287</v>
      </c>
      <c r="B293" s="145" t="s">
        <v>452</v>
      </c>
      <c r="C293" s="141" t="s">
        <v>877</v>
      </c>
      <c r="D293" s="142" t="s">
        <v>872</v>
      </c>
      <c r="E293" s="149" t="s">
        <v>451</v>
      </c>
      <c r="F293" s="542">
        <v>346052987</v>
      </c>
      <c r="G293" s="542">
        <v>0</v>
      </c>
      <c r="H293" s="542">
        <v>346052987</v>
      </c>
      <c r="I293" s="542">
        <v>-9688</v>
      </c>
      <c r="J293" s="542">
        <v>0</v>
      </c>
      <c r="K293" s="542">
        <v>-9688</v>
      </c>
      <c r="L293" s="542">
        <v>285264</v>
      </c>
      <c r="M293" s="542">
        <v>0</v>
      </c>
      <c r="N293" s="542">
        <v>285264</v>
      </c>
      <c r="O293" s="542">
        <v>-2356354</v>
      </c>
      <c r="P293" s="542">
        <v>0</v>
      </c>
      <c r="Q293" s="542">
        <v>-2356354</v>
      </c>
      <c r="R293" s="542">
        <v>0</v>
      </c>
      <c r="S293" s="542">
        <v>0</v>
      </c>
      <c r="T293" s="542">
        <v>0</v>
      </c>
      <c r="U293" s="542">
        <v>-2452756</v>
      </c>
      <c r="V293" s="542">
        <v>0</v>
      </c>
      <c r="W293" s="542">
        <v>-2452756</v>
      </c>
      <c r="X293" s="542">
        <v>23465469</v>
      </c>
      <c r="Y293" s="542">
        <v>0</v>
      </c>
      <c r="Z293" s="542">
        <v>23465469</v>
      </c>
      <c r="AA293" s="542">
        <v>-6000000</v>
      </c>
      <c r="AB293" s="542">
        <v>0</v>
      </c>
      <c r="AC293" s="542">
        <v>-6000000</v>
      </c>
      <c r="AD293" s="542">
        <v>361341276</v>
      </c>
      <c r="AE293" s="542">
        <v>0</v>
      </c>
      <c r="AF293" s="542">
        <v>361341276</v>
      </c>
      <c r="AG293" s="542">
        <v>0</v>
      </c>
      <c r="AH293" s="542">
        <v>0</v>
      </c>
      <c r="AI293" s="542">
        <v>0</v>
      </c>
      <c r="AJ293" s="542">
        <v>0</v>
      </c>
      <c r="AK293" s="542">
        <v>0</v>
      </c>
      <c r="AL293" s="542">
        <v>0</v>
      </c>
      <c r="AM293" s="542">
        <v>0</v>
      </c>
      <c r="AN293" s="542">
        <v>0</v>
      </c>
      <c r="AO293" s="542">
        <v>0</v>
      </c>
      <c r="AP293" s="542">
        <v>0</v>
      </c>
      <c r="AQ293" s="542">
        <v>0</v>
      </c>
      <c r="AR293" s="542">
        <v>0</v>
      </c>
      <c r="AS293" s="542">
        <v>0</v>
      </c>
      <c r="AT293" s="542">
        <v>0</v>
      </c>
      <c r="AU293" s="542">
        <v>0</v>
      </c>
      <c r="AV293" s="542">
        <v>13984607</v>
      </c>
      <c r="AW293" s="542">
        <v>-19775333</v>
      </c>
      <c r="AX293" s="136"/>
      <c r="AY293" s="136"/>
      <c r="AZ293" s="136"/>
      <c r="BA293" s="136"/>
      <c r="BB293" s="136"/>
      <c r="BC293" s="136"/>
      <c r="BD293" s="136"/>
      <c r="BE293" s="136"/>
      <c r="BF293" s="136"/>
      <c r="BG293" s="136"/>
      <c r="BH293" s="136"/>
      <c r="BI293" s="136"/>
      <c r="BJ293" s="136"/>
      <c r="BK293" s="136"/>
      <c r="BL293" s="136"/>
      <c r="BM293" s="136"/>
      <c r="BN293" s="136"/>
      <c r="BO293" s="136"/>
      <c r="BP293" s="136"/>
      <c r="BQ293" s="136"/>
      <c r="BR293" s="136"/>
      <c r="BS293" s="136"/>
      <c r="BT293" s="136"/>
      <c r="BU293" s="136"/>
      <c r="BV293" s="136"/>
      <c r="BW293" s="136"/>
      <c r="BX293" s="136"/>
      <c r="BY293" s="136"/>
      <c r="BZ293" s="136"/>
      <c r="CA293" s="136"/>
      <c r="CB293" s="136"/>
      <c r="CC293" s="136"/>
      <c r="CD293" s="136"/>
      <c r="CE293" s="136"/>
      <c r="CF293" s="136"/>
      <c r="CG293" s="136"/>
      <c r="CH293" s="136"/>
      <c r="CI293" s="136"/>
      <c r="CJ293" s="136"/>
      <c r="CK293" s="136"/>
      <c r="CL293" s="136"/>
      <c r="CM293" s="136"/>
      <c r="CN293" s="136"/>
      <c r="CO293" s="136"/>
      <c r="CP293" s="136"/>
      <c r="CQ293" s="136"/>
      <c r="CR293" s="136"/>
      <c r="CS293" s="136"/>
      <c r="CT293" s="136"/>
      <c r="CU293" s="136"/>
      <c r="CV293" s="136"/>
      <c r="CW293" s="136"/>
      <c r="CX293" s="136"/>
      <c r="CY293" s="136"/>
      <c r="CZ293" s="136"/>
      <c r="DA293" s="136"/>
      <c r="DB293" s="136"/>
      <c r="DC293" s="136"/>
      <c r="DD293" s="136"/>
      <c r="DE293" s="136"/>
      <c r="DF293" s="136"/>
      <c r="DG293" s="136"/>
      <c r="DH293" s="136"/>
      <c r="DI293" s="136"/>
      <c r="DJ293" s="136"/>
      <c r="DK293" s="136"/>
      <c r="DL293" s="136"/>
      <c r="DM293" s="136"/>
      <c r="DN293" s="136"/>
      <c r="DO293" s="136"/>
      <c r="DP293" s="136"/>
      <c r="DQ293" s="136"/>
      <c r="DR293" s="136"/>
      <c r="DS293" s="136"/>
      <c r="DT293" s="136"/>
      <c r="DU293" s="136"/>
      <c r="DV293" s="136"/>
      <c r="DW293" s="136"/>
      <c r="DX293" s="136"/>
      <c r="DY293" s="136"/>
      <c r="DZ293" s="136"/>
      <c r="EA293" s="136"/>
      <c r="EB293" s="136"/>
      <c r="EC293" s="136"/>
      <c r="ED293" s="136"/>
      <c r="EE293" s="136"/>
      <c r="EF293" s="136"/>
      <c r="EG293" s="136"/>
      <c r="EH293" s="136"/>
      <c r="EI293" s="136"/>
      <c r="EJ293" s="136"/>
      <c r="EK293" s="136"/>
      <c r="EL293" s="136"/>
      <c r="EM293" s="136"/>
      <c r="EN293" s="136"/>
      <c r="EO293" s="136"/>
      <c r="EP293" s="136"/>
      <c r="EQ293" s="136"/>
      <c r="ER293" s="136"/>
      <c r="ES293" s="136"/>
      <c r="ET293" s="136"/>
      <c r="EU293" s="136"/>
      <c r="EV293" s="136"/>
      <c r="EW293" s="136"/>
      <c r="EX293" s="136"/>
      <c r="EY293" s="136"/>
      <c r="EZ293" s="136"/>
      <c r="FA293" s="136"/>
      <c r="FB293" s="136"/>
      <c r="FC293" s="136"/>
      <c r="FD293" s="136"/>
      <c r="FE293" s="137"/>
      <c r="FF293" s="138"/>
    </row>
    <row r="294" spans="1:162" ht="12.75" x14ac:dyDescent="0.2">
      <c r="A294" s="93">
        <v>288</v>
      </c>
      <c r="B294" s="145" t="s">
        <v>454</v>
      </c>
      <c r="C294" s="141" t="s">
        <v>873</v>
      </c>
      <c r="D294" s="142" t="s">
        <v>868</v>
      </c>
      <c r="E294" s="149" t="s">
        <v>453</v>
      </c>
      <c r="F294" s="542">
        <v>158433935</v>
      </c>
      <c r="G294" s="542">
        <v>0</v>
      </c>
      <c r="H294" s="542">
        <v>158433935</v>
      </c>
      <c r="I294" s="542">
        <v>-25799</v>
      </c>
      <c r="J294" s="542">
        <v>0</v>
      </c>
      <c r="K294" s="542">
        <v>-25799</v>
      </c>
      <c r="L294" s="542">
        <v>753265</v>
      </c>
      <c r="M294" s="542">
        <v>0</v>
      </c>
      <c r="N294" s="542">
        <v>753265</v>
      </c>
      <c r="O294" s="542">
        <v>-1554314</v>
      </c>
      <c r="P294" s="542">
        <v>0</v>
      </c>
      <c r="Q294" s="542">
        <v>-1554314</v>
      </c>
      <c r="R294" s="542">
        <v>0</v>
      </c>
      <c r="S294" s="542">
        <v>0</v>
      </c>
      <c r="T294" s="542">
        <v>0</v>
      </c>
      <c r="U294" s="542">
        <v>-5441254</v>
      </c>
      <c r="V294" s="542">
        <v>0</v>
      </c>
      <c r="W294" s="542">
        <v>-5441254</v>
      </c>
      <c r="X294" s="542">
        <v>9947864</v>
      </c>
      <c r="Y294" s="542">
        <v>0</v>
      </c>
      <c r="Z294" s="542">
        <v>9947864</v>
      </c>
      <c r="AA294" s="542">
        <v>-1698372</v>
      </c>
      <c r="AB294" s="542">
        <v>0</v>
      </c>
      <c r="AC294" s="542">
        <v>-1698372</v>
      </c>
      <c r="AD294" s="542">
        <v>161969639</v>
      </c>
      <c r="AE294" s="542">
        <v>0</v>
      </c>
      <c r="AF294" s="542">
        <v>161969639</v>
      </c>
      <c r="AG294" s="542">
        <v>0</v>
      </c>
      <c r="AH294" s="542">
        <v>0</v>
      </c>
      <c r="AI294" s="542">
        <v>0</v>
      </c>
      <c r="AJ294" s="542">
        <v>0</v>
      </c>
      <c r="AK294" s="542">
        <v>75192</v>
      </c>
      <c r="AL294" s="542">
        <v>0</v>
      </c>
      <c r="AM294" s="542">
        <v>75192</v>
      </c>
      <c r="AN294" s="542">
        <v>0</v>
      </c>
      <c r="AO294" s="542">
        <v>0</v>
      </c>
      <c r="AP294" s="542">
        <v>0</v>
      </c>
      <c r="AQ294" s="542">
        <v>0</v>
      </c>
      <c r="AR294" s="542">
        <v>0</v>
      </c>
      <c r="AS294" s="542">
        <v>0</v>
      </c>
      <c r="AT294" s="542">
        <v>0</v>
      </c>
      <c r="AU294" s="542">
        <v>0</v>
      </c>
      <c r="AV294" s="542">
        <v>9275082</v>
      </c>
      <c r="AW294" s="542">
        <v>-5136685</v>
      </c>
      <c r="AX294" s="136"/>
      <c r="AY294" s="136"/>
      <c r="AZ294" s="136"/>
      <c r="BA294" s="136"/>
      <c r="BB294" s="136"/>
      <c r="BC294" s="136"/>
      <c r="BD294" s="136"/>
      <c r="BE294" s="136"/>
      <c r="BF294" s="136"/>
      <c r="BG294" s="136"/>
      <c r="BH294" s="136"/>
      <c r="BI294" s="136"/>
      <c r="BJ294" s="136"/>
      <c r="BK294" s="136"/>
      <c r="BL294" s="136"/>
      <c r="BM294" s="136"/>
      <c r="BN294" s="136"/>
      <c r="BO294" s="136"/>
      <c r="BP294" s="136"/>
      <c r="BQ294" s="136"/>
      <c r="BR294" s="136"/>
      <c r="BS294" s="136"/>
      <c r="BT294" s="136"/>
      <c r="BU294" s="136"/>
      <c r="BV294" s="136"/>
      <c r="BW294" s="136"/>
      <c r="BX294" s="136"/>
      <c r="BY294" s="136"/>
      <c r="BZ294" s="136"/>
      <c r="CA294" s="136"/>
      <c r="CB294" s="136"/>
      <c r="CC294" s="136"/>
      <c r="CD294" s="136"/>
      <c r="CE294" s="136"/>
      <c r="CF294" s="136"/>
      <c r="CG294" s="136"/>
      <c r="CH294" s="136"/>
      <c r="CI294" s="136"/>
      <c r="CJ294" s="136"/>
      <c r="CK294" s="136"/>
      <c r="CL294" s="136"/>
      <c r="CM294" s="136"/>
      <c r="CN294" s="136"/>
      <c r="CO294" s="136"/>
      <c r="CP294" s="136"/>
      <c r="CQ294" s="136"/>
      <c r="CR294" s="136"/>
      <c r="CS294" s="136"/>
      <c r="CT294" s="136"/>
      <c r="CU294" s="136"/>
      <c r="CV294" s="136"/>
      <c r="CW294" s="136"/>
      <c r="CX294" s="136"/>
      <c r="CY294" s="136"/>
      <c r="CZ294" s="136"/>
      <c r="DA294" s="136"/>
      <c r="DB294" s="136"/>
      <c r="DC294" s="136"/>
      <c r="DD294" s="136"/>
      <c r="DE294" s="136"/>
      <c r="DF294" s="136"/>
      <c r="DG294" s="136"/>
      <c r="DH294" s="136"/>
      <c r="DI294" s="136"/>
      <c r="DJ294" s="136"/>
      <c r="DK294" s="136"/>
      <c r="DL294" s="136"/>
      <c r="DM294" s="136"/>
      <c r="DN294" s="136"/>
      <c r="DO294" s="136"/>
      <c r="DP294" s="136"/>
      <c r="DQ294" s="136"/>
      <c r="DR294" s="136"/>
      <c r="DS294" s="136"/>
      <c r="DT294" s="136"/>
      <c r="DU294" s="136"/>
      <c r="DV294" s="136"/>
      <c r="DW294" s="136"/>
      <c r="DX294" s="136"/>
      <c r="DY294" s="136"/>
      <c r="DZ294" s="136"/>
      <c r="EA294" s="136"/>
      <c r="EB294" s="136"/>
      <c r="EC294" s="136"/>
      <c r="ED294" s="136"/>
      <c r="EE294" s="136"/>
      <c r="EF294" s="136"/>
      <c r="EG294" s="136"/>
      <c r="EH294" s="136"/>
      <c r="EI294" s="136"/>
      <c r="EJ294" s="136"/>
      <c r="EK294" s="136"/>
      <c r="EL294" s="136"/>
      <c r="EM294" s="136"/>
      <c r="EN294" s="136"/>
      <c r="EO294" s="136"/>
      <c r="EP294" s="136"/>
      <c r="EQ294" s="136"/>
      <c r="ER294" s="136"/>
      <c r="ES294" s="136"/>
      <c r="ET294" s="136"/>
      <c r="EU294" s="136"/>
      <c r="EV294" s="136"/>
      <c r="EW294" s="136"/>
      <c r="EX294" s="136"/>
      <c r="EY294" s="136"/>
      <c r="EZ294" s="136"/>
      <c r="FA294" s="136"/>
      <c r="FB294" s="136"/>
      <c r="FC294" s="136"/>
      <c r="FD294" s="136"/>
      <c r="FE294" s="137"/>
      <c r="FF294" s="138"/>
    </row>
    <row r="295" spans="1:162" ht="12.75" x14ac:dyDescent="0.2">
      <c r="A295" s="93">
        <v>289</v>
      </c>
      <c r="B295" s="145" t="s">
        <v>456</v>
      </c>
      <c r="C295" s="141" t="s">
        <v>866</v>
      </c>
      <c r="D295" s="142" t="s">
        <v>867</v>
      </c>
      <c r="E295" s="149" t="s">
        <v>455</v>
      </c>
      <c r="F295" s="542">
        <v>52296311</v>
      </c>
      <c r="G295" s="542">
        <v>0</v>
      </c>
      <c r="H295" s="542">
        <v>52296311</v>
      </c>
      <c r="I295" s="542">
        <v>-17</v>
      </c>
      <c r="J295" s="542">
        <v>0</v>
      </c>
      <c r="K295" s="542">
        <v>-17</v>
      </c>
      <c r="L295" s="542">
        <v>0</v>
      </c>
      <c r="M295" s="542">
        <v>0</v>
      </c>
      <c r="N295" s="542">
        <v>0</v>
      </c>
      <c r="O295" s="542">
        <v>0</v>
      </c>
      <c r="P295" s="542">
        <v>0</v>
      </c>
      <c r="Q295" s="542">
        <v>0</v>
      </c>
      <c r="R295" s="542">
        <v>-269474</v>
      </c>
      <c r="S295" s="542">
        <v>0</v>
      </c>
      <c r="T295" s="542">
        <v>-269474</v>
      </c>
      <c r="U295" s="542">
        <v>98388</v>
      </c>
      <c r="V295" s="542">
        <v>0</v>
      </c>
      <c r="W295" s="542">
        <v>98388</v>
      </c>
      <c r="X295" s="542">
        <v>0</v>
      </c>
      <c r="Y295" s="542">
        <v>0</v>
      </c>
      <c r="Z295" s="542">
        <v>0</v>
      </c>
      <c r="AA295" s="542">
        <v>-1272094</v>
      </c>
      <c r="AB295" s="542">
        <v>0</v>
      </c>
      <c r="AC295" s="542">
        <v>-1272094</v>
      </c>
      <c r="AD295" s="542">
        <v>50853114</v>
      </c>
      <c r="AE295" s="542">
        <v>0</v>
      </c>
      <c r="AF295" s="542">
        <v>50853114</v>
      </c>
      <c r="AG295" s="542">
        <v>0</v>
      </c>
      <c r="AH295" s="542">
        <v>0</v>
      </c>
      <c r="AI295" s="542">
        <v>0</v>
      </c>
      <c r="AJ295" s="542">
        <v>0</v>
      </c>
      <c r="AK295" s="542">
        <v>0</v>
      </c>
      <c r="AL295" s="542">
        <v>0</v>
      </c>
      <c r="AM295" s="542">
        <v>0</v>
      </c>
      <c r="AN295" s="542">
        <v>0</v>
      </c>
      <c r="AO295" s="542">
        <v>0</v>
      </c>
      <c r="AP295" s="542">
        <v>0</v>
      </c>
      <c r="AQ295" s="542">
        <v>0</v>
      </c>
      <c r="AR295" s="542">
        <v>0</v>
      </c>
      <c r="AS295" s="542">
        <v>0</v>
      </c>
      <c r="AT295" s="542">
        <v>0</v>
      </c>
      <c r="AU295" s="542">
        <v>0</v>
      </c>
      <c r="AV295" s="542">
        <v>1952080</v>
      </c>
      <c r="AW295" s="542">
        <v>-549856</v>
      </c>
      <c r="AX295" s="136"/>
      <c r="AY295" s="136"/>
      <c r="AZ295" s="136"/>
      <c r="BA295" s="136"/>
      <c r="BB295" s="136"/>
      <c r="BC295" s="136"/>
      <c r="BD295" s="136"/>
      <c r="BE295" s="136"/>
      <c r="BF295" s="136"/>
      <c r="BG295" s="136"/>
      <c r="BH295" s="136"/>
      <c r="BI295" s="136"/>
      <c r="BJ295" s="136"/>
      <c r="BK295" s="136"/>
      <c r="BL295" s="136"/>
      <c r="BM295" s="136"/>
      <c r="BN295" s="136"/>
      <c r="BO295" s="136"/>
      <c r="BP295" s="136"/>
      <c r="BQ295" s="136"/>
      <c r="BR295" s="136"/>
      <c r="BS295" s="136"/>
      <c r="BT295" s="136"/>
      <c r="BU295" s="136"/>
      <c r="BV295" s="136"/>
      <c r="BW295" s="136"/>
      <c r="BX295" s="136"/>
      <c r="BY295" s="136"/>
      <c r="BZ295" s="136"/>
      <c r="CA295" s="136"/>
      <c r="CB295" s="136"/>
      <c r="CC295" s="136"/>
      <c r="CD295" s="136"/>
      <c r="CE295" s="136"/>
      <c r="CF295" s="136"/>
      <c r="CG295" s="136"/>
      <c r="CH295" s="136"/>
      <c r="CI295" s="136"/>
      <c r="CJ295" s="136"/>
      <c r="CK295" s="136"/>
      <c r="CL295" s="136"/>
      <c r="CM295" s="136"/>
      <c r="CN295" s="136"/>
      <c r="CO295" s="136"/>
      <c r="CP295" s="136"/>
      <c r="CQ295" s="136"/>
      <c r="CR295" s="136"/>
      <c r="CS295" s="136"/>
      <c r="CT295" s="136"/>
      <c r="CU295" s="136"/>
      <c r="CV295" s="136"/>
      <c r="CW295" s="136"/>
      <c r="CX295" s="136"/>
      <c r="CY295" s="136"/>
      <c r="CZ295" s="136"/>
      <c r="DA295" s="136"/>
      <c r="DB295" s="136"/>
      <c r="DC295" s="136"/>
      <c r="DD295" s="136"/>
      <c r="DE295" s="136"/>
      <c r="DF295" s="136"/>
      <c r="DG295" s="136"/>
      <c r="DH295" s="136"/>
      <c r="DI295" s="136"/>
      <c r="DJ295" s="136"/>
      <c r="DK295" s="136"/>
      <c r="DL295" s="136"/>
      <c r="DM295" s="136"/>
      <c r="DN295" s="136"/>
      <c r="DO295" s="136"/>
      <c r="DP295" s="136"/>
      <c r="DQ295" s="136"/>
      <c r="DR295" s="136"/>
      <c r="DS295" s="136"/>
      <c r="DT295" s="136"/>
      <c r="DU295" s="136"/>
      <c r="DV295" s="136"/>
      <c r="DW295" s="136"/>
      <c r="DX295" s="136"/>
      <c r="DY295" s="136"/>
      <c r="DZ295" s="136"/>
      <c r="EA295" s="136"/>
      <c r="EB295" s="136"/>
      <c r="EC295" s="136"/>
      <c r="ED295" s="136"/>
      <c r="EE295" s="136"/>
      <c r="EF295" s="136"/>
      <c r="EG295" s="136"/>
      <c r="EH295" s="136"/>
      <c r="EI295" s="136"/>
      <c r="EJ295" s="136"/>
      <c r="EK295" s="136"/>
      <c r="EL295" s="136"/>
      <c r="EM295" s="136"/>
      <c r="EN295" s="136"/>
      <c r="EO295" s="136"/>
      <c r="EP295" s="136"/>
      <c r="EQ295" s="136"/>
      <c r="ER295" s="136"/>
      <c r="ES295" s="136"/>
      <c r="ET295" s="136"/>
      <c r="EU295" s="136"/>
      <c r="EV295" s="136"/>
      <c r="EW295" s="136"/>
      <c r="EX295" s="136"/>
      <c r="EY295" s="136"/>
      <c r="EZ295" s="136"/>
      <c r="FA295" s="136"/>
      <c r="FB295" s="136"/>
      <c r="FC295" s="136"/>
      <c r="FD295" s="136"/>
      <c r="FE295" s="137"/>
      <c r="FF295" s="138"/>
    </row>
    <row r="296" spans="1:162" ht="12.75" x14ac:dyDescent="0.2">
      <c r="A296" s="93">
        <v>290</v>
      </c>
      <c r="B296" s="145" t="s">
        <v>458</v>
      </c>
      <c r="C296" s="141" t="s">
        <v>866</v>
      </c>
      <c r="D296" s="142" t="s">
        <v>870</v>
      </c>
      <c r="E296" s="149" t="s">
        <v>457</v>
      </c>
      <c r="F296" s="542">
        <v>41604035</v>
      </c>
      <c r="G296" s="542">
        <v>0</v>
      </c>
      <c r="H296" s="542">
        <v>41604035</v>
      </c>
      <c r="I296" s="542">
        <v>0</v>
      </c>
      <c r="J296" s="542">
        <v>0</v>
      </c>
      <c r="K296" s="542">
        <v>0</v>
      </c>
      <c r="L296" s="542">
        <v>60188</v>
      </c>
      <c r="M296" s="542">
        <v>0</v>
      </c>
      <c r="N296" s="542">
        <v>60188</v>
      </c>
      <c r="O296" s="542">
        <v>0</v>
      </c>
      <c r="P296" s="542">
        <v>0</v>
      </c>
      <c r="Q296" s="542">
        <v>0</v>
      </c>
      <c r="R296" s="542">
        <v>0</v>
      </c>
      <c r="S296" s="542">
        <v>0</v>
      </c>
      <c r="T296" s="542">
        <v>0</v>
      </c>
      <c r="U296" s="542">
        <v>-46283</v>
      </c>
      <c r="V296" s="542">
        <v>0</v>
      </c>
      <c r="W296" s="542">
        <v>-46283</v>
      </c>
      <c r="X296" s="542">
        <v>4394661</v>
      </c>
      <c r="Y296" s="542">
        <v>0</v>
      </c>
      <c r="Z296" s="542">
        <v>4394661</v>
      </c>
      <c r="AA296" s="542">
        <v>-2078858</v>
      </c>
      <c r="AB296" s="542">
        <v>0</v>
      </c>
      <c r="AC296" s="542">
        <v>-2078858</v>
      </c>
      <c r="AD296" s="542">
        <v>43933743</v>
      </c>
      <c r="AE296" s="542">
        <v>0</v>
      </c>
      <c r="AF296" s="542">
        <v>43933743</v>
      </c>
      <c r="AG296" s="542">
        <v>0</v>
      </c>
      <c r="AH296" s="542">
        <v>0</v>
      </c>
      <c r="AI296" s="542">
        <v>0</v>
      </c>
      <c r="AJ296" s="542">
        <v>0</v>
      </c>
      <c r="AK296" s="542">
        <v>0</v>
      </c>
      <c r="AL296" s="542">
        <v>0</v>
      </c>
      <c r="AM296" s="542">
        <v>0</v>
      </c>
      <c r="AN296" s="542">
        <v>0</v>
      </c>
      <c r="AO296" s="542">
        <v>0</v>
      </c>
      <c r="AP296" s="542">
        <v>0</v>
      </c>
      <c r="AQ296" s="542">
        <v>0</v>
      </c>
      <c r="AR296" s="542">
        <v>0</v>
      </c>
      <c r="AS296" s="542">
        <v>0</v>
      </c>
      <c r="AT296" s="542">
        <v>0</v>
      </c>
      <c r="AU296" s="542">
        <v>0</v>
      </c>
      <c r="AV296" s="542">
        <v>941763</v>
      </c>
      <c r="AW296" s="542">
        <v>-434038</v>
      </c>
      <c r="AX296" s="136"/>
      <c r="AY296" s="136"/>
      <c r="AZ296" s="136"/>
      <c r="BA296" s="136"/>
      <c r="BB296" s="136"/>
      <c r="BC296" s="136"/>
      <c r="BD296" s="136"/>
      <c r="BE296" s="136"/>
      <c r="BF296" s="136"/>
      <c r="BG296" s="136"/>
      <c r="BH296" s="136"/>
      <c r="BI296" s="136"/>
      <c r="BJ296" s="136"/>
      <c r="BK296" s="136"/>
      <c r="BL296" s="136"/>
      <c r="BM296" s="136"/>
      <c r="BN296" s="136"/>
      <c r="BO296" s="136"/>
      <c r="BP296" s="136"/>
      <c r="BQ296" s="136"/>
      <c r="BR296" s="136"/>
      <c r="BS296" s="136"/>
      <c r="BT296" s="136"/>
      <c r="BU296" s="136"/>
      <c r="BV296" s="136"/>
      <c r="BW296" s="136"/>
      <c r="BX296" s="136"/>
      <c r="BY296" s="136"/>
      <c r="BZ296" s="136"/>
      <c r="CA296" s="136"/>
      <c r="CB296" s="136"/>
      <c r="CC296" s="136"/>
      <c r="CD296" s="136"/>
      <c r="CE296" s="136"/>
      <c r="CF296" s="136"/>
      <c r="CG296" s="136"/>
      <c r="CH296" s="136"/>
      <c r="CI296" s="136"/>
      <c r="CJ296" s="136"/>
      <c r="CK296" s="136"/>
      <c r="CL296" s="136"/>
      <c r="CM296" s="136"/>
      <c r="CN296" s="136"/>
      <c r="CO296" s="136"/>
      <c r="CP296" s="136"/>
      <c r="CQ296" s="136"/>
      <c r="CR296" s="136"/>
      <c r="CS296" s="136"/>
      <c r="CT296" s="136"/>
      <c r="CU296" s="136"/>
      <c r="CV296" s="136"/>
      <c r="CW296" s="136"/>
      <c r="CX296" s="136"/>
      <c r="CY296" s="136"/>
      <c r="CZ296" s="136"/>
      <c r="DA296" s="136"/>
      <c r="DB296" s="136"/>
      <c r="DC296" s="136"/>
      <c r="DD296" s="136"/>
      <c r="DE296" s="136"/>
      <c r="DF296" s="136"/>
      <c r="DG296" s="136"/>
      <c r="DH296" s="136"/>
      <c r="DI296" s="136"/>
      <c r="DJ296" s="136"/>
      <c r="DK296" s="136"/>
      <c r="DL296" s="136"/>
      <c r="DM296" s="136"/>
      <c r="DN296" s="136"/>
      <c r="DO296" s="136"/>
      <c r="DP296" s="136"/>
      <c r="DQ296" s="136"/>
      <c r="DR296" s="136"/>
      <c r="DS296" s="136"/>
      <c r="DT296" s="136"/>
      <c r="DU296" s="136"/>
      <c r="DV296" s="136"/>
      <c r="DW296" s="136"/>
      <c r="DX296" s="136"/>
      <c r="DY296" s="136"/>
      <c r="DZ296" s="136"/>
      <c r="EA296" s="136"/>
      <c r="EB296" s="136"/>
      <c r="EC296" s="136"/>
      <c r="ED296" s="136"/>
      <c r="EE296" s="136"/>
      <c r="EF296" s="136"/>
      <c r="EG296" s="136"/>
      <c r="EH296" s="136"/>
      <c r="EI296" s="136"/>
      <c r="EJ296" s="136"/>
      <c r="EK296" s="136"/>
      <c r="EL296" s="136"/>
      <c r="EM296" s="136"/>
      <c r="EN296" s="136"/>
      <c r="EO296" s="136"/>
      <c r="EP296" s="136"/>
      <c r="EQ296" s="136"/>
      <c r="ER296" s="136"/>
      <c r="ES296" s="136"/>
      <c r="ET296" s="136"/>
      <c r="EU296" s="136"/>
      <c r="EV296" s="136"/>
      <c r="EW296" s="136"/>
      <c r="EX296" s="136"/>
      <c r="EY296" s="136"/>
      <c r="EZ296" s="136"/>
      <c r="FA296" s="136"/>
      <c r="FB296" s="136"/>
      <c r="FC296" s="136"/>
      <c r="FD296" s="136"/>
      <c r="FE296" s="137"/>
      <c r="FF296" s="138"/>
    </row>
    <row r="297" spans="1:162" ht="12.75" x14ac:dyDescent="0.2">
      <c r="A297" s="93">
        <v>291</v>
      </c>
      <c r="B297" s="145" t="s">
        <v>460</v>
      </c>
      <c r="C297" s="141" t="s">
        <v>866</v>
      </c>
      <c r="D297" s="142" t="s">
        <v>867</v>
      </c>
      <c r="E297" s="149" t="s">
        <v>459</v>
      </c>
      <c r="F297" s="542">
        <v>49671939</v>
      </c>
      <c r="G297" s="542">
        <v>857537</v>
      </c>
      <c r="H297" s="542">
        <v>50529476</v>
      </c>
      <c r="I297" s="542">
        <v>-362</v>
      </c>
      <c r="J297" s="542">
        <v>0</v>
      </c>
      <c r="K297" s="542">
        <v>-362</v>
      </c>
      <c r="L297" s="542">
        <v>142241</v>
      </c>
      <c r="M297" s="542">
        <v>0</v>
      </c>
      <c r="N297" s="542">
        <v>142241</v>
      </c>
      <c r="O297" s="542">
        <v>-3960</v>
      </c>
      <c r="P297" s="542">
        <v>-126</v>
      </c>
      <c r="Q297" s="542">
        <v>-4086</v>
      </c>
      <c r="R297" s="542">
        <v>0</v>
      </c>
      <c r="S297" s="542">
        <v>0</v>
      </c>
      <c r="T297" s="542">
        <v>0</v>
      </c>
      <c r="U297" s="542">
        <v>-232286</v>
      </c>
      <c r="V297" s="542">
        <v>0</v>
      </c>
      <c r="W297" s="542">
        <v>-232286</v>
      </c>
      <c r="X297" s="542">
        <v>1904891</v>
      </c>
      <c r="Y297" s="542">
        <v>0</v>
      </c>
      <c r="Z297" s="542">
        <v>1904891</v>
      </c>
      <c r="AA297" s="542">
        <v>304916</v>
      </c>
      <c r="AB297" s="542">
        <v>0</v>
      </c>
      <c r="AC297" s="542">
        <v>304916</v>
      </c>
      <c r="AD297" s="542">
        <v>51791339</v>
      </c>
      <c r="AE297" s="542">
        <v>857537</v>
      </c>
      <c r="AF297" s="542">
        <v>52648876</v>
      </c>
      <c r="AG297" s="542">
        <v>857537</v>
      </c>
      <c r="AH297" s="542">
        <v>0</v>
      </c>
      <c r="AI297" s="542">
        <v>857537</v>
      </c>
      <c r="AJ297" s="542">
        <v>118572</v>
      </c>
      <c r="AK297" s="542">
        <v>0</v>
      </c>
      <c r="AL297" s="542">
        <v>0</v>
      </c>
      <c r="AM297" s="542">
        <v>118572</v>
      </c>
      <c r="AN297" s="542">
        <v>5699</v>
      </c>
      <c r="AO297" s="542">
        <v>0</v>
      </c>
      <c r="AP297" s="542">
        <v>5699</v>
      </c>
      <c r="AQ297" s="542">
        <v>1185931</v>
      </c>
      <c r="AR297" s="542">
        <v>0</v>
      </c>
      <c r="AS297" s="542">
        <v>0</v>
      </c>
      <c r="AT297" s="542">
        <v>0</v>
      </c>
      <c r="AU297" s="542">
        <v>0</v>
      </c>
      <c r="AV297" s="542">
        <v>1526264</v>
      </c>
      <c r="AW297" s="542">
        <v>-910444</v>
      </c>
      <c r="AX297" s="136"/>
      <c r="AY297" s="136"/>
      <c r="AZ297" s="136"/>
      <c r="BA297" s="136"/>
      <c r="BB297" s="136"/>
      <c r="BC297" s="136"/>
      <c r="BD297" s="136"/>
      <c r="BE297" s="136"/>
      <c r="BF297" s="136"/>
      <c r="BG297" s="136"/>
      <c r="BH297" s="136"/>
      <c r="BI297" s="136"/>
      <c r="BJ297" s="136"/>
      <c r="BK297" s="136"/>
      <c r="BL297" s="136"/>
      <c r="BM297" s="136"/>
      <c r="BN297" s="136"/>
      <c r="BO297" s="136"/>
      <c r="BP297" s="136"/>
      <c r="BQ297" s="136"/>
      <c r="BR297" s="136"/>
      <c r="BS297" s="136"/>
      <c r="BT297" s="136"/>
      <c r="BU297" s="136"/>
      <c r="BV297" s="136"/>
      <c r="BW297" s="136"/>
      <c r="BX297" s="136"/>
      <c r="BY297" s="136"/>
      <c r="BZ297" s="136"/>
      <c r="CA297" s="136"/>
      <c r="CB297" s="136"/>
      <c r="CC297" s="136"/>
      <c r="CD297" s="136"/>
      <c r="CE297" s="136"/>
      <c r="CF297" s="136"/>
      <c r="CG297" s="136"/>
      <c r="CH297" s="136"/>
      <c r="CI297" s="136"/>
      <c r="CJ297" s="136"/>
      <c r="CK297" s="136"/>
      <c r="CL297" s="136"/>
      <c r="CM297" s="136"/>
      <c r="CN297" s="136"/>
      <c r="CO297" s="136"/>
      <c r="CP297" s="136"/>
      <c r="CQ297" s="136"/>
      <c r="CR297" s="136"/>
      <c r="CS297" s="136"/>
      <c r="CT297" s="136"/>
      <c r="CU297" s="136"/>
      <c r="CV297" s="136"/>
      <c r="CW297" s="136"/>
      <c r="CX297" s="136"/>
      <c r="CY297" s="136"/>
      <c r="CZ297" s="136"/>
      <c r="DA297" s="136"/>
      <c r="DB297" s="136"/>
      <c r="DC297" s="136"/>
      <c r="DD297" s="136"/>
      <c r="DE297" s="136"/>
      <c r="DF297" s="136"/>
      <c r="DG297" s="136"/>
      <c r="DH297" s="136"/>
      <c r="DI297" s="136"/>
      <c r="DJ297" s="136"/>
      <c r="DK297" s="136"/>
      <c r="DL297" s="136"/>
      <c r="DM297" s="136"/>
      <c r="DN297" s="136"/>
      <c r="DO297" s="136"/>
      <c r="DP297" s="136"/>
      <c r="DQ297" s="136"/>
      <c r="DR297" s="136"/>
      <c r="DS297" s="136"/>
      <c r="DT297" s="136"/>
      <c r="DU297" s="136"/>
      <c r="DV297" s="136"/>
      <c r="DW297" s="136"/>
      <c r="DX297" s="136"/>
      <c r="DY297" s="136"/>
      <c r="DZ297" s="136"/>
      <c r="EA297" s="136"/>
      <c r="EB297" s="136"/>
      <c r="EC297" s="136"/>
      <c r="ED297" s="136"/>
      <c r="EE297" s="136"/>
      <c r="EF297" s="136"/>
      <c r="EG297" s="136"/>
      <c r="EH297" s="136"/>
      <c r="EI297" s="136"/>
      <c r="EJ297" s="136"/>
      <c r="EK297" s="136"/>
      <c r="EL297" s="136"/>
      <c r="EM297" s="136"/>
      <c r="EN297" s="136"/>
      <c r="EO297" s="136"/>
      <c r="EP297" s="136"/>
      <c r="EQ297" s="136"/>
      <c r="ER297" s="136"/>
      <c r="ES297" s="136"/>
      <c r="ET297" s="136"/>
      <c r="EU297" s="136"/>
      <c r="EV297" s="136"/>
      <c r="EW297" s="136"/>
      <c r="EX297" s="136"/>
      <c r="EY297" s="136"/>
      <c r="EZ297" s="136"/>
      <c r="FA297" s="136"/>
      <c r="FB297" s="136"/>
      <c r="FC297" s="136"/>
      <c r="FD297" s="136"/>
      <c r="FE297" s="137"/>
      <c r="FF297" s="138"/>
    </row>
    <row r="298" spans="1:162" ht="12.75" x14ac:dyDescent="0.2">
      <c r="A298" s="93">
        <v>292</v>
      </c>
      <c r="B298" s="145" t="s">
        <v>462</v>
      </c>
      <c r="C298" s="141" t="s">
        <v>873</v>
      </c>
      <c r="D298" s="142" t="s">
        <v>874</v>
      </c>
      <c r="E298" s="149" t="s">
        <v>461</v>
      </c>
      <c r="F298" s="542">
        <v>122631848</v>
      </c>
      <c r="G298" s="542">
        <v>0</v>
      </c>
      <c r="H298" s="542">
        <v>122631848</v>
      </c>
      <c r="I298" s="542">
        <v>-1673</v>
      </c>
      <c r="J298" s="542">
        <v>0</v>
      </c>
      <c r="K298" s="542">
        <v>-1673</v>
      </c>
      <c r="L298" s="542">
        <v>0</v>
      </c>
      <c r="M298" s="542">
        <v>0</v>
      </c>
      <c r="N298" s="542">
        <v>0</v>
      </c>
      <c r="O298" s="542">
        <v>-800731</v>
      </c>
      <c r="P298" s="542">
        <v>0</v>
      </c>
      <c r="Q298" s="542">
        <v>-800731</v>
      </c>
      <c r="R298" s="542">
        <v>0</v>
      </c>
      <c r="S298" s="542">
        <v>0</v>
      </c>
      <c r="T298" s="542">
        <v>0</v>
      </c>
      <c r="U298" s="542">
        <v>-800731</v>
      </c>
      <c r="V298" s="542">
        <v>0</v>
      </c>
      <c r="W298" s="542">
        <v>-800731</v>
      </c>
      <c r="X298" s="542">
        <v>2513828</v>
      </c>
      <c r="Y298" s="542">
        <v>0</v>
      </c>
      <c r="Z298" s="542">
        <v>2513828</v>
      </c>
      <c r="AA298" s="542">
        <v>-5605210</v>
      </c>
      <c r="AB298" s="542">
        <v>0</v>
      </c>
      <c r="AC298" s="542">
        <v>-5605210</v>
      </c>
      <c r="AD298" s="542">
        <v>118738062</v>
      </c>
      <c r="AE298" s="542">
        <v>0</v>
      </c>
      <c r="AF298" s="542">
        <v>118738062</v>
      </c>
      <c r="AG298" s="542">
        <v>0</v>
      </c>
      <c r="AH298" s="542">
        <v>0</v>
      </c>
      <c r="AI298" s="542">
        <v>0</v>
      </c>
      <c r="AJ298" s="542">
        <v>0</v>
      </c>
      <c r="AK298" s="542">
        <v>0</v>
      </c>
      <c r="AL298" s="542">
        <v>0</v>
      </c>
      <c r="AM298" s="542">
        <v>0</v>
      </c>
      <c r="AN298" s="542">
        <v>0</v>
      </c>
      <c r="AO298" s="542">
        <v>0</v>
      </c>
      <c r="AP298" s="542">
        <v>0</v>
      </c>
      <c r="AQ298" s="542">
        <v>0</v>
      </c>
      <c r="AR298" s="542">
        <v>0</v>
      </c>
      <c r="AS298" s="542">
        <v>0</v>
      </c>
      <c r="AT298" s="542">
        <v>0</v>
      </c>
      <c r="AU298" s="542">
        <v>0</v>
      </c>
      <c r="AV298" s="542">
        <v>1675869</v>
      </c>
      <c r="AW298" s="542">
        <v>-983588</v>
      </c>
      <c r="AX298" s="136"/>
      <c r="AY298" s="136"/>
      <c r="AZ298" s="136"/>
      <c r="BA298" s="136"/>
      <c r="BB298" s="136"/>
      <c r="BC298" s="136"/>
      <c r="BD298" s="136"/>
      <c r="BE298" s="136"/>
      <c r="BF298" s="136"/>
      <c r="BG298" s="136"/>
      <c r="BH298" s="136"/>
      <c r="BI298" s="136"/>
      <c r="BJ298" s="136"/>
      <c r="BK298" s="136"/>
      <c r="BL298" s="136"/>
      <c r="BM298" s="136"/>
      <c r="BN298" s="136"/>
      <c r="BO298" s="136"/>
      <c r="BP298" s="136"/>
      <c r="BQ298" s="136"/>
      <c r="BR298" s="136"/>
      <c r="BS298" s="136"/>
      <c r="BT298" s="136"/>
      <c r="BU298" s="136"/>
      <c r="BV298" s="136"/>
      <c r="BW298" s="136"/>
      <c r="BX298" s="136"/>
      <c r="BY298" s="136"/>
      <c r="BZ298" s="136"/>
      <c r="CA298" s="136"/>
      <c r="CB298" s="136"/>
      <c r="CC298" s="136"/>
      <c r="CD298" s="136"/>
      <c r="CE298" s="136"/>
      <c r="CF298" s="136"/>
      <c r="CG298" s="136"/>
      <c r="CH298" s="136"/>
      <c r="CI298" s="136"/>
      <c r="CJ298" s="136"/>
      <c r="CK298" s="136"/>
      <c r="CL298" s="136"/>
      <c r="CM298" s="136"/>
      <c r="CN298" s="136"/>
      <c r="CO298" s="136"/>
      <c r="CP298" s="136"/>
      <c r="CQ298" s="136"/>
      <c r="CR298" s="136"/>
      <c r="CS298" s="136"/>
      <c r="CT298" s="136"/>
      <c r="CU298" s="136"/>
      <c r="CV298" s="136"/>
      <c r="CW298" s="136"/>
      <c r="CX298" s="136"/>
      <c r="CY298" s="136"/>
      <c r="CZ298" s="136"/>
      <c r="DA298" s="136"/>
      <c r="DB298" s="136"/>
      <c r="DC298" s="136"/>
      <c r="DD298" s="136"/>
      <c r="DE298" s="136"/>
      <c r="DF298" s="136"/>
      <c r="DG298" s="136"/>
      <c r="DH298" s="136"/>
      <c r="DI298" s="136"/>
      <c r="DJ298" s="136"/>
      <c r="DK298" s="136"/>
      <c r="DL298" s="136"/>
      <c r="DM298" s="136"/>
      <c r="DN298" s="136"/>
      <c r="DO298" s="136"/>
      <c r="DP298" s="136"/>
      <c r="DQ298" s="136"/>
      <c r="DR298" s="136"/>
      <c r="DS298" s="136"/>
      <c r="DT298" s="136"/>
      <c r="DU298" s="136"/>
      <c r="DV298" s="136"/>
      <c r="DW298" s="136"/>
      <c r="DX298" s="136"/>
      <c r="DY298" s="136"/>
      <c r="DZ298" s="136"/>
      <c r="EA298" s="136"/>
      <c r="EB298" s="136"/>
      <c r="EC298" s="136"/>
      <c r="ED298" s="136"/>
      <c r="EE298" s="136"/>
      <c r="EF298" s="136"/>
      <c r="EG298" s="136"/>
      <c r="EH298" s="136"/>
      <c r="EI298" s="136"/>
      <c r="EJ298" s="136"/>
      <c r="EK298" s="136"/>
      <c r="EL298" s="136"/>
      <c r="EM298" s="136"/>
      <c r="EN298" s="136"/>
      <c r="EO298" s="136"/>
      <c r="EP298" s="136"/>
      <c r="EQ298" s="136"/>
      <c r="ER298" s="136"/>
      <c r="ES298" s="136"/>
      <c r="ET298" s="136"/>
      <c r="EU298" s="136"/>
      <c r="EV298" s="136"/>
      <c r="EW298" s="136"/>
      <c r="EX298" s="136"/>
      <c r="EY298" s="136"/>
      <c r="EZ298" s="136"/>
      <c r="FA298" s="136"/>
      <c r="FB298" s="136"/>
      <c r="FC298" s="136"/>
      <c r="FD298" s="136"/>
      <c r="FE298" s="137"/>
      <c r="FF298" s="138"/>
    </row>
    <row r="299" spans="1:162" ht="12.75" x14ac:dyDescent="0.2">
      <c r="A299" s="93">
        <v>293</v>
      </c>
      <c r="B299" s="145" t="s">
        <v>464</v>
      </c>
      <c r="C299" s="141" t="s">
        <v>873</v>
      </c>
      <c r="D299" s="142" t="s">
        <v>876</v>
      </c>
      <c r="E299" s="149" t="s">
        <v>463</v>
      </c>
      <c r="F299" s="542">
        <v>67134614</v>
      </c>
      <c r="G299" s="542">
        <v>181169</v>
      </c>
      <c r="H299" s="542">
        <v>67315783</v>
      </c>
      <c r="I299" s="542">
        <v>-14145</v>
      </c>
      <c r="J299" s="542">
        <v>0</v>
      </c>
      <c r="K299" s="542">
        <v>-14145</v>
      </c>
      <c r="L299" s="542">
        <v>259389</v>
      </c>
      <c r="M299" s="542">
        <v>0</v>
      </c>
      <c r="N299" s="542">
        <v>259389</v>
      </c>
      <c r="O299" s="542">
        <v>0</v>
      </c>
      <c r="P299" s="542">
        <v>0</v>
      </c>
      <c r="Q299" s="542">
        <v>0</v>
      </c>
      <c r="R299" s="542">
        <v>-1156860</v>
      </c>
      <c r="S299" s="542">
        <v>0</v>
      </c>
      <c r="T299" s="542">
        <v>-1156860</v>
      </c>
      <c r="U299" s="542">
        <v>-235943</v>
      </c>
      <c r="V299" s="542">
        <v>0</v>
      </c>
      <c r="W299" s="542">
        <v>-235943</v>
      </c>
      <c r="X299" s="542">
        <v>0</v>
      </c>
      <c r="Y299" s="542">
        <v>0</v>
      </c>
      <c r="Z299" s="542">
        <v>0</v>
      </c>
      <c r="AA299" s="542">
        <v>-2356461</v>
      </c>
      <c r="AB299" s="542">
        <v>0</v>
      </c>
      <c r="AC299" s="542">
        <v>-2356461</v>
      </c>
      <c r="AD299" s="542">
        <v>63630594</v>
      </c>
      <c r="AE299" s="542">
        <v>181169</v>
      </c>
      <c r="AF299" s="542">
        <v>63811763</v>
      </c>
      <c r="AG299" s="542">
        <v>181169</v>
      </c>
      <c r="AH299" s="542">
        <v>0</v>
      </c>
      <c r="AI299" s="542">
        <v>181169</v>
      </c>
      <c r="AJ299" s="542">
        <v>0</v>
      </c>
      <c r="AK299" s="542">
        <v>0</v>
      </c>
      <c r="AL299" s="542">
        <v>0</v>
      </c>
      <c r="AM299" s="542">
        <v>0</v>
      </c>
      <c r="AN299" s="542">
        <v>-64</v>
      </c>
      <c r="AO299" s="542">
        <v>0</v>
      </c>
      <c r="AP299" s="542">
        <v>-64</v>
      </c>
      <c r="AQ299" s="542">
        <v>172541</v>
      </c>
      <c r="AR299" s="542">
        <v>0</v>
      </c>
      <c r="AS299" s="542">
        <v>8564</v>
      </c>
      <c r="AT299" s="542">
        <v>0</v>
      </c>
      <c r="AU299" s="542">
        <v>8564</v>
      </c>
      <c r="AV299" s="542">
        <v>6381286</v>
      </c>
      <c r="AW299" s="542">
        <v>-1775975</v>
      </c>
      <c r="AX299" s="136"/>
      <c r="AY299" s="136"/>
      <c r="AZ299" s="136"/>
      <c r="BA299" s="136"/>
      <c r="BB299" s="136"/>
      <c r="BC299" s="136"/>
      <c r="BD299" s="136"/>
      <c r="BE299" s="136"/>
      <c r="BF299" s="136"/>
      <c r="BG299" s="136"/>
      <c r="BH299" s="136"/>
      <c r="BI299" s="136"/>
      <c r="BJ299" s="136"/>
      <c r="BK299" s="136"/>
      <c r="BL299" s="136"/>
      <c r="BM299" s="136"/>
      <c r="BN299" s="136"/>
      <c r="BO299" s="136"/>
      <c r="BP299" s="136"/>
      <c r="BQ299" s="136"/>
      <c r="BR299" s="136"/>
      <c r="BS299" s="136"/>
      <c r="BT299" s="136"/>
      <c r="BU299" s="136"/>
      <c r="BV299" s="136"/>
      <c r="BW299" s="136"/>
      <c r="BX299" s="136"/>
      <c r="BY299" s="136"/>
      <c r="BZ299" s="136"/>
      <c r="CA299" s="136"/>
      <c r="CB299" s="136"/>
      <c r="CC299" s="136"/>
      <c r="CD299" s="136"/>
      <c r="CE299" s="136"/>
      <c r="CF299" s="136"/>
      <c r="CG299" s="136"/>
      <c r="CH299" s="136"/>
      <c r="CI299" s="136"/>
      <c r="CJ299" s="136"/>
      <c r="CK299" s="136"/>
      <c r="CL299" s="136"/>
      <c r="CM299" s="136"/>
      <c r="CN299" s="136"/>
      <c r="CO299" s="136"/>
      <c r="CP299" s="136"/>
      <c r="CQ299" s="136"/>
      <c r="CR299" s="136"/>
      <c r="CS299" s="136"/>
      <c r="CT299" s="136"/>
      <c r="CU299" s="136"/>
      <c r="CV299" s="136"/>
      <c r="CW299" s="136"/>
      <c r="CX299" s="136"/>
      <c r="CY299" s="136"/>
      <c r="CZ299" s="136"/>
      <c r="DA299" s="136"/>
      <c r="DB299" s="136"/>
      <c r="DC299" s="136"/>
      <c r="DD299" s="136"/>
      <c r="DE299" s="136"/>
      <c r="DF299" s="136"/>
      <c r="DG299" s="136"/>
      <c r="DH299" s="136"/>
      <c r="DI299" s="136"/>
      <c r="DJ299" s="136"/>
      <c r="DK299" s="136"/>
      <c r="DL299" s="136"/>
      <c r="DM299" s="136"/>
      <c r="DN299" s="136"/>
      <c r="DO299" s="136"/>
      <c r="DP299" s="136"/>
      <c r="DQ299" s="136"/>
      <c r="DR299" s="136"/>
      <c r="DS299" s="136"/>
      <c r="DT299" s="136"/>
      <c r="DU299" s="136"/>
      <c r="DV299" s="136"/>
      <c r="DW299" s="136"/>
      <c r="DX299" s="136"/>
      <c r="DY299" s="136"/>
      <c r="DZ299" s="136"/>
      <c r="EA299" s="136"/>
      <c r="EB299" s="136"/>
      <c r="EC299" s="136"/>
      <c r="ED299" s="136"/>
      <c r="EE299" s="136"/>
      <c r="EF299" s="136"/>
      <c r="EG299" s="136"/>
      <c r="EH299" s="136"/>
      <c r="EI299" s="136"/>
      <c r="EJ299" s="136"/>
      <c r="EK299" s="136"/>
      <c r="EL299" s="136"/>
      <c r="EM299" s="136"/>
      <c r="EN299" s="136"/>
      <c r="EO299" s="136"/>
      <c r="EP299" s="136"/>
      <c r="EQ299" s="136"/>
      <c r="ER299" s="136"/>
      <c r="ES299" s="136"/>
      <c r="ET299" s="136"/>
      <c r="EU299" s="136"/>
      <c r="EV299" s="136"/>
      <c r="EW299" s="136"/>
      <c r="EX299" s="136"/>
      <c r="EY299" s="136"/>
      <c r="EZ299" s="136"/>
      <c r="FA299" s="136"/>
      <c r="FB299" s="136"/>
      <c r="FC299" s="136"/>
      <c r="FD299" s="136"/>
      <c r="FE299" s="137"/>
      <c r="FF299" s="138"/>
    </row>
    <row r="300" spans="1:162" ht="12.75" x14ac:dyDescent="0.2">
      <c r="A300" s="93">
        <v>294</v>
      </c>
      <c r="B300" s="145" t="s">
        <v>466</v>
      </c>
      <c r="C300" s="141" t="s">
        <v>871</v>
      </c>
      <c r="D300" s="142" t="s">
        <v>872</v>
      </c>
      <c r="E300" s="149" t="s">
        <v>465</v>
      </c>
      <c r="F300" s="542">
        <v>53854143</v>
      </c>
      <c r="G300" s="542">
        <v>0</v>
      </c>
      <c r="H300" s="542">
        <v>53854143</v>
      </c>
      <c r="I300" s="542">
        <v>-82</v>
      </c>
      <c r="J300" s="542">
        <v>0</v>
      </c>
      <c r="K300" s="542">
        <v>-82</v>
      </c>
      <c r="L300" s="542">
        <v>116681</v>
      </c>
      <c r="M300" s="542">
        <v>0</v>
      </c>
      <c r="N300" s="542">
        <v>116681</v>
      </c>
      <c r="O300" s="542">
        <v>-1315945</v>
      </c>
      <c r="P300" s="542">
        <v>0</v>
      </c>
      <c r="Q300" s="542">
        <v>-1315945</v>
      </c>
      <c r="R300" s="542">
        <v>0</v>
      </c>
      <c r="S300" s="542">
        <v>0</v>
      </c>
      <c r="T300" s="542">
        <v>0</v>
      </c>
      <c r="U300" s="542">
        <v>183315</v>
      </c>
      <c r="V300" s="542">
        <v>0</v>
      </c>
      <c r="W300" s="542">
        <v>183315</v>
      </c>
      <c r="X300" s="542">
        <v>962128</v>
      </c>
      <c r="Y300" s="542">
        <v>0</v>
      </c>
      <c r="Z300" s="542">
        <v>962128</v>
      </c>
      <c r="AA300" s="542">
        <v>-2045700</v>
      </c>
      <c r="AB300" s="542">
        <v>0</v>
      </c>
      <c r="AC300" s="542">
        <v>-2045700</v>
      </c>
      <c r="AD300" s="542">
        <v>53070485</v>
      </c>
      <c r="AE300" s="542">
        <v>0</v>
      </c>
      <c r="AF300" s="542">
        <v>53070485</v>
      </c>
      <c r="AG300" s="542">
        <v>0</v>
      </c>
      <c r="AH300" s="542">
        <v>0</v>
      </c>
      <c r="AI300" s="542">
        <v>0</v>
      </c>
      <c r="AJ300" s="542">
        <v>0</v>
      </c>
      <c r="AK300" s="542">
        <v>0</v>
      </c>
      <c r="AL300" s="542">
        <v>0</v>
      </c>
      <c r="AM300" s="542">
        <v>0</v>
      </c>
      <c r="AN300" s="542">
        <v>0</v>
      </c>
      <c r="AO300" s="542">
        <v>0</v>
      </c>
      <c r="AP300" s="542">
        <v>0</v>
      </c>
      <c r="AQ300" s="542">
        <v>0</v>
      </c>
      <c r="AR300" s="542">
        <v>0</v>
      </c>
      <c r="AS300" s="542">
        <v>0</v>
      </c>
      <c r="AT300" s="542">
        <v>0</v>
      </c>
      <c r="AU300" s="542">
        <v>0</v>
      </c>
      <c r="AV300" s="542">
        <v>5402335</v>
      </c>
      <c r="AW300" s="542">
        <v>-2451179</v>
      </c>
      <c r="AX300" s="136"/>
      <c r="AY300" s="136"/>
      <c r="AZ300" s="136"/>
      <c r="BA300" s="136"/>
      <c r="BB300" s="136"/>
      <c r="BC300" s="136"/>
      <c r="BD300" s="136"/>
      <c r="BE300" s="136"/>
      <c r="BF300" s="136"/>
      <c r="BG300" s="136"/>
      <c r="BH300" s="136"/>
      <c r="BI300" s="136"/>
      <c r="BJ300" s="136"/>
      <c r="BK300" s="136"/>
      <c r="BL300" s="136"/>
      <c r="BM300" s="136"/>
      <c r="BN300" s="136"/>
      <c r="BO300" s="136"/>
      <c r="BP300" s="136"/>
      <c r="BQ300" s="136"/>
      <c r="BR300" s="136"/>
      <c r="BS300" s="136"/>
      <c r="BT300" s="136"/>
      <c r="BU300" s="136"/>
      <c r="BV300" s="136"/>
      <c r="BW300" s="136"/>
      <c r="BX300" s="136"/>
      <c r="BY300" s="136"/>
      <c r="BZ300" s="136"/>
      <c r="CA300" s="136"/>
      <c r="CB300" s="136"/>
      <c r="CC300" s="136"/>
      <c r="CD300" s="136"/>
      <c r="CE300" s="136"/>
      <c r="CF300" s="136"/>
      <c r="CG300" s="136"/>
      <c r="CH300" s="136"/>
      <c r="CI300" s="136"/>
      <c r="CJ300" s="136"/>
      <c r="CK300" s="136"/>
      <c r="CL300" s="136"/>
      <c r="CM300" s="136"/>
      <c r="CN300" s="136"/>
      <c r="CO300" s="136"/>
      <c r="CP300" s="136"/>
      <c r="CQ300" s="136"/>
      <c r="CR300" s="136"/>
      <c r="CS300" s="136"/>
      <c r="CT300" s="136"/>
      <c r="CU300" s="136"/>
      <c r="CV300" s="136"/>
      <c r="CW300" s="136"/>
      <c r="CX300" s="136"/>
      <c r="CY300" s="136"/>
      <c r="CZ300" s="136"/>
      <c r="DA300" s="136"/>
      <c r="DB300" s="136"/>
      <c r="DC300" s="136"/>
      <c r="DD300" s="136"/>
      <c r="DE300" s="136"/>
      <c r="DF300" s="136"/>
      <c r="DG300" s="136"/>
      <c r="DH300" s="136"/>
      <c r="DI300" s="136"/>
      <c r="DJ300" s="136"/>
      <c r="DK300" s="136"/>
      <c r="DL300" s="136"/>
      <c r="DM300" s="136"/>
      <c r="DN300" s="136"/>
      <c r="DO300" s="136"/>
      <c r="DP300" s="136"/>
      <c r="DQ300" s="136"/>
      <c r="DR300" s="136"/>
      <c r="DS300" s="136"/>
      <c r="DT300" s="136"/>
      <c r="DU300" s="136"/>
      <c r="DV300" s="136"/>
      <c r="DW300" s="136"/>
      <c r="DX300" s="136"/>
      <c r="DY300" s="136"/>
      <c r="DZ300" s="136"/>
      <c r="EA300" s="136"/>
      <c r="EB300" s="136"/>
      <c r="EC300" s="136"/>
      <c r="ED300" s="136"/>
      <c r="EE300" s="136"/>
      <c r="EF300" s="136"/>
      <c r="EG300" s="136"/>
      <c r="EH300" s="136"/>
      <c r="EI300" s="136"/>
      <c r="EJ300" s="136"/>
      <c r="EK300" s="136"/>
      <c r="EL300" s="136"/>
      <c r="EM300" s="136"/>
      <c r="EN300" s="136"/>
      <c r="EO300" s="136"/>
      <c r="EP300" s="136"/>
      <c r="EQ300" s="136"/>
      <c r="ER300" s="136"/>
      <c r="ES300" s="136"/>
      <c r="ET300" s="136"/>
      <c r="EU300" s="136"/>
      <c r="EV300" s="136"/>
      <c r="EW300" s="136"/>
      <c r="EX300" s="136"/>
      <c r="EY300" s="136"/>
      <c r="EZ300" s="136"/>
      <c r="FA300" s="136"/>
      <c r="FB300" s="136"/>
      <c r="FC300" s="136"/>
      <c r="FD300" s="136"/>
      <c r="FE300" s="137"/>
      <c r="FF300" s="138"/>
    </row>
    <row r="301" spans="1:162" ht="12.75" x14ac:dyDescent="0.2">
      <c r="A301" s="93">
        <v>295</v>
      </c>
      <c r="B301" s="145" t="s">
        <v>468</v>
      </c>
      <c r="C301" s="141" t="s">
        <v>877</v>
      </c>
      <c r="D301" s="142" t="s">
        <v>872</v>
      </c>
      <c r="E301" s="149" t="s">
        <v>467</v>
      </c>
      <c r="F301" s="542">
        <v>102203652</v>
      </c>
      <c r="G301" s="542">
        <v>0</v>
      </c>
      <c r="H301" s="542">
        <v>102203652</v>
      </c>
      <c r="I301" s="542">
        <v>-6200</v>
      </c>
      <c r="J301" s="542">
        <v>0</v>
      </c>
      <c r="K301" s="542">
        <v>-6200</v>
      </c>
      <c r="L301" s="542">
        <v>346414</v>
      </c>
      <c r="M301" s="542">
        <v>0</v>
      </c>
      <c r="N301" s="542">
        <v>346414</v>
      </c>
      <c r="O301" s="542">
        <v>-383271</v>
      </c>
      <c r="P301" s="542">
        <v>0</v>
      </c>
      <c r="Q301" s="542">
        <v>-383271</v>
      </c>
      <c r="R301" s="542">
        <v>0</v>
      </c>
      <c r="S301" s="542">
        <v>0</v>
      </c>
      <c r="T301" s="542">
        <v>0</v>
      </c>
      <c r="U301" s="542">
        <v>8729</v>
      </c>
      <c r="V301" s="542">
        <v>0</v>
      </c>
      <c r="W301" s="542">
        <v>8729</v>
      </c>
      <c r="X301" s="542">
        <v>4672000</v>
      </c>
      <c r="Y301" s="542">
        <v>0</v>
      </c>
      <c r="Z301" s="542">
        <v>4672000</v>
      </c>
      <c r="AA301" s="542">
        <v>-5699354</v>
      </c>
      <c r="AB301" s="542">
        <v>0</v>
      </c>
      <c r="AC301" s="542">
        <v>-5699354</v>
      </c>
      <c r="AD301" s="542">
        <v>101525241</v>
      </c>
      <c r="AE301" s="542">
        <v>0</v>
      </c>
      <c r="AF301" s="542">
        <v>101525241</v>
      </c>
      <c r="AG301" s="542">
        <v>0</v>
      </c>
      <c r="AH301" s="542">
        <v>0</v>
      </c>
      <c r="AI301" s="542">
        <v>0</v>
      </c>
      <c r="AJ301" s="542">
        <v>0</v>
      </c>
      <c r="AK301" s="542">
        <v>0</v>
      </c>
      <c r="AL301" s="542">
        <v>0</v>
      </c>
      <c r="AM301" s="542">
        <v>0</v>
      </c>
      <c r="AN301" s="542">
        <v>0</v>
      </c>
      <c r="AO301" s="542">
        <v>0</v>
      </c>
      <c r="AP301" s="542">
        <v>0</v>
      </c>
      <c r="AQ301" s="542">
        <v>0</v>
      </c>
      <c r="AR301" s="542">
        <v>0</v>
      </c>
      <c r="AS301" s="542">
        <v>0</v>
      </c>
      <c r="AT301" s="542">
        <v>0</v>
      </c>
      <c r="AU301" s="542">
        <v>0</v>
      </c>
      <c r="AV301" s="542">
        <v>4859586</v>
      </c>
      <c r="AW301" s="542">
        <v>-2254223</v>
      </c>
      <c r="AX301" s="136"/>
      <c r="AY301" s="136"/>
      <c r="AZ301" s="136"/>
      <c r="BA301" s="136"/>
      <c r="BB301" s="136"/>
      <c r="BC301" s="136"/>
      <c r="BD301" s="136"/>
      <c r="BE301" s="136"/>
      <c r="BF301" s="136"/>
      <c r="BG301" s="136"/>
      <c r="BH301" s="136"/>
      <c r="BI301" s="136"/>
      <c r="BJ301" s="136"/>
      <c r="BK301" s="136"/>
      <c r="BL301" s="136"/>
      <c r="BM301" s="136"/>
      <c r="BN301" s="136"/>
      <c r="BO301" s="136"/>
      <c r="BP301" s="136"/>
      <c r="BQ301" s="136"/>
      <c r="BR301" s="136"/>
      <c r="BS301" s="136"/>
      <c r="BT301" s="136"/>
      <c r="BU301" s="136"/>
      <c r="BV301" s="136"/>
      <c r="BW301" s="136"/>
      <c r="BX301" s="136"/>
      <c r="BY301" s="136"/>
      <c r="BZ301" s="136"/>
      <c r="CA301" s="136"/>
      <c r="CB301" s="136"/>
      <c r="CC301" s="136"/>
      <c r="CD301" s="136"/>
      <c r="CE301" s="136"/>
      <c r="CF301" s="136"/>
      <c r="CG301" s="136"/>
      <c r="CH301" s="136"/>
      <c r="CI301" s="136"/>
      <c r="CJ301" s="136"/>
      <c r="CK301" s="136"/>
      <c r="CL301" s="136"/>
      <c r="CM301" s="136"/>
      <c r="CN301" s="136"/>
      <c r="CO301" s="136"/>
      <c r="CP301" s="136"/>
      <c r="CQ301" s="136"/>
      <c r="CR301" s="136"/>
      <c r="CS301" s="136"/>
      <c r="CT301" s="136"/>
      <c r="CU301" s="136"/>
      <c r="CV301" s="136"/>
      <c r="CW301" s="136"/>
      <c r="CX301" s="136"/>
      <c r="CY301" s="136"/>
      <c r="CZ301" s="136"/>
      <c r="DA301" s="136"/>
      <c r="DB301" s="136"/>
      <c r="DC301" s="136"/>
      <c r="DD301" s="136"/>
      <c r="DE301" s="136"/>
      <c r="DF301" s="136"/>
      <c r="DG301" s="136"/>
      <c r="DH301" s="136"/>
      <c r="DI301" s="136"/>
      <c r="DJ301" s="136"/>
      <c r="DK301" s="136"/>
      <c r="DL301" s="136"/>
      <c r="DM301" s="136"/>
      <c r="DN301" s="136"/>
      <c r="DO301" s="136"/>
      <c r="DP301" s="136"/>
      <c r="DQ301" s="136"/>
      <c r="DR301" s="136"/>
      <c r="DS301" s="136"/>
      <c r="DT301" s="136"/>
      <c r="DU301" s="136"/>
      <c r="DV301" s="136"/>
      <c r="DW301" s="136"/>
      <c r="DX301" s="136"/>
      <c r="DY301" s="136"/>
      <c r="DZ301" s="136"/>
      <c r="EA301" s="136"/>
      <c r="EB301" s="136"/>
      <c r="EC301" s="136"/>
      <c r="ED301" s="136"/>
      <c r="EE301" s="136"/>
      <c r="EF301" s="136"/>
      <c r="EG301" s="136"/>
      <c r="EH301" s="136"/>
      <c r="EI301" s="136"/>
      <c r="EJ301" s="136"/>
      <c r="EK301" s="136"/>
      <c r="EL301" s="136"/>
      <c r="EM301" s="136"/>
      <c r="EN301" s="136"/>
      <c r="EO301" s="136"/>
      <c r="EP301" s="136"/>
      <c r="EQ301" s="136"/>
      <c r="ER301" s="136"/>
      <c r="ES301" s="136"/>
      <c r="ET301" s="136"/>
      <c r="EU301" s="136"/>
      <c r="EV301" s="136"/>
      <c r="EW301" s="136"/>
      <c r="EX301" s="136"/>
      <c r="EY301" s="136"/>
      <c r="EZ301" s="136"/>
      <c r="FA301" s="136"/>
      <c r="FB301" s="136"/>
      <c r="FC301" s="136"/>
      <c r="FD301" s="136"/>
      <c r="FE301" s="137"/>
      <c r="FF301" s="138"/>
    </row>
    <row r="302" spans="1:162" ht="12.75" x14ac:dyDescent="0.2">
      <c r="A302" s="93">
        <v>296</v>
      </c>
      <c r="B302" s="145" t="s">
        <v>470</v>
      </c>
      <c r="C302" s="141" t="s">
        <v>770</v>
      </c>
      <c r="D302" s="142" t="s">
        <v>868</v>
      </c>
      <c r="E302" s="149" t="s">
        <v>734</v>
      </c>
      <c r="F302" s="542">
        <v>105718231</v>
      </c>
      <c r="G302" s="542">
        <v>0</v>
      </c>
      <c r="H302" s="542">
        <v>105718231</v>
      </c>
      <c r="I302" s="542">
        <v>0</v>
      </c>
      <c r="J302" s="542">
        <v>0</v>
      </c>
      <c r="K302" s="542">
        <v>0</v>
      </c>
      <c r="L302" s="542">
        <v>288436</v>
      </c>
      <c r="M302" s="542">
        <v>0</v>
      </c>
      <c r="N302" s="542">
        <v>288436</v>
      </c>
      <c r="O302" s="542">
        <v>0</v>
      </c>
      <c r="P302" s="542">
        <v>0</v>
      </c>
      <c r="Q302" s="542">
        <v>0</v>
      </c>
      <c r="R302" s="542">
        <v>-10508</v>
      </c>
      <c r="S302" s="542">
        <v>0</v>
      </c>
      <c r="T302" s="542">
        <v>-10508</v>
      </c>
      <c r="U302" s="542">
        <v>596195</v>
      </c>
      <c r="V302" s="542">
        <v>0</v>
      </c>
      <c r="W302" s="542">
        <v>596195</v>
      </c>
      <c r="X302" s="542">
        <v>0</v>
      </c>
      <c r="Y302" s="542">
        <v>0</v>
      </c>
      <c r="Z302" s="542">
        <v>0</v>
      </c>
      <c r="AA302" s="542">
        <v>-3830592</v>
      </c>
      <c r="AB302" s="542">
        <v>0</v>
      </c>
      <c r="AC302" s="542">
        <v>-3830592</v>
      </c>
      <c r="AD302" s="542">
        <v>102761762</v>
      </c>
      <c r="AE302" s="542">
        <v>0</v>
      </c>
      <c r="AF302" s="542">
        <v>102761762</v>
      </c>
      <c r="AG302" s="542">
        <v>0</v>
      </c>
      <c r="AH302" s="542">
        <v>0</v>
      </c>
      <c r="AI302" s="542">
        <v>0</v>
      </c>
      <c r="AJ302" s="542">
        <v>0</v>
      </c>
      <c r="AK302" s="542">
        <v>0</v>
      </c>
      <c r="AL302" s="542">
        <v>0</v>
      </c>
      <c r="AM302" s="542">
        <v>0</v>
      </c>
      <c r="AN302" s="542">
        <v>0</v>
      </c>
      <c r="AO302" s="542">
        <v>0</v>
      </c>
      <c r="AP302" s="542">
        <v>0</v>
      </c>
      <c r="AQ302" s="542">
        <v>0</v>
      </c>
      <c r="AR302" s="542">
        <v>0</v>
      </c>
      <c r="AS302" s="542">
        <v>0</v>
      </c>
      <c r="AT302" s="542">
        <v>0</v>
      </c>
      <c r="AU302" s="542">
        <v>0</v>
      </c>
      <c r="AV302" s="542">
        <v>12401336</v>
      </c>
      <c r="AW302" s="542">
        <v>-1702006</v>
      </c>
      <c r="AX302" s="136"/>
      <c r="AY302" s="136"/>
      <c r="AZ302" s="136"/>
      <c r="BA302" s="136"/>
      <c r="BB302" s="136"/>
      <c r="BC302" s="136"/>
      <c r="BD302" s="136"/>
      <c r="BE302" s="136"/>
      <c r="BF302" s="136"/>
      <c r="BG302" s="136"/>
      <c r="BH302" s="136"/>
      <c r="BI302" s="136"/>
      <c r="BJ302" s="136"/>
      <c r="BK302" s="136"/>
      <c r="BL302" s="136"/>
      <c r="BM302" s="136"/>
      <c r="BN302" s="136"/>
      <c r="BO302" s="136"/>
      <c r="BP302" s="136"/>
      <c r="BQ302" s="136"/>
      <c r="BR302" s="136"/>
      <c r="BS302" s="136"/>
      <c r="BT302" s="136"/>
      <c r="BU302" s="136"/>
      <c r="BV302" s="136"/>
      <c r="BW302" s="136"/>
      <c r="BX302" s="136"/>
      <c r="BY302" s="136"/>
      <c r="BZ302" s="136"/>
      <c r="CA302" s="136"/>
      <c r="CB302" s="136"/>
      <c r="CC302" s="136"/>
      <c r="CD302" s="136"/>
      <c r="CE302" s="136"/>
      <c r="CF302" s="136"/>
      <c r="CG302" s="136"/>
      <c r="CH302" s="136"/>
      <c r="CI302" s="136"/>
      <c r="CJ302" s="136"/>
      <c r="CK302" s="136"/>
      <c r="CL302" s="136"/>
      <c r="CM302" s="136"/>
      <c r="CN302" s="136"/>
      <c r="CO302" s="136"/>
      <c r="CP302" s="136"/>
      <c r="CQ302" s="136"/>
      <c r="CR302" s="136"/>
      <c r="CS302" s="136"/>
      <c r="CT302" s="136"/>
      <c r="CU302" s="136"/>
      <c r="CV302" s="136"/>
      <c r="CW302" s="136"/>
      <c r="CX302" s="136"/>
      <c r="CY302" s="136"/>
      <c r="CZ302" s="136"/>
      <c r="DA302" s="136"/>
      <c r="DB302" s="136"/>
      <c r="DC302" s="136"/>
      <c r="DD302" s="136"/>
      <c r="DE302" s="136"/>
      <c r="DF302" s="136"/>
      <c r="DG302" s="136"/>
      <c r="DH302" s="136"/>
      <c r="DI302" s="136"/>
      <c r="DJ302" s="136"/>
      <c r="DK302" s="136"/>
      <c r="DL302" s="136"/>
      <c r="DM302" s="136"/>
      <c r="DN302" s="136"/>
      <c r="DO302" s="136"/>
      <c r="DP302" s="136"/>
      <c r="DQ302" s="136"/>
      <c r="DR302" s="136"/>
      <c r="DS302" s="136"/>
      <c r="DT302" s="136"/>
      <c r="DU302" s="136"/>
      <c r="DV302" s="136"/>
      <c r="DW302" s="136"/>
      <c r="DX302" s="136"/>
      <c r="DY302" s="136"/>
      <c r="DZ302" s="136"/>
      <c r="EA302" s="136"/>
      <c r="EB302" s="136"/>
      <c r="EC302" s="136"/>
      <c r="ED302" s="136"/>
      <c r="EE302" s="136"/>
      <c r="EF302" s="136"/>
      <c r="EG302" s="136"/>
      <c r="EH302" s="136"/>
      <c r="EI302" s="136"/>
      <c r="EJ302" s="136"/>
      <c r="EK302" s="136"/>
      <c r="EL302" s="136"/>
      <c r="EM302" s="136"/>
      <c r="EN302" s="136"/>
      <c r="EO302" s="136"/>
      <c r="EP302" s="136"/>
      <c r="EQ302" s="136"/>
      <c r="ER302" s="136"/>
      <c r="ES302" s="136"/>
      <c r="ET302" s="136"/>
      <c r="EU302" s="136"/>
      <c r="EV302" s="136"/>
      <c r="EW302" s="136"/>
      <c r="EX302" s="136"/>
      <c r="EY302" s="136"/>
      <c r="EZ302" s="136"/>
      <c r="FA302" s="136"/>
      <c r="FB302" s="136"/>
      <c r="FC302" s="136"/>
      <c r="FD302" s="136"/>
      <c r="FE302" s="137"/>
      <c r="FF302" s="138"/>
    </row>
    <row r="303" spans="1:162" ht="12.75" x14ac:dyDescent="0.2">
      <c r="A303" s="93">
        <v>297</v>
      </c>
      <c r="B303" s="145" t="s">
        <v>472</v>
      </c>
      <c r="C303" s="141" t="s">
        <v>866</v>
      </c>
      <c r="D303" s="142" t="s">
        <v>876</v>
      </c>
      <c r="E303" s="149" t="s">
        <v>471</v>
      </c>
      <c r="F303" s="542">
        <v>66380840</v>
      </c>
      <c r="G303" s="542">
        <v>0</v>
      </c>
      <c r="H303" s="542">
        <v>66380840</v>
      </c>
      <c r="I303" s="542">
        <v>0</v>
      </c>
      <c r="J303" s="542">
        <v>0</v>
      </c>
      <c r="K303" s="542">
        <v>0</v>
      </c>
      <c r="L303" s="542">
        <v>166137</v>
      </c>
      <c r="M303" s="542">
        <v>0</v>
      </c>
      <c r="N303" s="542">
        <v>166137</v>
      </c>
      <c r="O303" s="542">
        <v>-520335</v>
      </c>
      <c r="P303" s="542">
        <v>0</v>
      </c>
      <c r="Q303" s="542">
        <v>-520335</v>
      </c>
      <c r="R303" s="542">
        <v>0</v>
      </c>
      <c r="S303" s="542">
        <v>0</v>
      </c>
      <c r="T303" s="542">
        <v>0</v>
      </c>
      <c r="U303" s="542">
        <v>-270335</v>
      </c>
      <c r="V303" s="542">
        <v>0</v>
      </c>
      <c r="W303" s="542">
        <v>-270335</v>
      </c>
      <c r="X303" s="542">
        <v>5789303</v>
      </c>
      <c r="Y303" s="542">
        <v>0</v>
      </c>
      <c r="Z303" s="542">
        <v>5789303</v>
      </c>
      <c r="AA303" s="542">
        <v>-7750026</v>
      </c>
      <c r="AB303" s="542">
        <v>0</v>
      </c>
      <c r="AC303" s="542">
        <v>-7750026</v>
      </c>
      <c r="AD303" s="542">
        <v>64315919</v>
      </c>
      <c r="AE303" s="542">
        <v>0</v>
      </c>
      <c r="AF303" s="542">
        <v>64315919</v>
      </c>
      <c r="AG303" s="542">
        <v>0</v>
      </c>
      <c r="AH303" s="542">
        <v>0</v>
      </c>
      <c r="AI303" s="542">
        <v>0</v>
      </c>
      <c r="AJ303" s="542">
        <v>0</v>
      </c>
      <c r="AK303" s="542">
        <v>0</v>
      </c>
      <c r="AL303" s="542">
        <v>0</v>
      </c>
      <c r="AM303" s="542">
        <v>0</v>
      </c>
      <c r="AN303" s="542">
        <v>0</v>
      </c>
      <c r="AO303" s="542">
        <v>0</v>
      </c>
      <c r="AP303" s="542">
        <v>0</v>
      </c>
      <c r="AQ303" s="542">
        <v>0</v>
      </c>
      <c r="AR303" s="542">
        <v>0</v>
      </c>
      <c r="AS303" s="542">
        <v>0</v>
      </c>
      <c r="AT303" s="542">
        <v>0</v>
      </c>
      <c r="AU303" s="542">
        <v>0</v>
      </c>
      <c r="AV303" s="542">
        <v>984330</v>
      </c>
      <c r="AW303" s="542">
        <v>-1069115</v>
      </c>
      <c r="AX303" s="136"/>
      <c r="AY303" s="136"/>
      <c r="AZ303" s="136"/>
      <c r="BA303" s="136"/>
      <c r="BB303" s="136"/>
      <c r="BC303" s="136"/>
      <c r="BD303" s="136"/>
      <c r="BE303" s="136"/>
      <c r="BF303" s="136"/>
      <c r="BG303" s="136"/>
      <c r="BH303" s="136"/>
      <c r="BI303" s="136"/>
      <c r="BJ303" s="136"/>
      <c r="BK303" s="136"/>
      <c r="BL303" s="136"/>
      <c r="BM303" s="136"/>
      <c r="BN303" s="136"/>
      <c r="BO303" s="136"/>
      <c r="BP303" s="136"/>
      <c r="BQ303" s="136"/>
      <c r="BR303" s="136"/>
      <c r="BS303" s="136"/>
      <c r="BT303" s="136"/>
      <c r="BU303" s="136"/>
      <c r="BV303" s="136"/>
      <c r="BW303" s="136"/>
      <c r="BX303" s="136"/>
      <c r="BY303" s="136"/>
      <c r="BZ303" s="136"/>
      <c r="CA303" s="136"/>
      <c r="CB303" s="136"/>
      <c r="CC303" s="136"/>
      <c r="CD303" s="136"/>
      <c r="CE303" s="136"/>
      <c r="CF303" s="136"/>
      <c r="CG303" s="136"/>
      <c r="CH303" s="136"/>
      <c r="CI303" s="136"/>
      <c r="CJ303" s="136"/>
      <c r="CK303" s="136"/>
      <c r="CL303" s="136"/>
      <c r="CM303" s="136"/>
      <c r="CN303" s="136"/>
      <c r="CO303" s="136"/>
      <c r="CP303" s="136"/>
      <c r="CQ303" s="136"/>
      <c r="CR303" s="136"/>
      <c r="CS303" s="136"/>
      <c r="CT303" s="136"/>
      <c r="CU303" s="136"/>
      <c r="CV303" s="136"/>
      <c r="CW303" s="136"/>
      <c r="CX303" s="136"/>
      <c r="CY303" s="136"/>
      <c r="CZ303" s="136"/>
      <c r="DA303" s="136"/>
      <c r="DB303" s="136"/>
      <c r="DC303" s="136"/>
      <c r="DD303" s="136"/>
      <c r="DE303" s="136"/>
      <c r="DF303" s="136"/>
      <c r="DG303" s="136"/>
      <c r="DH303" s="136"/>
      <c r="DI303" s="136"/>
      <c r="DJ303" s="136"/>
      <c r="DK303" s="136"/>
      <c r="DL303" s="136"/>
      <c r="DM303" s="136"/>
      <c r="DN303" s="136"/>
      <c r="DO303" s="136"/>
      <c r="DP303" s="136"/>
      <c r="DQ303" s="136"/>
      <c r="DR303" s="136"/>
      <c r="DS303" s="136"/>
      <c r="DT303" s="136"/>
      <c r="DU303" s="136"/>
      <c r="DV303" s="136"/>
      <c r="DW303" s="136"/>
      <c r="DX303" s="136"/>
      <c r="DY303" s="136"/>
      <c r="DZ303" s="136"/>
      <c r="EA303" s="136"/>
      <c r="EB303" s="136"/>
      <c r="EC303" s="136"/>
      <c r="ED303" s="136"/>
      <c r="EE303" s="136"/>
      <c r="EF303" s="136"/>
      <c r="EG303" s="136"/>
      <c r="EH303" s="136"/>
      <c r="EI303" s="136"/>
      <c r="EJ303" s="136"/>
      <c r="EK303" s="136"/>
      <c r="EL303" s="136"/>
      <c r="EM303" s="136"/>
      <c r="EN303" s="136"/>
      <c r="EO303" s="136"/>
      <c r="EP303" s="136"/>
      <c r="EQ303" s="136"/>
      <c r="ER303" s="136"/>
      <c r="ES303" s="136"/>
      <c r="ET303" s="136"/>
      <c r="EU303" s="136"/>
      <c r="EV303" s="136"/>
      <c r="EW303" s="136"/>
      <c r="EX303" s="136"/>
      <c r="EY303" s="136"/>
      <c r="EZ303" s="136"/>
      <c r="FA303" s="136"/>
      <c r="FB303" s="136"/>
      <c r="FC303" s="136"/>
      <c r="FD303" s="136"/>
      <c r="FE303" s="137"/>
      <c r="FF303" s="138"/>
    </row>
    <row r="304" spans="1:162" ht="12.75" x14ac:dyDescent="0.2">
      <c r="A304" s="93">
        <v>298</v>
      </c>
      <c r="B304" s="145" t="s">
        <v>474</v>
      </c>
      <c r="C304" s="141" t="s">
        <v>866</v>
      </c>
      <c r="D304" s="142" t="s">
        <v>870</v>
      </c>
      <c r="E304" s="149" t="s">
        <v>473</v>
      </c>
      <c r="F304" s="542">
        <v>64689244</v>
      </c>
      <c r="G304" s="542">
        <v>0</v>
      </c>
      <c r="H304" s="542">
        <v>64689244</v>
      </c>
      <c r="I304" s="542">
        <v>0</v>
      </c>
      <c r="J304" s="542">
        <v>0</v>
      </c>
      <c r="K304" s="542">
        <v>0</v>
      </c>
      <c r="L304" s="542">
        <v>222237</v>
      </c>
      <c r="M304" s="542">
        <v>0</v>
      </c>
      <c r="N304" s="542">
        <v>222237</v>
      </c>
      <c r="O304" s="542">
        <v>-821559</v>
      </c>
      <c r="P304" s="542">
        <v>0</v>
      </c>
      <c r="Q304" s="542">
        <v>-821559</v>
      </c>
      <c r="R304" s="542">
        <v>0</v>
      </c>
      <c r="S304" s="542">
        <v>0</v>
      </c>
      <c r="T304" s="542">
        <v>0</v>
      </c>
      <c r="U304" s="542">
        <v>-927000</v>
      </c>
      <c r="V304" s="542">
        <v>0</v>
      </c>
      <c r="W304" s="542">
        <v>-927000</v>
      </c>
      <c r="X304" s="542">
        <v>2115353</v>
      </c>
      <c r="Y304" s="542">
        <v>0</v>
      </c>
      <c r="Z304" s="542">
        <v>2115353</v>
      </c>
      <c r="AA304" s="542">
        <v>-10112202</v>
      </c>
      <c r="AB304" s="542">
        <v>0</v>
      </c>
      <c r="AC304" s="542">
        <v>-10112202</v>
      </c>
      <c r="AD304" s="542">
        <v>55987632</v>
      </c>
      <c r="AE304" s="542">
        <v>0</v>
      </c>
      <c r="AF304" s="542">
        <v>55987632</v>
      </c>
      <c r="AG304" s="542">
        <v>0</v>
      </c>
      <c r="AH304" s="542">
        <v>0</v>
      </c>
      <c r="AI304" s="542">
        <v>0</v>
      </c>
      <c r="AJ304" s="542">
        <v>0</v>
      </c>
      <c r="AK304" s="542">
        <v>0</v>
      </c>
      <c r="AL304" s="542">
        <v>0</v>
      </c>
      <c r="AM304" s="542">
        <v>0</v>
      </c>
      <c r="AN304" s="542">
        <v>0</v>
      </c>
      <c r="AO304" s="542">
        <v>0</v>
      </c>
      <c r="AP304" s="542">
        <v>0</v>
      </c>
      <c r="AQ304" s="542">
        <v>0</v>
      </c>
      <c r="AR304" s="542">
        <v>0</v>
      </c>
      <c r="AS304" s="542">
        <v>0</v>
      </c>
      <c r="AT304" s="542">
        <v>0</v>
      </c>
      <c r="AU304" s="542">
        <v>0</v>
      </c>
      <c r="AV304" s="542">
        <v>3961092</v>
      </c>
      <c r="AW304" s="542">
        <v>-566162</v>
      </c>
      <c r="AX304" s="136"/>
      <c r="AY304" s="136"/>
      <c r="AZ304" s="136"/>
      <c r="BA304" s="136"/>
      <c r="BB304" s="136"/>
      <c r="BC304" s="136"/>
      <c r="BD304" s="136"/>
      <c r="BE304" s="136"/>
      <c r="BF304" s="136"/>
      <c r="BG304" s="136"/>
      <c r="BH304" s="136"/>
      <c r="BI304" s="136"/>
      <c r="BJ304" s="136"/>
      <c r="BK304" s="136"/>
      <c r="BL304" s="136"/>
      <c r="BM304" s="136"/>
      <c r="BN304" s="136"/>
      <c r="BO304" s="136"/>
      <c r="BP304" s="136"/>
      <c r="BQ304" s="136"/>
      <c r="BR304" s="136"/>
      <c r="BS304" s="136"/>
      <c r="BT304" s="136"/>
      <c r="BU304" s="136"/>
      <c r="BV304" s="136"/>
      <c r="BW304" s="136"/>
      <c r="BX304" s="136"/>
      <c r="BY304" s="136"/>
      <c r="BZ304" s="136"/>
      <c r="CA304" s="136"/>
      <c r="CB304" s="136"/>
      <c r="CC304" s="136"/>
      <c r="CD304" s="136"/>
      <c r="CE304" s="136"/>
      <c r="CF304" s="136"/>
      <c r="CG304" s="136"/>
      <c r="CH304" s="136"/>
      <c r="CI304" s="136"/>
      <c r="CJ304" s="136"/>
      <c r="CK304" s="136"/>
      <c r="CL304" s="136"/>
      <c r="CM304" s="136"/>
      <c r="CN304" s="136"/>
      <c r="CO304" s="136"/>
      <c r="CP304" s="136"/>
      <c r="CQ304" s="136"/>
      <c r="CR304" s="136"/>
      <c r="CS304" s="136"/>
      <c r="CT304" s="136"/>
      <c r="CU304" s="136"/>
      <c r="CV304" s="136"/>
      <c r="CW304" s="136"/>
      <c r="CX304" s="136"/>
      <c r="CY304" s="136"/>
      <c r="CZ304" s="136"/>
      <c r="DA304" s="136"/>
      <c r="DB304" s="136"/>
      <c r="DC304" s="136"/>
      <c r="DD304" s="136"/>
      <c r="DE304" s="136"/>
      <c r="DF304" s="136"/>
      <c r="DG304" s="136"/>
      <c r="DH304" s="136"/>
      <c r="DI304" s="136"/>
      <c r="DJ304" s="136"/>
      <c r="DK304" s="136"/>
      <c r="DL304" s="136"/>
      <c r="DM304" s="136"/>
      <c r="DN304" s="136"/>
      <c r="DO304" s="136"/>
      <c r="DP304" s="136"/>
      <c r="DQ304" s="136"/>
      <c r="DR304" s="136"/>
      <c r="DS304" s="136"/>
      <c r="DT304" s="136"/>
      <c r="DU304" s="136"/>
      <c r="DV304" s="136"/>
      <c r="DW304" s="136"/>
      <c r="DX304" s="136"/>
      <c r="DY304" s="136"/>
      <c r="DZ304" s="136"/>
      <c r="EA304" s="136"/>
      <c r="EB304" s="136"/>
      <c r="EC304" s="136"/>
      <c r="ED304" s="136"/>
      <c r="EE304" s="136"/>
      <c r="EF304" s="136"/>
      <c r="EG304" s="136"/>
      <c r="EH304" s="136"/>
      <c r="EI304" s="136"/>
      <c r="EJ304" s="136"/>
      <c r="EK304" s="136"/>
      <c r="EL304" s="136"/>
      <c r="EM304" s="136"/>
      <c r="EN304" s="136"/>
      <c r="EO304" s="136"/>
      <c r="EP304" s="136"/>
      <c r="EQ304" s="136"/>
      <c r="ER304" s="136"/>
      <c r="ES304" s="136"/>
      <c r="ET304" s="136"/>
      <c r="EU304" s="136"/>
      <c r="EV304" s="136"/>
      <c r="EW304" s="136"/>
      <c r="EX304" s="136"/>
      <c r="EY304" s="136"/>
      <c r="EZ304" s="136"/>
      <c r="FA304" s="136"/>
      <c r="FB304" s="136"/>
      <c r="FC304" s="136"/>
      <c r="FD304" s="136"/>
      <c r="FE304" s="137"/>
      <c r="FF304" s="138"/>
    </row>
    <row r="305" spans="1:162" ht="12.75" x14ac:dyDescent="0.2">
      <c r="A305" s="93">
        <v>299</v>
      </c>
      <c r="B305" s="145" t="s">
        <v>476</v>
      </c>
      <c r="C305" s="141" t="s">
        <v>866</v>
      </c>
      <c r="D305" s="142" t="s">
        <v>870</v>
      </c>
      <c r="E305" s="149" t="s">
        <v>475</v>
      </c>
      <c r="F305" s="542">
        <v>26694659</v>
      </c>
      <c r="G305" s="542">
        <v>19487</v>
      </c>
      <c r="H305" s="542">
        <v>26714146</v>
      </c>
      <c r="I305" s="542">
        <v>0</v>
      </c>
      <c r="J305" s="542">
        <v>0</v>
      </c>
      <c r="K305" s="542">
        <v>0</v>
      </c>
      <c r="L305" s="542">
        <v>167946</v>
      </c>
      <c r="M305" s="542">
        <v>0</v>
      </c>
      <c r="N305" s="542">
        <v>167946</v>
      </c>
      <c r="O305" s="542">
        <v>67</v>
      </c>
      <c r="P305" s="542">
        <v>0</v>
      </c>
      <c r="Q305" s="542">
        <v>67</v>
      </c>
      <c r="R305" s="542">
        <v>0</v>
      </c>
      <c r="S305" s="542">
        <v>0</v>
      </c>
      <c r="T305" s="542">
        <v>0</v>
      </c>
      <c r="U305" s="542">
        <v>-84015</v>
      </c>
      <c r="V305" s="542">
        <v>0</v>
      </c>
      <c r="W305" s="542">
        <v>-84015</v>
      </c>
      <c r="X305" s="542">
        <v>51577</v>
      </c>
      <c r="Y305" s="542">
        <v>0</v>
      </c>
      <c r="Z305" s="542">
        <v>51577</v>
      </c>
      <c r="AA305" s="542">
        <v>-877664</v>
      </c>
      <c r="AB305" s="542">
        <v>0</v>
      </c>
      <c r="AC305" s="542">
        <v>-877664</v>
      </c>
      <c r="AD305" s="542">
        <v>25952503</v>
      </c>
      <c r="AE305" s="542">
        <v>19487</v>
      </c>
      <c r="AF305" s="542">
        <v>25971990</v>
      </c>
      <c r="AG305" s="542">
        <v>19487</v>
      </c>
      <c r="AH305" s="542">
        <v>0</v>
      </c>
      <c r="AI305" s="542">
        <v>19487</v>
      </c>
      <c r="AJ305" s="542">
        <v>109423</v>
      </c>
      <c r="AK305" s="542">
        <v>0</v>
      </c>
      <c r="AL305" s="542">
        <v>0</v>
      </c>
      <c r="AM305" s="542">
        <v>109423</v>
      </c>
      <c r="AN305" s="542">
        <v>0</v>
      </c>
      <c r="AO305" s="542">
        <v>0</v>
      </c>
      <c r="AP305" s="542">
        <v>0</v>
      </c>
      <c r="AQ305" s="542">
        <v>0</v>
      </c>
      <c r="AR305" s="542">
        <v>0</v>
      </c>
      <c r="AS305" s="542">
        <v>19487</v>
      </c>
      <c r="AT305" s="542">
        <v>0</v>
      </c>
      <c r="AU305" s="542">
        <v>19487</v>
      </c>
      <c r="AV305" s="542">
        <v>1350822</v>
      </c>
      <c r="AW305" s="542">
        <v>-453911</v>
      </c>
      <c r="AX305" s="136"/>
      <c r="AY305" s="136"/>
      <c r="AZ305" s="136"/>
      <c r="BA305" s="136"/>
      <c r="BB305" s="136"/>
      <c r="BC305" s="136"/>
      <c r="BD305" s="136"/>
      <c r="BE305" s="136"/>
      <c r="BF305" s="136"/>
      <c r="BG305" s="136"/>
      <c r="BH305" s="136"/>
      <c r="BI305" s="136"/>
      <c r="BJ305" s="136"/>
      <c r="BK305" s="136"/>
      <c r="BL305" s="136"/>
      <c r="BM305" s="136"/>
      <c r="BN305" s="136"/>
      <c r="BO305" s="136"/>
      <c r="BP305" s="136"/>
      <c r="BQ305" s="136"/>
      <c r="BR305" s="136"/>
      <c r="BS305" s="136"/>
      <c r="BT305" s="136"/>
      <c r="BU305" s="136"/>
      <c r="BV305" s="136"/>
      <c r="BW305" s="136"/>
      <c r="BX305" s="136"/>
      <c r="BY305" s="136"/>
      <c r="BZ305" s="136"/>
      <c r="CA305" s="136"/>
      <c r="CB305" s="136"/>
      <c r="CC305" s="136"/>
      <c r="CD305" s="136"/>
      <c r="CE305" s="136"/>
      <c r="CF305" s="136"/>
      <c r="CG305" s="136"/>
      <c r="CH305" s="136"/>
      <c r="CI305" s="136"/>
      <c r="CJ305" s="136"/>
      <c r="CK305" s="136"/>
      <c r="CL305" s="136"/>
      <c r="CM305" s="136"/>
      <c r="CN305" s="136"/>
      <c r="CO305" s="136"/>
      <c r="CP305" s="136"/>
      <c r="CQ305" s="136"/>
      <c r="CR305" s="136"/>
      <c r="CS305" s="136"/>
      <c r="CT305" s="136"/>
      <c r="CU305" s="136"/>
      <c r="CV305" s="136"/>
      <c r="CW305" s="136"/>
      <c r="CX305" s="136"/>
      <c r="CY305" s="136"/>
      <c r="CZ305" s="136"/>
      <c r="DA305" s="136"/>
      <c r="DB305" s="136"/>
      <c r="DC305" s="136"/>
      <c r="DD305" s="136"/>
      <c r="DE305" s="136"/>
      <c r="DF305" s="136"/>
      <c r="DG305" s="136"/>
      <c r="DH305" s="136"/>
      <c r="DI305" s="136"/>
      <c r="DJ305" s="136"/>
      <c r="DK305" s="136"/>
      <c r="DL305" s="136"/>
      <c r="DM305" s="136"/>
      <c r="DN305" s="136"/>
      <c r="DO305" s="136"/>
      <c r="DP305" s="136"/>
      <c r="DQ305" s="136"/>
      <c r="DR305" s="136"/>
      <c r="DS305" s="136"/>
      <c r="DT305" s="136"/>
      <c r="DU305" s="136"/>
      <c r="DV305" s="136"/>
      <c r="DW305" s="136"/>
      <c r="DX305" s="136"/>
      <c r="DY305" s="136"/>
      <c r="DZ305" s="136"/>
      <c r="EA305" s="136"/>
      <c r="EB305" s="136"/>
      <c r="EC305" s="136"/>
      <c r="ED305" s="136"/>
      <c r="EE305" s="136"/>
      <c r="EF305" s="136"/>
      <c r="EG305" s="136"/>
      <c r="EH305" s="136"/>
      <c r="EI305" s="136"/>
      <c r="EJ305" s="136"/>
      <c r="EK305" s="136"/>
      <c r="EL305" s="136"/>
      <c r="EM305" s="136"/>
      <c r="EN305" s="136"/>
      <c r="EO305" s="136"/>
      <c r="EP305" s="136"/>
      <c r="EQ305" s="136"/>
      <c r="ER305" s="136"/>
      <c r="ES305" s="136"/>
      <c r="ET305" s="136"/>
      <c r="EU305" s="136"/>
      <c r="EV305" s="136"/>
      <c r="EW305" s="136"/>
      <c r="EX305" s="136"/>
      <c r="EY305" s="136"/>
      <c r="EZ305" s="136"/>
      <c r="FA305" s="136"/>
      <c r="FB305" s="136"/>
      <c r="FC305" s="136"/>
      <c r="FD305" s="136"/>
      <c r="FE305" s="137"/>
      <c r="FF305" s="138"/>
    </row>
    <row r="306" spans="1:162" ht="12.75" x14ac:dyDescent="0.2">
      <c r="A306" s="93">
        <v>300</v>
      </c>
      <c r="B306" s="145" t="s">
        <v>478</v>
      </c>
      <c r="C306" s="141" t="s">
        <v>866</v>
      </c>
      <c r="D306" s="142" t="s">
        <v>867</v>
      </c>
      <c r="E306" s="149" t="s">
        <v>477</v>
      </c>
      <c r="F306" s="542">
        <v>36095250</v>
      </c>
      <c r="G306" s="542">
        <v>0</v>
      </c>
      <c r="H306" s="542">
        <v>36095250</v>
      </c>
      <c r="I306" s="542">
        <v>-209</v>
      </c>
      <c r="J306" s="542">
        <v>0</v>
      </c>
      <c r="K306" s="542">
        <v>-209</v>
      </c>
      <c r="L306" s="542">
        <v>176377</v>
      </c>
      <c r="M306" s="542">
        <v>0</v>
      </c>
      <c r="N306" s="542">
        <v>176377</v>
      </c>
      <c r="O306" s="542">
        <v>-115973</v>
      </c>
      <c r="P306" s="542">
        <v>0</v>
      </c>
      <c r="Q306" s="542">
        <v>-115973</v>
      </c>
      <c r="R306" s="542">
        <v>0</v>
      </c>
      <c r="S306" s="542">
        <v>0</v>
      </c>
      <c r="T306" s="542">
        <v>0</v>
      </c>
      <c r="U306" s="542">
        <v>-171600</v>
      </c>
      <c r="V306" s="542">
        <v>0</v>
      </c>
      <c r="W306" s="542">
        <v>-171600</v>
      </c>
      <c r="X306" s="542">
        <v>322987</v>
      </c>
      <c r="Y306" s="542">
        <v>0</v>
      </c>
      <c r="Z306" s="542">
        <v>322987</v>
      </c>
      <c r="AA306" s="542">
        <v>-852027</v>
      </c>
      <c r="AB306" s="542">
        <v>0</v>
      </c>
      <c r="AC306" s="542">
        <v>-852027</v>
      </c>
      <c r="AD306" s="542">
        <v>35570778</v>
      </c>
      <c r="AE306" s="542">
        <v>0</v>
      </c>
      <c r="AF306" s="542">
        <v>35570778</v>
      </c>
      <c r="AG306" s="542">
        <v>0</v>
      </c>
      <c r="AH306" s="542">
        <v>0</v>
      </c>
      <c r="AI306" s="542">
        <v>0</v>
      </c>
      <c r="AJ306" s="542">
        <v>0</v>
      </c>
      <c r="AK306" s="542">
        <v>0</v>
      </c>
      <c r="AL306" s="542">
        <v>0</v>
      </c>
      <c r="AM306" s="542">
        <v>0</v>
      </c>
      <c r="AN306" s="542">
        <v>0</v>
      </c>
      <c r="AO306" s="542">
        <v>0</v>
      </c>
      <c r="AP306" s="542">
        <v>0</v>
      </c>
      <c r="AQ306" s="542">
        <v>0</v>
      </c>
      <c r="AR306" s="542">
        <v>0</v>
      </c>
      <c r="AS306" s="542">
        <v>0</v>
      </c>
      <c r="AT306" s="542">
        <v>0</v>
      </c>
      <c r="AU306" s="542">
        <v>0</v>
      </c>
      <c r="AV306" s="542">
        <v>2013095</v>
      </c>
      <c r="AW306" s="542">
        <v>-585429</v>
      </c>
      <c r="AX306" s="136"/>
      <c r="AY306" s="136"/>
      <c r="AZ306" s="136"/>
      <c r="BA306" s="136"/>
      <c r="BB306" s="136"/>
      <c r="BC306" s="136"/>
      <c r="BD306" s="136"/>
      <c r="BE306" s="136"/>
      <c r="BF306" s="136"/>
      <c r="BG306" s="136"/>
      <c r="BH306" s="136"/>
      <c r="BI306" s="136"/>
      <c r="BJ306" s="136"/>
      <c r="BK306" s="136"/>
      <c r="BL306" s="136"/>
      <c r="BM306" s="136"/>
      <c r="BN306" s="136"/>
      <c r="BO306" s="136"/>
      <c r="BP306" s="136"/>
      <c r="BQ306" s="136"/>
      <c r="BR306" s="136"/>
      <c r="BS306" s="136"/>
      <c r="BT306" s="136"/>
      <c r="BU306" s="136"/>
      <c r="BV306" s="136"/>
      <c r="BW306" s="136"/>
      <c r="BX306" s="136"/>
      <c r="BY306" s="136"/>
      <c r="BZ306" s="136"/>
      <c r="CA306" s="136"/>
      <c r="CB306" s="136"/>
      <c r="CC306" s="136"/>
      <c r="CD306" s="136"/>
      <c r="CE306" s="136"/>
      <c r="CF306" s="136"/>
      <c r="CG306" s="136"/>
      <c r="CH306" s="136"/>
      <c r="CI306" s="136"/>
      <c r="CJ306" s="136"/>
      <c r="CK306" s="136"/>
      <c r="CL306" s="136"/>
      <c r="CM306" s="136"/>
      <c r="CN306" s="136"/>
      <c r="CO306" s="136"/>
      <c r="CP306" s="136"/>
      <c r="CQ306" s="136"/>
      <c r="CR306" s="136"/>
      <c r="CS306" s="136"/>
      <c r="CT306" s="136"/>
      <c r="CU306" s="136"/>
      <c r="CV306" s="136"/>
      <c r="CW306" s="136"/>
      <c r="CX306" s="136"/>
      <c r="CY306" s="136"/>
      <c r="CZ306" s="136"/>
      <c r="DA306" s="136"/>
      <c r="DB306" s="136"/>
      <c r="DC306" s="136"/>
      <c r="DD306" s="136"/>
      <c r="DE306" s="136"/>
      <c r="DF306" s="136"/>
      <c r="DG306" s="136"/>
      <c r="DH306" s="136"/>
      <c r="DI306" s="136"/>
      <c r="DJ306" s="136"/>
      <c r="DK306" s="136"/>
      <c r="DL306" s="136"/>
      <c r="DM306" s="136"/>
      <c r="DN306" s="136"/>
      <c r="DO306" s="136"/>
      <c r="DP306" s="136"/>
      <c r="DQ306" s="136"/>
      <c r="DR306" s="136"/>
      <c r="DS306" s="136"/>
      <c r="DT306" s="136"/>
      <c r="DU306" s="136"/>
      <c r="DV306" s="136"/>
      <c r="DW306" s="136"/>
      <c r="DX306" s="136"/>
      <c r="DY306" s="136"/>
      <c r="DZ306" s="136"/>
      <c r="EA306" s="136"/>
      <c r="EB306" s="136"/>
      <c r="EC306" s="136"/>
      <c r="ED306" s="136"/>
      <c r="EE306" s="136"/>
      <c r="EF306" s="136"/>
      <c r="EG306" s="136"/>
      <c r="EH306" s="136"/>
      <c r="EI306" s="136"/>
      <c r="EJ306" s="136"/>
      <c r="EK306" s="136"/>
      <c r="EL306" s="136"/>
      <c r="EM306" s="136"/>
      <c r="EN306" s="136"/>
      <c r="EO306" s="136"/>
      <c r="EP306" s="136"/>
      <c r="EQ306" s="136"/>
      <c r="ER306" s="136"/>
      <c r="ES306" s="136"/>
      <c r="ET306" s="136"/>
      <c r="EU306" s="136"/>
      <c r="EV306" s="136"/>
      <c r="EW306" s="136"/>
      <c r="EX306" s="136"/>
      <c r="EY306" s="136"/>
      <c r="EZ306" s="136"/>
      <c r="FA306" s="136"/>
      <c r="FB306" s="136"/>
      <c r="FC306" s="136"/>
      <c r="FD306" s="136"/>
      <c r="FE306" s="137"/>
      <c r="FF306" s="138"/>
    </row>
    <row r="307" spans="1:162" ht="12.75" x14ac:dyDescent="0.2">
      <c r="A307" s="93">
        <v>301</v>
      </c>
      <c r="B307" s="145" t="s">
        <v>480</v>
      </c>
      <c r="C307" s="141" t="s">
        <v>866</v>
      </c>
      <c r="D307" s="142" t="s">
        <v>867</v>
      </c>
      <c r="E307" s="149" t="s">
        <v>479</v>
      </c>
      <c r="F307" s="542">
        <v>29273660</v>
      </c>
      <c r="G307" s="542">
        <v>0</v>
      </c>
      <c r="H307" s="542">
        <v>29273660</v>
      </c>
      <c r="I307" s="542">
        <v>0</v>
      </c>
      <c r="J307" s="542">
        <v>0</v>
      </c>
      <c r="K307" s="542">
        <v>0</v>
      </c>
      <c r="L307" s="542">
        <v>136439</v>
      </c>
      <c r="M307" s="542">
        <v>0</v>
      </c>
      <c r="N307" s="542">
        <v>136439</v>
      </c>
      <c r="O307" s="542">
        <v>-169392</v>
      </c>
      <c r="P307" s="542">
        <v>0</v>
      </c>
      <c r="Q307" s="542">
        <v>-169392</v>
      </c>
      <c r="R307" s="542">
        <v>0</v>
      </c>
      <c r="S307" s="542">
        <v>0</v>
      </c>
      <c r="T307" s="542">
        <v>0</v>
      </c>
      <c r="U307" s="542">
        <v>-368719</v>
      </c>
      <c r="V307" s="542">
        <v>0</v>
      </c>
      <c r="W307" s="542">
        <v>-368719</v>
      </c>
      <c r="X307" s="542">
        <v>269359</v>
      </c>
      <c r="Y307" s="542">
        <v>0</v>
      </c>
      <c r="Z307" s="542">
        <v>269359</v>
      </c>
      <c r="AA307" s="542">
        <v>-226304</v>
      </c>
      <c r="AB307" s="542">
        <v>0</v>
      </c>
      <c r="AC307" s="542">
        <v>-226304</v>
      </c>
      <c r="AD307" s="542">
        <v>29084435</v>
      </c>
      <c r="AE307" s="542">
        <v>0</v>
      </c>
      <c r="AF307" s="542">
        <v>29084435</v>
      </c>
      <c r="AG307" s="542">
        <v>0</v>
      </c>
      <c r="AH307" s="542">
        <v>0</v>
      </c>
      <c r="AI307" s="542">
        <v>0</v>
      </c>
      <c r="AJ307" s="542">
        <v>0</v>
      </c>
      <c r="AK307" s="542">
        <v>0</v>
      </c>
      <c r="AL307" s="542">
        <v>0</v>
      </c>
      <c r="AM307" s="542">
        <v>0</v>
      </c>
      <c r="AN307" s="542">
        <v>0</v>
      </c>
      <c r="AO307" s="542">
        <v>0</v>
      </c>
      <c r="AP307" s="542">
        <v>0</v>
      </c>
      <c r="AQ307" s="542">
        <v>0</v>
      </c>
      <c r="AR307" s="542">
        <v>0</v>
      </c>
      <c r="AS307" s="542">
        <v>0</v>
      </c>
      <c r="AT307" s="542">
        <v>0</v>
      </c>
      <c r="AU307" s="542">
        <v>0</v>
      </c>
      <c r="AV307" s="542">
        <v>1590790</v>
      </c>
      <c r="AW307" s="542">
        <v>-272572</v>
      </c>
      <c r="AX307" s="136"/>
      <c r="AY307" s="136"/>
      <c r="AZ307" s="136"/>
      <c r="BA307" s="136"/>
      <c r="BB307" s="136"/>
      <c r="BC307" s="136"/>
      <c r="BD307" s="136"/>
      <c r="BE307" s="136"/>
      <c r="BF307" s="136"/>
      <c r="BG307" s="136"/>
      <c r="BH307" s="136"/>
      <c r="BI307" s="136"/>
      <c r="BJ307" s="136"/>
      <c r="BK307" s="136"/>
      <c r="BL307" s="136"/>
      <c r="BM307" s="136"/>
      <c r="BN307" s="136"/>
      <c r="BO307" s="136"/>
      <c r="BP307" s="136"/>
      <c r="BQ307" s="136"/>
      <c r="BR307" s="136"/>
      <c r="BS307" s="136"/>
      <c r="BT307" s="136"/>
      <c r="BU307" s="136"/>
      <c r="BV307" s="136"/>
      <c r="BW307" s="136"/>
      <c r="BX307" s="136"/>
      <c r="BY307" s="136"/>
      <c r="BZ307" s="136"/>
      <c r="CA307" s="136"/>
      <c r="CB307" s="136"/>
      <c r="CC307" s="136"/>
      <c r="CD307" s="136"/>
      <c r="CE307" s="136"/>
      <c r="CF307" s="136"/>
      <c r="CG307" s="136"/>
      <c r="CH307" s="136"/>
      <c r="CI307" s="136"/>
      <c r="CJ307" s="136"/>
      <c r="CK307" s="136"/>
      <c r="CL307" s="136"/>
      <c r="CM307" s="136"/>
      <c r="CN307" s="136"/>
      <c r="CO307" s="136"/>
      <c r="CP307" s="136"/>
      <c r="CQ307" s="136"/>
      <c r="CR307" s="136"/>
      <c r="CS307" s="136"/>
      <c r="CT307" s="136"/>
      <c r="CU307" s="136"/>
      <c r="CV307" s="136"/>
      <c r="CW307" s="136"/>
      <c r="CX307" s="136"/>
      <c r="CY307" s="136"/>
      <c r="CZ307" s="136"/>
      <c r="DA307" s="136"/>
      <c r="DB307" s="136"/>
      <c r="DC307" s="136"/>
      <c r="DD307" s="136"/>
      <c r="DE307" s="136"/>
      <c r="DF307" s="136"/>
      <c r="DG307" s="136"/>
      <c r="DH307" s="136"/>
      <c r="DI307" s="136"/>
      <c r="DJ307" s="136"/>
      <c r="DK307" s="136"/>
      <c r="DL307" s="136"/>
      <c r="DM307" s="136"/>
      <c r="DN307" s="136"/>
      <c r="DO307" s="136"/>
      <c r="DP307" s="136"/>
      <c r="DQ307" s="136"/>
      <c r="DR307" s="136"/>
      <c r="DS307" s="136"/>
      <c r="DT307" s="136"/>
      <c r="DU307" s="136"/>
      <c r="DV307" s="136"/>
      <c r="DW307" s="136"/>
      <c r="DX307" s="136"/>
      <c r="DY307" s="136"/>
      <c r="DZ307" s="136"/>
      <c r="EA307" s="136"/>
      <c r="EB307" s="136"/>
      <c r="EC307" s="136"/>
      <c r="ED307" s="136"/>
      <c r="EE307" s="136"/>
      <c r="EF307" s="136"/>
      <c r="EG307" s="136"/>
      <c r="EH307" s="136"/>
      <c r="EI307" s="136"/>
      <c r="EJ307" s="136"/>
      <c r="EK307" s="136"/>
      <c r="EL307" s="136"/>
      <c r="EM307" s="136"/>
      <c r="EN307" s="136"/>
      <c r="EO307" s="136"/>
      <c r="EP307" s="136"/>
      <c r="EQ307" s="136"/>
      <c r="ER307" s="136"/>
      <c r="ES307" s="136"/>
      <c r="ET307" s="136"/>
      <c r="EU307" s="136"/>
      <c r="EV307" s="136"/>
      <c r="EW307" s="136"/>
      <c r="EX307" s="136"/>
      <c r="EY307" s="136"/>
      <c r="EZ307" s="136"/>
      <c r="FA307" s="136"/>
      <c r="FB307" s="136"/>
      <c r="FC307" s="136"/>
      <c r="FD307" s="136"/>
      <c r="FE307" s="137"/>
      <c r="FF307" s="138"/>
    </row>
    <row r="308" spans="1:162" ht="12.75" x14ac:dyDescent="0.2">
      <c r="A308" s="93">
        <v>302</v>
      </c>
      <c r="B308" s="145" t="s">
        <v>482</v>
      </c>
      <c r="C308" s="141" t="s">
        <v>866</v>
      </c>
      <c r="D308" s="142" t="s">
        <v>869</v>
      </c>
      <c r="E308" s="149" t="s">
        <v>481</v>
      </c>
      <c r="F308" s="542">
        <v>29184878</v>
      </c>
      <c r="G308" s="542">
        <v>0</v>
      </c>
      <c r="H308" s="542">
        <v>29184878</v>
      </c>
      <c r="I308" s="542">
        <v>-916</v>
      </c>
      <c r="J308" s="542">
        <v>0</v>
      </c>
      <c r="K308" s="542">
        <v>-916</v>
      </c>
      <c r="L308" s="542">
        <v>51693</v>
      </c>
      <c r="M308" s="542">
        <v>0</v>
      </c>
      <c r="N308" s="542">
        <v>51693</v>
      </c>
      <c r="O308" s="542">
        <v>-131789</v>
      </c>
      <c r="P308" s="542">
        <v>0</v>
      </c>
      <c r="Q308" s="542">
        <v>-131789</v>
      </c>
      <c r="R308" s="542">
        <v>0</v>
      </c>
      <c r="S308" s="542">
        <v>0</v>
      </c>
      <c r="T308" s="542">
        <v>0</v>
      </c>
      <c r="U308" s="542">
        <v>-96689</v>
      </c>
      <c r="V308" s="542">
        <v>0</v>
      </c>
      <c r="W308" s="542">
        <v>-96689</v>
      </c>
      <c r="X308" s="542">
        <v>299545</v>
      </c>
      <c r="Y308" s="542">
        <v>0</v>
      </c>
      <c r="Z308" s="542">
        <v>299545</v>
      </c>
      <c r="AA308" s="542">
        <v>-1846892</v>
      </c>
      <c r="AB308" s="542">
        <v>0</v>
      </c>
      <c r="AC308" s="542">
        <v>-1846892</v>
      </c>
      <c r="AD308" s="542">
        <v>27591619</v>
      </c>
      <c r="AE308" s="542">
        <v>0</v>
      </c>
      <c r="AF308" s="542">
        <v>27591619</v>
      </c>
      <c r="AG308" s="542">
        <v>0</v>
      </c>
      <c r="AH308" s="542">
        <v>0</v>
      </c>
      <c r="AI308" s="542">
        <v>0</v>
      </c>
      <c r="AJ308" s="542">
        <v>32952</v>
      </c>
      <c r="AK308" s="542">
        <v>0</v>
      </c>
      <c r="AL308" s="542">
        <v>0</v>
      </c>
      <c r="AM308" s="542">
        <v>32952</v>
      </c>
      <c r="AN308" s="542">
        <v>0</v>
      </c>
      <c r="AO308" s="542">
        <v>0</v>
      </c>
      <c r="AP308" s="542">
        <v>0</v>
      </c>
      <c r="AQ308" s="542">
        <v>0</v>
      </c>
      <c r="AR308" s="542">
        <v>0</v>
      </c>
      <c r="AS308" s="542">
        <v>0</v>
      </c>
      <c r="AT308" s="542">
        <v>0</v>
      </c>
      <c r="AU308" s="542">
        <v>0</v>
      </c>
      <c r="AV308" s="542">
        <v>536053</v>
      </c>
      <c r="AW308" s="542">
        <v>-126585</v>
      </c>
      <c r="AX308" s="136"/>
      <c r="AY308" s="136"/>
      <c r="AZ308" s="136"/>
      <c r="BA308" s="136"/>
      <c r="BB308" s="136"/>
      <c r="BC308" s="136"/>
      <c r="BD308" s="136"/>
      <c r="BE308" s="136"/>
      <c r="BF308" s="136"/>
      <c r="BG308" s="136"/>
      <c r="BH308" s="136"/>
      <c r="BI308" s="136"/>
      <c r="BJ308" s="136"/>
      <c r="BK308" s="136"/>
      <c r="BL308" s="136"/>
      <c r="BM308" s="136"/>
      <c r="BN308" s="136"/>
      <c r="BO308" s="136"/>
      <c r="BP308" s="136"/>
      <c r="BQ308" s="136"/>
      <c r="BR308" s="136"/>
      <c r="BS308" s="136"/>
      <c r="BT308" s="136"/>
      <c r="BU308" s="136"/>
      <c r="BV308" s="136"/>
      <c r="BW308" s="136"/>
      <c r="BX308" s="136"/>
      <c r="BY308" s="136"/>
      <c r="BZ308" s="136"/>
      <c r="CA308" s="136"/>
      <c r="CB308" s="136"/>
      <c r="CC308" s="136"/>
      <c r="CD308" s="136"/>
      <c r="CE308" s="136"/>
      <c r="CF308" s="136"/>
      <c r="CG308" s="136"/>
      <c r="CH308" s="136"/>
      <c r="CI308" s="136"/>
      <c r="CJ308" s="136"/>
      <c r="CK308" s="136"/>
      <c r="CL308" s="136"/>
      <c r="CM308" s="136"/>
      <c r="CN308" s="136"/>
      <c r="CO308" s="136"/>
      <c r="CP308" s="136"/>
      <c r="CQ308" s="136"/>
      <c r="CR308" s="136"/>
      <c r="CS308" s="136"/>
      <c r="CT308" s="136"/>
      <c r="CU308" s="136"/>
      <c r="CV308" s="136"/>
      <c r="CW308" s="136"/>
      <c r="CX308" s="136"/>
      <c r="CY308" s="136"/>
      <c r="CZ308" s="136"/>
      <c r="DA308" s="136"/>
      <c r="DB308" s="136"/>
      <c r="DC308" s="136"/>
      <c r="DD308" s="136"/>
      <c r="DE308" s="136"/>
      <c r="DF308" s="136"/>
      <c r="DG308" s="136"/>
      <c r="DH308" s="136"/>
      <c r="DI308" s="136"/>
      <c r="DJ308" s="136"/>
      <c r="DK308" s="136"/>
      <c r="DL308" s="136"/>
      <c r="DM308" s="136"/>
      <c r="DN308" s="136"/>
      <c r="DO308" s="136"/>
      <c r="DP308" s="136"/>
      <c r="DQ308" s="136"/>
      <c r="DR308" s="136"/>
      <c r="DS308" s="136"/>
      <c r="DT308" s="136"/>
      <c r="DU308" s="136"/>
      <c r="DV308" s="136"/>
      <c r="DW308" s="136"/>
      <c r="DX308" s="136"/>
      <c r="DY308" s="136"/>
      <c r="DZ308" s="136"/>
      <c r="EA308" s="136"/>
      <c r="EB308" s="136"/>
      <c r="EC308" s="136"/>
      <c r="ED308" s="136"/>
      <c r="EE308" s="136"/>
      <c r="EF308" s="136"/>
      <c r="EG308" s="136"/>
      <c r="EH308" s="136"/>
      <c r="EI308" s="136"/>
      <c r="EJ308" s="136"/>
      <c r="EK308" s="136"/>
      <c r="EL308" s="136"/>
      <c r="EM308" s="136"/>
      <c r="EN308" s="136"/>
      <c r="EO308" s="136"/>
      <c r="EP308" s="136"/>
      <c r="EQ308" s="136"/>
      <c r="ER308" s="136"/>
      <c r="ES308" s="136"/>
      <c r="ET308" s="136"/>
      <c r="EU308" s="136"/>
      <c r="EV308" s="136"/>
      <c r="EW308" s="136"/>
      <c r="EX308" s="136"/>
      <c r="EY308" s="136"/>
      <c r="EZ308" s="136"/>
      <c r="FA308" s="136"/>
      <c r="FB308" s="136"/>
      <c r="FC308" s="136"/>
      <c r="FD308" s="136"/>
      <c r="FE308" s="137"/>
      <c r="FF308" s="138"/>
    </row>
    <row r="309" spans="1:162" ht="12.75" x14ac:dyDescent="0.2">
      <c r="A309" s="93">
        <v>303</v>
      </c>
      <c r="B309" s="145" t="s">
        <v>484</v>
      </c>
      <c r="C309" s="141" t="s">
        <v>866</v>
      </c>
      <c r="D309" s="142" t="s">
        <v>870</v>
      </c>
      <c r="E309" s="149" t="s">
        <v>483</v>
      </c>
      <c r="F309" s="542">
        <v>59222362</v>
      </c>
      <c r="G309" s="542">
        <v>0</v>
      </c>
      <c r="H309" s="542">
        <v>59222362</v>
      </c>
      <c r="I309" s="542">
        <v>0</v>
      </c>
      <c r="J309" s="542">
        <v>0</v>
      </c>
      <c r="K309" s="542">
        <v>0</v>
      </c>
      <c r="L309" s="542">
        <v>291672</v>
      </c>
      <c r="M309" s="542">
        <v>0</v>
      </c>
      <c r="N309" s="542">
        <v>291672</v>
      </c>
      <c r="O309" s="542">
        <v>-174019</v>
      </c>
      <c r="P309" s="542">
        <v>0</v>
      </c>
      <c r="Q309" s="542">
        <v>-174019</v>
      </c>
      <c r="R309" s="542">
        <v>-6076</v>
      </c>
      <c r="S309" s="542">
        <v>0</v>
      </c>
      <c r="T309" s="542">
        <v>-6076</v>
      </c>
      <c r="U309" s="542">
        <v>-150156</v>
      </c>
      <c r="V309" s="542">
        <v>0</v>
      </c>
      <c r="W309" s="542">
        <v>-150156</v>
      </c>
      <c r="X309" s="542">
        <v>1287897</v>
      </c>
      <c r="Y309" s="542">
        <v>0</v>
      </c>
      <c r="Z309" s="542">
        <v>1287897</v>
      </c>
      <c r="AA309" s="542">
        <v>-2709766</v>
      </c>
      <c r="AB309" s="542">
        <v>0</v>
      </c>
      <c r="AC309" s="542">
        <v>-2709766</v>
      </c>
      <c r="AD309" s="542">
        <v>57935933</v>
      </c>
      <c r="AE309" s="542">
        <v>0</v>
      </c>
      <c r="AF309" s="542">
        <v>57935933</v>
      </c>
      <c r="AG309" s="542">
        <v>0</v>
      </c>
      <c r="AH309" s="542">
        <v>0</v>
      </c>
      <c r="AI309" s="542">
        <v>0</v>
      </c>
      <c r="AJ309" s="542">
        <v>0</v>
      </c>
      <c r="AK309" s="542">
        <v>0</v>
      </c>
      <c r="AL309" s="542">
        <v>0</v>
      </c>
      <c r="AM309" s="542">
        <v>0</v>
      </c>
      <c r="AN309" s="542">
        <v>0</v>
      </c>
      <c r="AO309" s="542">
        <v>0</v>
      </c>
      <c r="AP309" s="542">
        <v>0</v>
      </c>
      <c r="AQ309" s="542">
        <v>0</v>
      </c>
      <c r="AR309" s="542">
        <v>0</v>
      </c>
      <c r="AS309" s="542">
        <v>0</v>
      </c>
      <c r="AT309" s="542">
        <v>0</v>
      </c>
      <c r="AU309" s="542">
        <v>0</v>
      </c>
      <c r="AV309" s="542">
        <v>634663</v>
      </c>
      <c r="AW309" s="542">
        <v>-65925</v>
      </c>
      <c r="AX309" s="136"/>
      <c r="AY309" s="136"/>
      <c r="AZ309" s="136"/>
      <c r="BA309" s="136"/>
      <c r="BB309" s="136"/>
      <c r="BC309" s="136"/>
      <c r="BD309" s="136"/>
      <c r="BE309" s="136"/>
      <c r="BF309" s="136"/>
      <c r="BG309" s="136"/>
      <c r="BH309" s="136"/>
      <c r="BI309" s="136"/>
      <c r="BJ309" s="136"/>
      <c r="BK309" s="136"/>
      <c r="BL309" s="136"/>
      <c r="BM309" s="136"/>
      <c r="BN309" s="136"/>
      <c r="BO309" s="136"/>
      <c r="BP309" s="136"/>
      <c r="BQ309" s="136"/>
      <c r="BR309" s="136"/>
      <c r="BS309" s="136"/>
      <c r="BT309" s="136"/>
      <c r="BU309" s="136"/>
      <c r="BV309" s="136"/>
      <c r="BW309" s="136"/>
      <c r="BX309" s="136"/>
      <c r="BY309" s="136"/>
      <c r="BZ309" s="136"/>
      <c r="CA309" s="136"/>
      <c r="CB309" s="136"/>
      <c r="CC309" s="136"/>
      <c r="CD309" s="136"/>
      <c r="CE309" s="136"/>
      <c r="CF309" s="136"/>
      <c r="CG309" s="136"/>
      <c r="CH309" s="136"/>
      <c r="CI309" s="136"/>
      <c r="CJ309" s="136"/>
      <c r="CK309" s="136"/>
      <c r="CL309" s="136"/>
      <c r="CM309" s="136"/>
      <c r="CN309" s="136"/>
      <c r="CO309" s="136"/>
      <c r="CP309" s="136"/>
      <c r="CQ309" s="136"/>
      <c r="CR309" s="136"/>
      <c r="CS309" s="136"/>
      <c r="CT309" s="136"/>
      <c r="CU309" s="136"/>
      <c r="CV309" s="136"/>
      <c r="CW309" s="136"/>
      <c r="CX309" s="136"/>
      <c r="CY309" s="136"/>
      <c r="CZ309" s="136"/>
      <c r="DA309" s="136"/>
      <c r="DB309" s="136"/>
      <c r="DC309" s="136"/>
      <c r="DD309" s="136"/>
      <c r="DE309" s="136"/>
      <c r="DF309" s="136"/>
      <c r="DG309" s="136"/>
      <c r="DH309" s="136"/>
      <c r="DI309" s="136"/>
      <c r="DJ309" s="136"/>
      <c r="DK309" s="136"/>
      <c r="DL309" s="136"/>
      <c r="DM309" s="136"/>
      <c r="DN309" s="136"/>
      <c r="DO309" s="136"/>
      <c r="DP309" s="136"/>
      <c r="DQ309" s="136"/>
      <c r="DR309" s="136"/>
      <c r="DS309" s="136"/>
      <c r="DT309" s="136"/>
      <c r="DU309" s="136"/>
      <c r="DV309" s="136"/>
      <c r="DW309" s="136"/>
      <c r="DX309" s="136"/>
      <c r="DY309" s="136"/>
      <c r="DZ309" s="136"/>
      <c r="EA309" s="136"/>
      <c r="EB309" s="136"/>
      <c r="EC309" s="136"/>
      <c r="ED309" s="136"/>
      <c r="EE309" s="136"/>
      <c r="EF309" s="136"/>
      <c r="EG309" s="136"/>
      <c r="EH309" s="136"/>
      <c r="EI309" s="136"/>
      <c r="EJ309" s="136"/>
      <c r="EK309" s="136"/>
      <c r="EL309" s="136"/>
      <c r="EM309" s="136"/>
      <c r="EN309" s="136"/>
      <c r="EO309" s="136"/>
      <c r="EP309" s="136"/>
      <c r="EQ309" s="136"/>
      <c r="ER309" s="136"/>
      <c r="ES309" s="136"/>
      <c r="ET309" s="136"/>
      <c r="EU309" s="136"/>
      <c r="EV309" s="136"/>
      <c r="EW309" s="136"/>
      <c r="EX309" s="136"/>
      <c r="EY309" s="136"/>
      <c r="EZ309" s="136"/>
      <c r="FA309" s="136"/>
      <c r="FB309" s="136"/>
      <c r="FC309" s="136"/>
      <c r="FD309" s="136"/>
      <c r="FE309" s="137"/>
      <c r="FF309" s="138"/>
    </row>
    <row r="310" spans="1:162" ht="12.75" x14ac:dyDescent="0.2">
      <c r="A310" s="93">
        <v>304</v>
      </c>
      <c r="B310" s="145" t="s">
        <v>486</v>
      </c>
      <c r="C310" s="141" t="s">
        <v>770</v>
      </c>
      <c r="D310" s="142" t="s">
        <v>867</v>
      </c>
      <c r="E310" s="149" t="s">
        <v>735</v>
      </c>
      <c r="F310" s="542">
        <v>82604222</v>
      </c>
      <c r="G310" s="542">
        <v>0</v>
      </c>
      <c r="H310" s="542">
        <v>82604222</v>
      </c>
      <c r="I310" s="542">
        <v>0</v>
      </c>
      <c r="J310" s="542">
        <v>0</v>
      </c>
      <c r="K310" s="542">
        <v>0</v>
      </c>
      <c r="L310" s="542">
        <v>318793</v>
      </c>
      <c r="M310" s="542">
        <v>0</v>
      </c>
      <c r="N310" s="542">
        <v>318793</v>
      </c>
      <c r="O310" s="542">
        <v>-236296</v>
      </c>
      <c r="P310" s="542">
        <v>0</v>
      </c>
      <c r="Q310" s="542">
        <v>-236296</v>
      </c>
      <c r="R310" s="542">
        <v>0</v>
      </c>
      <c r="S310" s="542">
        <v>0</v>
      </c>
      <c r="T310" s="542">
        <v>0</v>
      </c>
      <c r="U310" s="542">
        <v>-486296</v>
      </c>
      <c r="V310" s="542">
        <v>0</v>
      </c>
      <c r="W310" s="542">
        <v>-486296</v>
      </c>
      <c r="X310" s="542">
        <v>736000</v>
      </c>
      <c r="Y310" s="542">
        <v>0</v>
      </c>
      <c r="Z310" s="542">
        <v>736000</v>
      </c>
      <c r="AA310" s="542">
        <v>-7725000</v>
      </c>
      <c r="AB310" s="542">
        <v>0</v>
      </c>
      <c r="AC310" s="542">
        <v>-7725000</v>
      </c>
      <c r="AD310" s="542">
        <v>75447719</v>
      </c>
      <c r="AE310" s="542">
        <v>0</v>
      </c>
      <c r="AF310" s="542">
        <v>75447719</v>
      </c>
      <c r="AG310" s="542">
        <v>0</v>
      </c>
      <c r="AH310" s="542">
        <v>0</v>
      </c>
      <c r="AI310" s="542">
        <v>0</v>
      </c>
      <c r="AJ310" s="542">
        <v>0</v>
      </c>
      <c r="AK310" s="542">
        <v>0</v>
      </c>
      <c r="AL310" s="542">
        <v>0</v>
      </c>
      <c r="AM310" s="542">
        <v>0</v>
      </c>
      <c r="AN310" s="542">
        <v>0</v>
      </c>
      <c r="AO310" s="542">
        <v>0</v>
      </c>
      <c r="AP310" s="542">
        <v>0</v>
      </c>
      <c r="AQ310" s="542">
        <v>0</v>
      </c>
      <c r="AR310" s="542">
        <v>0</v>
      </c>
      <c r="AS310" s="542">
        <v>0</v>
      </c>
      <c r="AT310" s="542">
        <v>0</v>
      </c>
      <c r="AU310" s="542">
        <v>0</v>
      </c>
      <c r="AV310" s="542">
        <v>2230173</v>
      </c>
      <c r="AW310" s="542">
        <v>-2100428</v>
      </c>
      <c r="AX310" s="136"/>
      <c r="AY310" s="136"/>
      <c r="AZ310" s="136"/>
      <c r="BA310" s="136"/>
      <c r="BB310" s="136"/>
      <c r="BC310" s="136"/>
      <c r="BD310" s="136"/>
      <c r="BE310" s="136"/>
      <c r="BF310" s="136"/>
      <c r="BG310" s="136"/>
      <c r="BH310" s="136"/>
      <c r="BI310" s="136"/>
      <c r="BJ310" s="136"/>
      <c r="BK310" s="136"/>
      <c r="BL310" s="136"/>
      <c r="BM310" s="136"/>
      <c r="BN310" s="136"/>
      <c r="BO310" s="136"/>
      <c r="BP310" s="136"/>
      <c r="BQ310" s="136"/>
      <c r="BR310" s="136"/>
      <c r="BS310" s="136"/>
      <c r="BT310" s="136"/>
      <c r="BU310" s="136"/>
      <c r="BV310" s="136"/>
      <c r="BW310" s="136"/>
      <c r="BX310" s="136"/>
      <c r="BY310" s="136"/>
      <c r="BZ310" s="136"/>
      <c r="CA310" s="136"/>
      <c r="CB310" s="136"/>
      <c r="CC310" s="136"/>
      <c r="CD310" s="136"/>
      <c r="CE310" s="136"/>
      <c r="CF310" s="136"/>
      <c r="CG310" s="136"/>
      <c r="CH310" s="136"/>
      <c r="CI310" s="136"/>
      <c r="CJ310" s="136"/>
      <c r="CK310" s="136"/>
      <c r="CL310" s="136"/>
      <c r="CM310" s="136"/>
      <c r="CN310" s="136"/>
      <c r="CO310" s="136"/>
      <c r="CP310" s="136"/>
      <c r="CQ310" s="136"/>
      <c r="CR310" s="136"/>
      <c r="CS310" s="136"/>
      <c r="CT310" s="136"/>
      <c r="CU310" s="136"/>
      <c r="CV310" s="136"/>
      <c r="CW310" s="136"/>
      <c r="CX310" s="136"/>
      <c r="CY310" s="136"/>
      <c r="CZ310" s="136"/>
      <c r="DA310" s="136"/>
      <c r="DB310" s="136"/>
      <c r="DC310" s="136"/>
      <c r="DD310" s="136"/>
      <c r="DE310" s="136"/>
      <c r="DF310" s="136"/>
      <c r="DG310" s="136"/>
      <c r="DH310" s="136"/>
      <c r="DI310" s="136"/>
      <c r="DJ310" s="136"/>
      <c r="DK310" s="136"/>
      <c r="DL310" s="136"/>
      <c r="DM310" s="136"/>
      <c r="DN310" s="136"/>
      <c r="DO310" s="136"/>
      <c r="DP310" s="136"/>
      <c r="DQ310" s="136"/>
      <c r="DR310" s="136"/>
      <c r="DS310" s="136"/>
      <c r="DT310" s="136"/>
      <c r="DU310" s="136"/>
      <c r="DV310" s="136"/>
      <c r="DW310" s="136"/>
      <c r="DX310" s="136"/>
      <c r="DY310" s="136"/>
      <c r="DZ310" s="136"/>
      <c r="EA310" s="136"/>
      <c r="EB310" s="136"/>
      <c r="EC310" s="136"/>
      <c r="ED310" s="136"/>
      <c r="EE310" s="136"/>
      <c r="EF310" s="136"/>
      <c r="EG310" s="136"/>
      <c r="EH310" s="136"/>
      <c r="EI310" s="136"/>
      <c r="EJ310" s="136"/>
      <c r="EK310" s="136"/>
      <c r="EL310" s="136"/>
      <c r="EM310" s="136"/>
      <c r="EN310" s="136"/>
      <c r="EO310" s="136"/>
      <c r="EP310" s="136"/>
      <c r="EQ310" s="136"/>
      <c r="ER310" s="136"/>
      <c r="ES310" s="136"/>
      <c r="ET310" s="136"/>
      <c r="EU310" s="136"/>
      <c r="EV310" s="136"/>
      <c r="EW310" s="136"/>
      <c r="EX310" s="136"/>
      <c r="EY310" s="136"/>
      <c r="EZ310" s="136"/>
      <c r="FA310" s="136"/>
      <c r="FB310" s="136"/>
      <c r="FC310" s="136"/>
      <c r="FD310" s="136"/>
      <c r="FE310" s="137"/>
      <c r="FF310" s="138"/>
    </row>
    <row r="311" spans="1:162" ht="12.75" x14ac:dyDescent="0.2">
      <c r="A311" s="93">
        <v>305</v>
      </c>
      <c r="B311" s="145" t="s">
        <v>488</v>
      </c>
      <c r="C311" s="141" t="s">
        <v>866</v>
      </c>
      <c r="D311" s="142" t="s">
        <v>875</v>
      </c>
      <c r="E311" s="149" t="s">
        <v>487</v>
      </c>
      <c r="F311" s="542">
        <v>10417257</v>
      </c>
      <c r="G311" s="542">
        <v>0</v>
      </c>
      <c r="H311" s="542">
        <v>10417257</v>
      </c>
      <c r="I311" s="542">
        <v>0</v>
      </c>
      <c r="J311" s="542">
        <v>0</v>
      </c>
      <c r="K311" s="542">
        <v>0</v>
      </c>
      <c r="L311" s="542">
        <v>30837</v>
      </c>
      <c r="M311" s="542">
        <v>0</v>
      </c>
      <c r="N311" s="542">
        <v>30837</v>
      </c>
      <c r="O311" s="542">
        <v>-120254</v>
      </c>
      <c r="P311" s="542">
        <v>0</v>
      </c>
      <c r="Q311" s="542">
        <v>-120254</v>
      </c>
      <c r="R311" s="542">
        <v>0</v>
      </c>
      <c r="S311" s="542">
        <v>0</v>
      </c>
      <c r="T311" s="542">
        <v>0</v>
      </c>
      <c r="U311" s="542">
        <v>-260756</v>
      </c>
      <c r="V311" s="542">
        <v>0</v>
      </c>
      <c r="W311" s="542">
        <v>-260756</v>
      </c>
      <c r="X311" s="542">
        <v>275693</v>
      </c>
      <c r="Y311" s="542">
        <v>0</v>
      </c>
      <c r="Z311" s="542">
        <v>275693</v>
      </c>
      <c r="AA311" s="542">
        <v>-287201</v>
      </c>
      <c r="AB311" s="542">
        <v>0</v>
      </c>
      <c r="AC311" s="542">
        <v>-287201</v>
      </c>
      <c r="AD311" s="542">
        <v>10175830</v>
      </c>
      <c r="AE311" s="542">
        <v>0</v>
      </c>
      <c r="AF311" s="542">
        <v>10175830</v>
      </c>
      <c r="AG311" s="542">
        <v>0</v>
      </c>
      <c r="AH311" s="542">
        <v>0</v>
      </c>
      <c r="AI311" s="542">
        <v>0</v>
      </c>
      <c r="AJ311" s="542">
        <v>0</v>
      </c>
      <c r="AK311" s="542">
        <v>0</v>
      </c>
      <c r="AL311" s="542">
        <v>0</v>
      </c>
      <c r="AM311" s="542">
        <v>0</v>
      </c>
      <c r="AN311" s="542">
        <v>0</v>
      </c>
      <c r="AO311" s="542">
        <v>0</v>
      </c>
      <c r="AP311" s="542">
        <v>0</v>
      </c>
      <c r="AQ311" s="542">
        <v>0</v>
      </c>
      <c r="AR311" s="542">
        <v>0</v>
      </c>
      <c r="AS311" s="542">
        <v>0</v>
      </c>
      <c r="AT311" s="542">
        <v>0</v>
      </c>
      <c r="AU311" s="542">
        <v>0</v>
      </c>
      <c r="AV311" s="542">
        <v>612381</v>
      </c>
      <c r="AW311" s="542">
        <v>-204520</v>
      </c>
      <c r="AX311" s="136"/>
      <c r="AY311" s="136"/>
      <c r="AZ311" s="136"/>
      <c r="BA311" s="136"/>
      <c r="BB311" s="136"/>
      <c r="BC311" s="136"/>
      <c r="BD311" s="136"/>
      <c r="BE311" s="136"/>
      <c r="BF311" s="136"/>
      <c r="BG311" s="136"/>
      <c r="BH311" s="136"/>
      <c r="BI311" s="136"/>
      <c r="BJ311" s="136"/>
      <c r="BK311" s="136"/>
      <c r="BL311" s="136"/>
      <c r="BM311" s="136"/>
      <c r="BN311" s="136"/>
      <c r="BO311" s="136"/>
      <c r="BP311" s="136"/>
      <c r="BQ311" s="136"/>
      <c r="BR311" s="136"/>
      <c r="BS311" s="136"/>
      <c r="BT311" s="136"/>
      <c r="BU311" s="136"/>
      <c r="BV311" s="136"/>
      <c r="BW311" s="136"/>
      <c r="BX311" s="136"/>
      <c r="BY311" s="136"/>
      <c r="BZ311" s="136"/>
      <c r="CA311" s="136"/>
      <c r="CB311" s="136"/>
      <c r="CC311" s="136"/>
      <c r="CD311" s="136"/>
      <c r="CE311" s="136"/>
      <c r="CF311" s="136"/>
      <c r="CG311" s="136"/>
      <c r="CH311" s="136"/>
      <c r="CI311" s="136"/>
      <c r="CJ311" s="136"/>
      <c r="CK311" s="136"/>
      <c r="CL311" s="136"/>
      <c r="CM311" s="136"/>
      <c r="CN311" s="136"/>
      <c r="CO311" s="136"/>
      <c r="CP311" s="136"/>
      <c r="CQ311" s="136"/>
      <c r="CR311" s="136"/>
      <c r="CS311" s="136"/>
      <c r="CT311" s="136"/>
      <c r="CU311" s="136"/>
      <c r="CV311" s="136"/>
      <c r="CW311" s="136"/>
      <c r="CX311" s="136"/>
      <c r="CY311" s="136"/>
      <c r="CZ311" s="136"/>
      <c r="DA311" s="136"/>
      <c r="DB311" s="136"/>
      <c r="DC311" s="136"/>
      <c r="DD311" s="136"/>
      <c r="DE311" s="136"/>
      <c r="DF311" s="136"/>
      <c r="DG311" s="136"/>
      <c r="DH311" s="136"/>
      <c r="DI311" s="136"/>
      <c r="DJ311" s="136"/>
      <c r="DK311" s="136"/>
      <c r="DL311" s="136"/>
      <c r="DM311" s="136"/>
      <c r="DN311" s="136"/>
      <c r="DO311" s="136"/>
      <c r="DP311" s="136"/>
      <c r="DQ311" s="136"/>
      <c r="DR311" s="136"/>
      <c r="DS311" s="136"/>
      <c r="DT311" s="136"/>
      <c r="DU311" s="136"/>
      <c r="DV311" s="136"/>
      <c r="DW311" s="136"/>
      <c r="DX311" s="136"/>
      <c r="DY311" s="136"/>
      <c r="DZ311" s="136"/>
      <c r="EA311" s="136"/>
      <c r="EB311" s="136"/>
      <c r="EC311" s="136"/>
      <c r="ED311" s="136"/>
      <c r="EE311" s="136"/>
      <c r="EF311" s="136"/>
      <c r="EG311" s="136"/>
      <c r="EH311" s="136"/>
      <c r="EI311" s="136"/>
      <c r="EJ311" s="136"/>
      <c r="EK311" s="136"/>
      <c r="EL311" s="136"/>
      <c r="EM311" s="136"/>
      <c r="EN311" s="136"/>
      <c r="EO311" s="136"/>
      <c r="EP311" s="136"/>
      <c r="EQ311" s="136"/>
      <c r="ER311" s="136"/>
      <c r="ES311" s="136"/>
      <c r="ET311" s="136"/>
      <c r="EU311" s="136"/>
      <c r="EV311" s="136"/>
      <c r="EW311" s="136"/>
      <c r="EX311" s="136"/>
      <c r="EY311" s="136"/>
      <c r="EZ311" s="136"/>
      <c r="FA311" s="136"/>
      <c r="FB311" s="136"/>
      <c r="FC311" s="136"/>
      <c r="FD311" s="136"/>
      <c r="FE311" s="137"/>
      <c r="FF311" s="138"/>
    </row>
    <row r="312" spans="1:162" ht="12.75" x14ac:dyDescent="0.2">
      <c r="A312" s="93">
        <v>306</v>
      </c>
      <c r="B312" s="145" t="s">
        <v>490</v>
      </c>
      <c r="C312" s="141" t="s">
        <v>866</v>
      </c>
      <c r="D312" s="142" t="s">
        <v>875</v>
      </c>
      <c r="E312" s="149" t="s">
        <v>489</v>
      </c>
      <c r="F312" s="542">
        <v>29891428</v>
      </c>
      <c r="G312" s="542">
        <v>0</v>
      </c>
      <c r="H312" s="542">
        <v>29891428</v>
      </c>
      <c r="I312" s="542">
        <v>-27</v>
      </c>
      <c r="J312" s="542">
        <v>0</v>
      </c>
      <c r="K312" s="542">
        <v>-27</v>
      </c>
      <c r="L312" s="542">
        <v>83318</v>
      </c>
      <c r="M312" s="542">
        <v>0</v>
      </c>
      <c r="N312" s="542">
        <v>83318</v>
      </c>
      <c r="O312" s="542">
        <v>-9097</v>
      </c>
      <c r="P312" s="542">
        <v>0</v>
      </c>
      <c r="Q312" s="542">
        <v>-9097</v>
      </c>
      <c r="R312" s="542">
        <v>0</v>
      </c>
      <c r="S312" s="542">
        <v>0</v>
      </c>
      <c r="T312" s="542">
        <v>0</v>
      </c>
      <c r="U312" s="542">
        <v>-121097</v>
      </c>
      <c r="V312" s="542">
        <v>0</v>
      </c>
      <c r="W312" s="542">
        <v>-121097</v>
      </c>
      <c r="X312" s="542">
        <v>0</v>
      </c>
      <c r="Y312" s="542">
        <v>0</v>
      </c>
      <c r="Z312" s="542">
        <v>0</v>
      </c>
      <c r="AA312" s="542">
        <v>-1588660</v>
      </c>
      <c r="AB312" s="542">
        <v>0</v>
      </c>
      <c r="AC312" s="542">
        <v>-1588660</v>
      </c>
      <c r="AD312" s="542">
        <v>28264962</v>
      </c>
      <c r="AE312" s="542">
        <v>0</v>
      </c>
      <c r="AF312" s="542">
        <v>28264962</v>
      </c>
      <c r="AG312" s="542">
        <v>0</v>
      </c>
      <c r="AH312" s="542">
        <v>0</v>
      </c>
      <c r="AI312" s="542">
        <v>0</v>
      </c>
      <c r="AJ312" s="542">
        <v>164551</v>
      </c>
      <c r="AK312" s="542">
        <v>0</v>
      </c>
      <c r="AL312" s="542">
        <v>0</v>
      </c>
      <c r="AM312" s="542">
        <v>164551</v>
      </c>
      <c r="AN312" s="542">
        <v>0</v>
      </c>
      <c r="AO312" s="542">
        <v>0</v>
      </c>
      <c r="AP312" s="542">
        <v>0</v>
      </c>
      <c r="AQ312" s="542">
        <v>0</v>
      </c>
      <c r="AR312" s="542">
        <v>0</v>
      </c>
      <c r="AS312" s="542">
        <v>0</v>
      </c>
      <c r="AT312" s="542">
        <v>0</v>
      </c>
      <c r="AU312" s="542">
        <v>0</v>
      </c>
      <c r="AV312" s="542">
        <v>1942778</v>
      </c>
      <c r="AW312" s="542">
        <v>-356355</v>
      </c>
      <c r="AX312" s="136"/>
      <c r="AY312" s="136"/>
      <c r="AZ312" s="136"/>
      <c r="BA312" s="136"/>
      <c r="BB312" s="136"/>
      <c r="BC312" s="136"/>
      <c r="BD312" s="136"/>
      <c r="BE312" s="136"/>
      <c r="BF312" s="136"/>
      <c r="BG312" s="136"/>
      <c r="BH312" s="136"/>
      <c r="BI312" s="136"/>
      <c r="BJ312" s="136"/>
      <c r="BK312" s="136"/>
      <c r="BL312" s="136"/>
      <c r="BM312" s="136"/>
      <c r="BN312" s="136"/>
      <c r="BO312" s="136"/>
      <c r="BP312" s="136"/>
      <c r="BQ312" s="136"/>
      <c r="BR312" s="136"/>
      <c r="BS312" s="136"/>
      <c r="BT312" s="136"/>
      <c r="BU312" s="136"/>
      <c r="BV312" s="136"/>
      <c r="BW312" s="136"/>
      <c r="BX312" s="136"/>
      <c r="BY312" s="136"/>
      <c r="BZ312" s="136"/>
      <c r="CA312" s="136"/>
      <c r="CB312" s="136"/>
      <c r="CC312" s="136"/>
      <c r="CD312" s="136"/>
      <c r="CE312" s="136"/>
      <c r="CF312" s="136"/>
      <c r="CG312" s="136"/>
      <c r="CH312" s="136"/>
      <c r="CI312" s="136"/>
      <c r="CJ312" s="136"/>
      <c r="CK312" s="136"/>
      <c r="CL312" s="136"/>
      <c r="CM312" s="136"/>
      <c r="CN312" s="136"/>
      <c r="CO312" s="136"/>
      <c r="CP312" s="136"/>
      <c r="CQ312" s="136"/>
      <c r="CR312" s="136"/>
      <c r="CS312" s="136"/>
      <c r="CT312" s="136"/>
      <c r="CU312" s="136"/>
      <c r="CV312" s="136"/>
      <c r="CW312" s="136"/>
      <c r="CX312" s="136"/>
      <c r="CY312" s="136"/>
      <c r="CZ312" s="136"/>
      <c r="DA312" s="136"/>
      <c r="DB312" s="136"/>
      <c r="DC312" s="136"/>
      <c r="DD312" s="136"/>
      <c r="DE312" s="136"/>
      <c r="DF312" s="136"/>
      <c r="DG312" s="136"/>
      <c r="DH312" s="136"/>
      <c r="DI312" s="136"/>
      <c r="DJ312" s="136"/>
      <c r="DK312" s="136"/>
      <c r="DL312" s="136"/>
      <c r="DM312" s="136"/>
      <c r="DN312" s="136"/>
      <c r="DO312" s="136"/>
      <c r="DP312" s="136"/>
      <c r="DQ312" s="136"/>
      <c r="DR312" s="136"/>
      <c r="DS312" s="136"/>
      <c r="DT312" s="136"/>
      <c r="DU312" s="136"/>
      <c r="DV312" s="136"/>
      <c r="DW312" s="136"/>
      <c r="DX312" s="136"/>
      <c r="DY312" s="136"/>
      <c r="DZ312" s="136"/>
      <c r="EA312" s="136"/>
      <c r="EB312" s="136"/>
      <c r="EC312" s="136"/>
      <c r="ED312" s="136"/>
      <c r="EE312" s="136"/>
      <c r="EF312" s="136"/>
      <c r="EG312" s="136"/>
      <c r="EH312" s="136"/>
      <c r="EI312" s="136"/>
      <c r="EJ312" s="136"/>
      <c r="EK312" s="136"/>
      <c r="EL312" s="136"/>
      <c r="EM312" s="136"/>
      <c r="EN312" s="136"/>
      <c r="EO312" s="136"/>
      <c r="EP312" s="136"/>
      <c r="EQ312" s="136"/>
      <c r="ER312" s="136"/>
      <c r="ES312" s="136"/>
      <c r="ET312" s="136"/>
      <c r="EU312" s="136"/>
      <c r="EV312" s="136"/>
      <c r="EW312" s="136"/>
      <c r="EX312" s="136"/>
      <c r="EY312" s="136"/>
      <c r="EZ312" s="136"/>
      <c r="FA312" s="136"/>
      <c r="FB312" s="136"/>
      <c r="FC312" s="136"/>
      <c r="FD312" s="136"/>
      <c r="FE312" s="137"/>
      <c r="FF312" s="138"/>
    </row>
    <row r="313" spans="1:162" ht="12.75" x14ac:dyDescent="0.2">
      <c r="A313" s="93">
        <v>307</v>
      </c>
      <c r="B313" s="145" t="s">
        <v>492</v>
      </c>
      <c r="C313" s="141" t="s">
        <v>866</v>
      </c>
      <c r="D313" s="142" t="s">
        <v>868</v>
      </c>
      <c r="E313" s="149" t="s">
        <v>491</v>
      </c>
      <c r="F313" s="542">
        <v>30994411</v>
      </c>
      <c r="G313" s="542">
        <v>0</v>
      </c>
      <c r="H313" s="542">
        <v>30994411</v>
      </c>
      <c r="I313" s="542">
        <v>0</v>
      </c>
      <c r="J313" s="542">
        <v>0</v>
      </c>
      <c r="K313" s="542">
        <v>0</v>
      </c>
      <c r="L313" s="542">
        <v>0</v>
      </c>
      <c r="M313" s="542">
        <v>0</v>
      </c>
      <c r="N313" s="542">
        <v>0</v>
      </c>
      <c r="O313" s="542">
        <v>-1105548</v>
      </c>
      <c r="P313" s="542">
        <v>0</v>
      </c>
      <c r="Q313" s="542">
        <v>-1105548</v>
      </c>
      <c r="R313" s="542">
        <v>0</v>
      </c>
      <c r="S313" s="542">
        <v>0</v>
      </c>
      <c r="T313" s="542">
        <v>0</v>
      </c>
      <c r="U313" s="542">
        <v>-1186773</v>
      </c>
      <c r="V313" s="542">
        <v>0</v>
      </c>
      <c r="W313" s="542">
        <v>-1186773</v>
      </c>
      <c r="X313" s="542">
        <v>0</v>
      </c>
      <c r="Y313" s="542">
        <v>0</v>
      </c>
      <c r="Z313" s="542">
        <v>0</v>
      </c>
      <c r="AA313" s="542">
        <v>152092</v>
      </c>
      <c r="AB313" s="542">
        <v>0</v>
      </c>
      <c r="AC313" s="542">
        <v>152092</v>
      </c>
      <c r="AD313" s="542">
        <v>29959730</v>
      </c>
      <c r="AE313" s="542">
        <v>0</v>
      </c>
      <c r="AF313" s="542">
        <v>29959730</v>
      </c>
      <c r="AG313" s="542">
        <v>0</v>
      </c>
      <c r="AH313" s="542">
        <v>0</v>
      </c>
      <c r="AI313" s="542">
        <v>0</v>
      </c>
      <c r="AJ313" s="542">
        <v>0</v>
      </c>
      <c r="AK313" s="542">
        <v>0</v>
      </c>
      <c r="AL313" s="542">
        <v>0</v>
      </c>
      <c r="AM313" s="542">
        <v>0</v>
      </c>
      <c r="AN313" s="542">
        <v>0</v>
      </c>
      <c r="AO313" s="542">
        <v>0</v>
      </c>
      <c r="AP313" s="542">
        <v>0</v>
      </c>
      <c r="AQ313" s="542">
        <v>0</v>
      </c>
      <c r="AR313" s="542">
        <v>0</v>
      </c>
      <c r="AS313" s="542">
        <v>0</v>
      </c>
      <c r="AT313" s="542">
        <v>0</v>
      </c>
      <c r="AU313" s="542">
        <v>0</v>
      </c>
      <c r="AV313" s="542">
        <v>5110666</v>
      </c>
      <c r="AW313" s="542">
        <v>-1375441</v>
      </c>
      <c r="AX313" s="136"/>
      <c r="AY313" s="136"/>
      <c r="AZ313" s="136"/>
      <c r="BA313" s="136"/>
      <c r="BB313" s="136"/>
      <c r="BC313" s="136"/>
      <c r="BD313" s="136"/>
      <c r="BE313" s="136"/>
      <c r="BF313" s="136"/>
      <c r="BG313" s="136"/>
      <c r="BH313" s="136"/>
      <c r="BI313" s="136"/>
      <c r="BJ313" s="136"/>
      <c r="BK313" s="136"/>
      <c r="BL313" s="136"/>
      <c r="BM313" s="136"/>
      <c r="BN313" s="136"/>
      <c r="BO313" s="136"/>
      <c r="BP313" s="136"/>
      <c r="BQ313" s="136"/>
      <c r="BR313" s="136"/>
      <c r="BS313" s="136"/>
      <c r="BT313" s="136"/>
      <c r="BU313" s="136"/>
      <c r="BV313" s="136"/>
      <c r="BW313" s="136"/>
      <c r="BX313" s="136"/>
      <c r="BY313" s="136"/>
      <c r="BZ313" s="136"/>
      <c r="CA313" s="136"/>
      <c r="CB313" s="136"/>
      <c r="CC313" s="136"/>
      <c r="CD313" s="136"/>
      <c r="CE313" s="136"/>
      <c r="CF313" s="136"/>
      <c r="CG313" s="136"/>
      <c r="CH313" s="136"/>
      <c r="CI313" s="136"/>
      <c r="CJ313" s="136"/>
      <c r="CK313" s="136"/>
      <c r="CL313" s="136"/>
      <c r="CM313" s="136"/>
      <c r="CN313" s="136"/>
      <c r="CO313" s="136"/>
      <c r="CP313" s="136"/>
      <c r="CQ313" s="136"/>
      <c r="CR313" s="136"/>
      <c r="CS313" s="136"/>
      <c r="CT313" s="136"/>
      <c r="CU313" s="136"/>
      <c r="CV313" s="136"/>
      <c r="CW313" s="136"/>
      <c r="CX313" s="136"/>
      <c r="CY313" s="136"/>
      <c r="CZ313" s="136"/>
      <c r="DA313" s="136"/>
      <c r="DB313" s="136"/>
      <c r="DC313" s="136"/>
      <c r="DD313" s="136"/>
      <c r="DE313" s="136"/>
      <c r="DF313" s="136"/>
      <c r="DG313" s="136"/>
      <c r="DH313" s="136"/>
      <c r="DI313" s="136"/>
      <c r="DJ313" s="136"/>
      <c r="DK313" s="136"/>
      <c r="DL313" s="136"/>
      <c r="DM313" s="136"/>
      <c r="DN313" s="136"/>
      <c r="DO313" s="136"/>
      <c r="DP313" s="136"/>
      <c r="DQ313" s="136"/>
      <c r="DR313" s="136"/>
      <c r="DS313" s="136"/>
      <c r="DT313" s="136"/>
      <c r="DU313" s="136"/>
      <c r="DV313" s="136"/>
      <c r="DW313" s="136"/>
      <c r="DX313" s="136"/>
      <c r="DY313" s="136"/>
      <c r="DZ313" s="136"/>
      <c r="EA313" s="136"/>
      <c r="EB313" s="136"/>
      <c r="EC313" s="136"/>
      <c r="ED313" s="136"/>
      <c r="EE313" s="136"/>
      <c r="EF313" s="136"/>
      <c r="EG313" s="136"/>
      <c r="EH313" s="136"/>
      <c r="EI313" s="136"/>
      <c r="EJ313" s="136"/>
      <c r="EK313" s="136"/>
      <c r="EL313" s="136"/>
      <c r="EM313" s="136"/>
      <c r="EN313" s="136"/>
      <c r="EO313" s="136"/>
      <c r="EP313" s="136"/>
      <c r="EQ313" s="136"/>
      <c r="ER313" s="136"/>
      <c r="ES313" s="136"/>
      <c r="ET313" s="136"/>
      <c r="EU313" s="136"/>
      <c r="EV313" s="136"/>
      <c r="EW313" s="136"/>
      <c r="EX313" s="136"/>
      <c r="EY313" s="136"/>
      <c r="EZ313" s="136"/>
      <c r="FA313" s="136"/>
      <c r="FB313" s="136"/>
      <c r="FC313" s="136"/>
      <c r="FD313" s="136"/>
      <c r="FE313" s="137"/>
      <c r="FF313" s="138"/>
    </row>
    <row r="314" spans="1:162" ht="12.75" x14ac:dyDescent="0.2">
      <c r="A314" s="93">
        <v>308</v>
      </c>
      <c r="B314" s="145" t="s">
        <v>494</v>
      </c>
      <c r="C314" s="141" t="s">
        <v>866</v>
      </c>
      <c r="D314" s="142" t="s">
        <v>869</v>
      </c>
      <c r="E314" s="149" t="s">
        <v>493</v>
      </c>
      <c r="F314" s="542">
        <v>15735665</v>
      </c>
      <c r="G314" s="542">
        <v>0</v>
      </c>
      <c r="H314" s="542">
        <v>15735665</v>
      </c>
      <c r="I314" s="542">
        <v>0</v>
      </c>
      <c r="J314" s="542">
        <v>0</v>
      </c>
      <c r="K314" s="542">
        <v>0</v>
      </c>
      <c r="L314" s="542">
        <v>52608</v>
      </c>
      <c r="M314" s="542">
        <v>0</v>
      </c>
      <c r="N314" s="542">
        <v>52608</v>
      </c>
      <c r="O314" s="542">
        <v>-37144</v>
      </c>
      <c r="P314" s="542">
        <v>0</v>
      </c>
      <c r="Q314" s="542">
        <v>-37144</v>
      </c>
      <c r="R314" s="542">
        <v>0</v>
      </c>
      <c r="S314" s="542">
        <v>0</v>
      </c>
      <c r="T314" s="542">
        <v>0</v>
      </c>
      <c r="U314" s="542">
        <v>-82103</v>
      </c>
      <c r="V314" s="542">
        <v>0</v>
      </c>
      <c r="W314" s="542">
        <v>-82103</v>
      </c>
      <c r="X314" s="542">
        <v>94814</v>
      </c>
      <c r="Y314" s="542">
        <v>0</v>
      </c>
      <c r="Z314" s="542">
        <v>94814</v>
      </c>
      <c r="AA314" s="542">
        <v>-170535</v>
      </c>
      <c r="AB314" s="542">
        <v>0</v>
      </c>
      <c r="AC314" s="542">
        <v>-170535</v>
      </c>
      <c r="AD314" s="542">
        <v>15630449</v>
      </c>
      <c r="AE314" s="542">
        <v>0</v>
      </c>
      <c r="AF314" s="542">
        <v>15630449</v>
      </c>
      <c r="AG314" s="542">
        <v>0</v>
      </c>
      <c r="AH314" s="542">
        <v>0</v>
      </c>
      <c r="AI314" s="542">
        <v>0</v>
      </c>
      <c r="AJ314" s="542">
        <v>843</v>
      </c>
      <c r="AK314" s="542">
        <v>0</v>
      </c>
      <c r="AL314" s="542">
        <v>0</v>
      </c>
      <c r="AM314" s="542">
        <v>843</v>
      </c>
      <c r="AN314" s="542">
        <v>0</v>
      </c>
      <c r="AO314" s="542">
        <v>0</v>
      </c>
      <c r="AP314" s="542">
        <v>0</v>
      </c>
      <c r="AQ314" s="542">
        <v>0</v>
      </c>
      <c r="AR314" s="542">
        <v>0</v>
      </c>
      <c r="AS314" s="542">
        <v>0</v>
      </c>
      <c r="AT314" s="542">
        <v>0</v>
      </c>
      <c r="AU314" s="542">
        <v>0</v>
      </c>
      <c r="AV314" s="542">
        <v>391406</v>
      </c>
      <c r="AW314" s="542">
        <v>-132124</v>
      </c>
      <c r="AX314" s="136"/>
      <c r="AY314" s="136"/>
      <c r="AZ314" s="136"/>
      <c r="BA314" s="136"/>
      <c r="BB314" s="136"/>
      <c r="BC314" s="136"/>
      <c r="BD314" s="136"/>
      <c r="BE314" s="136"/>
      <c r="BF314" s="136"/>
      <c r="BG314" s="136"/>
      <c r="BH314" s="136"/>
      <c r="BI314" s="136"/>
      <c r="BJ314" s="136"/>
      <c r="BK314" s="136"/>
      <c r="BL314" s="136"/>
      <c r="BM314" s="136"/>
      <c r="BN314" s="136"/>
      <c r="BO314" s="136"/>
      <c r="BP314" s="136"/>
      <c r="BQ314" s="136"/>
      <c r="BR314" s="136"/>
      <c r="BS314" s="136"/>
      <c r="BT314" s="136"/>
      <c r="BU314" s="136"/>
      <c r="BV314" s="136"/>
      <c r="BW314" s="136"/>
      <c r="BX314" s="136"/>
      <c r="BY314" s="136"/>
      <c r="BZ314" s="136"/>
      <c r="CA314" s="136"/>
      <c r="CB314" s="136"/>
      <c r="CC314" s="136"/>
      <c r="CD314" s="136"/>
      <c r="CE314" s="136"/>
      <c r="CF314" s="136"/>
      <c r="CG314" s="136"/>
      <c r="CH314" s="136"/>
      <c r="CI314" s="136"/>
      <c r="CJ314" s="136"/>
      <c r="CK314" s="136"/>
      <c r="CL314" s="136"/>
      <c r="CM314" s="136"/>
      <c r="CN314" s="136"/>
      <c r="CO314" s="136"/>
      <c r="CP314" s="136"/>
      <c r="CQ314" s="136"/>
      <c r="CR314" s="136"/>
      <c r="CS314" s="136"/>
      <c r="CT314" s="136"/>
      <c r="CU314" s="136"/>
      <c r="CV314" s="136"/>
      <c r="CW314" s="136"/>
      <c r="CX314" s="136"/>
      <c r="CY314" s="136"/>
      <c r="CZ314" s="136"/>
      <c r="DA314" s="136"/>
      <c r="DB314" s="136"/>
      <c r="DC314" s="136"/>
      <c r="DD314" s="136"/>
      <c r="DE314" s="136"/>
      <c r="DF314" s="136"/>
      <c r="DG314" s="136"/>
      <c r="DH314" s="136"/>
      <c r="DI314" s="136"/>
      <c r="DJ314" s="136"/>
      <c r="DK314" s="136"/>
      <c r="DL314" s="136"/>
      <c r="DM314" s="136"/>
      <c r="DN314" s="136"/>
      <c r="DO314" s="136"/>
      <c r="DP314" s="136"/>
      <c r="DQ314" s="136"/>
      <c r="DR314" s="136"/>
      <c r="DS314" s="136"/>
      <c r="DT314" s="136"/>
      <c r="DU314" s="136"/>
      <c r="DV314" s="136"/>
      <c r="DW314" s="136"/>
      <c r="DX314" s="136"/>
      <c r="DY314" s="136"/>
      <c r="DZ314" s="136"/>
      <c r="EA314" s="136"/>
      <c r="EB314" s="136"/>
      <c r="EC314" s="136"/>
      <c r="ED314" s="136"/>
      <c r="EE314" s="136"/>
      <c r="EF314" s="136"/>
      <c r="EG314" s="136"/>
      <c r="EH314" s="136"/>
      <c r="EI314" s="136"/>
      <c r="EJ314" s="136"/>
      <c r="EK314" s="136"/>
      <c r="EL314" s="136"/>
      <c r="EM314" s="136"/>
      <c r="EN314" s="136"/>
      <c r="EO314" s="136"/>
      <c r="EP314" s="136"/>
      <c r="EQ314" s="136"/>
      <c r="ER314" s="136"/>
      <c r="ES314" s="136"/>
      <c r="ET314" s="136"/>
      <c r="EU314" s="136"/>
      <c r="EV314" s="136"/>
      <c r="EW314" s="136"/>
      <c r="EX314" s="136"/>
      <c r="EY314" s="136"/>
      <c r="EZ314" s="136"/>
      <c r="FA314" s="136"/>
      <c r="FB314" s="136"/>
      <c r="FC314" s="136"/>
      <c r="FD314" s="136"/>
      <c r="FE314" s="137"/>
      <c r="FF314" s="138"/>
    </row>
    <row r="315" spans="1:162" ht="12.75" x14ac:dyDescent="0.2">
      <c r="A315" s="93">
        <v>309</v>
      </c>
      <c r="B315" s="145" t="s">
        <v>496</v>
      </c>
      <c r="C315" s="141" t="s">
        <v>866</v>
      </c>
      <c r="D315" s="142" t="s">
        <v>867</v>
      </c>
      <c r="E315" s="149" t="s">
        <v>495</v>
      </c>
      <c r="F315" s="542">
        <v>32732993</v>
      </c>
      <c r="G315" s="542">
        <v>0</v>
      </c>
      <c r="H315" s="542">
        <v>32732993</v>
      </c>
      <c r="I315" s="542">
        <v>0</v>
      </c>
      <c r="J315" s="542">
        <v>0</v>
      </c>
      <c r="K315" s="542">
        <v>0</v>
      </c>
      <c r="L315" s="542">
        <v>47192</v>
      </c>
      <c r="M315" s="542">
        <v>0</v>
      </c>
      <c r="N315" s="542">
        <v>47192</v>
      </c>
      <c r="O315" s="542">
        <v>-81490</v>
      </c>
      <c r="P315" s="542">
        <v>0</v>
      </c>
      <c r="Q315" s="542">
        <v>-81490</v>
      </c>
      <c r="R315" s="542">
        <v>0</v>
      </c>
      <c r="S315" s="542">
        <v>0</v>
      </c>
      <c r="T315" s="542">
        <v>0</v>
      </c>
      <c r="U315" s="542">
        <v>-217936</v>
      </c>
      <c r="V315" s="542">
        <v>0</v>
      </c>
      <c r="W315" s="542">
        <v>-217936</v>
      </c>
      <c r="X315" s="542">
        <v>468617</v>
      </c>
      <c r="Y315" s="542">
        <v>0</v>
      </c>
      <c r="Z315" s="542">
        <v>468617</v>
      </c>
      <c r="AA315" s="542">
        <v>-1143853</v>
      </c>
      <c r="AB315" s="542">
        <v>0</v>
      </c>
      <c r="AC315" s="542">
        <v>-1143853</v>
      </c>
      <c r="AD315" s="542">
        <v>31887013</v>
      </c>
      <c r="AE315" s="542">
        <v>0</v>
      </c>
      <c r="AF315" s="542">
        <v>31887013</v>
      </c>
      <c r="AG315" s="542">
        <v>0</v>
      </c>
      <c r="AH315" s="542">
        <v>0</v>
      </c>
      <c r="AI315" s="542">
        <v>0</v>
      </c>
      <c r="AJ315" s="542">
        <v>120573</v>
      </c>
      <c r="AK315" s="542">
        <v>0</v>
      </c>
      <c r="AL315" s="542">
        <v>0</v>
      </c>
      <c r="AM315" s="542">
        <v>120573</v>
      </c>
      <c r="AN315" s="542">
        <v>0</v>
      </c>
      <c r="AO315" s="542">
        <v>0</v>
      </c>
      <c r="AP315" s="542">
        <v>0</v>
      </c>
      <c r="AQ315" s="542">
        <v>0</v>
      </c>
      <c r="AR315" s="542">
        <v>0</v>
      </c>
      <c r="AS315" s="542">
        <v>0</v>
      </c>
      <c r="AT315" s="542">
        <v>0</v>
      </c>
      <c r="AU315" s="542">
        <v>0</v>
      </c>
      <c r="AV315" s="542">
        <v>736399</v>
      </c>
      <c r="AW315" s="542">
        <v>-214134</v>
      </c>
      <c r="AX315" s="136"/>
      <c r="AY315" s="136"/>
      <c r="AZ315" s="136"/>
      <c r="BA315" s="136"/>
      <c r="BB315" s="136"/>
      <c r="BC315" s="136"/>
      <c r="BD315" s="136"/>
      <c r="BE315" s="136"/>
      <c r="BF315" s="136"/>
      <c r="BG315" s="136"/>
      <c r="BH315" s="136"/>
      <c r="BI315" s="136"/>
      <c r="BJ315" s="136"/>
      <c r="BK315" s="136"/>
      <c r="BL315" s="136"/>
      <c r="BM315" s="136"/>
      <c r="BN315" s="136"/>
      <c r="BO315" s="136"/>
      <c r="BP315" s="136"/>
      <c r="BQ315" s="136"/>
      <c r="BR315" s="136"/>
      <c r="BS315" s="136"/>
      <c r="BT315" s="136"/>
      <c r="BU315" s="136"/>
      <c r="BV315" s="136"/>
      <c r="BW315" s="136"/>
      <c r="BX315" s="136"/>
      <c r="BY315" s="136"/>
      <c r="BZ315" s="136"/>
      <c r="CA315" s="136"/>
      <c r="CB315" s="136"/>
      <c r="CC315" s="136"/>
      <c r="CD315" s="136"/>
      <c r="CE315" s="136"/>
      <c r="CF315" s="136"/>
      <c r="CG315" s="136"/>
      <c r="CH315" s="136"/>
      <c r="CI315" s="136"/>
      <c r="CJ315" s="136"/>
      <c r="CK315" s="136"/>
      <c r="CL315" s="136"/>
      <c r="CM315" s="136"/>
      <c r="CN315" s="136"/>
      <c r="CO315" s="136"/>
      <c r="CP315" s="136"/>
      <c r="CQ315" s="136"/>
      <c r="CR315" s="136"/>
      <c r="CS315" s="136"/>
      <c r="CT315" s="136"/>
      <c r="CU315" s="136"/>
      <c r="CV315" s="136"/>
      <c r="CW315" s="136"/>
      <c r="CX315" s="136"/>
      <c r="CY315" s="136"/>
      <c r="CZ315" s="136"/>
      <c r="DA315" s="136"/>
      <c r="DB315" s="136"/>
      <c r="DC315" s="136"/>
      <c r="DD315" s="136"/>
      <c r="DE315" s="136"/>
      <c r="DF315" s="136"/>
      <c r="DG315" s="136"/>
      <c r="DH315" s="136"/>
      <c r="DI315" s="136"/>
      <c r="DJ315" s="136"/>
      <c r="DK315" s="136"/>
      <c r="DL315" s="136"/>
      <c r="DM315" s="136"/>
      <c r="DN315" s="136"/>
      <c r="DO315" s="136"/>
      <c r="DP315" s="136"/>
      <c r="DQ315" s="136"/>
      <c r="DR315" s="136"/>
      <c r="DS315" s="136"/>
      <c r="DT315" s="136"/>
      <c r="DU315" s="136"/>
      <c r="DV315" s="136"/>
      <c r="DW315" s="136"/>
      <c r="DX315" s="136"/>
      <c r="DY315" s="136"/>
      <c r="DZ315" s="136"/>
      <c r="EA315" s="136"/>
      <c r="EB315" s="136"/>
      <c r="EC315" s="136"/>
      <c r="ED315" s="136"/>
      <c r="EE315" s="136"/>
      <c r="EF315" s="136"/>
      <c r="EG315" s="136"/>
      <c r="EH315" s="136"/>
      <c r="EI315" s="136"/>
      <c r="EJ315" s="136"/>
      <c r="EK315" s="136"/>
      <c r="EL315" s="136"/>
      <c r="EM315" s="136"/>
      <c r="EN315" s="136"/>
      <c r="EO315" s="136"/>
      <c r="EP315" s="136"/>
      <c r="EQ315" s="136"/>
      <c r="ER315" s="136"/>
      <c r="ES315" s="136"/>
      <c r="ET315" s="136"/>
      <c r="EU315" s="136"/>
      <c r="EV315" s="136"/>
      <c r="EW315" s="136"/>
      <c r="EX315" s="136"/>
      <c r="EY315" s="136"/>
      <c r="EZ315" s="136"/>
      <c r="FA315" s="136"/>
      <c r="FB315" s="136"/>
      <c r="FC315" s="136"/>
      <c r="FD315" s="136"/>
      <c r="FE315" s="137"/>
      <c r="FF315" s="138"/>
    </row>
    <row r="316" spans="1:162" ht="12.75" x14ac:dyDescent="0.2">
      <c r="A316" s="93">
        <v>310</v>
      </c>
      <c r="B316" s="145" t="s">
        <v>498</v>
      </c>
      <c r="C316" s="141" t="s">
        <v>866</v>
      </c>
      <c r="D316" s="142" t="s">
        <v>875</v>
      </c>
      <c r="E316" s="149" t="s">
        <v>497</v>
      </c>
      <c r="F316" s="542">
        <v>12169984</v>
      </c>
      <c r="G316" s="542">
        <v>0</v>
      </c>
      <c r="H316" s="542">
        <v>12169984</v>
      </c>
      <c r="I316" s="542">
        <v>0</v>
      </c>
      <c r="J316" s="542">
        <v>0</v>
      </c>
      <c r="K316" s="542">
        <v>0</v>
      </c>
      <c r="L316" s="542">
        <v>37788</v>
      </c>
      <c r="M316" s="542">
        <v>0</v>
      </c>
      <c r="N316" s="542">
        <v>37788</v>
      </c>
      <c r="O316" s="542">
        <v>-8647</v>
      </c>
      <c r="P316" s="542">
        <v>0</v>
      </c>
      <c r="Q316" s="542">
        <v>-8647</v>
      </c>
      <c r="R316" s="542">
        <v>0</v>
      </c>
      <c r="S316" s="542">
        <v>0</v>
      </c>
      <c r="T316" s="542">
        <v>0</v>
      </c>
      <c r="U316" s="542">
        <v>-18647</v>
      </c>
      <c r="V316" s="542">
        <v>0</v>
      </c>
      <c r="W316" s="542">
        <v>-18647</v>
      </c>
      <c r="X316" s="542">
        <v>169859</v>
      </c>
      <c r="Y316" s="542">
        <v>0</v>
      </c>
      <c r="Z316" s="542">
        <v>169859</v>
      </c>
      <c r="AA316" s="542">
        <v>-6266400</v>
      </c>
      <c r="AB316" s="542">
        <v>0</v>
      </c>
      <c r="AC316" s="542">
        <v>-6266400</v>
      </c>
      <c r="AD316" s="542">
        <v>6092584</v>
      </c>
      <c r="AE316" s="542">
        <v>0</v>
      </c>
      <c r="AF316" s="542">
        <v>6092584</v>
      </c>
      <c r="AG316" s="542">
        <v>0</v>
      </c>
      <c r="AH316" s="542">
        <v>0</v>
      </c>
      <c r="AI316" s="542">
        <v>0</v>
      </c>
      <c r="AJ316" s="542">
        <v>0</v>
      </c>
      <c r="AK316" s="542">
        <v>0</v>
      </c>
      <c r="AL316" s="542">
        <v>0</v>
      </c>
      <c r="AM316" s="542">
        <v>0</v>
      </c>
      <c r="AN316" s="542">
        <v>0</v>
      </c>
      <c r="AO316" s="542">
        <v>0</v>
      </c>
      <c r="AP316" s="542">
        <v>0</v>
      </c>
      <c r="AQ316" s="542">
        <v>0</v>
      </c>
      <c r="AR316" s="542">
        <v>0</v>
      </c>
      <c r="AS316" s="542">
        <v>0</v>
      </c>
      <c r="AT316" s="542">
        <v>0</v>
      </c>
      <c r="AU316" s="542">
        <v>0</v>
      </c>
      <c r="AV316" s="542">
        <v>445251</v>
      </c>
      <c r="AW316" s="542">
        <v>-133967</v>
      </c>
      <c r="AX316" s="136"/>
      <c r="AY316" s="136"/>
      <c r="AZ316" s="136"/>
      <c r="BA316" s="136"/>
      <c r="BB316" s="136"/>
      <c r="BC316" s="136"/>
      <c r="BD316" s="136"/>
      <c r="BE316" s="136"/>
      <c r="BF316" s="136"/>
      <c r="BG316" s="136"/>
      <c r="BH316" s="136"/>
      <c r="BI316" s="136"/>
      <c r="BJ316" s="136"/>
      <c r="BK316" s="136"/>
      <c r="BL316" s="136"/>
      <c r="BM316" s="136"/>
      <c r="BN316" s="136"/>
      <c r="BO316" s="136"/>
      <c r="BP316" s="136"/>
      <c r="BQ316" s="136"/>
      <c r="BR316" s="136"/>
      <c r="BS316" s="136"/>
      <c r="BT316" s="136"/>
      <c r="BU316" s="136"/>
      <c r="BV316" s="136"/>
      <c r="BW316" s="136"/>
      <c r="BX316" s="136"/>
      <c r="BY316" s="136"/>
      <c r="BZ316" s="136"/>
      <c r="CA316" s="136"/>
      <c r="CB316" s="136"/>
      <c r="CC316" s="136"/>
      <c r="CD316" s="136"/>
      <c r="CE316" s="136"/>
      <c r="CF316" s="136"/>
      <c r="CG316" s="136"/>
      <c r="CH316" s="136"/>
      <c r="CI316" s="136"/>
      <c r="CJ316" s="136"/>
      <c r="CK316" s="136"/>
      <c r="CL316" s="136"/>
      <c r="CM316" s="136"/>
      <c r="CN316" s="136"/>
      <c r="CO316" s="136"/>
      <c r="CP316" s="136"/>
      <c r="CQ316" s="136"/>
      <c r="CR316" s="136"/>
      <c r="CS316" s="136"/>
      <c r="CT316" s="136"/>
      <c r="CU316" s="136"/>
      <c r="CV316" s="136"/>
      <c r="CW316" s="136"/>
      <c r="CX316" s="136"/>
      <c r="CY316" s="136"/>
      <c r="CZ316" s="136"/>
      <c r="DA316" s="136"/>
      <c r="DB316" s="136"/>
      <c r="DC316" s="136"/>
      <c r="DD316" s="136"/>
      <c r="DE316" s="136"/>
      <c r="DF316" s="136"/>
      <c r="DG316" s="136"/>
      <c r="DH316" s="136"/>
      <c r="DI316" s="136"/>
      <c r="DJ316" s="136"/>
      <c r="DK316" s="136"/>
      <c r="DL316" s="136"/>
      <c r="DM316" s="136"/>
      <c r="DN316" s="136"/>
      <c r="DO316" s="136"/>
      <c r="DP316" s="136"/>
      <c r="DQ316" s="136"/>
      <c r="DR316" s="136"/>
      <c r="DS316" s="136"/>
      <c r="DT316" s="136"/>
      <c r="DU316" s="136"/>
      <c r="DV316" s="136"/>
      <c r="DW316" s="136"/>
      <c r="DX316" s="136"/>
      <c r="DY316" s="136"/>
      <c r="DZ316" s="136"/>
      <c r="EA316" s="136"/>
      <c r="EB316" s="136"/>
      <c r="EC316" s="136"/>
      <c r="ED316" s="136"/>
      <c r="EE316" s="136"/>
      <c r="EF316" s="136"/>
      <c r="EG316" s="136"/>
      <c r="EH316" s="136"/>
      <c r="EI316" s="136"/>
      <c r="EJ316" s="136"/>
      <c r="EK316" s="136"/>
      <c r="EL316" s="136"/>
      <c r="EM316" s="136"/>
      <c r="EN316" s="136"/>
      <c r="EO316" s="136"/>
      <c r="EP316" s="136"/>
      <c r="EQ316" s="136"/>
      <c r="ER316" s="136"/>
      <c r="ES316" s="136"/>
      <c r="ET316" s="136"/>
      <c r="EU316" s="136"/>
      <c r="EV316" s="136"/>
      <c r="EW316" s="136"/>
      <c r="EX316" s="136"/>
      <c r="EY316" s="136"/>
      <c r="EZ316" s="136"/>
      <c r="FA316" s="136"/>
      <c r="FB316" s="136"/>
      <c r="FC316" s="136"/>
      <c r="FD316" s="136"/>
      <c r="FE316" s="137"/>
      <c r="FF316" s="138"/>
    </row>
    <row r="317" spans="1:162" ht="12.75" x14ac:dyDescent="0.2">
      <c r="A317" s="93">
        <v>311</v>
      </c>
      <c r="B317" s="145" t="s">
        <v>500</v>
      </c>
      <c r="C317" s="141" t="s">
        <v>877</v>
      </c>
      <c r="D317" s="142" t="s">
        <v>872</v>
      </c>
      <c r="E317" s="149" t="s">
        <v>499</v>
      </c>
      <c r="F317" s="542">
        <v>1729302049</v>
      </c>
      <c r="G317" s="542">
        <v>0</v>
      </c>
      <c r="H317" s="542">
        <v>1729302049</v>
      </c>
      <c r="I317" s="542">
        <v>-342342</v>
      </c>
      <c r="J317" s="542">
        <v>0</v>
      </c>
      <c r="K317" s="542">
        <v>-342342</v>
      </c>
      <c r="L317" s="542">
        <v>2195879</v>
      </c>
      <c r="M317" s="542">
        <v>0</v>
      </c>
      <c r="N317" s="542">
        <v>2195879</v>
      </c>
      <c r="O317" s="542">
        <v>0</v>
      </c>
      <c r="P317" s="542">
        <v>0</v>
      </c>
      <c r="Q317" s="542">
        <v>0</v>
      </c>
      <c r="R317" s="542">
        <v>-12527256</v>
      </c>
      <c r="S317" s="542">
        <v>0</v>
      </c>
      <c r="T317" s="542">
        <v>-12527256</v>
      </c>
      <c r="U317" s="542">
        <v>1140000</v>
      </c>
      <c r="V317" s="542">
        <v>0</v>
      </c>
      <c r="W317" s="542">
        <v>1140000</v>
      </c>
      <c r="X317" s="542">
        <v>0</v>
      </c>
      <c r="Y317" s="542">
        <v>0</v>
      </c>
      <c r="Z317" s="542">
        <v>0</v>
      </c>
      <c r="AA317" s="542">
        <v>-133815314</v>
      </c>
      <c r="AB317" s="542">
        <v>0</v>
      </c>
      <c r="AC317" s="542">
        <v>-133815314</v>
      </c>
      <c r="AD317" s="542">
        <v>1585953016</v>
      </c>
      <c r="AE317" s="542">
        <v>0</v>
      </c>
      <c r="AF317" s="542">
        <v>1585953016</v>
      </c>
      <c r="AG317" s="542">
        <v>0</v>
      </c>
      <c r="AH317" s="542">
        <v>0</v>
      </c>
      <c r="AI317" s="542">
        <v>0</v>
      </c>
      <c r="AJ317" s="542">
        <v>0</v>
      </c>
      <c r="AK317" s="542">
        <v>0</v>
      </c>
      <c r="AL317" s="542">
        <v>0</v>
      </c>
      <c r="AM317" s="542">
        <v>0</v>
      </c>
      <c r="AN317" s="542">
        <v>0</v>
      </c>
      <c r="AO317" s="542">
        <v>0</v>
      </c>
      <c r="AP317" s="542">
        <v>0</v>
      </c>
      <c r="AQ317" s="542">
        <v>0</v>
      </c>
      <c r="AR317" s="542">
        <v>0</v>
      </c>
      <c r="AS317" s="542">
        <v>0</v>
      </c>
      <c r="AT317" s="542">
        <v>0</v>
      </c>
      <c r="AU317" s="542">
        <v>0</v>
      </c>
      <c r="AV317" s="542">
        <v>49773040</v>
      </c>
      <c r="AW317" s="542">
        <v>-126426105</v>
      </c>
      <c r="AX317" s="136"/>
      <c r="AY317" s="136"/>
      <c r="AZ317" s="136"/>
      <c r="BA317" s="136"/>
      <c r="BB317" s="136"/>
      <c r="BC317" s="136"/>
      <c r="BD317" s="136"/>
      <c r="BE317" s="136"/>
      <c r="BF317" s="136"/>
      <c r="BG317" s="136"/>
      <c r="BH317" s="136"/>
      <c r="BI317" s="136"/>
      <c r="BJ317" s="136"/>
      <c r="BK317" s="136"/>
      <c r="BL317" s="136"/>
      <c r="BM317" s="136"/>
      <c r="BN317" s="136"/>
      <c r="BO317" s="136"/>
      <c r="BP317" s="136"/>
      <c r="BQ317" s="136"/>
      <c r="BR317" s="136"/>
      <c r="BS317" s="136"/>
      <c r="BT317" s="136"/>
      <c r="BU317" s="136"/>
      <c r="BV317" s="136"/>
      <c r="BW317" s="136"/>
      <c r="BX317" s="136"/>
      <c r="BY317" s="136"/>
      <c r="BZ317" s="136"/>
      <c r="CA317" s="136"/>
      <c r="CB317" s="136"/>
      <c r="CC317" s="136"/>
      <c r="CD317" s="136"/>
      <c r="CE317" s="136"/>
      <c r="CF317" s="136"/>
      <c r="CG317" s="136"/>
      <c r="CH317" s="136"/>
      <c r="CI317" s="136"/>
      <c r="CJ317" s="136"/>
      <c r="CK317" s="136"/>
      <c r="CL317" s="136"/>
      <c r="CM317" s="136"/>
      <c r="CN317" s="136"/>
      <c r="CO317" s="136"/>
      <c r="CP317" s="136"/>
      <c r="CQ317" s="136"/>
      <c r="CR317" s="136"/>
      <c r="CS317" s="136"/>
      <c r="CT317" s="136"/>
      <c r="CU317" s="136"/>
      <c r="CV317" s="136"/>
      <c r="CW317" s="136"/>
      <c r="CX317" s="136"/>
      <c r="CY317" s="136"/>
      <c r="CZ317" s="136"/>
      <c r="DA317" s="136"/>
      <c r="DB317" s="136"/>
      <c r="DC317" s="136"/>
      <c r="DD317" s="136"/>
      <c r="DE317" s="136"/>
      <c r="DF317" s="136"/>
      <c r="DG317" s="136"/>
      <c r="DH317" s="136"/>
      <c r="DI317" s="136"/>
      <c r="DJ317" s="136"/>
      <c r="DK317" s="136"/>
      <c r="DL317" s="136"/>
      <c r="DM317" s="136"/>
      <c r="DN317" s="136"/>
      <c r="DO317" s="136"/>
      <c r="DP317" s="136"/>
      <c r="DQ317" s="136"/>
      <c r="DR317" s="136"/>
      <c r="DS317" s="136"/>
      <c r="DT317" s="136"/>
      <c r="DU317" s="136"/>
      <c r="DV317" s="136"/>
      <c r="DW317" s="136"/>
      <c r="DX317" s="136"/>
      <c r="DY317" s="136"/>
      <c r="DZ317" s="136"/>
      <c r="EA317" s="136"/>
      <c r="EB317" s="136"/>
      <c r="EC317" s="136"/>
      <c r="ED317" s="136"/>
      <c r="EE317" s="136"/>
      <c r="EF317" s="136"/>
      <c r="EG317" s="136"/>
      <c r="EH317" s="136"/>
      <c r="EI317" s="136"/>
      <c r="EJ317" s="136"/>
      <c r="EK317" s="136"/>
      <c r="EL317" s="136"/>
      <c r="EM317" s="136"/>
      <c r="EN317" s="136"/>
      <c r="EO317" s="136"/>
      <c r="EP317" s="136"/>
      <c r="EQ317" s="136"/>
      <c r="ER317" s="136"/>
      <c r="ES317" s="136"/>
      <c r="ET317" s="136"/>
      <c r="EU317" s="136"/>
      <c r="EV317" s="136"/>
      <c r="EW317" s="136"/>
      <c r="EX317" s="136"/>
      <c r="EY317" s="136"/>
      <c r="EZ317" s="136"/>
      <c r="FA317" s="136"/>
      <c r="FB317" s="136"/>
      <c r="FC317" s="136"/>
      <c r="FD317" s="136"/>
      <c r="FE317" s="137"/>
      <c r="FF317" s="138"/>
    </row>
    <row r="318" spans="1:162" ht="12.75" x14ac:dyDescent="0.2">
      <c r="A318" s="93">
        <v>312</v>
      </c>
      <c r="B318" s="145" t="s">
        <v>502</v>
      </c>
      <c r="C318" s="141" t="s">
        <v>866</v>
      </c>
      <c r="D318" s="142" t="s">
        <v>875</v>
      </c>
      <c r="E318" s="149" t="s">
        <v>736</v>
      </c>
      <c r="F318" s="542">
        <v>17459294</v>
      </c>
      <c r="G318" s="542">
        <v>0</v>
      </c>
      <c r="H318" s="542">
        <v>17459294</v>
      </c>
      <c r="I318" s="542">
        <v>0</v>
      </c>
      <c r="J318" s="542">
        <v>0</v>
      </c>
      <c r="K318" s="542">
        <v>0</v>
      </c>
      <c r="L318" s="542">
        <v>20392</v>
      </c>
      <c r="M318" s="542">
        <v>0</v>
      </c>
      <c r="N318" s="542">
        <v>20392</v>
      </c>
      <c r="O318" s="542">
        <v>-10124</v>
      </c>
      <c r="P318" s="542">
        <v>0</v>
      </c>
      <c r="Q318" s="542">
        <v>-10124</v>
      </c>
      <c r="R318" s="542">
        <v>0</v>
      </c>
      <c r="S318" s="542">
        <v>0</v>
      </c>
      <c r="T318" s="542">
        <v>0</v>
      </c>
      <c r="U318" s="542">
        <v>-142124</v>
      </c>
      <c r="V318" s="542">
        <v>0</v>
      </c>
      <c r="W318" s="542">
        <v>-142124</v>
      </c>
      <c r="X318" s="542">
        <v>0</v>
      </c>
      <c r="Y318" s="542">
        <v>0</v>
      </c>
      <c r="Z318" s="542">
        <v>0</v>
      </c>
      <c r="AA318" s="542">
        <v>-926423</v>
      </c>
      <c r="AB318" s="542">
        <v>0</v>
      </c>
      <c r="AC318" s="542">
        <v>-926423</v>
      </c>
      <c r="AD318" s="542">
        <v>16411139</v>
      </c>
      <c r="AE318" s="542">
        <v>0</v>
      </c>
      <c r="AF318" s="542">
        <v>16411139</v>
      </c>
      <c r="AG318" s="542">
        <v>0</v>
      </c>
      <c r="AH318" s="542">
        <v>0</v>
      </c>
      <c r="AI318" s="542">
        <v>0</v>
      </c>
      <c r="AJ318" s="542">
        <v>1213</v>
      </c>
      <c r="AK318" s="542">
        <v>0</v>
      </c>
      <c r="AL318" s="542">
        <v>0</v>
      </c>
      <c r="AM318" s="542">
        <v>1213</v>
      </c>
      <c r="AN318" s="542">
        <v>0</v>
      </c>
      <c r="AO318" s="542">
        <v>0</v>
      </c>
      <c r="AP318" s="542">
        <v>0</v>
      </c>
      <c r="AQ318" s="542">
        <v>0</v>
      </c>
      <c r="AR318" s="542">
        <v>0</v>
      </c>
      <c r="AS318" s="542">
        <v>0</v>
      </c>
      <c r="AT318" s="542">
        <v>0</v>
      </c>
      <c r="AU318" s="542">
        <v>0</v>
      </c>
      <c r="AV318" s="542">
        <v>1968653</v>
      </c>
      <c r="AW318" s="542">
        <v>-268801</v>
      </c>
      <c r="AX318" s="136"/>
      <c r="AY318" s="136"/>
      <c r="AZ318" s="136"/>
      <c r="BA318" s="136"/>
      <c r="BB318" s="136"/>
      <c r="BC318" s="136"/>
      <c r="BD318" s="136"/>
      <c r="BE318" s="136"/>
      <c r="BF318" s="136"/>
      <c r="BG318" s="136"/>
      <c r="BH318" s="136"/>
      <c r="BI318" s="136"/>
      <c r="BJ318" s="136"/>
      <c r="BK318" s="136"/>
      <c r="BL318" s="136"/>
      <c r="BM318" s="136"/>
      <c r="BN318" s="136"/>
      <c r="BO318" s="136"/>
      <c r="BP318" s="136"/>
      <c r="BQ318" s="136"/>
      <c r="BR318" s="136"/>
      <c r="BS318" s="136"/>
      <c r="BT318" s="136"/>
      <c r="BU318" s="136"/>
      <c r="BV318" s="136"/>
      <c r="BW318" s="136"/>
      <c r="BX318" s="136"/>
      <c r="BY318" s="136"/>
      <c r="BZ318" s="136"/>
      <c r="CA318" s="136"/>
      <c r="CB318" s="136"/>
      <c r="CC318" s="136"/>
      <c r="CD318" s="136"/>
      <c r="CE318" s="136"/>
      <c r="CF318" s="136"/>
      <c r="CG318" s="136"/>
      <c r="CH318" s="136"/>
      <c r="CI318" s="136"/>
      <c r="CJ318" s="136"/>
      <c r="CK318" s="136"/>
      <c r="CL318" s="136"/>
      <c r="CM318" s="136"/>
      <c r="CN318" s="136"/>
      <c r="CO318" s="136"/>
      <c r="CP318" s="136"/>
      <c r="CQ318" s="136"/>
      <c r="CR318" s="136"/>
      <c r="CS318" s="136"/>
      <c r="CT318" s="136"/>
      <c r="CU318" s="136"/>
      <c r="CV318" s="136"/>
      <c r="CW318" s="136"/>
      <c r="CX318" s="136"/>
      <c r="CY318" s="136"/>
      <c r="CZ318" s="136"/>
      <c r="DA318" s="136"/>
      <c r="DB318" s="136"/>
      <c r="DC318" s="136"/>
      <c r="DD318" s="136"/>
      <c r="DE318" s="136"/>
      <c r="DF318" s="136"/>
      <c r="DG318" s="136"/>
      <c r="DH318" s="136"/>
      <c r="DI318" s="136"/>
      <c r="DJ318" s="136"/>
      <c r="DK318" s="136"/>
      <c r="DL318" s="136"/>
      <c r="DM318" s="136"/>
      <c r="DN318" s="136"/>
      <c r="DO318" s="136"/>
      <c r="DP318" s="136"/>
      <c r="DQ318" s="136"/>
      <c r="DR318" s="136"/>
      <c r="DS318" s="136"/>
      <c r="DT318" s="136"/>
      <c r="DU318" s="136"/>
      <c r="DV318" s="136"/>
      <c r="DW318" s="136"/>
      <c r="DX318" s="136"/>
      <c r="DY318" s="136"/>
      <c r="DZ318" s="136"/>
      <c r="EA318" s="136"/>
      <c r="EB318" s="136"/>
      <c r="EC318" s="136"/>
      <c r="ED318" s="136"/>
      <c r="EE318" s="136"/>
      <c r="EF318" s="136"/>
      <c r="EG318" s="136"/>
      <c r="EH318" s="136"/>
      <c r="EI318" s="136"/>
      <c r="EJ318" s="136"/>
      <c r="EK318" s="136"/>
      <c r="EL318" s="136"/>
      <c r="EM318" s="136"/>
      <c r="EN318" s="136"/>
      <c r="EO318" s="136"/>
      <c r="EP318" s="136"/>
      <c r="EQ318" s="136"/>
      <c r="ER318" s="136"/>
      <c r="ES318" s="136"/>
      <c r="ET318" s="136"/>
      <c r="EU318" s="136"/>
      <c r="EV318" s="136"/>
      <c r="EW318" s="136"/>
      <c r="EX318" s="136"/>
      <c r="EY318" s="136"/>
      <c r="EZ318" s="136"/>
      <c r="FA318" s="136"/>
      <c r="FB318" s="136"/>
      <c r="FC318" s="136"/>
      <c r="FD318" s="136"/>
      <c r="FE318" s="137"/>
      <c r="FF318" s="138"/>
    </row>
    <row r="319" spans="1:162" ht="12.75" x14ac:dyDescent="0.2">
      <c r="A319" s="93">
        <v>313</v>
      </c>
      <c r="B319" s="150" t="s">
        <v>504</v>
      </c>
      <c r="C319" s="143" t="s">
        <v>873</v>
      </c>
      <c r="D319" s="144" t="s">
        <v>868</v>
      </c>
      <c r="E319" s="151" t="s">
        <v>503</v>
      </c>
      <c r="F319" s="542">
        <v>78583359</v>
      </c>
      <c r="G319" s="542">
        <v>0</v>
      </c>
      <c r="H319" s="542">
        <v>78583359</v>
      </c>
      <c r="I319" s="542">
        <v>0</v>
      </c>
      <c r="J319" s="542">
        <v>0</v>
      </c>
      <c r="K319" s="542">
        <v>0</v>
      </c>
      <c r="L319" s="542">
        <v>0</v>
      </c>
      <c r="M319" s="542">
        <v>0</v>
      </c>
      <c r="N319" s="542">
        <v>0</v>
      </c>
      <c r="O319" s="542">
        <v>-1848613</v>
      </c>
      <c r="P319" s="542">
        <v>0</v>
      </c>
      <c r="Q319" s="542">
        <v>-1848613</v>
      </c>
      <c r="R319" s="542">
        <v>0</v>
      </c>
      <c r="S319" s="542">
        <v>0</v>
      </c>
      <c r="T319" s="542">
        <v>0</v>
      </c>
      <c r="U319" s="542">
        <v>-2559707</v>
      </c>
      <c r="V319" s="542">
        <v>0</v>
      </c>
      <c r="W319" s="542">
        <v>-2559707</v>
      </c>
      <c r="X319" s="542">
        <v>3817701</v>
      </c>
      <c r="Y319" s="542">
        <v>0</v>
      </c>
      <c r="Z319" s="542">
        <v>3817701</v>
      </c>
      <c r="AA319" s="542">
        <v>-2881012</v>
      </c>
      <c r="AB319" s="542">
        <v>0</v>
      </c>
      <c r="AC319" s="542">
        <v>-2881012</v>
      </c>
      <c r="AD319" s="542">
        <v>76960341</v>
      </c>
      <c r="AE319" s="542">
        <v>0</v>
      </c>
      <c r="AF319" s="542">
        <v>76960341</v>
      </c>
      <c r="AG319" s="542">
        <v>0</v>
      </c>
      <c r="AH319" s="542">
        <v>0</v>
      </c>
      <c r="AI319" s="542">
        <v>0</v>
      </c>
      <c r="AJ319" s="542">
        <v>0</v>
      </c>
      <c r="AK319" s="542">
        <v>0</v>
      </c>
      <c r="AL319" s="542">
        <v>0</v>
      </c>
      <c r="AM319" s="542">
        <v>0</v>
      </c>
      <c r="AN319" s="542">
        <v>0</v>
      </c>
      <c r="AO319" s="542">
        <v>0</v>
      </c>
      <c r="AP319" s="542">
        <v>0</v>
      </c>
      <c r="AQ319" s="542">
        <v>0</v>
      </c>
      <c r="AR319" s="542">
        <v>0</v>
      </c>
      <c r="AS319" s="542">
        <v>0</v>
      </c>
      <c r="AT319" s="542">
        <v>0</v>
      </c>
      <c r="AU319" s="542">
        <v>0</v>
      </c>
      <c r="AV319" s="542">
        <v>6455222</v>
      </c>
      <c r="AW319" s="542">
        <v>-601548</v>
      </c>
      <c r="AX319" s="136"/>
      <c r="AY319" s="136"/>
      <c r="AZ319" s="136"/>
      <c r="BA319" s="136"/>
      <c r="BB319" s="136"/>
      <c r="BC319" s="136"/>
      <c r="BD319" s="136"/>
      <c r="BE319" s="136"/>
      <c r="BF319" s="136"/>
      <c r="BG319" s="136"/>
      <c r="BH319" s="136"/>
      <c r="BI319" s="136"/>
      <c r="BJ319" s="136"/>
      <c r="BK319" s="136"/>
      <c r="BL319" s="136"/>
      <c r="BM319" s="136"/>
      <c r="BN319" s="136"/>
      <c r="BO319" s="136"/>
      <c r="BP319" s="136"/>
      <c r="BQ319" s="136"/>
      <c r="BR319" s="136"/>
      <c r="BS319" s="136"/>
      <c r="BT319" s="136"/>
      <c r="BU319" s="136"/>
      <c r="BV319" s="136"/>
      <c r="BW319" s="136"/>
      <c r="BX319" s="136"/>
      <c r="BY319" s="136"/>
      <c r="BZ319" s="136"/>
      <c r="CA319" s="136"/>
      <c r="CB319" s="136"/>
      <c r="CC319" s="136"/>
      <c r="CD319" s="136"/>
      <c r="CE319" s="136"/>
      <c r="CF319" s="136"/>
      <c r="CG319" s="136"/>
      <c r="CH319" s="136"/>
      <c r="CI319" s="136"/>
      <c r="CJ319" s="136"/>
      <c r="CK319" s="136"/>
      <c r="CL319" s="136"/>
      <c r="CM319" s="136"/>
      <c r="CN319" s="136"/>
      <c r="CO319" s="136"/>
      <c r="CP319" s="136"/>
      <c r="CQ319" s="136"/>
      <c r="CR319" s="136"/>
      <c r="CS319" s="136"/>
      <c r="CT319" s="136"/>
      <c r="CU319" s="136"/>
      <c r="CV319" s="136"/>
      <c r="CW319" s="136"/>
      <c r="CX319" s="136"/>
      <c r="CY319" s="136"/>
      <c r="CZ319" s="136"/>
      <c r="DA319" s="136"/>
      <c r="DB319" s="136"/>
      <c r="DC319" s="136"/>
      <c r="DD319" s="136"/>
      <c r="DE319" s="136"/>
      <c r="DF319" s="136"/>
      <c r="DG319" s="136"/>
      <c r="DH319" s="136"/>
      <c r="DI319" s="136"/>
      <c r="DJ319" s="136"/>
      <c r="DK319" s="136"/>
      <c r="DL319" s="136"/>
      <c r="DM319" s="136"/>
      <c r="DN319" s="136"/>
      <c r="DO319" s="136"/>
      <c r="DP319" s="136"/>
      <c r="DQ319" s="136"/>
      <c r="DR319" s="136"/>
      <c r="DS319" s="136"/>
      <c r="DT319" s="136"/>
      <c r="DU319" s="136"/>
      <c r="DV319" s="136"/>
      <c r="DW319" s="136"/>
      <c r="DX319" s="136"/>
      <c r="DY319" s="136"/>
      <c r="DZ319" s="136"/>
      <c r="EA319" s="136"/>
      <c r="EB319" s="136"/>
      <c r="EC319" s="136"/>
      <c r="ED319" s="136"/>
      <c r="EE319" s="136"/>
      <c r="EF319" s="136"/>
      <c r="EG319" s="136"/>
      <c r="EH319" s="136"/>
      <c r="EI319" s="136"/>
      <c r="EJ319" s="136"/>
      <c r="EK319" s="136"/>
      <c r="EL319" s="136"/>
      <c r="EM319" s="136"/>
      <c r="EN319" s="136"/>
      <c r="EO319" s="136"/>
      <c r="EP319" s="136"/>
      <c r="EQ319" s="136"/>
      <c r="ER319" s="136"/>
      <c r="ES319" s="136"/>
      <c r="ET319" s="136"/>
      <c r="EU319" s="136"/>
      <c r="EV319" s="136"/>
      <c r="EW319" s="136"/>
      <c r="EX319" s="136"/>
      <c r="EY319" s="136"/>
      <c r="EZ319" s="136"/>
      <c r="FA319" s="136"/>
      <c r="FB319" s="136"/>
      <c r="FC319" s="136"/>
      <c r="FD319" s="136"/>
      <c r="FE319" s="137"/>
      <c r="FF319" s="138"/>
    </row>
    <row r="320" spans="1:162" ht="12.75" x14ac:dyDescent="0.2">
      <c r="A320" s="93">
        <v>314</v>
      </c>
      <c r="B320" s="145" t="s">
        <v>506</v>
      </c>
      <c r="C320" s="141" t="s">
        <v>770</v>
      </c>
      <c r="D320" s="142" t="s">
        <v>875</v>
      </c>
      <c r="E320" s="149" t="s">
        <v>505</v>
      </c>
      <c r="F320" s="542">
        <v>138253575</v>
      </c>
      <c r="G320" s="542">
        <v>0</v>
      </c>
      <c r="H320" s="542">
        <v>138253575</v>
      </c>
      <c r="I320" s="542">
        <v>-64332</v>
      </c>
      <c r="J320" s="542">
        <v>0</v>
      </c>
      <c r="K320" s="542">
        <v>-64332</v>
      </c>
      <c r="L320" s="542">
        <v>640725</v>
      </c>
      <c r="M320" s="542">
        <v>0</v>
      </c>
      <c r="N320" s="542">
        <v>640725</v>
      </c>
      <c r="O320" s="542">
        <v>-1235630</v>
      </c>
      <c r="P320" s="542">
        <v>0</v>
      </c>
      <c r="Q320" s="542">
        <v>-1235630</v>
      </c>
      <c r="R320" s="542">
        <v>0</v>
      </c>
      <c r="S320" s="542">
        <v>0</v>
      </c>
      <c r="T320" s="542">
        <v>0</v>
      </c>
      <c r="U320" s="542">
        <v>-1143030</v>
      </c>
      <c r="V320" s="542">
        <v>0</v>
      </c>
      <c r="W320" s="542">
        <v>-1143030</v>
      </c>
      <c r="X320" s="542">
        <v>3079755</v>
      </c>
      <c r="Y320" s="542">
        <v>0</v>
      </c>
      <c r="Z320" s="542">
        <v>3079755</v>
      </c>
      <c r="AA320" s="542">
        <v>-3455589</v>
      </c>
      <c r="AB320" s="542">
        <v>0</v>
      </c>
      <c r="AC320" s="542">
        <v>-3455589</v>
      </c>
      <c r="AD320" s="542">
        <v>137311104</v>
      </c>
      <c r="AE320" s="542">
        <v>0</v>
      </c>
      <c r="AF320" s="542">
        <v>137311104</v>
      </c>
      <c r="AG320" s="542">
        <v>0</v>
      </c>
      <c r="AH320" s="542">
        <v>0</v>
      </c>
      <c r="AI320" s="542">
        <v>0</v>
      </c>
      <c r="AJ320" s="542">
        <v>464303</v>
      </c>
      <c r="AK320" s="542">
        <v>0</v>
      </c>
      <c r="AL320" s="542">
        <v>0</v>
      </c>
      <c r="AM320" s="542">
        <v>464303</v>
      </c>
      <c r="AN320" s="542">
        <v>0</v>
      </c>
      <c r="AO320" s="542">
        <v>0</v>
      </c>
      <c r="AP320" s="542">
        <v>0</v>
      </c>
      <c r="AQ320" s="542">
        <v>0</v>
      </c>
      <c r="AR320" s="542">
        <v>0</v>
      </c>
      <c r="AS320" s="542">
        <v>0</v>
      </c>
      <c r="AT320" s="542">
        <v>0</v>
      </c>
      <c r="AU320" s="542">
        <v>0</v>
      </c>
      <c r="AV320" s="542">
        <v>5349308</v>
      </c>
      <c r="AW320" s="542">
        <v>-1544668</v>
      </c>
      <c r="AX320" s="136"/>
      <c r="AY320" s="136"/>
      <c r="AZ320" s="136"/>
      <c r="BA320" s="136"/>
      <c r="BB320" s="136"/>
      <c r="BC320" s="136"/>
      <c r="BD320" s="136"/>
      <c r="BE320" s="136"/>
      <c r="BF320" s="136"/>
      <c r="BG320" s="136"/>
      <c r="BH320" s="136"/>
      <c r="BI320" s="136"/>
      <c r="BJ320" s="136"/>
      <c r="BK320" s="136"/>
      <c r="BL320" s="136"/>
      <c r="BM320" s="136"/>
      <c r="BN320" s="136"/>
      <c r="BO320" s="136"/>
      <c r="BP320" s="136"/>
      <c r="BQ320" s="136"/>
      <c r="BR320" s="136"/>
      <c r="BS320" s="136"/>
      <c r="BT320" s="136"/>
      <c r="BU320" s="136"/>
      <c r="BV320" s="136"/>
      <c r="BW320" s="136"/>
      <c r="BX320" s="136"/>
      <c r="BY320" s="136"/>
      <c r="BZ320" s="136"/>
      <c r="CA320" s="136"/>
      <c r="CB320" s="136"/>
      <c r="CC320" s="136"/>
      <c r="CD320" s="136"/>
      <c r="CE320" s="136"/>
      <c r="CF320" s="136"/>
      <c r="CG320" s="136"/>
      <c r="CH320" s="136"/>
      <c r="CI320" s="136"/>
      <c r="CJ320" s="136"/>
      <c r="CK320" s="136"/>
      <c r="CL320" s="136"/>
      <c r="CM320" s="136"/>
      <c r="CN320" s="136"/>
      <c r="CO320" s="136"/>
      <c r="CP320" s="136"/>
      <c r="CQ320" s="136"/>
      <c r="CR320" s="136"/>
      <c r="CS320" s="136"/>
      <c r="CT320" s="136"/>
      <c r="CU320" s="136"/>
      <c r="CV320" s="136"/>
      <c r="CW320" s="136"/>
      <c r="CX320" s="136"/>
      <c r="CY320" s="136"/>
      <c r="CZ320" s="136"/>
      <c r="DA320" s="136"/>
      <c r="DB320" s="136"/>
      <c r="DC320" s="136"/>
      <c r="DD320" s="136"/>
      <c r="DE320" s="136"/>
      <c r="DF320" s="136"/>
      <c r="DG320" s="136"/>
      <c r="DH320" s="136"/>
      <c r="DI320" s="136"/>
      <c r="DJ320" s="136"/>
      <c r="DK320" s="136"/>
      <c r="DL320" s="136"/>
      <c r="DM320" s="136"/>
      <c r="DN320" s="136"/>
      <c r="DO320" s="136"/>
      <c r="DP320" s="136"/>
      <c r="DQ320" s="136"/>
      <c r="DR320" s="136"/>
      <c r="DS320" s="136"/>
      <c r="DT320" s="136"/>
      <c r="DU320" s="136"/>
      <c r="DV320" s="136"/>
      <c r="DW320" s="136"/>
      <c r="DX320" s="136"/>
      <c r="DY320" s="136"/>
      <c r="DZ320" s="136"/>
      <c r="EA320" s="136"/>
      <c r="EB320" s="136"/>
      <c r="EC320" s="136"/>
      <c r="ED320" s="136"/>
      <c r="EE320" s="136"/>
      <c r="EF320" s="136"/>
      <c r="EG320" s="136"/>
      <c r="EH320" s="136"/>
      <c r="EI320" s="136"/>
      <c r="EJ320" s="136"/>
      <c r="EK320" s="136"/>
      <c r="EL320" s="136"/>
      <c r="EM320" s="136"/>
      <c r="EN320" s="136"/>
      <c r="EO320" s="136"/>
      <c r="EP320" s="136"/>
      <c r="EQ320" s="136"/>
      <c r="ER320" s="136"/>
      <c r="ES320" s="136"/>
      <c r="ET320" s="136"/>
      <c r="EU320" s="136"/>
      <c r="EV320" s="136"/>
      <c r="EW320" s="136"/>
      <c r="EX320" s="136"/>
      <c r="EY320" s="136"/>
      <c r="EZ320" s="136"/>
      <c r="FA320" s="136"/>
      <c r="FB320" s="136"/>
      <c r="FC320" s="136"/>
      <c r="FD320" s="136"/>
      <c r="FE320" s="137"/>
      <c r="FF320" s="138"/>
    </row>
    <row r="321" spans="1:167" ht="12.75" x14ac:dyDescent="0.2">
      <c r="A321" s="93">
        <v>315</v>
      </c>
      <c r="B321" s="145" t="s">
        <v>508</v>
      </c>
      <c r="C321" s="141" t="s">
        <v>866</v>
      </c>
      <c r="D321" s="142" t="s">
        <v>867</v>
      </c>
      <c r="E321" s="149" t="s">
        <v>507</v>
      </c>
      <c r="F321" s="542">
        <v>55114507</v>
      </c>
      <c r="G321" s="542">
        <v>0</v>
      </c>
      <c r="H321" s="542">
        <v>55114507</v>
      </c>
      <c r="I321" s="542">
        <v>-12032</v>
      </c>
      <c r="J321" s="542">
        <v>0</v>
      </c>
      <c r="K321" s="542">
        <v>-12032</v>
      </c>
      <c r="L321" s="542">
        <v>177204</v>
      </c>
      <c r="M321" s="542">
        <v>0</v>
      </c>
      <c r="N321" s="542">
        <v>177204</v>
      </c>
      <c r="O321" s="542">
        <v>-25267</v>
      </c>
      <c r="P321" s="542">
        <v>0</v>
      </c>
      <c r="Q321" s="542">
        <v>-25267</v>
      </c>
      <c r="R321" s="542">
        <v>0</v>
      </c>
      <c r="S321" s="542">
        <v>0</v>
      </c>
      <c r="T321" s="542">
        <v>0</v>
      </c>
      <c r="U321" s="542">
        <v>-187379</v>
      </c>
      <c r="V321" s="542">
        <v>0</v>
      </c>
      <c r="W321" s="542">
        <v>-187379</v>
      </c>
      <c r="X321" s="542">
        <v>989937</v>
      </c>
      <c r="Y321" s="542">
        <v>0</v>
      </c>
      <c r="Z321" s="542">
        <v>989937</v>
      </c>
      <c r="AA321" s="542">
        <v>-2951056</v>
      </c>
      <c r="AB321" s="542">
        <v>0</v>
      </c>
      <c r="AC321" s="542">
        <v>-2951056</v>
      </c>
      <c r="AD321" s="542">
        <v>53131181</v>
      </c>
      <c r="AE321" s="542">
        <v>0</v>
      </c>
      <c r="AF321" s="542">
        <v>53131181</v>
      </c>
      <c r="AG321" s="542">
        <v>0</v>
      </c>
      <c r="AH321" s="542">
        <v>0</v>
      </c>
      <c r="AI321" s="542">
        <v>0</v>
      </c>
      <c r="AJ321" s="542">
        <v>85452</v>
      </c>
      <c r="AK321" s="542">
        <v>0</v>
      </c>
      <c r="AL321" s="542">
        <v>0</v>
      </c>
      <c r="AM321" s="542">
        <v>85452</v>
      </c>
      <c r="AN321" s="542">
        <v>0</v>
      </c>
      <c r="AO321" s="542">
        <v>0</v>
      </c>
      <c r="AP321" s="542">
        <v>0</v>
      </c>
      <c r="AQ321" s="542">
        <v>0</v>
      </c>
      <c r="AR321" s="542">
        <v>0</v>
      </c>
      <c r="AS321" s="542">
        <v>0</v>
      </c>
      <c r="AT321" s="542">
        <v>0</v>
      </c>
      <c r="AU321" s="542">
        <v>0</v>
      </c>
      <c r="AV321" s="542">
        <v>2228390</v>
      </c>
      <c r="AW321" s="542">
        <v>-1490017</v>
      </c>
      <c r="AX321" s="136"/>
      <c r="AY321" s="136"/>
      <c r="AZ321" s="136"/>
      <c r="BA321" s="136"/>
      <c r="BB321" s="136"/>
      <c r="BC321" s="136"/>
      <c r="BD321" s="136"/>
      <c r="BE321" s="136"/>
      <c r="BF321" s="136"/>
      <c r="BG321" s="136"/>
      <c r="BH321" s="136"/>
      <c r="BI321" s="136"/>
      <c r="BJ321" s="136"/>
      <c r="BK321" s="136"/>
      <c r="BL321" s="136"/>
      <c r="BM321" s="136"/>
      <c r="BN321" s="136"/>
      <c r="BO321" s="136"/>
      <c r="BP321" s="136"/>
      <c r="BQ321" s="136"/>
      <c r="BR321" s="136"/>
      <c r="BS321" s="136"/>
      <c r="BT321" s="136"/>
      <c r="BU321" s="136"/>
      <c r="BV321" s="136"/>
      <c r="BW321" s="136"/>
      <c r="BX321" s="136"/>
      <c r="BY321" s="136"/>
      <c r="BZ321" s="136"/>
      <c r="CA321" s="136"/>
      <c r="CB321" s="136"/>
      <c r="CC321" s="136"/>
      <c r="CD321" s="136"/>
      <c r="CE321" s="136"/>
      <c r="CF321" s="136"/>
      <c r="CG321" s="136"/>
      <c r="CH321" s="136"/>
      <c r="CI321" s="136"/>
      <c r="CJ321" s="136"/>
      <c r="CK321" s="136"/>
      <c r="CL321" s="136"/>
      <c r="CM321" s="136"/>
      <c r="CN321" s="136"/>
      <c r="CO321" s="136"/>
      <c r="CP321" s="136"/>
      <c r="CQ321" s="136"/>
      <c r="CR321" s="136"/>
      <c r="CS321" s="136"/>
      <c r="CT321" s="136"/>
      <c r="CU321" s="136"/>
      <c r="CV321" s="136"/>
      <c r="CW321" s="136"/>
      <c r="CX321" s="136"/>
      <c r="CY321" s="136"/>
      <c r="CZ321" s="136"/>
      <c r="DA321" s="136"/>
      <c r="DB321" s="136"/>
      <c r="DC321" s="136"/>
      <c r="DD321" s="136"/>
      <c r="DE321" s="136"/>
      <c r="DF321" s="136"/>
      <c r="DG321" s="136"/>
      <c r="DH321" s="136"/>
      <c r="DI321" s="136"/>
      <c r="DJ321" s="136"/>
      <c r="DK321" s="136"/>
      <c r="DL321" s="136"/>
      <c r="DM321" s="136"/>
      <c r="DN321" s="136"/>
      <c r="DO321" s="136"/>
      <c r="DP321" s="136"/>
      <c r="DQ321" s="136"/>
      <c r="DR321" s="136"/>
      <c r="DS321" s="136"/>
      <c r="DT321" s="136"/>
      <c r="DU321" s="136"/>
      <c r="DV321" s="136"/>
      <c r="DW321" s="136"/>
      <c r="DX321" s="136"/>
      <c r="DY321" s="136"/>
      <c r="DZ321" s="136"/>
      <c r="EA321" s="136"/>
      <c r="EB321" s="136"/>
      <c r="EC321" s="136"/>
      <c r="ED321" s="136"/>
      <c r="EE321" s="136"/>
      <c r="EF321" s="136"/>
      <c r="EG321" s="136"/>
      <c r="EH321" s="136"/>
      <c r="EI321" s="136"/>
      <c r="EJ321" s="136"/>
      <c r="EK321" s="136"/>
      <c r="EL321" s="136"/>
      <c r="EM321" s="136"/>
      <c r="EN321" s="136"/>
      <c r="EO321" s="136"/>
      <c r="EP321" s="136"/>
      <c r="EQ321" s="136"/>
      <c r="ER321" s="136"/>
      <c r="ES321" s="136"/>
      <c r="ET321" s="136"/>
      <c r="EU321" s="136"/>
      <c r="EV321" s="136"/>
      <c r="EW321" s="136"/>
      <c r="EX321" s="136"/>
      <c r="EY321" s="136"/>
      <c r="EZ321" s="136"/>
      <c r="FA321" s="136"/>
      <c r="FB321" s="136"/>
      <c r="FC321" s="136"/>
      <c r="FD321" s="136"/>
      <c r="FE321" s="137"/>
      <c r="FF321" s="138"/>
    </row>
    <row r="322" spans="1:167" ht="12.75" x14ac:dyDescent="0.2">
      <c r="A322" s="93">
        <v>316</v>
      </c>
      <c r="B322" s="145" t="s">
        <v>510</v>
      </c>
      <c r="C322" s="141" t="s">
        <v>770</v>
      </c>
      <c r="D322" s="142" t="s">
        <v>867</v>
      </c>
      <c r="E322" s="149" t="s">
        <v>737</v>
      </c>
      <c r="F322" s="542">
        <v>77478322</v>
      </c>
      <c r="G322" s="542">
        <v>0</v>
      </c>
      <c r="H322" s="542">
        <v>77478322</v>
      </c>
      <c r="I322" s="542">
        <v>-2257</v>
      </c>
      <c r="J322" s="542">
        <v>0</v>
      </c>
      <c r="K322" s="542">
        <v>-2257</v>
      </c>
      <c r="L322" s="542">
        <v>0</v>
      </c>
      <c r="M322" s="542">
        <v>0</v>
      </c>
      <c r="N322" s="542">
        <v>0</v>
      </c>
      <c r="O322" s="542">
        <v>-1295137</v>
      </c>
      <c r="P322" s="542">
        <v>0</v>
      </c>
      <c r="Q322" s="542">
        <v>-1295137</v>
      </c>
      <c r="R322" s="542">
        <v>0</v>
      </c>
      <c r="S322" s="542">
        <v>0</v>
      </c>
      <c r="T322" s="542">
        <v>0</v>
      </c>
      <c r="U322" s="542">
        <v>-835782</v>
      </c>
      <c r="V322" s="542">
        <v>0</v>
      </c>
      <c r="W322" s="542">
        <v>-835782</v>
      </c>
      <c r="X322" s="542">
        <v>0</v>
      </c>
      <c r="Y322" s="542">
        <v>0</v>
      </c>
      <c r="Z322" s="542">
        <v>0</v>
      </c>
      <c r="AA322" s="542">
        <v>90654</v>
      </c>
      <c r="AB322" s="542">
        <v>0</v>
      </c>
      <c r="AC322" s="542">
        <v>90654</v>
      </c>
      <c r="AD322" s="542">
        <v>76730937</v>
      </c>
      <c r="AE322" s="542">
        <v>0</v>
      </c>
      <c r="AF322" s="542">
        <v>76730937</v>
      </c>
      <c r="AG322" s="542">
        <v>0</v>
      </c>
      <c r="AH322" s="542">
        <v>0</v>
      </c>
      <c r="AI322" s="542">
        <v>0</v>
      </c>
      <c r="AJ322" s="542">
        <v>7159</v>
      </c>
      <c r="AK322" s="542">
        <v>0</v>
      </c>
      <c r="AL322" s="542">
        <v>0</v>
      </c>
      <c r="AM322" s="542">
        <v>7159</v>
      </c>
      <c r="AN322" s="542">
        <v>0</v>
      </c>
      <c r="AO322" s="542">
        <v>0</v>
      </c>
      <c r="AP322" s="542">
        <v>0</v>
      </c>
      <c r="AQ322" s="542">
        <v>0</v>
      </c>
      <c r="AR322" s="542">
        <v>0</v>
      </c>
      <c r="AS322" s="542">
        <v>0</v>
      </c>
      <c r="AT322" s="542">
        <v>0</v>
      </c>
      <c r="AU322" s="542">
        <v>0</v>
      </c>
      <c r="AV322" s="542">
        <v>3861233</v>
      </c>
      <c r="AW322" s="542">
        <v>-1054299</v>
      </c>
      <c r="AX322" s="136"/>
      <c r="AY322" s="136"/>
      <c r="AZ322" s="136"/>
      <c r="BA322" s="136"/>
      <c r="BB322" s="136"/>
      <c r="BC322" s="136"/>
      <c r="BD322" s="136"/>
      <c r="BE322" s="136"/>
      <c r="BF322" s="136"/>
      <c r="BG322" s="136"/>
      <c r="BH322" s="136"/>
      <c r="BI322" s="136"/>
      <c r="BJ322" s="136"/>
      <c r="BK322" s="136"/>
      <c r="BL322" s="136"/>
      <c r="BM322" s="136"/>
      <c r="BN322" s="136"/>
      <c r="BO322" s="136"/>
      <c r="BP322" s="136"/>
      <c r="BQ322" s="136"/>
      <c r="BR322" s="136"/>
      <c r="BS322" s="136"/>
      <c r="BT322" s="136"/>
      <c r="BU322" s="136"/>
      <c r="BV322" s="136"/>
      <c r="BW322" s="136"/>
      <c r="BX322" s="136"/>
      <c r="BY322" s="136"/>
      <c r="BZ322" s="136"/>
      <c r="CA322" s="136"/>
      <c r="CB322" s="136"/>
      <c r="CC322" s="136"/>
      <c r="CD322" s="136"/>
      <c r="CE322" s="136"/>
      <c r="CF322" s="136"/>
      <c r="CG322" s="136"/>
      <c r="CH322" s="136"/>
      <c r="CI322" s="136"/>
      <c r="CJ322" s="136"/>
      <c r="CK322" s="136"/>
      <c r="CL322" s="136"/>
      <c r="CM322" s="136"/>
      <c r="CN322" s="136"/>
      <c r="CO322" s="136"/>
      <c r="CP322" s="136"/>
      <c r="CQ322" s="136"/>
      <c r="CR322" s="136"/>
      <c r="CS322" s="136"/>
      <c r="CT322" s="136"/>
      <c r="CU322" s="136"/>
      <c r="CV322" s="136"/>
      <c r="CW322" s="136"/>
      <c r="CX322" s="136"/>
      <c r="CY322" s="136"/>
      <c r="CZ322" s="136"/>
      <c r="DA322" s="136"/>
      <c r="DB322" s="136"/>
      <c r="DC322" s="136"/>
      <c r="DD322" s="136"/>
      <c r="DE322" s="136"/>
      <c r="DF322" s="136"/>
      <c r="DG322" s="136"/>
      <c r="DH322" s="136"/>
      <c r="DI322" s="136"/>
      <c r="DJ322" s="136"/>
      <c r="DK322" s="136"/>
      <c r="DL322" s="136"/>
      <c r="DM322" s="136"/>
      <c r="DN322" s="136"/>
      <c r="DO322" s="136"/>
      <c r="DP322" s="136"/>
      <c r="DQ322" s="136"/>
      <c r="DR322" s="136"/>
      <c r="DS322" s="136"/>
      <c r="DT322" s="136"/>
      <c r="DU322" s="136"/>
      <c r="DV322" s="136"/>
      <c r="DW322" s="136"/>
      <c r="DX322" s="136"/>
      <c r="DY322" s="136"/>
      <c r="DZ322" s="136"/>
      <c r="EA322" s="136"/>
      <c r="EB322" s="136"/>
      <c r="EC322" s="136"/>
      <c r="ED322" s="136"/>
      <c r="EE322" s="136"/>
      <c r="EF322" s="136"/>
      <c r="EG322" s="136"/>
      <c r="EH322" s="136"/>
      <c r="EI322" s="136"/>
      <c r="EJ322" s="136"/>
      <c r="EK322" s="136"/>
      <c r="EL322" s="136"/>
      <c r="EM322" s="136"/>
      <c r="EN322" s="136"/>
      <c r="EO322" s="136"/>
      <c r="EP322" s="136"/>
      <c r="EQ322" s="136"/>
      <c r="ER322" s="136"/>
      <c r="ES322" s="136"/>
      <c r="ET322" s="136"/>
      <c r="EU322" s="136"/>
      <c r="EV322" s="136"/>
      <c r="EW322" s="136"/>
      <c r="EX322" s="136"/>
      <c r="EY322" s="136"/>
      <c r="EZ322" s="136"/>
      <c r="FA322" s="136"/>
      <c r="FB322" s="136"/>
      <c r="FC322" s="136"/>
      <c r="FD322" s="136"/>
      <c r="FE322" s="137"/>
      <c r="FF322" s="138"/>
    </row>
    <row r="323" spans="1:167" ht="12.75" x14ac:dyDescent="0.2">
      <c r="A323" s="93">
        <v>317</v>
      </c>
      <c r="B323" s="145" t="s">
        <v>512</v>
      </c>
      <c r="C323" s="141" t="s">
        <v>873</v>
      </c>
      <c r="D323" s="142" t="s">
        <v>868</v>
      </c>
      <c r="E323" s="149" t="s">
        <v>511</v>
      </c>
      <c r="F323" s="542">
        <v>69223359</v>
      </c>
      <c r="G323" s="542">
        <v>0</v>
      </c>
      <c r="H323" s="542">
        <v>69223359</v>
      </c>
      <c r="I323" s="542">
        <v>-4010</v>
      </c>
      <c r="J323" s="542">
        <v>0</v>
      </c>
      <c r="K323" s="542">
        <v>-4010</v>
      </c>
      <c r="L323" s="542">
        <v>291968</v>
      </c>
      <c r="M323" s="542">
        <v>0</v>
      </c>
      <c r="N323" s="542">
        <v>291968</v>
      </c>
      <c r="O323" s="542">
        <v>-1327268</v>
      </c>
      <c r="P323" s="542">
        <v>0</v>
      </c>
      <c r="Q323" s="542">
        <v>-1327268</v>
      </c>
      <c r="R323" s="542">
        <v>0</v>
      </c>
      <c r="S323" s="542">
        <v>0</v>
      </c>
      <c r="T323" s="542">
        <v>0</v>
      </c>
      <c r="U323" s="542">
        <v>-1233320</v>
      </c>
      <c r="V323" s="542">
        <v>0</v>
      </c>
      <c r="W323" s="542">
        <v>-1233320</v>
      </c>
      <c r="X323" s="542">
        <v>791503</v>
      </c>
      <c r="Y323" s="542">
        <v>0</v>
      </c>
      <c r="Z323" s="542">
        <v>791503</v>
      </c>
      <c r="AA323" s="542">
        <v>-2967682</v>
      </c>
      <c r="AB323" s="542">
        <v>0</v>
      </c>
      <c r="AC323" s="542">
        <v>-2967682</v>
      </c>
      <c r="AD323" s="542">
        <v>66101818</v>
      </c>
      <c r="AE323" s="542">
        <v>0</v>
      </c>
      <c r="AF323" s="542">
        <v>66101818</v>
      </c>
      <c r="AG323" s="542">
        <v>0</v>
      </c>
      <c r="AH323" s="542">
        <v>0</v>
      </c>
      <c r="AI323" s="542">
        <v>0</v>
      </c>
      <c r="AJ323" s="542">
        <v>0</v>
      </c>
      <c r="AK323" s="542">
        <v>0</v>
      </c>
      <c r="AL323" s="542">
        <v>0</v>
      </c>
      <c r="AM323" s="542">
        <v>0</v>
      </c>
      <c r="AN323" s="542">
        <v>0</v>
      </c>
      <c r="AO323" s="542">
        <v>0</v>
      </c>
      <c r="AP323" s="542">
        <v>0</v>
      </c>
      <c r="AQ323" s="542">
        <v>2861</v>
      </c>
      <c r="AR323" s="542">
        <v>0</v>
      </c>
      <c r="AS323" s="542">
        <v>0</v>
      </c>
      <c r="AT323" s="542">
        <v>0</v>
      </c>
      <c r="AU323" s="542">
        <v>0</v>
      </c>
      <c r="AV323" s="542">
        <v>5516855</v>
      </c>
      <c r="AW323" s="542">
        <v>-996202</v>
      </c>
      <c r="AX323" s="136"/>
      <c r="AY323" s="136"/>
      <c r="AZ323" s="136"/>
      <c r="BA323" s="136"/>
      <c r="BB323" s="136"/>
      <c r="BC323" s="136"/>
      <c r="BD323" s="136"/>
      <c r="BE323" s="136"/>
      <c r="BF323" s="136"/>
      <c r="BG323" s="136"/>
      <c r="BH323" s="136"/>
      <c r="BI323" s="136"/>
      <c r="BJ323" s="136"/>
      <c r="BK323" s="136"/>
      <c r="BL323" s="136"/>
      <c r="BM323" s="136"/>
      <c r="BN323" s="136"/>
      <c r="BO323" s="136"/>
      <c r="BP323" s="136"/>
      <c r="BQ323" s="136"/>
      <c r="BR323" s="136"/>
      <c r="BS323" s="136"/>
      <c r="BT323" s="136"/>
      <c r="BU323" s="136"/>
      <c r="BV323" s="136"/>
      <c r="BW323" s="136"/>
      <c r="BX323" s="136"/>
      <c r="BY323" s="136"/>
      <c r="BZ323" s="136"/>
      <c r="CA323" s="136"/>
      <c r="CB323" s="136"/>
      <c r="CC323" s="136"/>
      <c r="CD323" s="136"/>
      <c r="CE323" s="136"/>
      <c r="CF323" s="136"/>
      <c r="CG323" s="136"/>
      <c r="CH323" s="136"/>
      <c r="CI323" s="136"/>
      <c r="CJ323" s="136"/>
      <c r="CK323" s="136"/>
      <c r="CL323" s="136"/>
      <c r="CM323" s="136"/>
      <c r="CN323" s="136"/>
      <c r="CO323" s="136"/>
      <c r="CP323" s="136"/>
      <c r="CQ323" s="136"/>
      <c r="CR323" s="136"/>
      <c r="CS323" s="136"/>
      <c r="CT323" s="136"/>
      <c r="CU323" s="136"/>
      <c r="CV323" s="136"/>
      <c r="CW323" s="136"/>
      <c r="CX323" s="136"/>
      <c r="CY323" s="136"/>
      <c r="CZ323" s="136"/>
      <c r="DA323" s="136"/>
      <c r="DB323" s="136"/>
      <c r="DC323" s="136"/>
      <c r="DD323" s="136"/>
      <c r="DE323" s="136"/>
      <c r="DF323" s="136"/>
      <c r="DG323" s="136"/>
      <c r="DH323" s="136"/>
      <c r="DI323" s="136"/>
      <c r="DJ323" s="136"/>
      <c r="DK323" s="136"/>
      <c r="DL323" s="136"/>
      <c r="DM323" s="136"/>
      <c r="DN323" s="136"/>
      <c r="DO323" s="136"/>
      <c r="DP323" s="136"/>
      <c r="DQ323" s="136"/>
      <c r="DR323" s="136"/>
      <c r="DS323" s="136"/>
      <c r="DT323" s="136"/>
      <c r="DU323" s="136"/>
      <c r="DV323" s="136"/>
      <c r="DW323" s="136"/>
      <c r="DX323" s="136"/>
      <c r="DY323" s="136"/>
      <c r="DZ323" s="136"/>
      <c r="EA323" s="136"/>
      <c r="EB323" s="136"/>
      <c r="EC323" s="136"/>
      <c r="ED323" s="136"/>
      <c r="EE323" s="136"/>
      <c r="EF323" s="136"/>
      <c r="EG323" s="136"/>
      <c r="EH323" s="136"/>
      <c r="EI323" s="136"/>
      <c r="EJ323" s="136"/>
      <c r="EK323" s="136"/>
      <c r="EL323" s="136"/>
      <c r="EM323" s="136"/>
      <c r="EN323" s="136"/>
      <c r="EO323" s="136"/>
      <c r="EP323" s="136"/>
      <c r="EQ323" s="136"/>
      <c r="ER323" s="136"/>
      <c r="ES323" s="136"/>
      <c r="ET323" s="136"/>
      <c r="EU323" s="136"/>
      <c r="EV323" s="136"/>
      <c r="EW323" s="136"/>
      <c r="EX323" s="136"/>
      <c r="EY323" s="136"/>
      <c r="EZ323" s="136"/>
      <c r="FA323" s="136"/>
      <c r="FB323" s="136"/>
      <c r="FC323" s="136"/>
      <c r="FD323" s="136"/>
      <c r="FE323" s="137"/>
      <c r="FF323" s="138"/>
    </row>
    <row r="324" spans="1:167" ht="12.75" x14ac:dyDescent="0.2">
      <c r="A324" s="93">
        <v>318</v>
      </c>
      <c r="B324" s="145" t="s">
        <v>514</v>
      </c>
      <c r="C324" s="141" t="s">
        <v>866</v>
      </c>
      <c r="D324" s="142" t="s">
        <v>867</v>
      </c>
      <c r="E324" s="149" t="s">
        <v>513</v>
      </c>
      <c r="F324" s="542">
        <v>45174740</v>
      </c>
      <c r="G324" s="542">
        <v>0</v>
      </c>
      <c r="H324" s="542">
        <v>45174740</v>
      </c>
      <c r="I324" s="542">
        <v>-5554</v>
      </c>
      <c r="J324" s="542">
        <v>0</v>
      </c>
      <c r="K324" s="542">
        <v>-5554</v>
      </c>
      <c r="L324" s="542">
        <v>322524</v>
      </c>
      <c r="M324" s="542">
        <v>0</v>
      </c>
      <c r="N324" s="542">
        <v>322524</v>
      </c>
      <c r="O324" s="542">
        <v>0</v>
      </c>
      <c r="P324" s="542">
        <v>0</v>
      </c>
      <c r="Q324" s="542">
        <v>0</v>
      </c>
      <c r="R324" s="542">
        <v>-497424</v>
      </c>
      <c r="S324" s="542">
        <v>0</v>
      </c>
      <c r="T324" s="542">
        <v>-497424</v>
      </c>
      <c r="U324" s="542">
        <v>-614000</v>
      </c>
      <c r="V324" s="542">
        <v>0</v>
      </c>
      <c r="W324" s="542">
        <v>-614000</v>
      </c>
      <c r="X324" s="542">
        <v>2699956</v>
      </c>
      <c r="Y324" s="542">
        <v>0</v>
      </c>
      <c r="Z324" s="542">
        <v>2699956</v>
      </c>
      <c r="AA324" s="542">
        <v>-4599956</v>
      </c>
      <c r="AB324" s="542">
        <v>0</v>
      </c>
      <c r="AC324" s="542">
        <v>-4599956</v>
      </c>
      <c r="AD324" s="542">
        <v>42480286</v>
      </c>
      <c r="AE324" s="542">
        <v>0</v>
      </c>
      <c r="AF324" s="542">
        <v>42480286</v>
      </c>
      <c r="AG324" s="542">
        <v>0</v>
      </c>
      <c r="AH324" s="542">
        <v>0</v>
      </c>
      <c r="AI324" s="542">
        <v>0</v>
      </c>
      <c r="AJ324" s="542">
        <v>0</v>
      </c>
      <c r="AK324" s="542">
        <v>0</v>
      </c>
      <c r="AL324" s="542">
        <v>0</v>
      </c>
      <c r="AM324" s="542">
        <v>0</v>
      </c>
      <c r="AN324" s="542">
        <v>0</v>
      </c>
      <c r="AO324" s="542">
        <v>0</v>
      </c>
      <c r="AP324" s="542">
        <v>0</v>
      </c>
      <c r="AQ324" s="542">
        <v>0</v>
      </c>
      <c r="AR324" s="542">
        <v>0</v>
      </c>
      <c r="AS324" s="542">
        <v>0</v>
      </c>
      <c r="AT324" s="542">
        <v>0</v>
      </c>
      <c r="AU324" s="542">
        <v>0</v>
      </c>
      <c r="AV324" s="542">
        <v>2674259</v>
      </c>
      <c r="AW324" s="542">
        <v>-925171</v>
      </c>
      <c r="AX324" s="136"/>
      <c r="AY324" s="136"/>
      <c r="AZ324" s="136"/>
      <c r="BA324" s="136"/>
      <c r="BB324" s="136"/>
      <c r="BC324" s="136"/>
      <c r="BD324" s="136"/>
      <c r="BE324" s="136"/>
      <c r="BF324" s="136"/>
      <c r="BG324" s="136"/>
      <c r="BH324" s="136"/>
      <c r="BI324" s="136"/>
      <c r="BJ324" s="136"/>
      <c r="BK324" s="136"/>
      <c r="BL324" s="136"/>
      <c r="BM324" s="136"/>
      <c r="BN324" s="136"/>
      <c r="BO324" s="136"/>
      <c r="BP324" s="136"/>
      <c r="BQ324" s="136"/>
      <c r="BR324" s="136"/>
      <c r="BS324" s="136"/>
      <c r="BT324" s="136"/>
      <c r="BU324" s="136"/>
      <c r="BV324" s="136"/>
      <c r="BW324" s="136"/>
      <c r="BX324" s="136"/>
      <c r="BY324" s="136"/>
      <c r="BZ324" s="136"/>
      <c r="CA324" s="136"/>
      <c r="CB324" s="136"/>
      <c r="CC324" s="136"/>
      <c r="CD324" s="136"/>
      <c r="CE324" s="136"/>
      <c r="CF324" s="136"/>
      <c r="CG324" s="136"/>
      <c r="CH324" s="136"/>
      <c r="CI324" s="136"/>
      <c r="CJ324" s="136"/>
      <c r="CK324" s="136"/>
      <c r="CL324" s="136"/>
      <c r="CM324" s="136"/>
      <c r="CN324" s="136"/>
      <c r="CO324" s="136"/>
      <c r="CP324" s="136"/>
      <c r="CQ324" s="136"/>
      <c r="CR324" s="136"/>
      <c r="CS324" s="136"/>
      <c r="CT324" s="136"/>
      <c r="CU324" s="136"/>
      <c r="CV324" s="136"/>
      <c r="CW324" s="136"/>
      <c r="CX324" s="136"/>
      <c r="CY324" s="136"/>
      <c r="CZ324" s="136"/>
      <c r="DA324" s="136"/>
      <c r="DB324" s="136"/>
      <c r="DC324" s="136"/>
      <c r="DD324" s="136"/>
      <c r="DE324" s="136"/>
      <c r="DF324" s="136"/>
      <c r="DG324" s="136"/>
      <c r="DH324" s="136"/>
      <c r="DI324" s="136"/>
      <c r="DJ324" s="136"/>
      <c r="DK324" s="136"/>
      <c r="DL324" s="136"/>
      <c r="DM324" s="136"/>
      <c r="DN324" s="136"/>
      <c r="DO324" s="136"/>
      <c r="DP324" s="136"/>
      <c r="DQ324" s="136"/>
      <c r="DR324" s="136"/>
      <c r="DS324" s="136"/>
      <c r="DT324" s="136"/>
      <c r="DU324" s="136"/>
      <c r="DV324" s="136"/>
      <c r="DW324" s="136"/>
      <c r="DX324" s="136"/>
      <c r="DY324" s="136"/>
      <c r="DZ324" s="136"/>
      <c r="EA324" s="136"/>
      <c r="EB324" s="136"/>
      <c r="EC324" s="136"/>
      <c r="ED324" s="136"/>
      <c r="EE324" s="136"/>
      <c r="EF324" s="136"/>
      <c r="EG324" s="136"/>
      <c r="EH324" s="136"/>
      <c r="EI324" s="136"/>
      <c r="EJ324" s="136"/>
      <c r="EK324" s="136"/>
      <c r="EL324" s="136"/>
      <c r="EM324" s="136"/>
      <c r="EN324" s="136"/>
      <c r="EO324" s="136"/>
      <c r="EP324" s="136"/>
      <c r="EQ324" s="136"/>
      <c r="ER324" s="136"/>
      <c r="ES324" s="136"/>
      <c r="ET324" s="136"/>
      <c r="EU324" s="136"/>
      <c r="EV324" s="136"/>
      <c r="EW324" s="136"/>
      <c r="EX324" s="136"/>
      <c r="EY324" s="136"/>
      <c r="EZ324" s="136"/>
      <c r="FA324" s="136"/>
      <c r="FB324" s="136"/>
      <c r="FC324" s="136"/>
      <c r="FD324" s="136"/>
      <c r="FE324" s="137"/>
      <c r="FF324" s="138"/>
    </row>
    <row r="325" spans="1:167" ht="12.75" x14ac:dyDescent="0.2">
      <c r="A325" s="93">
        <v>319</v>
      </c>
      <c r="B325" s="145" t="s">
        <v>516</v>
      </c>
      <c r="C325" s="141" t="s">
        <v>770</v>
      </c>
      <c r="D325" s="142" t="s">
        <v>867</v>
      </c>
      <c r="E325" s="149" t="s">
        <v>738</v>
      </c>
      <c r="F325" s="542">
        <v>56889713</v>
      </c>
      <c r="G325" s="542">
        <v>0</v>
      </c>
      <c r="H325" s="542">
        <v>56889713</v>
      </c>
      <c r="I325" s="542">
        <v>0</v>
      </c>
      <c r="J325" s="542">
        <v>0</v>
      </c>
      <c r="K325" s="542">
        <v>0</v>
      </c>
      <c r="L325" s="542">
        <v>54820</v>
      </c>
      <c r="M325" s="542">
        <v>0</v>
      </c>
      <c r="N325" s="542">
        <v>54820</v>
      </c>
      <c r="O325" s="542">
        <v>-208209</v>
      </c>
      <c r="P325" s="542">
        <v>0</v>
      </c>
      <c r="Q325" s="542">
        <v>-208209</v>
      </c>
      <c r="R325" s="542">
        <v>0</v>
      </c>
      <c r="S325" s="542">
        <v>0</v>
      </c>
      <c r="T325" s="542">
        <v>0</v>
      </c>
      <c r="U325" s="542">
        <v>0</v>
      </c>
      <c r="V325" s="542">
        <v>0</v>
      </c>
      <c r="W325" s="542">
        <v>0</v>
      </c>
      <c r="X325" s="542">
        <v>746199</v>
      </c>
      <c r="Y325" s="542">
        <v>0</v>
      </c>
      <c r="Z325" s="542">
        <v>746199</v>
      </c>
      <c r="AA325" s="542">
        <v>-1115199</v>
      </c>
      <c r="AB325" s="542">
        <v>0</v>
      </c>
      <c r="AC325" s="542">
        <v>-1115199</v>
      </c>
      <c r="AD325" s="542">
        <v>56575533</v>
      </c>
      <c r="AE325" s="542">
        <v>0</v>
      </c>
      <c r="AF325" s="542">
        <v>56575533</v>
      </c>
      <c r="AG325" s="542">
        <v>0</v>
      </c>
      <c r="AH325" s="542">
        <v>0</v>
      </c>
      <c r="AI325" s="542">
        <v>0</v>
      </c>
      <c r="AJ325" s="542">
        <v>0</v>
      </c>
      <c r="AK325" s="542">
        <v>0</v>
      </c>
      <c r="AL325" s="542">
        <v>0</v>
      </c>
      <c r="AM325" s="542">
        <v>0</v>
      </c>
      <c r="AN325" s="542">
        <v>0</v>
      </c>
      <c r="AO325" s="542">
        <v>0</v>
      </c>
      <c r="AP325" s="542">
        <v>0</v>
      </c>
      <c r="AQ325" s="542">
        <v>0</v>
      </c>
      <c r="AR325" s="542">
        <v>0</v>
      </c>
      <c r="AS325" s="542">
        <v>0</v>
      </c>
      <c r="AT325" s="542">
        <v>0</v>
      </c>
      <c r="AU325" s="542">
        <v>0</v>
      </c>
      <c r="AV325" s="542">
        <v>2531720</v>
      </c>
      <c r="AW325" s="542">
        <v>-2726727</v>
      </c>
      <c r="AX325" s="136"/>
      <c r="AY325" s="136"/>
      <c r="AZ325" s="136"/>
      <c r="BA325" s="136"/>
      <c r="BB325" s="136"/>
      <c r="BC325" s="136"/>
      <c r="BD325" s="136"/>
      <c r="BE325" s="136"/>
      <c r="BF325" s="136"/>
      <c r="BG325" s="136"/>
      <c r="BH325" s="136"/>
      <c r="BI325" s="136"/>
      <c r="BJ325" s="136"/>
      <c r="BK325" s="136"/>
      <c r="BL325" s="136"/>
      <c r="BM325" s="136"/>
      <c r="BN325" s="136"/>
      <c r="BO325" s="136"/>
      <c r="BP325" s="136"/>
      <c r="BQ325" s="136"/>
      <c r="BR325" s="136"/>
      <c r="BS325" s="136"/>
      <c r="BT325" s="136"/>
      <c r="BU325" s="136"/>
      <c r="BV325" s="136"/>
      <c r="BW325" s="136"/>
      <c r="BX325" s="136"/>
      <c r="BY325" s="136"/>
      <c r="BZ325" s="136"/>
      <c r="CA325" s="136"/>
      <c r="CB325" s="136"/>
      <c r="CC325" s="136"/>
      <c r="CD325" s="136"/>
      <c r="CE325" s="136"/>
      <c r="CF325" s="136"/>
      <c r="CG325" s="136"/>
      <c r="CH325" s="136"/>
      <c r="CI325" s="136"/>
      <c r="CJ325" s="136"/>
      <c r="CK325" s="136"/>
      <c r="CL325" s="136"/>
      <c r="CM325" s="136"/>
      <c r="CN325" s="136"/>
      <c r="CO325" s="136"/>
      <c r="CP325" s="136"/>
      <c r="CQ325" s="136"/>
      <c r="CR325" s="136"/>
      <c r="CS325" s="136"/>
      <c r="CT325" s="136"/>
      <c r="CU325" s="136"/>
      <c r="CV325" s="136"/>
      <c r="CW325" s="136"/>
      <c r="CX325" s="136"/>
      <c r="CY325" s="136"/>
      <c r="CZ325" s="136"/>
      <c r="DA325" s="136"/>
      <c r="DB325" s="136"/>
      <c r="DC325" s="136"/>
      <c r="DD325" s="136"/>
      <c r="DE325" s="136"/>
      <c r="DF325" s="136"/>
      <c r="DG325" s="136"/>
      <c r="DH325" s="136"/>
      <c r="DI325" s="136"/>
      <c r="DJ325" s="136"/>
      <c r="DK325" s="136"/>
      <c r="DL325" s="136"/>
      <c r="DM325" s="136"/>
      <c r="DN325" s="136"/>
      <c r="DO325" s="136"/>
      <c r="DP325" s="136"/>
      <c r="DQ325" s="136"/>
      <c r="DR325" s="136"/>
      <c r="DS325" s="136"/>
      <c r="DT325" s="136"/>
      <c r="DU325" s="136"/>
      <c r="DV325" s="136"/>
      <c r="DW325" s="136"/>
      <c r="DX325" s="136"/>
      <c r="DY325" s="136"/>
      <c r="DZ325" s="136"/>
      <c r="EA325" s="136"/>
      <c r="EB325" s="136"/>
      <c r="EC325" s="136"/>
      <c r="ED325" s="136"/>
      <c r="EE325" s="136"/>
      <c r="EF325" s="136"/>
      <c r="EG325" s="136"/>
      <c r="EH325" s="136"/>
      <c r="EI325" s="136"/>
      <c r="EJ325" s="136"/>
      <c r="EK325" s="136"/>
      <c r="EL325" s="136"/>
      <c r="EM325" s="136"/>
      <c r="EN325" s="136"/>
      <c r="EO325" s="136"/>
      <c r="EP325" s="136"/>
      <c r="EQ325" s="136"/>
      <c r="ER325" s="136"/>
      <c r="ES325" s="136"/>
      <c r="ET325" s="136"/>
      <c r="EU325" s="136"/>
      <c r="EV325" s="136"/>
      <c r="EW325" s="136"/>
      <c r="EX325" s="136"/>
      <c r="EY325" s="136"/>
      <c r="EZ325" s="136"/>
      <c r="FA325" s="136"/>
      <c r="FB325" s="136"/>
      <c r="FC325" s="136"/>
      <c r="FD325" s="136"/>
      <c r="FE325" s="137"/>
      <c r="FF325" s="138"/>
    </row>
    <row r="326" spans="1:167" ht="12.75" x14ac:dyDescent="0.2">
      <c r="A326" s="93">
        <v>320</v>
      </c>
      <c r="B326" s="145" t="s">
        <v>518</v>
      </c>
      <c r="C326" s="141" t="s">
        <v>873</v>
      </c>
      <c r="D326" s="142" t="s">
        <v>876</v>
      </c>
      <c r="E326" s="149" t="s">
        <v>517</v>
      </c>
      <c r="F326" s="542">
        <v>73779383</v>
      </c>
      <c r="G326" s="542">
        <v>87362</v>
      </c>
      <c r="H326" s="542">
        <v>73866745</v>
      </c>
      <c r="I326" s="542">
        <v>-17028</v>
      </c>
      <c r="J326" s="542">
        <v>0</v>
      </c>
      <c r="K326" s="542">
        <v>-17028</v>
      </c>
      <c r="L326" s="542">
        <v>220952</v>
      </c>
      <c r="M326" s="542">
        <v>0</v>
      </c>
      <c r="N326" s="542">
        <v>220952</v>
      </c>
      <c r="O326" s="542">
        <v>-1169727</v>
      </c>
      <c r="P326" s="542">
        <v>0</v>
      </c>
      <c r="Q326" s="542">
        <v>-1169727</v>
      </c>
      <c r="R326" s="542">
        <v>0</v>
      </c>
      <c r="S326" s="542">
        <v>0</v>
      </c>
      <c r="T326" s="542">
        <v>0</v>
      </c>
      <c r="U326" s="542">
        <v>-1060510</v>
      </c>
      <c r="V326" s="542">
        <v>0</v>
      </c>
      <c r="W326" s="542">
        <v>-1060510</v>
      </c>
      <c r="X326" s="542">
        <v>1648841</v>
      </c>
      <c r="Y326" s="542">
        <v>0</v>
      </c>
      <c r="Z326" s="542">
        <v>1648841</v>
      </c>
      <c r="AA326" s="542">
        <v>-8182644</v>
      </c>
      <c r="AB326" s="542">
        <v>0</v>
      </c>
      <c r="AC326" s="542">
        <v>-8182644</v>
      </c>
      <c r="AD326" s="542">
        <v>66388994</v>
      </c>
      <c r="AE326" s="542">
        <v>87362</v>
      </c>
      <c r="AF326" s="542">
        <v>66476356</v>
      </c>
      <c r="AG326" s="542">
        <v>87362</v>
      </c>
      <c r="AH326" s="542">
        <v>0</v>
      </c>
      <c r="AI326" s="542">
        <v>87362</v>
      </c>
      <c r="AJ326" s="542">
        <v>0</v>
      </c>
      <c r="AK326" s="542">
        <v>0</v>
      </c>
      <c r="AL326" s="542">
        <v>0</v>
      </c>
      <c r="AM326" s="542">
        <v>0</v>
      </c>
      <c r="AN326" s="542">
        <v>0</v>
      </c>
      <c r="AO326" s="542">
        <v>0</v>
      </c>
      <c r="AP326" s="542">
        <v>0</v>
      </c>
      <c r="AQ326" s="542">
        <v>86889</v>
      </c>
      <c r="AR326" s="542">
        <v>0</v>
      </c>
      <c r="AS326" s="542">
        <v>473</v>
      </c>
      <c r="AT326" s="542">
        <v>0</v>
      </c>
      <c r="AU326" s="542">
        <v>473</v>
      </c>
      <c r="AV326" s="542">
        <v>6924501</v>
      </c>
      <c r="AW326" s="542">
        <v>-1033090</v>
      </c>
      <c r="AX326" s="136"/>
      <c r="AY326" s="136"/>
      <c r="AZ326" s="136"/>
      <c r="BA326" s="136"/>
      <c r="BB326" s="136"/>
      <c r="BC326" s="136"/>
      <c r="BD326" s="136"/>
      <c r="BE326" s="136"/>
      <c r="BF326" s="136"/>
      <c r="BG326" s="136"/>
      <c r="BH326" s="136"/>
      <c r="BI326" s="136"/>
      <c r="BJ326" s="136"/>
      <c r="BK326" s="136"/>
      <c r="BL326" s="136"/>
      <c r="BM326" s="136"/>
      <c r="BN326" s="136"/>
      <c r="BO326" s="136"/>
      <c r="BP326" s="136"/>
      <c r="BQ326" s="136"/>
      <c r="BR326" s="136"/>
      <c r="BS326" s="136"/>
      <c r="BT326" s="136"/>
      <c r="BU326" s="136"/>
      <c r="BV326" s="136"/>
      <c r="BW326" s="136"/>
      <c r="BX326" s="136"/>
      <c r="BY326" s="136"/>
      <c r="BZ326" s="136"/>
      <c r="CA326" s="136"/>
      <c r="CB326" s="136"/>
      <c r="CC326" s="136"/>
      <c r="CD326" s="136"/>
      <c r="CE326" s="136"/>
      <c r="CF326" s="136"/>
      <c r="CG326" s="136"/>
      <c r="CH326" s="136"/>
      <c r="CI326" s="136"/>
      <c r="CJ326" s="136"/>
      <c r="CK326" s="136"/>
      <c r="CL326" s="136"/>
      <c r="CM326" s="136"/>
      <c r="CN326" s="136"/>
      <c r="CO326" s="136"/>
      <c r="CP326" s="136"/>
      <c r="CQ326" s="136"/>
      <c r="CR326" s="136"/>
      <c r="CS326" s="136"/>
      <c r="CT326" s="136"/>
      <c r="CU326" s="136"/>
      <c r="CV326" s="136"/>
      <c r="CW326" s="136"/>
      <c r="CX326" s="136"/>
      <c r="CY326" s="136"/>
      <c r="CZ326" s="136"/>
      <c r="DA326" s="136"/>
      <c r="DB326" s="136"/>
      <c r="DC326" s="136"/>
      <c r="DD326" s="136"/>
      <c r="DE326" s="136"/>
      <c r="DF326" s="136"/>
      <c r="DG326" s="136"/>
      <c r="DH326" s="136"/>
      <c r="DI326" s="136"/>
      <c r="DJ326" s="136"/>
      <c r="DK326" s="136"/>
      <c r="DL326" s="136"/>
      <c r="DM326" s="136"/>
      <c r="DN326" s="136"/>
      <c r="DO326" s="136"/>
      <c r="DP326" s="136"/>
      <c r="DQ326" s="136"/>
      <c r="DR326" s="136"/>
      <c r="DS326" s="136"/>
      <c r="DT326" s="136"/>
      <c r="DU326" s="136"/>
      <c r="DV326" s="136"/>
      <c r="DW326" s="136"/>
      <c r="DX326" s="136"/>
      <c r="DY326" s="136"/>
      <c r="DZ326" s="136"/>
      <c r="EA326" s="136"/>
      <c r="EB326" s="136"/>
      <c r="EC326" s="136"/>
      <c r="ED326" s="136"/>
      <c r="EE326" s="136"/>
      <c r="EF326" s="136"/>
      <c r="EG326" s="136"/>
      <c r="EH326" s="136"/>
      <c r="EI326" s="136"/>
      <c r="EJ326" s="136"/>
      <c r="EK326" s="136"/>
      <c r="EL326" s="136"/>
      <c r="EM326" s="136"/>
      <c r="EN326" s="136"/>
      <c r="EO326" s="136"/>
      <c r="EP326" s="136"/>
      <c r="EQ326" s="136"/>
      <c r="ER326" s="136"/>
      <c r="ES326" s="136"/>
      <c r="ET326" s="136"/>
      <c r="EU326" s="136"/>
      <c r="EV326" s="136"/>
      <c r="EW326" s="136"/>
      <c r="EX326" s="136"/>
      <c r="EY326" s="136"/>
      <c r="EZ326" s="136"/>
      <c r="FA326" s="136"/>
      <c r="FB326" s="136"/>
      <c r="FC326" s="136"/>
      <c r="FD326" s="136"/>
      <c r="FE326" s="137"/>
      <c r="FF326" s="138"/>
    </row>
    <row r="327" spans="1:167" ht="12.75" x14ac:dyDescent="0.2">
      <c r="A327" s="93">
        <v>321</v>
      </c>
      <c r="B327" s="145" t="s">
        <v>520</v>
      </c>
      <c r="C327" s="141" t="s">
        <v>866</v>
      </c>
      <c r="D327" s="142" t="s">
        <v>876</v>
      </c>
      <c r="E327" s="149" t="s">
        <v>519</v>
      </c>
      <c r="F327" s="542">
        <v>39867760</v>
      </c>
      <c r="G327" s="542">
        <v>0</v>
      </c>
      <c r="H327" s="542">
        <v>39867760</v>
      </c>
      <c r="I327" s="542">
        <v>0</v>
      </c>
      <c r="J327" s="542">
        <v>0</v>
      </c>
      <c r="K327" s="542">
        <v>0</v>
      </c>
      <c r="L327" s="542">
        <v>126028</v>
      </c>
      <c r="M327" s="542">
        <v>0</v>
      </c>
      <c r="N327" s="542">
        <v>126028</v>
      </c>
      <c r="O327" s="542">
        <v>-168099</v>
      </c>
      <c r="P327" s="542">
        <v>0</v>
      </c>
      <c r="Q327" s="542">
        <v>-168099</v>
      </c>
      <c r="R327" s="542">
        <v>0</v>
      </c>
      <c r="S327" s="542">
        <v>0</v>
      </c>
      <c r="T327" s="542">
        <v>0</v>
      </c>
      <c r="U327" s="542">
        <v>-168099</v>
      </c>
      <c r="V327" s="542">
        <v>0</v>
      </c>
      <c r="W327" s="542">
        <v>-168099</v>
      </c>
      <c r="X327" s="542">
        <v>590921</v>
      </c>
      <c r="Y327" s="542">
        <v>0</v>
      </c>
      <c r="Z327" s="542">
        <v>590921</v>
      </c>
      <c r="AA327" s="542">
        <v>-4552131</v>
      </c>
      <c r="AB327" s="542">
        <v>0</v>
      </c>
      <c r="AC327" s="542">
        <v>-4552131</v>
      </c>
      <c r="AD327" s="542">
        <v>35864479</v>
      </c>
      <c r="AE327" s="542">
        <v>0</v>
      </c>
      <c r="AF327" s="542">
        <v>35864479</v>
      </c>
      <c r="AG327" s="542">
        <v>0</v>
      </c>
      <c r="AH327" s="542">
        <v>0</v>
      </c>
      <c r="AI327" s="542">
        <v>0</v>
      </c>
      <c r="AJ327" s="542">
        <v>0</v>
      </c>
      <c r="AK327" s="542">
        <v>0</v>
      </c>
      <c r="AL327" s="542">
        <v>0</v>
      </c>
      <c r="AM327" s="542">
        <v>0</v>
      </c>
      <c r="AN327" s="542">
        <v>0</v>
      </c>
      <c r="AO327" s="542">
        <v>0</v>
      </c>
      <c r="AP327" s="542">
        <v>0</v>
      </c>
      <c r="AQ327" s="542">
        <v>0</v>
      </c>
      <c r="AR327" s="542">
        <v>0</v>
      </c>
      <c r="AS327" s="542">
        <v>0</v>
      </c>
      <c r="AT327" s="542">
        <v>0</v>
      </c>
      <c r="AU327" s="542">
        <v>0</v>
      </c>
      <c r="AV327" s="542">
        <v>1227825</v>
      </c>
      <c r="AW327" s="542">
        <v>-620774</v>
      </c>
      <c r="AX327" s="136"/>
      <c r="AY327" s="136"/>
      <c r="AZ327" s="136"/>
      <c r="BA327" s="136"/>
      <c r="BB327" s="136"/>
      <c r="BC327" s="136"/>
      <c r="BD327" s="136"/>
      <c r="BE327" s="136"/>
      <c r="BF327" s="136"/>
      <c r="BG327" s="136"/>
      <c r="BH327" s="136"/>
      <c r="BI327" s="136"/>
      <c r="BJ327" s="136"/>
      <c r="BK327" s="136"/>
      <c r="BL327" s="136"/>
      <c r="BM327" s="136"/>
      <c r="BN327" s="136"/>
      <c r="BO327" s="136"/>
      <c r="BP327" s="136"/>
      <c r="BQ327" s="136"/>
      <c r="BR327" s="136"/>
      <c r="BS327" s="136"/>
      <c r="BT327" s="136"/>
      <c r="BU327" s="136"/>
      <c r="BV327" s="136"/>
      <c r="BW327" s="136"/>
      <c r="BX327" s="136"/>
      <c r="BY327" s="136"/>
      <c r="BZ327" s="136"/>
      <c r="CA327" s="136"/>
      <c r="CB327" s="136"/>
      <c r="CC327" s="136"/>
      <c r="CD327" s="136"/>
      <c r="CE327" s="136"/>
      <c r="CF327" s="136"/>
      <c r="CG327" s="136"/>
      <c r="CH327" s="136"/>
      <c r="CI327" s="136"/>
      <c r="CJ327" s="136"/>
      <c r="CK327" s="136"/>
      <c r="CL327" s="136"/>
      <c r="CM327" s="136"/>
      <c r="CN327" s="136"/>
      <c r="CO327" s="136"/>
      <c r="CP327" s="136"/>
      <c r="CQ327" s="136"/>
      <c r="CR327" s="136"/>
      <c r="CS327" s="136"/>
      <c r="CT327" s="136"/>
      <c r="CU327" s="136"/>
      <c r="CV327" s="136"/>
      <c r="CW327" s="136"/>
      <c r="CX327" s="136"/>
      <c r="CY327" s="136"/>
      <c r="CZ327" s="136"/>
      <c r="DA327" s="136"/>
      <c r="DB327" s="136"/>
      <c r="DC327" s="136"/>
      <c r="DD327" s="136"/>
      <c r="DE327" s="136"/>
      <c r="DF327" s="136"/>
      <c r="DG327" s="136"/>
      <c r="DH327" s="136"/>
      <c r="DI327" s="136"/>
      <c r="DJ327" s="136"/>
      <c r="DK327" s="136"/>
      <c r="DL327" s="136"/>
      <c r="DM327" s="136"/>
      <c r="DN327" s="136"/>
      <c r="DO327" s="136"/>
      <c r="DP327" s="136"/>
      <c r="DQ327" s="136"/>
      <c r="DR327" s="136"/>
      <c r="DS327" s="136"/>
      <c r="DT327" s="136"/>
      <c r="DU327" s="136"/>
      <c r="DV327" s="136"/>
      <c r="DW327" s="136"/>
      <c r="DX327" s="136"/>
      <c r="DY327" s="136"/>
      <c r="DZ327" s="136"/>
      <c r="EA327" s="136"/>
      <c r="EB327" s="136"/>
      <c r="EC327" s="136"/>
      <c r="ED327" s="136"/>
      <c r="EE327" s="136"/>
      <c r="EF327" s="136"/>
      <c r="EG327" s="136"/>
      <c r="EH327" s="136"/>
      <c r="EI327" s="136"/>
      <c r="EJ327" s="136"/>
      <c r="EK327" s="136"/>
      <c r="EL327" s="136"/>
      <c r="EM327" s="136"/>
      <c r="EN327" s="136"/>
      <c r="EO327" s="136"/>
      <c r="EP327" s="136"/>
      <c r="EQ327" s="136"/>
      <c r="ER327" s="136"/>
      <c r="ES327" s="136"/>
      <c r="ET327" s="136"/>
      <c r="EU327" s="136"/>
      <c r="EV327" s="136"/>
      <c r="EW327" s="136"/>
      <c r="EX327" s="136"/>
      <c r="EY327" s="136"/>
      <c r="EZ327" s="136"/>
      <c r="FA327" s="136"/>
      <c r="FB327" s="136"/>
      <c r="FC327" s="136"/>
      <c r="FD327" s="136"/>
      <c r="FE327" s="137"/>
      <c r="FF327" s="138"/>
    </row>
    <row r="328" spans="1:167" ht="12.75" x14ac:dyDescent="0.2">
      <c r="A328" s="93">
        <v>322</v>
      </c>
      <c r="B328" s="145" t="s">
        <v>522</v>
      </c>
      <c r="C328" s="141" t="s">
        <v>866</v>
      </c>
      <c r="D328" s="142" t="s">
        <v>867</v>
      </c>
      <c r="E328" s="149" t="s">
        <v>521</v>
      </c>
      <c r="F328" s="542">
        <v>30696885</v>
      </c>
      <c r="G328" s="542">
        <v>0</v>
      </c>
      <c r="H328" s="542">
        <v>30696885</v>
      </c>
      <c r="I328" s="542">
        <v>0</v>
      </c>
      <c r="J328" s="542">
        <v>0</v>
      </c>
      <c r="K328" s="542">
        <v>0</v>
      </c>
      <c r="L328" s="542">
        <v>46654</v>
      </c>
      <c r="M328" s="542">
        <v>0</v>
      </c>
      <c r="N328" s="542">
        <v>46654</v>
      </c>
      <c r="O328" s="542">
        <v>-114622</v>
      </c>
      <c r="P328" s="542">
        <v>0</v>
      </c>
      <c r="Q328" s="542">
        <v>-114622</v>
      </c>
      <c r="R328" s="542">
        <v>0</v>
      </c>
      <c r="S328" s="542">
        <v>0</v>
      </c>
      <c r="T328" s="542">
        <v>0</v>
      </c>
      <c r="U328" s="542">
        <v>-179219</v>
      </c>
      <c r="V328" s="542">
        <v>0</v>
      </c>
      <c r="W328" s="542">
        <v>-179219</v>
      </c>
      <c r="X328" s="542">
        <v>876520</v>
      </c>
      <c r="Y328" s="542">
        <v>0</v>
      </c>
      <c r="Z328" s="542">
        <v>876520</v>
      </c>
      <c r="AA328" s="542">
        <v>-1952003</v>
      </c>
      <c r="AB328" s="542">
        <v>0</v>
      </c>
      <c r="AC328" s="542">
        <v>-1952003</v>
      </c>
      <c r="AD328" s="542">
        <v>29488837</v>
      </c>
      <c r="AE328" s="542">
        <v>0</v>
      </c>
      <c r="AF328" s="542">
        <v>29488837</v>
      </c>
      <c r="AG328" s="542">
        <v>0</v>
      </c>
      <c r="AH328" s="542">
        <v>0</v>
      </c>
      <c r="AI328" s="542">
        <v>0</v>
      </c>
      <c r="AJ328" s="542">
        <v>0</v>
      </c>
      <c r="AK328" s="542">
        <v>0</v>
      </c>
      <c r="AL328" s="542">
        <v>0</v>
      </c>
      <c r="AM328" s="542">
        <v>0</v>
      </c>
      <c r="AN328" s="542">
        <v>0</v>
      </c>
      <c r="AO328" s="542">
        <v>0</v>
      </c>
      <c r="AP328" s="542">
        <v>0</v>
      </c>
      <c r="AQ328" s="542">
        <v>0</v>
      </c>
      <c r="AR328" s="542">
        <v>0</v>
      </c>
      <c r="AS328" s="542">
        <v>0</v>
      </c>
      <c r="AT328" s="542">
        <v>0</v>
      </c>
      <c r="AU328" s="542">
        <v>0</v>
      </c>
      <c r="AV328" s="542">
        <v>1572337</v>
      </c>
      <c r="AW328" s="542">
        <v>-449559</v>
      </c>
      <c r="AX328" s="136"/>
      <c r="AY328" s="136"/>
      <c r="AZ328" s="136"/>
      <c r="BA328" s="136"/>
      <c r="BB328" s="136"/>
      <c r="BC328" s="136"/>
      <c r="BD328" s="136"/>
      <c r="BE328" s="136"/>
      <c r="BF328" s="136"/>
      <c r="BG328" s="136"/>
      <c r="BH328" s="136"/>
      <c r="BI328" s="136"/>
      <c r="BJ328" s="136"/>
      <c r="BK328" s="136"/>
      <c r="BL328" s="136"/>
      <c r="BM328" s="136"/>
      <c r="BN328" s="136"/>
      <c r="BO328" s="136"/>
      <c r="BP328" s="136"/>
      <c r="BQ328" s="136"/>
      <c r="BR328" s="136"/>
      <c r="BS328" s="136"/>
      <c r="BT328" s="136"/>
      <c r="BU328" s="136"/>
      <c r="BV328" s="136"/>
      <c r="BW328" s="136"/>
      <c r="BX328" s="136"/>
      <c r="BY328" s="136"/>
      <c r="BZ328" s="136"/>
      <c r="CA328" s="136"/>
      <c r="CB328" s="136"/>
      <c r="CC328" s="136"/>
      <c r="CD328" s="136"/>
      <c r="CE328" s="136"/>
      <c r="CF328" s="136"/>
      <c r="CG328" s="136"/>
      <c r="CH328" s="136"/>
      <c r="CI328" s="136"/>
      <c r="CJ328" s="136"/>
      <c r="CK328" s="136"/>
      <c r="CL328" s="136"/>
      <c r="CM328" s="136"/>
      <c r="CN328" s="136"/>
      <c r="CO328" s="136"/>
      <c r="CP328" s="136"/>
      <c r="CQ328" s="136"/>
      <c r="CR328" s="136"/>
      <c r="CS328" s="136"/>
      <c r="CT328" s="136"/>
      <c r="CU328" s="136"/>
      <c r="CV328" s="136"/>
      <c r="CW328" s="136"/>
      <c r="CX328" s="136"/>
      <c r="CY328" s="136"/>
      <c r="CZ328" s="136"/>
      <c r="DA328" s="136"/>
      <c r="DB328" s="136"/>
      <c r="DC328" s="136"/>
      <c r="DD328" s="136"/>
      <c r="DE328" s="136"/>
      <c r="DF328" s="136"/>
      <c r="DG328" s="136"/>
      <c r="DH328" s="136"/>
      <c r="DI328" s="136"/>
      <c r="DJ328" s="136"/>
      <c r="DK328" s="136"/>
      <c r="DL328" s="136"/>
      <c r="DM328" s="136"/>
      <c r="DN328" s="136"/>
      <c r="DO328" s="136"/>
      <c r="DP328" s="136"/>
      <c r="DQ328" s="136"/>
      <c r="DR328" s="136"/>
      <c r="DS328" s="136"/>
      <c r="DT328" s="136"/>
      <c r="DU328" s="136"/>
      <c r="DV328" s="136"/>
      <c r="DW328" s="136"/>
      <c r="DX328" s="136"/>
      <c r="DY328" s="136"/>
      <c r="DZ328" s="136"/>
      <c r="EA328" s="136"/>
      <c r="EB328" s="136"/>
      <c r="EC328" s="136"/>
      <c r="ED328" s="136"/>
      <c r="EE328" s="136"/>
      <c r="EF328" s="136"/>
      <c r="EG328" s="136"/>
      <c r="EH328" s="136"/>
      <c r="EI328" s="136"/>
      <c r="EJ328" s="136"/>
      <c r="EK328" s="136"/>
      <c r="EL328" s="136"/>
      <c r="EM328" s="136"/>
      <c r="EN328" s="136"/>
      <c r="EO328" s="136"/>
      <c r="EP328" s="136"/>
      <c r="EQ328" s="136"/>
      <c r="ER328" s="136"/>
      <c r="ES328" s="136"/>
      <c r="ET328" s="136"/>
      <c r="EU328" s="136"/>
      <c r="EV328" s="136"/>
      <c r="EW328" s="136"/>
      <c r="EX328" s="136"/>
      <c r="EY328" s="136"/>
      <c r="EZ328" s="136"/>
      <c r="FA328" s="136"/>
      <c r="FB328" s="136"/>
      <c r="FC328" s="136"/>
      <c r="FD328" s="136"/>
      <c r="FE328" s="137"/>
      <c r="FF328" s="138"/>
    </row>
    <row r="329" spans="1:167" ht="12.75" x14ac:dyDescent="0.2">
      <c r="A329" s="93">
        <v>323</v>
      </c>
      <c r="B329" s="145" t="s">
        <v>524</v>
      </c>
      <c r="C329" s="141" t="s">
        <v>866</v>
      </c>
      <c r="D329" s="142" t="s">
        <v>876</v>
      </c>
      <c r="E329" s="149" t="s">
        <v>523</v>
      </c>
      <c r="F329" s="542">
        <v>39421998</v>
      </c>
      <c r="G329" s="542">
        <v>0</v>
      </c>
      <c r="H329" s="542">
        <v>39421998</v>
      </c>
      <c r="I329" s="542">
        <v>0</v>
      </c>
      <c r="J329" s="542">
        <v>0</v>
      </c>
      <c r="K329" s="542">
        <v>0</v>
      </c>
      <c r="L329" s="542">
        <v>56142</v>
      </c>
      <c r="M329" s="542">
        <v>0</v>
      </c>
      <c r="N329" s="542">
        <v>56142</v>
      </c>
      <c r="O329" s="542">
        <v>-195000</v>
      </c>
      <c r="P329" s="542">
        <v>0</v>
      </c>
      <c r="Q329" s="542">
        <v>-195000</v>
      </c>
      <c r="R329" s="542">
        <v>-47658</v>
      </c>
      <c r="S329" s="542">
        <v>0</v>
      </c>
      <c r="T329" s="542">
        <v>-47658</v>
      </c>
      <c r="U329" s="542">
        <v>-195000</v>
      </c>
      <c r="V329" s="542">
        <v>0</v>
      </c>
      <c r="W329" s="542">
        <v>-195000</v>
      </c>
      <c r="X329" s="542">
        <v>610117</v>
      </c>
      <c r="Y329" s="542">
        <v>0</v>
      </c>
      <c r="Z329" s="542">
        <v>610117</v>
      </c>
      <c r="AA329" s="542">
        <v>-4951330</v>
      </c>
      <c r="AB329" s="542">
        <v>0</v>
      </c>
      <c r="AC329" s="542">
        <v>-4951330</v>
      </c>
      <c r="AD329" s="542">
        <v>34894269</v>
      </c>
      <c r="AE329" s="542">
        <v>0</v>
      </c>
      <c r="AF329" s="542">
        <v>34894269</v>
      </c>
      <c r="AG329" s="542">
        <v>0</v>
      </c>
      <c r="AH329" s="542">
        <v>0</v>
      </c>
      <c r="AI329" s="542">
        <v>0</v>
      </c>
      <c r="AJ329" s="542">
        <v>23313</v>
      </c>
      <c r="AK329" s="542">
        <v>0</v>
      </c>
      <c r="AL329" s="542">
        <v>0</v>
      </c>
      <c r="AM329" s="542">
        <v>23313</v>
      </c>
      <c r="AN329" s="542">
        <v>0</v>
      </c>
      <c r="AO329" s="542">
        <v>0</v>
      </c>
      <c r="AP329" s="542">
        <v>0</v>
      </c>
      <c r="AQ329" s="542">
        <v>0</v>
      </c>
      <c r="AR329" s="542">
        <v>0</v>
      </c>
      <c r="AS329" s="542">
        <v>0</v>
      </c>
      <c r="AT329" s="542">
        <v>0</v>
      </c>
      <c r="AU329" s="542">
        <v>0</v>
      </c>
      <c r="AV329" s="542">
        <v>821026</v>
      </c>
      <c r="AW329" s="542">
        <v>-1207896</v>
      </c>
      <c r="AX329" s="136"/>
      <c r="AY329" s="136"/>
      <c r="AZ329" s="136"/>
      <c r="BA329" s="136"/>
      <c r="BB329" s="136"/>
      <c r="BC329" s="136"/>
      <c r="BD329" s="136"/>
      <c r="BE329" s="136"/>
      <c r="BF329" s="136"/>
      <c r="BG329" s="136"/>
      <c r="BH329" s="136"/>
      <c r="BI329" s="136"/>
      <c r="BJ329" s="136"/>
      <c r="BK329" s="136"/>
      <c r="BL329" s="136"/>
      <c r="BM329" s="136"/>
      <c r="BN329" s="136"/>
      <c r="BO329" s="136"/>
      <c r="BP329" s="136"/>
      <c r="BQ329" s="136"/>
      <c r="BR329" s="136"/>
      <c r="BS329" s="136"/>
      <c r="BT329" s="136"/>
      <c r="BU329" s="136"/>
      <c r="BV329" s="136"/>
      <c r="BW329" s="136"/>
      <c r="BX329" s="136"/>
      <c r="BY329" s="136"/>
      <c r="BZ329" s="136"/>
      <c r="CA329" s="136"/>
      <c r="CB329" s="136"/>
      <c r="CC329" s="136"/>
      <c r="CD329" s="136"/>
      <c r="CE329" s="136"/>
      <c r="CF329" s="136"/>
      <c r="CG329" s="136"/>
      <c r="CH329" s="136"/>
      <c r="CI329" s="136"/>
      <c r="CJ329" s="136"/>
      <c r="CK329" s="136"/>
      <c r="CL329" s="136"/>
      <c r="CM329" s="136"/>
      <c r="CN329" s="136"/>
      <c r="CO329" s="136"/>
      <c r="CP329" s="136"/>
      <c r="CQ329" s="136"/>
      <c r="CR329" s="136"/>
      <c r="CS329" s="136"/>
      <c r="CT329" s="136"/>
      <c r="CU329" s="136"/>
      <c r="CV329" s="136"/>
      <c r="CW329" s="136"/>
      <c r="CX329" s="136"/>
      <c r="CY329" s="136"/>
      <c r="CZ329" s="136"/>
      <c r="DA329" s="136"/>
      <c r="DB329" s="136"/>
      <c r="DC329" s="136"/>
      <c r="DD329" s="136"/>
      <c r="DE329" s="136"/>
      <c r="DF329" s="136"/>
      <c r="DG329" s="136"/>
      <c r="DH329" s="136"/>
      <c r="DI329" s="136"/>
      <c r="DJ329" s="136"/>
      <c r="DK329" s="136"/>
      <c r="DL329" s="136"/>
      <c r="DM329" s="136"/>
      <c r="DN329" s="136"/>
      <c r="DO329" s="136"/>
      <c r="DP329" s="136"/>
      <c r="DQ329" s="136"/>
      <c r="DR329" s="136"/>
      <c r="DS329" s="136"/>
      <c r="DT329" s="136"/>
      <c r="DU329" s="136"/>
      <c r="DV329" s="136"/>
      <c r="DW329" s="136"/>
      <c r="DX329" s="136"/>
      <c r="DY329" s="136"/>
      <c r="DZ329" s="136"/>
      <c r="EA329" s="136"/>
      <c r="EB329" s="136"/>
      <c r="EC329" s="136"/>
      <c r="ED329" s="136"/>
      <c r="EE329" s="136"/>
      <c r="EF329" s="136"/>
      <c r="EG329" s="136"/>
      <c r="EH329" s="136"/>
      <c r="EI329" s="136"/>
      <c r="EJ329" s="136"/>
      <c r="EK329" s="136"/>
      <c r="EL329" s="136"/>
      <c r="EM329" s="136"/>
      <c r="EN329" s="136"/>
      <c r="EO329" s="136"/>
      <c r="EP329" s="136"/>
      <c r="EQ329" s="136"/>
      <c r="ER329" s="136"/>
      <c r="ES329" s="136"/>
      <c r="ET329" s="136"/>
      <c r="EU329" s="136"/>
      <c r="EV329" s="136"/>
      <c r="EW329" s="136"/>
      <c r="EX329" s="136"/>
      <c r="EY329" s="136"/>
      <c r="EZ329" s="136"/>
      <c r="FA329" s="136"/>
      <c r="FB329" s="136"/>
      <c r="FC329" s="136"/>
      <c r="FD329" s="136"/>
      <c r="FE329" s="137"/>
      <c r="FF329" s="138"/>
    </row>
    <row r="330" spans="1:167" ht="12.75" x14ac:dyDescent="0.2">
      <c r="A330" s="93">
        <v>324</v>
      </c>
      <c r="B330" s="145" t="s">
        <v>526</v>
      </c>
      <c r="C330" s="141" t="s">
        <v>866</v>
      </c>
      <c r="D330" s="142" t="s">
        <v>867</v>
      </c>
      <c r="E330" s="149" t="s">
        <v>525</v>
      </c>
      <c r="F330" s="542">
        <v>70773084</v>
      </c>
      <c r="G330" s="542">
        <v>0</v>
      </c>
      <c r="H330" s="542">
        <v>70773084</v>
      </c>
      <c r="I330" s="542">
        <v>0</v>
      </c>
      <c r="J330" s="542">
        <v>0</v>
      </c>
      <c r="K330" s="542">
        <v>0</v>
      </c>
      <c r="L330" s="542">
        <v>232098</v>
      </c>
      <c r="M330" s="542">
        <v>0</v>
      </c>
      <c r="N330" s="542">
        <v>232098</v>
      </c>
      <c r="O330" s="542">
        <v>-809898</v>
      </c>
      <c r="P330" s="542">
        <v>0</v>
      </c>
      <c r="Q330" s="542">
        <v>-809898</v>
      </c>
      <c r="R330" s="542">
        <v>0</v>
      </c>
      <c r="S330" s="542">
        <v>0</v>
      </c>
      <c r="T330" s="542">
        <v>0</v>
      </c>
      <c r="U330" s="542">
        <v>-885652</v>
      </c>
      <c r="V330" s="542">
        <v>0</v>
      </c>
      <c r="W330" s="542">
        <v>-885652</v>
      </c>
      <c r="X330" s="542">
        <v>2771702</v>
      </c>
      <c r="Y330" s="542">
        <v>0</v>
      </c>
      <c r="Z330" s="542">
        <v>2771702</v>
      </c>
      <c r="AA330" s="542">
        <v>-4452773</v>
      </c>
      <c r="AB330" s="542">
        <v>0</v>
      </c>
      <c r="AC330" s="542">
        <v>-4452773</v>
      </c>
      <c r="AD330" s="542">
        <v>68438459</v>
      </c>
      <c r="AE330" s="542">
        <v>0</v>
      </c>
      <c r="AF330" s="542">
        <v>68438459</v>
      </c>
      <c r="AG330" s="542">
        <v>0</v>
      </c>
      <c r="AH330" s="542">
        <v>0</v>
      </c>
      <c r="AI330" s="542">
        <v>0</v>
      </c>
      <c r="AJ330" s="542">
        <v>0</v>
      </c>
      <c r="AK330" s="542">
        <v>0</v>
      </c>
      <c r="AL330" s="542">
        <v>0</v>
      </c>
      <c r="AM330" s="542">
        <v>0</v>
      </c>
      <c r="AN330" s="542">
        <v>0</v>
      </c>
      <c r="AO330" s="542">
        <v>0</v>
      </c>
      <c r="AP330" s="542">
        <v>0</v>
      </c>
      <c r="AQ330" s="542">
        <v>0</v>
      </c>
      <c r="AR330" s="542">
        <v>0</v>
      </c>
      <c r="AS330" s="542">
        <v>0</v>
      </c>
      <c r="AT330" s="542">
        <v>0</v>
      </c>
      <c r="AU330" s="542">
        <v>0</v>
      </c>
      <c r="AV330" s="542">
        <v>2717825</v>
      </c>
      <c r="AW330" s="542">
        <v>-2526181</v>
      </c>
      <c r="AX330" s="136"/>
      <c r="AY330" s="136"/>
      <c r="AZ330" s="136"/>
      <c r="BA330" s="136"/>
      <c r="BB330" s="136"/>
      <c r="BC330" s="136"/>
      <c r="BD330" s="136"/>
      <c r="BE330" s="136"/>
      <c r="BF330" s="136"/>
      <c r="BG330" s="136"/>
      <c r="BH330" s="136"/>
      <c r="BI330" s="136"/>
      <c r="BJ330" s="136"/>
      <c r="BK330" s="136"/>
      <c r="BL330" s="136"/>
      <c r="BM330" s="136"/>
      <c r="BN330" s="136"/>
      <c r="BO330" s="136"/>
      <c r="BP330" s="136"/>
      <c r="BQ330" s="136"/>
      <c r="BR330" s="136"/>
      <c r="BS330" s="136"/>
      <c r="BT330" s="136"/>
      <c r="BU330" s="136"/>
      <c r="BV330" s="136"/>
      <c r="BW330" s="136"/>
      <c r="BX330" s="136"/>
      <c r="BY330" s="136"/>
      <c r="BZ330" s="136"/>
      <c r="CA330" s="136"/>
      <c r="CB330" s="136"/>
      <c r="CC330" s="136"/>
      <c r="CD330" s="136"/>
      <c r="CE330" s="136"/>
      <c r="CF330" s="136"/>
      <c r="CG330" s="136"/>
      <c r="CH330" s="136"/>
      <c r="CI330" s="136"/>
      <c r="CJ330" s="136"/>
      <c r="CK330" s="136"/>
      <c r="CL330" s="136"/>
      <c r="CM330" s="136"/>
      <c r="CN330" s="136"/>
      <c r="CO330" s="136"/>
      <c r="CP330" s="136"/>
      <c r="CQ330" s="136"/>
      <c r="CR330" s="136"/>
      <c r="CS330" s="136"/>
      <c r="CT330" s="136"/>
      <c r="CU330" s="136"/>
      <c r="CV330" s="136"/>
      <c r="CW330" s="136"/>
      <c r="CX330" s="136"/>
      <c r="CY330" s="136"/>
      <c r="CZ330" s="136"/>
      <c r="DA330" s="136"/>
      <c r="DB330" s="136"/>
      <c r="DC330" s="136"/>
      <c r="DD330" s="136"/>
      <c r="DE330" s="136"/>
      <c r="DF330" s="136"/>
      <c r="DG330" s="136"/>
      <c r="DH330" s="136"/>
      <c r="DI330" s="136"/>
      <c r="DJ330" s="136"/>
      <c r="DK330" s="136"/>
      <c r="DL330" s="136"/>
      <c r="DM330" s="136"/>
      <c r="DN330" s="136"/>
      <c r="DO330" s="136"/>
      <c r="DP330" s="136"/>
      <c r="DQ330" s="136"/>
      <c r="DR330" s="136"/>
      <c r="DS330" s="136"/>
      <c r="DT330" s="136"/>
      <c r="DU330" s="136"/>
      <c r="DV330" s="136"/>
      <c r="DW330" s="136"/>
      <c r="DX330" s="136"/>
      <c r="DY330" s="136"/>
      <c r="DZ330" s="136"/>
      <c r="EA330" s="136"/>
      <c r="EB330" s="136"/>
      <c r="EC330" s="136"/>
      <c r="ED330" s="136"/>
      <c r="EE330" s="136"/>
      <c r="EF330" s="136"/>
      <c r="EG330" s="136"/>
      <c r="EH330" s="136"/>
      <c r="EI330" s="136"/>
      <c r="EJ330" s="136"/>
      <c r="EK330" s="136"/>
      <c r="EL330" s="136"/>
      <c r="EM330" s="136"/>
      <c r="EN330" s="136"/>
      <c r="EO330" s="136"/>
      <c r="EP330" s="136"/>
      <c r="EQ330" s="136"/>
      <c r="ER330" s="136"/>
      <c r="ES330" s="136"/>
      <c r="ET330" s="136"/>
      <c r="EU330" s="136"/>
      <c r="EV330" s="136"/>
      <c r="EW330" s="136"/>
      <c r="EX330" s="136"/>
      <c r="EY330" s="136"/>
      <c r="EZ330" s="136"/>
      <c r="FA330" s="136"/>
      <c r="FB330" s="136"/>
      <c r="FC330" s="136"/>
      <c r="FD330" s="136"/>
      <c r="FE330" s="137"/>
      <c r="FF330" s="138"/>
    </row>
    <row r="331" spans="1:167" ht="12.75" x14ac:dyDescent="0.2">
      <c r="A331" s="93">
        <v>325</v>
      </c>
      <c r="B331" s="145" t="s">
        <v>528</v>
      </c>
      <c r="C331" s="141" t="s">
        <v>866</v>
      </c>
      <c r="D331" s="142" t="s">
        <v>868</v>
      </c>
      <c r="E331" s="149" t="s">
        <v>527</v>
      </c>
      <c r="F331" s="542">
        <v>26967988</v>
      </c>
      <c r="G331" s="542">
        <v>0</v>
      </c>
      <c r="H331" s="542">
        <v>26967988</v>
      </c>
      <c r="I331" s="542">
        <v>0</v>
      </c>
      <c r="J331" s="542">
        <v>0</v>
      </c>
      <c r="K331" s="542">
        <v>0</v>
      </c>
      <c r="L331" s="542">
        <v>67305</v>
      </c>
      <c r="M331" s="542">
        <v>0</v>
      </c>
      <c r="N331" s="542">
        <v>67305</v>
      </c>
      <c r="O331" s="542">
        <v>-207109</v>
      </c>
      <c r="P331" s="542">
        <v>0</v>
      </c>
      <c r="Q331" s="542">
        <v>-207109</v>
      </c>
      <c r="R331" s="542">
        <v>0</v>
      </c>
      <c r="S331" s="542">
        <v>0</v>
      </c>
      <c r="T331" s="542">
        <v>0</v>
      </c>
      <c r="U331" s="542">
        <v>-216205</v>
      </c>
      <c r="V331" s="542">
        <v>0</v>
      </c>
      <c r="W331" s="542">
        <v>-216205</v>
      </c>
      <c r="X331" s="542">
        <v>0</v>
      </c>
      <c r="Y331" s="542">
        <v>0</v>
      </c>
      <c r="Z331" s="542">
        <v>0</v>
      </c>
      <c r="AA331" s="542">
        <v>-812000</v>
      </c>
      <c r="AB331" s="542">
        <v>0</v>
      </c>
      <c r="AC331" s="542">
        <v>-812000</v>
      </c>
      <c r="AD331" s="542">
        <v>26007088</v>
      </c>
      <c r="AE331" s="542">
        <v>0</v>
      </c>
      <c r="AF331" s="542">
        <v>26007088</v>
      </c>
      <c r="AG331" s="542">
        <v>0</v>
      </c>
      <c r="AH331" s="542">
        <v>0</v>
      </c>
      <c r="AI331" s="542">
        <v>0</v>
      </c>
      <c r="AJ331" s="542">
        <v>0</v>
      </c>
      <c r="AK331" s="542">
        <v>0</v>
      </c>
      <c r="AL331" s="542">
        <v>0</v>
      </c>
      <c r="AM331" s="542">
        <v>0</v>
      </c>
      <c r="AN331" s="542">
        <v>0</v>
      </c>
      <c r="AO331" s="542">
        <v>0</v>
      </c>
      <c r="AP331" s="542">
        <v>0</v>
      </c>
      <c r="AQ331" s="542">
        <v>0</v>
      </c>
      <c r="AR331" s="542">
        <v>0</v>
      </c>
      <c r="AS331" s="542">
        <v>0</v>
      </c>
      <c r="AT331" s="542">
        <v>0</v>
      </c>
      <c r="AU331" s="542">
        <v>0</v>
      </c>
      <c r="AV331" s="542">
        <v>939457</v>
      </c>
      <c r="AW331" s="542">
        <v>-529435</v>
      </c>
      <c r="AX331" s="136"/>
      <c r="AY331" s="136"/>
      <c r="AZ331" s="136"/>
      <c r="BA331" s="136"/>
      <c r="BB331" s="136"/>
      <c r="BC331" s="136"/>
      <c r="BD331" s="136"/>
      <c r="BE331" s="136"/>
      <c r="BF331" s="136"/>
      <c r="BG331" s="136"/>
      <c r="BH331" s="136"/>
      <c r="BI331" s="136"/>
      <c r="BJ331" s="136"/>
      <c r="BK331" s="136"/>
      <c r="BL331" s="136"/>
      <c r="BM331" s="136"/>
      <c r="BN331" s="136"/>
      <c r="BO331" s="136"/>
      <c r="BP331" s="136"/>
      <c r="BQ331" s="136"/>
      <c r="BR331" s="136"/>
      <c r="BS331" s="136"/>
      <c r="BT331" s="136"/>
      <c r="BU331" s="136"/>
      <c r="BV331" s="136"/>
      <c r="BW331" s="136"/>
      <c r="BX331" s="136"/>
      <c r="BY331" s="136"/>
      <c r="BZ331" s="136"/>
      <c r="CA331" s="136"/>
      <c r="CB331" s="136"/>
      <c r="CC331" s="136"/>
      <c r="CD331" s="136"/>
      <c r="CE331" s="136"/>
      <c r="CF331" s="136"/>
      <c r="CG331" s="136"/>
      <c r="CH331" s="136"/>
      <c r="CI331" s="136"/>
      <c r="CJ331" s="136"/>
      <c r="CK331" s="136"/>
      <c r="CL331" s="136"/>
      <c r="CM331" s="136"/>
      <c r="CN331" s="136"/>
      <c r="CO331" s="136"/>
      <c r="CP331" s="136"/>
      <c r="CQ331" s="136"/>
      <c r="CR331" s="136"/>
      <c r="CS331" s="136"/>
      <c r="CT331" s="136"/>
      <c r="CU331" s="136"/>
      <c r="CV331" s="136"/>
      <c r="CW331" s="136"/>
      <c r="CX331" s="136"/>
      <c r="CY331" s="136"/>
      <c r="CZ331" s="136"/>
      <c r="DA331" s="136"/>
      <c r="DB331" s="136"/>
      <c r="DC331" s="136"/>
      <c r="DD331" s="136"/>
      <c r="DE331" s="136"/>
      <c r="DF331" s="136"/>
      <c r="DG331" s="136"/>
      <c r="DH331" s="136"/>
      <c r="DI331" s="136"/>
      <c r="DJ331" s="136"/>
      <c r="DK331" s="136"/>
      <c r="DL331" s="136"/>
      <c r="DM331" s="136"/>
      <c r="DN331" s="136"/>
      <c r="DO331" s="136"/>
      <c r="DP331" s="136"/>
      <c r="DQ331" s="136"/>
      <c r="DR331" s="136"/>
      <c r="DS331" s="136"/>
      <c r="DT331" s="136"/>
      <c r="DU331" s="136"/>
      <c r="DV331" s="136"/>
      <c r="DW331" s="136"/>
      <c r="DX331" s="136"/>
      <c r="DY331" s="136"/>
      <c r="DZ331" s="136"/>
      <c r="EA331" s="136"/>
      <c r="EB331" s="136"/>
      <c r="EC331" s="136"/>
      <c r="ED331" s="136"/>
      <c r="EE331" s="136"/>
      <c r="EF331" s="136"/>
      <c r="EG331" s="136"/>
      <c r="EH331" s="136"/>
      <c r="EI331" s="136"/>
      <c r="EJ331" s="136"/>
      <c r="EK331" s="136"/>
      <c r="EL331" s="136"/>
      <c r="EM331" s="136"/>
      <c r="EN331" s="136"/>
      <c r="EO331" s="136"/>
      <c r="EP331" s="136"/>
      <c r="EQ331" s="136"/>
      <c r="ER331" s="136"/>
      <c r="ES331" s="136"/>
      <c r="ET331" s="136"/>
      <c r="EU331" s="136"/>
      <c r="EV331" s="136"/>
      <c r="EW331" s="136"/>
      <c r="EX331" s="136"/>
      <c r="EY331" s="136"/>
      <c r="EZ331" s="136"/>
      <c r="FA331" s="136"/>
      <c r="FB331" s="136"/>
      <c r="FC331" s="136"/>
      <c r="FD331" s="136"/>
      <c r="FE331" s="137"/>
      <c r="FF331" s="138"/>
    </row>
    <row r="332" spans="1:167" ht="12.75" x14ac:dyDescent="0.2">
      <c r="A332" s="93">
        <v>326</v>
      </c>
      <c r="B332" s="145" t="s">
        <v>530</v>
      </c>
      <c r="C332" s="141" t="s">
        <v>866</v>
      </c>
      <c r="D332" s="142" t="s">
        <v>876</v>
      </c>
      <c r="E332" s="149" t="s">
        <v>529</v>
      </c>
      <c r="F332" s="542">
        <v>28640896</v>
      </c>
      <c r="G332" s="542">
        <v>0</v>
      </c>
      <c r="H332" s="542">
        <v>28640896</v>
      </c>
      <c r="I332" s="542">
        <v>-222</v>
      </c>
      <c r="J332" s="542">
        <v>0</v>
      </c>
      <c r="K332" s="542">
        <v>-222</v>
      </c>
      <c r="L332" s="542">
        <v>166953</v>
      </c>
      <c r="M332" s="542">
        <v>0</v>
      </c>
      <c r="N332" s="542">
        <v>166953</v>
      </c>
      <c r="O332" s="542">
        <v>-375546</v>
      </c>
      <c r="P332" s="542">
        <v>0</v>
      </c>
      <c r="Q332" s="542">
        <v>-375546</v>
      </c>
      <c r="R332" s="542">
        <v>0</v>
      </c>
      <c r="S332" s="542">
        <v>0</v>
      </c>
      <c r="T332" s="542">
        <v>0</v>
      </c>
      <c r="U332" s="542">
        <v>-375546</v>
      </c>
      <c r="V332" s="542">
        <v>0</v>
      </c>
      <c r="W332" s="542">
        <v>-375546</v>
      </c>
      <c r="X332" s="542">
        <v>827877</v>
      </c>
      <c r="Y332" s="542">
        <v>0</v>
      </c>
      <c r="Z332" s="542">
        <v>827877</v>
      </c>
      <c r="AA332" s="542">
        <v>-2707253</v>
      </c>
      <c r="AB332" s="542">
        <v>0</v>
      </c>
      <c r="AC332" s="542">
        <v>-2707253</v>
      </c>
      <c r="AD332" s="542">
        <v>26552705</v>
      </c>
      <c r="AE332" s="542">
        <v>0</v>
      </c>
      <c r="AF332" s="542">
        <v>26552705</v>
      </c>
      <c r="AG332" s="542">
        <v>0</v>
      </c>
      <c r="AH332" s="542">
        <v>0</v>
      </c>
      <c r="AI332" s="542">
        <v>0</v>
      </c>
      <c r="AJ332" s="542">
        <v>0</v>
      </c>
      <c r="AK332" s="542">
        <v>0</v>
      </c>
      <c r="AL332" s="542">
        <v>0</v>
      </c>
      <c r="AM332" s="542">
        <v>0</v>
      </c>
      <c r="AN332" s="542">
        <v>0</v>
      </c>
      <c r="AO332" s="542">
        <v>0</v>
      </c>
      <c r="AP332" s="542">
        <v>0</v>
      </c>
      <c r="AQ332" s="542">
        <v>0</v>
      </c>
      <c r="AR332" s="542">
        <v>0</v>
      </c>
      <c r="AS332" s="542">
        <v>0</v>
      </c>
      <c r="AT332" s="542">
        <v>0</v>
      </c>
      <c r="AU332" s="542">
        <v>0</v>
      </c>
      <c r="AV332" s="542">
        <v>2392291</v>
      </c>
      <c r="AW332" s="542">
        <v>-101114</v>
      </c>
      <c r="AX332" s="136"/>
      <c r="AY332" s="136"/>
      <c r="AZ332" s="136"/>
      <c r="BA332" s="136"/>
      <c r="BB332" s="136"/>
      <c r="BC332" s="136"/>
      <c r="BD332" s="136"/>
      <c r="BE332" s="136"/>
      <c r="BF332" s="136"/>
      <c r="BG332" s="136"/>
      <c r="BH332" s="136"/>
      <c r="BI332" s="136"/>
      <c r="BJ332" s="136"/>
      <c r="BK332" s="136"/>
      <c r="BL332" s="136"/>
      <c r="BM332" s="136"/>
      <c r="BN332" s="136"/>
      <c r="BO332" s="136"/>
      <c r="BP332" s="136"/>
      <c r="BQ332" s="136"/>
      <c r="BR332" s="136"/>
      <c r="BS332" s="136"/>
      <c r="BT332" s="136"/>
      <c r="BU332" s="136"/>
      <c r="BV332" s="136"/>
      <c r="BW332" s="136"/>
      <c r="BX332" s="136"/>
      <c r="BY332" s="136"/>
      <c r="BZ332" s="136"/>
      <c r="CA332" s="136"/>
      <c r="CB332" s="136"/>
      <c r="CC332" s="136"/>
      <c r="CD332" s="136"/>
      <c r="CE332" s="136"/>
      <c r="CF332" s="136"/>
      <c r="CG332" s="136"/>
      <c r="CH332" s="136"/>
      <c r="CI332" s="136"/>
      <c r="CJ332" s="136"/>
      <c r="CK332" s="136"/>
      <c r="CL332" s="136"/>
      <c r="CM332" s="136"/>
      <c r="CN332" s="136"/>
      <c r="CO332" s="136"/>
      <c r="CP332" s="136"/>
      <c r="CQ332" s="136"/>
      <c r="CR332" s="136"/>
      <c r="CS332" s="136"/>
      <c r="CT332" s="136"/>
      <c r="CU332" s="136"/>
      <c r="CV332" s="136"/>
      <c r="CW332" s="136"/>
      <c r="CX332" s="136"/>
      <c r="CY332" s="136"/>
      <c r="CZ332" s="136"/>
      <c r="DA332" s="136"/>
      <c r="DB332" s="136"/>
      <c r="DC332" s="136"/>
      <c r="DD332" s="136"/>
      <c r="DE332" s="136"/>
      <c r="DF332" s="136"/>
      <c r="DG332" s="136"/>
      <c r="DH332" s="136"/>
      <c r="DI332" s="136"/>
      <c r="DJ332" s="136"/>
      <c r="DK332" s="136"/>
      <c r="DL332" s="136"/>
      <c r="DM332" s="136"/>
      <c r="DN332" s="136"/>
      <c r="DO332" s="136"/>
      <c r="DP332" s="136"/>
      <c r="DQ332" s="136"/>
      <c r="DR332" s="136"/>
      <c r="DS332" s="136"/>
      <c r="DT332" s="136"/>
      <c r="DU332" s="136"/>
      <c r="DV332" s="136"/>
      <c r="DW332" s="136"/>
      <c r="DX332" s="136"/>
      <c r="DY332" s="136"/>
      <c r="DZ332" s="136"/>
      <c r="EA332" s="136"/>
      <c r="EB332" s="136"/>
      <c r="EC332" s="136"/>
      <c r="ED332" s="136"/>
      <c r="EE332" s="136"/>
      <c r="EF332" s="136"/>
      <c r="EG332" s="136"/>
      <c r="EH332" s="136"/>
      <c r="EI332" s="136"/>
      <c r="EJ332" s="136"/>
      <c r="EK332" s="136"/>
      <c r="EL332" s="136"/>
      <c r="EM332" s="136"/>
      <c r="EN332" s="136"/>
      <c r="EO332" s="136"/>
      <c r="EP332" s="136"/>
      <c r="EQ332" s="136"/>
      <c r="ER332" s="136"/>
      <c r="ES332" s="136"/>
      <c r="ET332" s="136"/>
      <c r="EU332" s="136"/>
      <c r="EV332" s="136"/>
      <c r="EW332" s="136"/>
      <c r="EX332" s="136"/>
      <c r="EY332" s="136"/>
      <c r="EZ332" s="136"/>
      <c r="FA332" s="136"/>
      <c r="FB332" s="136"/>
      <c r="FC332" s="136"/>
      <c r="FD332" s="136"/>
      <c r="FE332" s="137"/>
      <c r="FF332" s="138"/>
    </row>
    <row r="333" spans="1:167" ht="13.5" thickBot="1" x14ac:dyDescent="0.25">
      <c r="A333" s="93">
        <v>327</v>
      </c>
      <c r="B333" s="145" t="s">
        <v>532</v>
      </c>
      <c r="C333" s="141" t="s">
        <v>770</v>
      </c>
      <c r="D333" s="142" t="s">
        <v>874</v>
      </c>
      <c r="E333" s="149" t="s">
        <v>739</v>
      </c>
      <c r="F333" s="542">
        <v>99855595</v>
      </c>
      <c r="G333" s="542">
        <v>0</v>
      </c>
      <c r="H333" s="542">
        <v>99855595</v>
      </c>
      <c r="I333" s="542">
        <v>-6178</v>
      </c>
      <c r="J333" s="542">
        <v>0</v>
      </c>
      <c r="K333" s="542">
        <v>-6178</v>
      </c>
      <c r="L333" s="542">
        <v>455866</v>
      </c>
      <c r="M333" s="542">
        <v>0</v>
      </c>
      <c r="N333" s="542">
        <v>455866</v>
      </c>
      <c r="O333" s="542">
        <v>-325355</v>
      </c>
      <c r="P333" s="542">
        <v>0</v>
      </c>
      <c r="Q333" s="542">
        <v>-325355</v>
      </c>
      <c r="R333" s="542">
        <v>0</v>
      </c>
      <c r="S333" s="542">
        <v>0</v>
      </c>
      <c r="T333" s="542">
        <v>0</v>
      </c>
      <c r="U333" s="542">
        <v>-559058</v>
      </c>
      <c r="V333" s="542">
        <v>0</v>
      </c>
      <c r="W333" s="542">
        <v>-559058</v>
      </c>
      <c r="X333" s="542">
        <v>2798229</v>
      </c>
      <c r="Y333" s="542">
        <v>0</v>
      </c>
      <c r="Z333" s="542">
        <v>2798229</v>
      </c>
      <c r="AA333" s="542">
        <v>-3517252</v>
      </c>
      <c r="AB333" s="542">
        <v>0</v>
      </c>
      <c r="AC333" s="542">
        <v>-3517252</v>
      </c>
      <c r="AD333" s="542">
        <v>99027202</v>
      </c>
      <c r="AE333" s="542">
        <v>0</v>
      </c>
      <c r="AF333" s="542">
        <v>99027202</v>
      </c>
      <c r="AG333" s="542">
        <v>0</v>
      </c>
      <c r="AH333" s="542">
        <v>0</v>
      </c>
      <c r="AI333" s="542">
        <v>0</v>
      </c>
      <c r="AJ333" s="542">
        <v>0</v>
      </c>
      <c r="AK333" s="542">
        <v>0</v>
      </c>
      <c r="AL333" s="542">
        <v>0</v>
      </c>
      <c r="AM333" s="542">
        <v>0</v>
      </c>
      <c r="AN333" s="542">
        <v>0</v>
      </c>
      <c r="AO333" s="542">
        <v>0</v>
      </c>
      <c r="AP333" s="542">
        <v>0</v>
      </c>
      <c r="AQ333" s="542">
        <v>0</v>
      </c>
      <c r="AR333" s="542">
        <v>0</v>
      </c>
      <c r="AS333" s="542">
        <v>0</v>
      </c>
      <c r="AT333" s="542">
        <v>0</v>
      </c>
      <c r="AU333" s="542">
        <v>0</v>
      </c>
      <c r="AV333" s="542">
        <v>3912930</v>
      </c>
      <c r="AW333" s="542">
        <v>-338674</v>
      </c>
      <c r="AX333" s="136"/>
      <c r="AY333" s="136"/>
      <c r="AZ333" s="136"/>
      <c r="BA333" s="136"/>
      <c r="BB333" s="136"/>
      <c r="BC333" s="136"/>
      <c r="BD333" s="136"/>
      <c r="BE333" s="136"/>
      <c r="BF333" s="136"/>
      <c r="BG333" s="136"/>
      <c r="BH333" s="136"/>
      <c r="BI333" s="136"/>
      <c r="BJ333" s="136"/>
      <c r="BK333" s="136"/>
      <c r="BL333" s="136"/>
      <c r="BM333" s="136"/>
      <c r="BN333" s="136"/>
      <c r="BO333" s="136"/>
      <c r="BP333" s="136"/>
      <c r="BQ333" s="136"/>
      <c r="BR333" s="136"/>
      <c r="BS333" s="136"/>
      <c r="BT333" s="136"/>
      <c r="BU333" s="136"/>
      <c r="BV333" s="136"/>
      <c r="BW333" s="136"/>
      <c r="BX333" s="136"/>
      <c r="BY333" s="136"/>
      <c r="BZ333" s="136"/>
      <c r="CA333" s="136"/>
      <c r="CB333" s="136"/>
      <c r="CC333" s="136"/>
      <c r="CD333" s="136"/>
      <c r="CE333" s="136"/>
      <c r="CF333" s="136"/>
      <c r="CG333" s="136"/>
      <c r="CH333" s="136"/>
      <c r="CI333" s="136"/>
      <c r="CJ333" s="136"/>
      <c r="CK333" s="136"/>
      <c r="CL333" s="136"/>
      <c r="CM333" s="136"/>
      <c r="CN333" s="136"/>
      <c r="CO333" s="136"/>
      <c r="CP333" s="136"/>
      <c r="CQ333" s="136"/>
      <c r="CR333" s="136"/>
      <c r="CS333" s="136"/>
      <c r="CT333" s="136"/>
      <c r="CU333" s="136"/>
      <c r="CV333" s="136"/>
      <c r="CW333" s="136"/>
      <c r="CX333" s="136"/>
      <c r="CY333" s="136"/>
      <c r="CZ333" s="136"/>
      <c r="DA333" s="136"/>
      <c r="DB333" s="136"/>
      <c r="DC333" s="136"/>
      <c r="DD333" s="136"/>
      <c r="DE333" s="136"/>
      <c r="DF333" s="136"/>
      <c r="DG333" s="136"/>
      <c r="DH333" s="136"/>
      <c r="DI333" s="136"/>
      <c r="DJ333" s="136"/>
      <c r="DK333" s="136"/>
      <c r="DL333" s="136"/>
      <c r="DM333" s="136"/>
      <c r="DN333" s="136"/>
      <c r="DO333" s="136"/>
      <c r="DP333" s="136"/>
      <c r="DQ333" s="136"/>
      <c r="DR333" s="136"/>
      <c r="DS333" s="136"/>
      <c r="DT333" s="136"/>
      <c r="DU333" s="136"/>
      <c r="DV333" s="136"/>
      <c r="DW333" s="136"/>
      <c r="DX333" s="136"/>
      <c r="DY333" s="136"/>
      <c r="DZ333" s="136"/>
      <c r="EA333" s="136"/>
      <c r="EB333" s="136"/>
      <c r="EC333" s="136"/>
      <c r="ED333" s="136"/>
      <c r="EE333" s="136"/>
      <c r="EF333" s="136"/>
      <c r="EG333" s="136"/>
      <c r="EH333" s="136"/>
      <c r="EI333" s="136"/>
      <c r="EJ333" s="136"/>
      <c r="EK333" s="136"/>
      <c r="EL333" s="136"/>
      <c r="EM333" s="136"/>
      <c r="EN333" s="136"/>
      <c r="EO333" s="136"/>
      <c r="EP333" s="136"/>
      <c r="EQ333" s="136"/>
      <c r="ER333" s="136"/>
      <c r="ES333" s="136"/>
      <c r="ET333" s="136"/>
      <c r="EU333" s="136"/>
      <c r="EV333" s="136"/>
      <c r="EW333" s="136"/>
      <c r="EX333" s="136"/>
      <c r="EY333" s="136"/>
      <c r="EZ333" s="136"/>
      <c r="FA333" s="136"/>
      <c r="FB333" s="136"/>
      <c r="FC333" s="136"/>
      <c r="FD333" s="136"/>
      <c r="FE333" s="137"/>
      <c r="FF333" s="138"/>
    </row>
    <row r="334" spans="1:167" ht="15.75" thickBot="1" x14ac:dyDescent="0.25">
      <c r="A334" s="93">
        <v>1</v>
      </c>
      <c r="B334" s="72"/>
      <c r="D334" s="94" t="s">
        <v>870</v>
      </c>
      <c r="E334" s="94" t="s">
        <v>686</v>
      </c>
      <c r="F334" s="76">
        <f>SUM(F8:F333)</f>
        <v>22687055103</v>
      </c>
      <c r="G334" s="76">
        <f>SUM(G8:G333)</f>
        <v>107383122</v>
      </c>
      <c r="H334" s="76">
        <f>SUM(H8:H333)</f>
        <v>22794438225</v>
      </c>
      <c r="I334" s="76">
        <f t="shared" ref="I334:AW334" si="0">SUM(I8:I333)</f>
        <v>-2067563</v>
      </c>
      <c r="J334" s="76">
        <f t="shared" si="0"/>
        <v>-774</v>
      </c>
      <c r="K334" s="76">
        <f t="shared" si="0"/>
        <v>-2068337</v>
      </c>
      <c r="L334" s="76">
        <f t="shared" si="0"/>
        <v>60400870</v>
      </c>
      <c r="M334" s="76">
        <f t="shared" si="0"/>
        <v>41715</v>
      </c>
      <c r="N334" s="76">
        <f t="shared" si="0"/>
        <v>60442585</v>
      </c>
      <c r="O334" s="76">
        <f t="shared" si="0"/>
        <v>-174912350</v>
      </c>
      <c r="P334" s="76">
        <f t="shared" si="0"/>
        <v>-3858809</v>
      </c>
      <c r="Q334" s="76">
        <f t="shared" si="0"/>
        <v>-178771159</v>
      </c>
      <c r="R334" s="76">
        <f t="shared" si="0"/>
        <v>-29850454</v>
      </c>
      <c r="S334" s="76">
        <f t="shared" si="0"/>
        <v>0</v>
      </c>
      <c r="T334" s="76">
        <f t="shared" si="0"/>
        <v>-29850454</v>
      </c>
      <c r="U334" s="76">
        <f t="shared" si="0"/>
        <v>-190260452.94</v>
      </c>
      <c r="V334" s="76">
        <f t="shared" si="0"/>
        <v>-780345</v>
      </c>
      <c r="W334" s="76">
        <f t="shared" si="0"/>
        <v>-191040797.94</v>
      </c>
      <c r="X334" s="76">
        <f t="shared" si="0"/>
        <v>696350107.79999995</v>
      </c>
      <c r="Y334" s="76">
        <f t="shared" si="0"/>
        <v>2734068</v>
      </c>
      <c r="Z334" s="76">
        <f t="shared" si="0"/>
        <v>699084175.79999995</v>
      </c>
      <c r="AA334" s="76">
        <f t="shared" si="0"/>
        <v>-1464799643.7799997</v>
      </c>
      <c r="AB334" s="76">
        <f t="shared" si="0"/>
        <v>-4236367</v>
      </c>
      <c r="AC334" s="76">
        <f t="shared" si="0"/>
        <v>-1469036010.7799997</v>
      </c>
      <c r="AD334" s="76">
        <f t="shared" si="0"/>
        <v>21756827964.899998</v>
      </c>
      <c r="AE334" s="76">
        <f t="shared" si="0"/>
        <v>105141419</v>
      </c>
      <c r="AF334" s="76">
        <f t="shared" si="0"/>
        <v>21861969383.899998</v>
      </c>
      <c r="AG334" s="76">
        <f t="shared" si="0"/>
        <v>60496802</v>
      </c>
      <c r="AH334" s="76">
        <f t="shared" si="0"/>
        <v>44644617</v>
      </c>
      <c r="AI334" s="76">
        <f t="shared" si="0"/>
        <v>105141419</v>
      </c>
      <c r="AJ334" s="76">
        <f t="shared" si="0"/>
        <v>22114530</v>
      </c>
      <c r="AK334" s="76">
        <f t="shared" si="0"/>
        <v>343865</v>
      </c>
      <c r="AL334" s="76">
        <f t="shared" si="0"/>
        <v>0</v>
      </c>
      <c r="AM334" s="76">
        <f t="shared" si="0"/>
        <v>22458395</v>
      </c>
      <c r="AN334" s="76">
        <f t="shared" si="0"/>
        <v>-150713</v>
      </c>
      <c r="AO334" s="76">
        <f t="shared" si="0"/>
        <v>-554095</v>
      </c>
      <c r="AP334" s="131">
        <f t="shared" si="0"/>
        <v>-704808</v>
      </c>
      <c r="AQ334" s="131">
        <f t="shared" si="0"/>
        <v>57804032</v>
      </c>
      <c r="AR334" s="131">
        <f t="shared" si="0"/>
        <v>56330003</v>
      </c>
      <c r="AS334" s="131">
        <f t="shared" si="0"/>
        <v>10237080</v>
      </c>
      <c r="AT334" s="131">
        <f t="shared" si="0"/>
        <v>5042129</v>
      </c>
      <c r="AU334" s="131">
        <f t="shared" si="0"/>
        <v>15279209</v>
      </c>
      <c r="AV334" s="131">
        <f t="shared" si="0"/>
        <v>1256907709.6600001</v>
      </c>
      <c r="AW334" s="76">
        <f t="shared" si="0"/>
        <v>-679541569.5</v>
      </c>
      <c r="AX334" s="139"/>
      <c r="AY334" s="139"/>
      <c r="AZ334" s="139"/>
      <c r="BA334" s="139"/>
      <c r="BB334" s="139"/>
      <c r="BC334" s="139"/>
      <c r="BD334" s="139"/>
      <c r="BE334" s="139"/>
      <c r="BF334" s="139"/>
      <c r="BG334" s="139"/>
      <c r="BH334" s="139"/>
      <c r="BI334" s="139"/>
      <c r="BJ334" s="139"/>
      <c r="BK334" s="139"/>
      <c r="BL334" s="139"/>
      <c r="BM334" s="139"/>
      <c r="BN334" s="139"/>
      <c r="BO334" s="139"/>
      <c r="BP334" s="139"/>
      <c r="BQ334" s="139"/>
      <c r="BR334" s="139"/>
      <c r="BS334" s="139"/>
      <c r="BT334" s="139"/>
      <c r="BU334" s="139"/>
      <c r="BV334" s="139"/>
      <c r="BW334" s="139"/>
      <c r="BX334" s="139"/>
      <c r="BY334" s="139"/>
      <c r="BZ334" s="139"/>
      <c r="CA334" s="139"/>
      <c r="CB334" s="139"/>
      <c r="CC334" s="139"/>
      <c r="CD334" s="139"/>
      <c r="CE334" s="139"/>
      <c r="CF334" s="139"/>
      <c r="CG334" s="139"/>
      <c r="CH334" s="139"/>
      <c r="CI334" s="139"/>
      <c r="CJ334" s="139"/>
      <c r="CK334" s="139"/>
      <c r="CL334" s="139"/>
      <c r="CM334" s="139"/>
      <c r="CN334" s="139"/>
      <c r="CO334" s="139"/>
      <c r="CP334" s="139"/>
      <c r="CQ334" s="139"/>
      <c r="CR334" s="139"/>
      <c r="CS334" s="139"/>
      <c r="CT334" s="139"/>
      <c r="CU334" s="139"/>
      <c r="CV334" s="139"/>
      <c r="CW334" s="139"/>
      <c r="CX334" s="139"/>
      <c r="CY334" s="139"/>
      <c r="CZ334" s="139"/>
      <c r="DA334" s="139"/>
      <c r="DB334" s="139"/>
      <c r="DC334" s="139"/>
      <c r="DD334" s="139"/>
      <c r="DE334" s="139"/>
      <c r="DF334" s="139"/>
      <c r="DG334" s="139"/>
      <c r="DH334" s="139"/>
      <c r="DI334" s="139"/>
      <c r="DJ334" s="139"/>
      <c r="DK334" s="139"/>
      <c r="DL334" s="139"/>
      <c r="DM334" s="139"/>
      <c r="DN334" s="139"/>
      <c r="DO334" s="139"/>
      <c r="DP334" s="139"/>
      <c r="DQ334" s="139"/>
      <c r="DR334" s="139"/>
      <c r="DS334" s="139"/>
      <c r="DT334" s="139"/>
      <c r="DU334" s="139"/>
      <c r="DV334" s="139"/>
      <c r="DW334" s="139"/>
      <c r="DX334" s="139"/>
      <c r="DY334" s="139"/>
      <c r="DZ334" s="139"/>
      <c r="EA334" s="139"/>
      <c r="EB334" s="139"/>
      <c r="EC334" s="139"/>
      <c r="ED334" s="139"/>
      <c r="EE334" s="139"/>
      <c r="EF334" s="139"/>
      <c r="EG334" s="139"/>
      <c r="EH334" s="139"/>
      <c r="EI334" s="139"/>
      <c r="EJ334" s="139"/>
      <c r="EK334" s="139"/>
      <c r="EL334" s="139"/>
      <c r="EM334" s="139"/>
      <c r="EN334" s="139"/>
      <c r="EO334" s="139"/>
      <c r="EP334" s="139"/>
      <c r="EQ334" s="139"/>
      <c r="ER334" s="139"/>
      <c r="ES334" s="139"/>
      <c r="ET334" s="139"/>
      <c r="EU334" s="139"/>
      <c r="EV334" s="139"/>
      <c r="EW334" s="139"/>
      <c r="EX334" s="139"/>
      <c r="EY334" s="139"/>
      <c r="EZ334" s="139"/>
      <c r="FA334" s="139"/>
      <c r="FB334" s="139"/>
      <c r="FC334" s="139"/>
      <c r="FD334" s="139"/>
      <c r="FE334" s="139"/>
    </row>
    <row r="335" spans="1:167" x14ac:dyDescent="0.2">
      <c r="D335" s="146"/>
      <c r="E335" s="147"/>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row>
    <row r="336" spans="1:167" x14ac:dyDescent="0.2">
      <c r="D336" s="146"/>
      <c r="E336" s="147"/>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row>
    <row r="337" spans="4:167" x14ac:dyDescent="0.2">
      <c r="D337" s="146"/>
      <c r="E337" s="147"/>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row>
    <row r="338" spans="4:167" x14ac:dyDescent="0.2">
      <c r="D338" s="146"/>
      <c r="E338" s="147"/>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row>
    <row r="339" spans="4:167" x14ac:dyDescent="0.2">
      <c r="D339" s="146"/>
      <c r="E339" s="147"/>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row>
    <row r="340" spans="4:167" x14ac:dyDescent="0.2">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row>
    <row r="341" spans="4:167" x14ac:dyDescent="0.2">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row>
  </sheetData>
  <mergeCells count="44">
    <mergeCell ref="AV2:AW2"/>
    <mergeCell ref="F2:H2"/>
    <mergeCell ref="I2:K2"/>
    <mergeCell ref="L2:N2"/>
    <mergeCell ref="O2:Q2"/>
    <mergeCell ref="R2:T2"/>
    <mergeCell ref="U2:W2"/>
    <mergeCell ref="X2:Z2"/>
    <mergeCell ref="AA2:AC2"/>
    <mergeCell ref="AD2:AF2"/>
    <mergeCell ref="AG2:AI2"/>
    <mergeCell ref="AJ2:AM2"/>
    <mergeCell ref="AN2:AP2"/>
    <mergeCell ref="AQ2:AR2"/>
    <mergeCell ref="AS2:AU2"/>
    <mergeCell ref="EQ2:ES2"/>
    <mergeCell ref="ET2:EV2"/>
    <mergeCell ref="EW2:EZ2"/>
    <mergeCell ref="FA2:FD2"/>
    <mergeCell ref="DK2:DN2"/>
    <mergeCell ref="DO2:DR2"/>
    <mergeCell ref="DS2:DU2"/>
    <mergeCell ref="DV2:DX2"/>
    <mergeCell ref="DY2:EB2"/>
    <mergeCell ref="EE2:EH2"/>
    <mergeCell ref="EI2:EL2"/>
    <mergeCell ref="EM2:EP2"/>
    <mergeCell ref="CG2:CJ2"/>
    <mergeCell ref="CK2:CM2"/>
    <mergeCell ref="CN2:CP2"/>
    <mergeCell ref="DG2:DJ2"/>
    <mergeCell ref="CQ2:CT2"/>
    <mergeCell ref="CU2:CX2"/>
    <mergeCell ref="CY2:DB2"/>
    <mergeCell ref="DC2:DF2"/>
    <mergeCell ref="CC2:CF2"/>
    <mergeCell ref="BY2:CB2"/>
    <mergeCell ref="AY2:BB2"/>
    <mergeCell ref="BC2:BF2"/>
    <mergeCell ref="BG2:BJ2"/>
    <mergeCell ref="BK2:BN2"/>
    <mergeCell ref="BO2:BR2"/>
    <mergeCell ref="BS2:BU2"/>
    <mergeCell ref="BV2:BX2"/>
  </mergeCells>
  <phoneticPr fontId="0"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T340"/>
  <sheetViews>
    <sheetView workbookViewId="0">
      <selection sqref="A1:A1048576"/>
    </sheetView>
  </sheetViews>
  <sheetFormatPr defaultRowHeight="15" x14ac:dyDescent="0.2"/>
  <cols>
    <col min="1" max="1" width="4" style="93" bestFit="1" customWidth="1"/>
    <col min="2" max="2" width="8.42578125" style="17" customWidth="1"/>
    <col min="3" max="3" width="5.7109375" style="606" bestFit="1" customWidth="1"/>
    <col min="4" max="4" width="8.140625" style="17" hidden="1" customWidth="1"/>
    <col min="5" max="5" width="27" style="17" bestFit="1" customWidth="1"/>
    <col min="6" max="176" width="16.7109375" customWidth="1"/>
  </cols>
  <sheetData>
    <row r="1" spans="1:176" s="410" customFormat="1" ht="37.9" customHeight="1" thickTop="1" thickBot="1" x14ac:dyDescent="0.25">
      <c r="A1" s="613"/>
      <c r="B1" s="600"/>
      <c r="C1" s="601"/>
      <c r="D1" s="601"/>
      <c r="E1" s="602"/>
      <c r="F1" s="740" t="s">
        <v>1067</v>
      </c>
      <c r="G1" s="741"/>
      <c r="H1" s="742"/>
      <c r="I1" s="743" t="s">
        <v>1068</v>
      </c>
      <c r="J1" s="741"/>
      <c r="K1" s="742"/>
      <c r="L1" s="743" t="s">
        <v>1069</v>
      </c>
      <c r="M1" s="741"/>
      <c r="N1" s="742"/>
      <c r="O1" s="736" t="s">
        <v>1070</v>
      </c>
      <c r="P1" s="737"/>
      <c r="Q1" s="737"/>
      <c r="R1" s="736" t="s">
        <v>1071</v>
      </c>
      <c r="S1" s="737"/>
      <c r="T1" s="737"/>
      <c r="U1" s="736" t="s">
        <v>1072</v>
      </c>
      <c r="V1" s="737"/>
      <c r="W1" s="737"/>
      <c r="X1" s="736" t="s">
        <v>1073</v>
      </c>
      <c r="Y1" s="737"/>
      <c r="Z1" s="737"/>
      <c r="AA1" s="736" t="s">
        <v>1074</v>
      </c>
      <c r="AB1" s="737"/>
      <c r="AC1" s="737"/>
      <c r="AD1" s="736" t="s">
        <v>1075</v>
      </c>
      <c r="AE1" s="737"/>
      <c r="AF1" s="737"/>
      <c r="AG1" s="736" t="s">
        <v>1076</v>
      </c>
      <c r="AH1" s="737"/>
      <c r="AI1" s="737"/>
      <c r="AJ1" s="736" t="s">
        <v>1077</v>
      </c>
      <c r="AK1" s="737"/>
      <c r="AL1" s="737"/>
      <c r="AM1" s="736" t="s">
        <v>1078</v>
      </c>
      <c r="AN1" s="737"/>
      <c r="AO1" s="737"/>
      <c r="AP1" s="736" t="s">
        <v>847</v>
      </c>
      <c r="AQ1" s="737"/>
      <c r="AR1" s="737"/>
      <c r="AS1" s="736" t="s">
        <v>1079</v>
      </c>
      <c r="AT1" s="737"/>
      <c r="AU1" s="737"/>
      <c r="AV1" s="736" t="s">
        <v>848</v>
      </c>
      <c r="AW1" s="737"/>
      <c r="AX1" s="737"/>
      <c r="AY1" s="736" t="s">
        <v>1080</v>
      </c>
      <c r="AZ1" s="737"/>
      <c r="BA1" s="737"/>
      <c r="BB1" s="736" t="s">
        <v>849</v>
      </c>
      <c r="BC1" s="737"/>
      <c r="BD1" s="737"/>
      <c r="BE1" s="736" t="s">
        <v>1081</v>
      </c>
      <c r="BF1" s="737"/>
      <c r="BG1" s="737"/>
      <c r="BH1" s="736" t="s">
        <v>1082</v>
      </c>
      <c r="BI1" s="737"/>
      <c r="BJ1" s="737"/>
      <c r="BK1" s="736" t="s">
        <v>850</v>
      </c>
      <c r="BL1" s="737"/>
      <c r="BM1" s="737"/>
      <c r="BN1" s="736" t="s">
        <v>1083</v>
      </c>
      <c r="BO1" s="737"/>
      <c r="BP1" s="737"/>
      <c r="BQ1" s="736" t="s">
        <v>851</v>
      </c>
      <c r="BR1" s="737"/>
      <c r="BS1" s="737"/>
      <c r="BT1" s="736" t="s">
        <v>1084</v>
      </c>
      <c r="BU1" s="737"/>
      <c r="BV1" s="737"/>
      <c r="BW1" s="736" t="s">
        <v>1085</v>
      </c>
      <c r="BX1" s="737"/>
      <c r="BY1" s="737"/>
      <c r="BZ1" s="738" t="s">
        <v>852</v>
      </c>
      <c r="CA1" s="739"/>
      <c r="CB1" s="739"/>
      <c r="CC1" s="736" t="s">
        <v>1086</v>
      </c>
      <c r="CD1" s="737"/>
      <c r="CE1" s="737"/>
      <c r="CF1" s="736" t="s">
        <v>853</v>
      </c>
      <c r="CG1" s="737"/>
      <c r="CH1" s="737"/>
      <c r="CI1" s="736" t="s">
        <v>1087</v>
      </c>
      <c r="CJ1" s="737"/>
      <c r="CK1" s="737"/>
      <c r="CL1" s="736" t="s">
        <v>854</v>
      </c>
      <c r="CM1" s="737"/>
      <c r="CN1" s="737"/>
      <c r="CO1" s="736" t="s">
        <v>1088</v>
      </c>
      <c r="CP1" s="737"/>
      <c r="CQ1" s="737"/>
      <c r="CR1" s="736" t="s">
        <v>855</v>
      </c>
      <c r="CS1" s="737"/>
      <c r="CT1" s="737"/>
      <c r="CU1" s="736" t="s">
        <v>1089</v>
      </c>
      <c r="CV1" s="737"/>
      <c r="CW1" s="737"/>
      <c r="CX1" s="736" t="s">
        <v>856</v>
      </c>
      <c r="CY1" s="737"/>
      <c r="CZ1" s="737"/>
      <c r="DA1" s="736" t="s">
        <v>1090</v>
      </c>
      <c r="DB1" s="737"/>
      <c r="DC1" s="737"/>
      <c r="DD1" s="736" t="s">
        <v>857</v>
      </c>
      <c r="DE1" s="737"/>
      <c r="DF1" s="737"/>
      <c r="DG1" s="736" t="s">
        <v>684</v>
      </c>
      <c r="DH1" s="737"/>
      <c r="DI1" s="737"/>
      <c r="DJ1" s="736" t="s">
        <v>1091</v>
      </c>
      <c r="DK1" s="737"/>
      <c r="DL1" s="737"/>
      <c r="DM1" s="736" t="s">
        <v>1092</v>
      </c>
      <c r="DN1" s="737"/>
      <c r="DO1" s="737"/>
      <c r="DP1" s="736" t="s">
        <v>1093</v>
      </c>
      <c r="DQ1" s="737"/>
      <c r="DR1" s="737"/>
      <c r="DS1" s="736" t="s">
        <v>1094</v>
      </c>
      <c r="DT1" s="737"/>
      <c r="DU1" s="737"/>
      <c r="DV1" s="736" t="s">
        <v>1095</v>
      </c>
      <c r="DW1" s="737"/>
      <c r="DX1" s="737"/>
      <c r="DY1" s="736" t="s">
        <v>1096</v>
      </c>
      <c r="DZ1" s="737"/>
      <c r="EA1" s="737"/>
      <c r="EB1" s="736" t="s">
        <v>1097</v>
      </c>
      <c r="EC1" s="737"/>
      <c r="ED1" s="737"/>
      <c r="EE1" s="736" t="s">
        <v>1098</v>
      </c>
      <c r="EF1" s="737"/>
      <c r="EG1" s="737"/>
      <c r="EH1" s="736" t="s">
        <v>1099</v>
      </c>
      <c r="EI1" s="737"/>
      <c r="EJ1" s="737"/>
      <c r="EK1" s="736" t="s">
        <v>1100</v>
      </c>
      <c r="EL1" s="737"/>
      <c r="EM1" s="737"/>
      <c r="EN1" s="736" t="s">
        <v>858</v>
      </c>
      <c r="EO1" s="737"/>
      <c r="EP1" s="737"/>
      <c r="EQ1" s="736" t="s">
        <v>1101</v>
      </c>
      <c r="ER1" s="737"/>
      <c r="ES1" s="737"/>
      <c r="ET1" s="736" t="s">
        <v>1102</v>
      </c>
      <c r="EU1" s="737"/>
      <c r="EV1" s="737"/>
      <c r="EW1" s="736" t="s">
        <v>1103</v>
      </c>
      <c r="EX1" s="737"/>
      <c r="EY1" s="737"/>
      <c r="EZ1" s="736" t="s">
        <v>1104</v>
      </c>
      <c r="FA1" s="737"/>
      <c r="FB1" s="737"/>
      <c r="FC1" s="736" t="s">
        <v>1105</v>
      </c>
      <c r="FD1" s="737"/>
      <c r="FE1" s="737"/>
      <c r="FF1" s="736" t="s">
        <v>1106</v>
      </c>
      <c r="FG1" s="737"/>
      <c r="FH1" s="737"/>
      <c r="FI1" s="736" t="s">
        <v>1107</v>
      </c>
      <c r="FJ1" s="737"/>
      <c r="FK1" s="737"/>
      <c r="FL1" s="736" t="s">
        <v>1108</v>
      </c>
      <c r="FM1" s="737"/>
      <c r="FN1" s="737"/>
      <c r="FO1" s="736" t="s">
        <v>988</v>
      </c>
      <c r="FP1" s="737"/>
      <c r="FQ1" s="737"/>
      <c r="FR1" s="736" t="s">
        <v>1109</v>
      </c>
      <c r="FS1" s="737"/>
      <c r="FT1" s="737"/>
    </row>
    <row r="2" spans="1:176" ht="12.75" x14ac:dyDescent="0.2">
      <c r="A2" s="411">
        <v>1</v>
      </c>
      <c r="B2" s="411">
        <v>2</v>
      </c>
      <c r="C2" s="411">
        <v>3</v>
      </c>
      <c r="D2" s="158">
        <v>4</v>
      </c>
      <c r="E2" s="411">
        <v>5</v>
      </c>
      <c r="F2" s="411">
        <v>6</v>
      </c>
      <c r="G2" s="158">
        <v>7</v>
      </c>
      <c r="H2" s="411">
        <v>8</v>
      </c>
      <c r="I2" s="411">
        <v>9</v>
      </c>
      <c r="J2" s="158">
        <v>10</v>
      </c>
      <c r="K2" s="411">
        <v>11</v>
      </c>
      <c r="L2" s="411">
        <v>12</v>
      </c>
      <c r="M2" s="158">
        <v>13</v>
      </c>
      <c r="N2" s="411">
        <v>14</v>
      </c>
      <c r="O2" s="411">
        <v>15</v>
      </c>
      <c r="P2" s="158">
        <v>16</v>
      </c>
      <c r="Q2" s="411">
        <v>17</v>
      </c>
      <c r="R2" s="411">
        <v>18</v>
      </c>
      <c r="S2" s="158">
        <v>19</v>
      </c>
      <c r="T2" s="411">
        <v>20</v>
      </c>
      <c r="U2" s="411">
        <v>21</v>
      </c>
      <c r="V2" s="158">
        <v>22</v>
      </c>
      <c r="W2" s="411">
        <v>23</v>
      </c>
      <c r="X2" s="411">
        <v>24</v>
      </c>
      <c r="Y2" s="158">
        <v>25</v>
      </c>
      <c r="Z2" s="411">
        <v>26</v>
      </c>
      <c r="AA2" s="411">
        <v>27</v>
      </c>
      <c r="AB2" s="158">
        <v>28</v>
      </c>
      <c r="AC2" s="411">
        <v>29</v>
      </c>
      <c r="AD2" s="411">
        <v>30</v>
      </c>
      <c r="AE2" s="158">
        <v>31</v>
      </c>
      <c r="AF2" s="411">
        <v>32</v>
      </c>
      <c r="AG2" s="411">
        <v>33</v>
      </c>
      <c r="AH2" s="158">
        <v>34</v>
      </c>
      <c r="AI2" s="411">
        <v>35</v>
      </c>
      <c r="AJ2" s="411">
        <v>36</v>
      </c>
      <c r="AK2" s="158">
        <v>37</v>
      </c>
      <c r="AL2" s="411">
        <v>38</v>
      </c>
      <c r="AM2" s="411">
        <v>39</v>
      </c>
      <c r="AN2" s="158">
        <v>40</v>
      </c>
      <c r="AO2" s="411">
        <v>41</v>
      </c>
      <c r="AP2" s="411">
        <v>42</v>
      </c>
      <c r="AQ2" s="158">
        <v>43</v>
      </c>
      <c r="AR2" s="411">
        <v>44</v>
      </c>
      <c r="AS2" s="411">
        <v>45</v>
      </c>
      <c r="AT2" s="158">
        <v>46</v>
      </c>
      <c r="AU2" s="411">
        <v>47</v>
      </c>
      <c r="AV2" s="411">
        <v>48</v>
      </c>
      <c r="AW2" s="158">
        <v>49</v>
      </c>
      <c r="AX2" s="411">
        <v>50</v>
      </c>
      <c r="AY2" s="411">
        <v>51</v>
      </c>
      <c r="AZ2" s="158">
        <v>52</v>
      </c>
      <c r="BA2" s="411">
        <v>53</v>
      </c>
      <c r="BB2" s="411">
        <v>54</v>
      </c>
      <c r="BC2" s="158">
        <v>55</v>
      </c>
      <c r="BD2" s="411">
        <v>56</v>
      </c>
      <c r="BE2" s="411">
        <v>57</v>
      </c>
      <c r="BF2" s="158">
        <v>58</v>
      </c>
      <c r="BG2" s="411">
        <v>59</v>
      </c>
      <c r="BH2" s="411">
        <v>60</v>
      </c>
      <c r="BI2" s="158">
        <v>61</v>
      </c>
      <c r="BJ2" s="411">
        <v>62</v>
      </c>
      <c r="BK2" s="411">
        <v>63</v>
      </c>
      <c r="BL2" s="158">
        <v>64</v>
      </c>
      <c r="BM2" s="411">
        <v>65</v>
      </c>
      <c r="BN2" s="411">
        <v>66</v>
      </c>
      <c r="BO2" s="158">
        <v>67</v>
      </c>
      <c r="BP2" s="411">
        <v>68</v>
      </c>
      <c r="BQ2" s="411">
        <v>69</v>
      </c>
      <c r="BR2" s="158">
        <v>70</v>
      </c>
      <c r="BS2" s="411">
        <v>71</v>
      </c>
      <c r="BT2" s="411">
        <v>72</v>
      </c>
      <c r="BU2" s="158">
        <v>73</v>
      </c>
      <c r="BV2" s="411">
        <v>74</v>
      </c>
      <c r="BW2" s="411">
        <v>75</v>
      </c>
      <c r="BX2" s="158">
        <v>76</v>
      </c>
      <c r="BY2" s="411">
        <v>77</v>
      </c>
      <c r="BZ2" s="411">
        <v>78</v>
      </c>
      <c r="CA2" s="158">
        <v>79</v>
      </c>
      <c r="CB2" s="411">
        <v>80</v>
      </c>
      <c r="CC2" s="411">
        <v>81</v>
      </c>
      <c r="CD2" s="158">
        <v>82</v>
      </c>
      <c r="CE2" s="411">
        <v>83</v>
      </c>
      <c r="CF2" s="411">
        <v>84</v>
      </c>
      <c r="CG2" s="158">
        <v>85</v>
      </c>
      <c r="CH2" s="411">
        <v>86</v>
      </c>
      <c r="CI2" s="411">
        <v>87</v>
      </c>
      <c r="CJ2" s="158">
        <v>88</v>
      </c>
      <c r="CK2" s="411">
        <v>89</v>
      </c>
      <c r="CL2" s="411">
        <v>90</v>
      </c>
      <c r="CM2" s="158">
        <v>91</v>
      </c>
      <c r="CN2" s="411">
        <v>92</v>
      </c>
      <c r="CO2" s="411">
        <v>93</v>
      </c>
      <c r="CP2" s="158">
        <v>94</v>
      </c>
      <c r="CQ2" s="411">
        <v>95</v>
      </c>
      <c r="CR2" s="411">
        <v>96</v>
      </c>
      <c r="CS2" s="158">
        <v>97</v>
      </c>
      <c r="CT2" s="411">
        <v>98</v>
      </c>
      <c r="CU2" s="411">
        <v>99</v>
      </c>
      <c r="CV2" s="158">
        <v>100</v>
      </c>
      <c r="CW2" s="411">
        <v>101</v>
      </c>
      <c r="CX2" s="411">
        <v>102</v>
      </c>
      <c r="CY2" s="158">
        <v>103</v>
      </c>
      <c r="CZ2" s="411">
        <v>104</v>
      </c>
      <c r="DA2" s="411">
        <v>105</v>
      </c>
      <c r="DB2" s="158">
        <v>106</v>
      </c>
      <c r="DC2" s="411">
        <v>107</v>
      </c>
      <c r="DD2" s="411">
        <v>108</v>
      </c>
      <c r="DE2" s="158">
        <v>109</v>
      </c>
      <c r="DF2" s="411">
        <v>110</v>
      </c>
      <c r="DG2" s="411">
        <v>111</v>
      </c>
      <c r="DH2" s="158">
        <v>112</v>
      </c>
      <c r="DI2" s="411">
        <v>113</v>
      </c>
      <c r="DJ2" s="411">
        <v>114</v>
      </c>
      <c r="DK2" s="158">
        <v>115</v>
      </c>
      <c r="DL2" s="411">
        <v>116</v>
      </c>
      <c r="DM2" s="411">
        <v>117</v>
      </c>
      <c r="DN2" s="158">
        <v>118</v>
      </c>
      <c r="DO2" s="411">
        <v>119</v>
      </c>
      <c r="DP2" s="411">
        <v>120</v>
      </c>
      <c r="DQ2" s="158">
        <v>121</v>
      </c>
      <c r="DR2" s="411">
        <v>122</v>
      </c>
      <c r="DS2" s="411">
        <v>123</v>
      </c>
      <c r="DT2" s="158">
        <v>124</v>
      </c>
      <c r="DU2" s="411">
        <v>125</v>
      </c>
      <c r="DV2" s="411">
        <v>126</v>
      </c>
      <c r="DW2" s="158">
        <v>127</v>
      </c>
      <c r="DX2" s="411">
        <v>128</v>
      </c>
      <c r="DY2" s="411">
        <v>129</v>
      </c>
      <c r="DZ2" s="158">
        <v>130</v>
      </c>
      <c r="EA2" s="411">
        <v>131</v>
      </c>
      <c r="EB2" s="411">
        <v>132</v>
      </c>
      <c r="EC2" s="158">
        <v>133</v>
      </c>
      <c r="ED2" s="411">
        <v>134</v>
      </c>
      <c r="EE2" s="411">
        <v>135</v>
      </c>
      <c r="EF2" s="158">
        <v>136</v>
      </c>
      <c r="EG2" s="411">
        <v>137</v>
      </c>
      <c r="EH2" s="411">
        <v>138</v>
      </c>
      <c r="EI2" s="158">
        <v>139</v>
      </c>
      <c r="EJ2" s="411">
        <v>140</v>
      </c>
      <c r="EK2" s="411">
        <v>141</v>
      </c>
      <c r="EL2" s="158">
        <v>142</v>
      </c>
      <c r="EM2" s="411">
        <v>143</v>
      </c>
      <c r="EN2" s="411">
        <v>144</v>
      </c>
      <c r="EO2" s="158">
        <v>145</v>
      </c>
      <c r="EP2" s="411">
        <v>146</v>
      </c>
      <c r="EQ2" s="411">
        <v>147</v>
      </c>
      <c r="ER2" s="158">
        <v>148</v>
      </c>
      <c r="ES2" s="411">
        <v>149</v>
      </c>
      <c r="ET2" s="411">
        <v>150</v>
      </c>
      <c r="EU2" s="158">
        <v>151</v>
      </c>
      <c r="EV2" s="411">
        <v>152</v>
      </c>
      <c r="EW2" s="411">
        <v>153</v>
      </c>
      <c r="EX2" s="158">
        <v>154</v>
      </c>
      <c r="EY2" s="411">
        <v>155</v>
      </c>
      <c r="EZ2" s="411">
        <v>156</v>
      </c>
      <c r="FA2" s="158">
        <v>157</v>
      </c>
      <c r="FB2" s="411">
        <v>158</v>
      </c>
      <c r="FC2" s="411">
        <v>159</v>
      </c>
      <c r="FD2" s="158">
        <v>160</v>
      </c>
      <c r="FE2" s="411">
        <v>161</v>
      </c>
      <c r="FF2" s="411">
        <v>162</v>
      </c>
      <c r="FG2" s="158">
        <v>163</v>
      </c>
      <c r="FH2" s="411">
        <v>164</v>
      </c>
      <c r="FI2" s="411">
        <v>165</v>
      </c>
      <c r="FJ2" s="158">
        <v>166</v>
      </c>
      <c r="FK2" s="411">
        <v>167</v>
      </c>
      <c r="FL2" s="411">
        <v>168</v>
      </c>
      <c r="FM2" s="158">
        <v>169</v>
      </c>
      <c r="FN2" s="411">
        <v>170</v>
      </c>
      <c r="FO2" s="411">
        <v>171</v>
      </c>
      <c r="FP2" s="158">
        <v>172</v>
      </c>
      <c r="FQ2" s="411">
        <v>173</v>
      </c>
      <c r="FR2" s="411">
        <v>174</v>
      </c>
      <c r="FS2" s="158">
        <v>175</v>
      </c>
      <c r="FT2" s="21">
        <v>176</v>
      </c>
    </row>
    <row r="3" spans="1:176" ht="13.5" thickBot="1" x14ac:dyDescent="0.25">
      <c r="A3" s="591"/>
      <c r="B3" s="159"/>
      <c r="C3" s="407"/>
      <c r="D3" s="407"/>
      <c r="E3" s="407"/>
      <c r="F3" s="83"/>
      <c r="G3" s="84"/>
      <c r="H3" s="84"/>
      <c r="I3" s="85"/>
      <c r="J3" s="85"/>
      <c r="K3" s="85"/>
      <c r="L3" s="85"/>
      <c r="M3" s="85"/>
      <c r="N3" s="85"/>
      <c r="O3" s="85"/>
      <c r="P3" s="85"/>
      <c r="Q3" s="85"/>
      <c r="R3" s="85"/>
      <c r="S3" s="85"/>
      <c r="T3" s="85"/>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S3" s="86"/>
      <c r="CT3" s="86"/>
      <c r="CU3" s="86"/>
      <c r="CV3" s="86"/>
      <c r="CW3" s="86"/>
      <c r="CX3" s="86"/>
      <c r="CY3" s="86"/>
      <c r="CZ3" s="86"/>
      <c r="DA3" s="86"/>
      <c r="DB3" s="86"/>
      <c r="DC3" s="86"/>
      <c r="DD3" s="86"/>
      <c r="DE3" s="86"/>
      <c r="DF3" s="86"/>
      <c r="DG3" s="86"/>
      <c r="DH3" s="86"/>
      <c r="DI3" s="86"/>
      <c r="DJ3" s="86"/>
      <c r="DK3" s="86"/>
      <c r="DL3" s="86"/>
      <c r="DM3" s="86"/>
      <c r="DN3" s="86"/>
      <c r="DO3" s="86"/>
      <c r="DP3" s="86"/>
      <c r="DQ3" s="86"/>
      <c r="DR3" s="86"/>
      <c r="DS3" s="86"/>
      <c r="DT3" s="86"/>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row>
    <row r="4" spans="1:176" s="93" customFormat="1" ht="13.5" thickBot="1" x14ac:dyDescent="0.25">
      <c r="A4" s="411"/>
      <c r="B4" s="81" t="s">
        <v>561</v>
      </c>
      <c r="C4" s="81" t="s">
        <v>864</v>
      </c>
      <c r="D4" s="161" t="s">
        <v>865</v>
      </c>
      <c r="E4" s="81" t="s">
        <v>560</v>
      </c>
      <c r="F4" s="612">
        <v>1</v>
      </c>
      <c r="G4" s="612">
        <v>2</v>
      </c>
      <c r="H4" s="612">
        <v>3</v>
      </c>
      <c r="I4" s="612">
        <v>4</v>
      </c>
      <c r="J4" s="612">
        <v>5</v>
      </c>
      <c r="K4" s="612">
        <v>6</v>
      </c>
      <c r="L4" s="612">
        <v>7</v>
      </c>
      <c r="M4" s="612">
        <v>8</v>
      </c>
      <c r="N4" s="612">
        <v>9</v>
      </c>
      <c r="O4" s="612">
        <v>10</v>
      </c>
      <c r="P4" s="612">
        <v>11</v>
      </c>
      <c r="Q4" s="612">
        <v>12</v>
      </c>
      <c r="R4" s="612">
        <v>13</v>
      </c>
      <c r="S4" s="612">
        <v>14</v>
      </c>
      <c r="T4" s="612">
        <v>15</v>
      </c>
      <c r="U4" s="612">
        <v>16</v>
      </c>
      <c r="V4" s="612">
        <v>17</v>
      </c>
      <c r="W4" s="612">
        <v>18</v>
      </c>
      <c r="X4" s="612">
        <v>19</v>
      </c>
      <c r="Y4" s="612">
        <v>20</v>
      </c>
      <c r="Z4" s="612">
        <v>21</v>
      </c>
      <c r="AA4" s="612">
        <v>22</v>
      </c>
      <c r="AB4" s="612">
        <v>23</v>
      </c>
      <c r="AC4" s="612">
        <v>24</v>
      </c>
      <c r="AD4" s="612">
        <v>25</v>
      </c>
      <c r="AE4" s="612">
        <v>26</v>
      </c>
      <c r="AF4" s="612">
        <v>27</v>
      </c>
      <c r="AG4" s="612">
        <v>28</v>
      </c>
      <c r="AH4" s="612">
        <v>29</v>
      </c>
      <c r="AI4" s="612">
        <v>30</v>
      </c>
      <c r="AJ4" s="612">
        <v>31</v>
      </c>
      <c r="AK4" s="612">
        <v>32</v>
      </c>
      <c r="AL4" s="612">
        <v>33</v>
      </c>
      <c r="AM4" s="612">
        <v>34</v>
      </c>
      <c r="AN4" s="612">
        <v>35</v>
      </c>
      <c r="AO4" s="612">
        <v>36</v>
      </c>
      <c r="AP4" s="612">
        <v>37</v>
      </c>
      <c r="AQ4" s="612">
        <v>38</v>
      </c>
      <c r="AR4" s="612">
        <v>39</v>
      </c>
      <c r="AS4" s="612">
        <v>40</v>
      </c>
      <c r="AT4" s="612">
        <v>41</v>
      </c>
      <c r="AU4" s="612">
        <v>42</v>
      </c>
      <c r="AV4" s="612">
        <v>43</v>
      </c>
      <c r="AW4" s="612">
        <v>44</v>
      </c>
      <c r="AX4" s="612">
        <v>45</v>
      </c>
      <c r="AY4" s="612">
        <v>46</v>
      </c>
      <c r="AZ4" s="612">
        <v>47</v>
      </c>
      <c r="BA4" s="612">
        <v>48</v>
      </c>
      <c r="BB4" s="612">
        <v>49</v>
      </c>
      <c r="BC4" s="612">
        <v>50</v>
      </c>
      <c r="BD4" s="612">
        <v>51</v>
      </c>
      <c r="BE4" s="612">
        <v>52</v>
      </c>
      <c r="BF4" s="612">
        <v>53</v>
      </c>
      <c r="BG4" s="612">
        <v>54</v>
      </c>
      <c r="BH4" s="612">
        <v>55</v>
      </c>
      <c r="BI4" s="612">
        <v>56</v>
      </c>
      <c r="BJ4" s="612">
        <v>57</v>
      </c>
      <c r="BK4" s="612">
        <v>58</v>
      </c>
      <c r="BL4" s="612">
        <v>59</v>
      </c>
      <c r="BM4" s="612">
        <v>60</v>
      </c>
      <c r="BN4" s="612">
        <v>61</v>
      </c>
      <c r="BO4" s="612">
        <v>62</v>
      </c>
      <c r="BP4" s="612">
        <v>63</v>
      </c>
      <c r="BQ4" s="612">
        <v>64</v>
      </c>
      <c r="BR4" s="612">
        <v>65</v>
      </c>
      <c r="BS4" s="612">
        <v>66</v>
      </c>
      <c r="BT4" s="612">
        <v>67</v>
      </c>
      <c r="BU4" s="612">
        <v>68</v>
      </c>
      <c r="BV4" s="612">
        <v>69</v>
      </c>
      <c r="BW4" s="612">
        <v>70</v>
      </c>
      <c r="BX4" s="612">
        <v>71</v>
      </c>
      <c r="BY4" s="612">
        <v>72</v>
      </c>
      <c r="BZ4" s="612">
        <v>73</v>
      </c>
      <c r="CA4" s="612">
        <v>74</v>
      </c>
      <c r="CB4" s="612">
        <v>75</v>
      </c>
      <c r="CC4" s="612">
        <v>76</v>
      </c>
      <c r="CD4" s="612">
        <v>77</v>
      </c>
      <c r="CE4" s="612">
        <v>78</v>
      </c>
      <c r="CF4" s="612">
        <v>79</v>
      </c>
      <c r="CG4" s="612">
        <v>80</v>
      </c>
      <c r="CH4" s="612">
        <v>81</v>
      </c>
      <c r="CI4" s="612">
        <v>82</v>
      </c>
      <c r="CJ4" s="612">
        <v>83</v>
      </c>
      <c r="CK4" s="612">
        <v>84</v>
      </c>
      <c r="CL4" s="612">
        <v>85</v>
      </c>
      <c r="CM4" s="612">
        <v>86</v>
      </c>
      <c r="CN4" s="612">
        <v>87</v>
      </c>
      <c r="CO4" s="612">
        <v>88</v>
      </c>
      <c r="CP4" s="612">
        <v>89</v>
      </c>
      <c r="CQ4" s="612">
        <v>90</v>
      </c>
      <c r="CR4" s="612">
        <v>91</v>
      </c>
      <c r="CS4" s="612">
        <v>92</v>
      </c>
      <c r="CT4" s="612">
        <v>93</v>
      </c>
      <c r="CU4" s="612">
        <v>94</v>
      </c>
      <c r="CV4" s="612">
        <v>95</v>
      </c>
      <c r="CW4" s="612">
        <v>96</v>
      </c>
      <c r="CX4" s="612">
        <v>97</v>
      </c>
      <c r="CY4" s="612">
        <v>98</v>
      </c>
      <c r="CZ4" s="612">
        <v>99</v>
      </c>
      <c r="DA4" s="612">
        <v>100</v>
      </c>
      <c r="DB4" s="612">
        <v>101</v>
      </c>
      <c r="DC4" s="612">
        <v>102</v>
      </c>
      <c r="DD4" s="612">
        <v>103</v>
      </c>
      <c r="DE4" s="612">
        <v>104</v>
      </c>
      <c r="DF4" s="612">
        <v>105</v>
      </c>
      <c r="DG4" s="612">
        <v>106</v>
      </c>
      <c r="DH4" s="612">
        <v>107</v>
      </c>
      <c r="DI4" s="612">
        <v>108</v>
      </c>
      <c r="DJ4" s="612">
        <v>109</v>
      </c>
      <c r="DK4" s="612">
        <v>110</v>
      </c>
      <c r="DL4" s="612">
        <v>111</v>
      </c>
      <c r="DM4" s="612">
        <v>112</v>
      </c>
      <c r="DN4" s="612">
        <v>113</v>
      </c>
      <c r="DO4" s="612">
        <v>114</v>
      </c>
      <c r="DP4" s="612">
        <v>115</v>
      </c>
      <c r="DQ4" s="612">
        <v>116</v>
      </c>
      <c r="DR4" s="612">
        <v>117</v>
      </c>
      <c r="DS4" s="612">
        <v>118</v>
      </c>
      <c r="DT4" s="612">
        <v>119</v>
      </c>
      <c r="DU4" s="612">
        <v>120</v>
      </c>
      <c r="DV4" s="612">
        <v>121</v>
      </c>
      <c r="DW4" s="612">
        <v>122</v>
      </c>
      <c r="DX4" s="612">
        <v>123</v>
      </c>
      <c r="DY4" s="612">
        <v>124</v>
      </c>
      <c r="DZ4" s="612">
        <v>125</v>
      </c>
      <c r="EA4" s="612">
        <v>126</v>
      </c>
      <c r="EB4" s="612">
        <v>127</v>
      </c>
      <c r="EC4" s="612">
        <v>128</v>
      </c>
      <c r="ED4" s="612">
        <v>129</v>
      </c>
      <c r="EE4" s="612">
        <v>130</v>
      </c>
      <c r="EF4" s="612">
        <v>131</v>
      </c>
      <c r="EG4" s="612">
        <v>132</v>
      </c>
      <c r="EH4" s="612">
        <v>133</v>
      </c>
      <c r="EI4" s="612">
        <v>134</v>
      </c>
      <c r="EJ4" s="612">
        <v>135</v>
      </c>
      <c r="EK4" s="612">
        <v>136</v>
      </c>
      <c r="EL4" s="612">
        <v>137</v>
      </c>
      <c r="EM4" s="612">
        <v>138</v>
      </c>
      <c r="EN4" s="612">
        <v>139</v>
      </c>
      <c r="EO4" s="612">
        <v>140</v>
      </c>
      <c r="EP4" s="612">
        <v>141</v>
      </c>
      <c r="EQ4" s="612">
        <v>142</v>
      </c>
      <c r="ER4" s="612">
        <v>143</v>
      </c>
      <c r="ES4" s="612">
        <v>144</v>
      </c>
      <c r="ET4" s="612">
        <v>145</v>
      </c>
      <c r="EU4" s="612">
        <v>146</v>
      </c>
      <c r="EV4" s="612">
        <v>147</v>
      </c>
      <c r="EW4" s="612">
        <v>148</v>
      </c>
      <c r="EX4" s="612">
        <v>149</v>
      </c>
      <c r="EY4" s="612">
        <v>150</v>
      </c>
      <c r="EZ4" s="612">
        <v>151</v>
      </c>
      <c r="FA4" s="612">
        <v>152</v>
      </c>
      <c r="FB4" s="612">
        <v>153</v>
      </c>
      <c r="FC4" s="612">
        <v>154</v>
      </c>
      <c r="FD4" s="612">
        <v>155</v>
      </c>
      <c r="FE4" s="612">
        <v>156</v>
      </c>
      <c r="FF4" s="612">
        <v>157</v>
      </c>
      <c r="FG4" s="612">
        <v>158</v>
      </c>
      <c r="FH4" s="612">
        <v>159</v>
      </c>
      <c r="FI4" s="612">
        <v>160</v>
      </c>
      <c r="FJ4" s="612">
        <v>161</v>
      </c>
      <c r="FK4" s="612">
        <v>162</v>
      </c>
      <c r="FL4" s="612">
        <v>163</v>
      </c>
      <c r="FM4" s="612">
        <v>164</v>
      </c>
      <c r="FN4" s="612">
        <v>165</v>
      </c>
      <c r="FO4" s="612">
        <v>166</v>
      </c>
      <c r="FP4" s="612">
        <v>167</v>
      </c>
      <c r="FQ4" s="612">
        <v>168</v>
      </c>
      <c r="FR4" s="612">
        <v>169</v>
      </c>
      <c r="FS4" s="612">
        <v>170</v>
      </c>
      <c r="FT4" s="612">
        <v>171</v>
      </c>
    </row>
    <row r="5" spans="1:176" s="93" customFormat="1" ht="13.5" thickBot="1" x14ac:dyDescent="0.25">
      <c r="A5" s="591"/>
      <c r="B5" s="157"/>
      <c r="C5" s="82"/>
      <c r="D5" s="65"/>
      <c r="E5" s="82"/>
      <c r="F5" s="612">
        <v>1</v>
      </c>
      <c r="G5" s="612">
        <v>2</v>
      </c>
      <c r="H5" s="612">
        <v>3</v>
      </c>
      <c r="I5" s="612">
        <v>1</v>
      </c>
      <c r="J5" s="612">
        <v>2</v>
      </c>
      <c r="K5" s="612">
        <v>3</v>
      </c>
      <c r="L5" s="612">
        <v>1</v>
      </c>
      <c r="M5" s="612">
        <v>2</v>
      </c>
      <c r="N5" s="612">
        <v>3</v>
      </c>
      <c r="O5" s="612">
        <v>1</v>
      </c>
      <c r="P5" s="612">
        <v>2</v>
      </c>
      <c r="Q5" s="612">
        <v>3</v>
      </c>
      <c r="R5" s="612">
        <v>1</v>
      </c>
      <c r="S5" s="612">
        <v>2</v>
      </c>
      <c r="T5" s="612">
        <v>3</v>
      </c>
      <c r="U5" s="612">
        <v>1</v>
      </c>
      <c r="V5" s="612">
        <v>2</v>
      </c>
      <c r="W5" s="612">
        <v>3</v>
      </c>
      <c r="X5" s="612">
        <v>1</v>
      </c>
      <c r="Y5" s="612">
        <v>2</v>
      </c>
      <c r="Z5" s="612">
        <v>3</v>
      </c>
      <c r="AA5" s="612">
        <v>1</v>
      </c>
      <c r="AB5" s="612">
        <v>2</v>
      </c>
      <c r="AC5" s="612">
        <v>3</v>
      </c>
      <c r="AD5" s="612">
        <v>1</v>
      </c>
      <c r="AE5" s="612">
        <v>2</v>
      </c>
      <c r="AF5" s="612">
        <v>3</v>
      </c>
      <c r="AG5" s="612">
        <v>1</v>
      </c>
      <c r="AH5" s="612">
        <v>2</v>
      </c>
      <c r="AI5" s="612">
        <v>3</v>
      </c>
      <c r="AJ5" s="612">
        <v>1</v>
      </c>
      <c r="AK5" s="612">
        <v>2</v>
      </c>
      <c r="AL5" s="612">
        <v>3</v>
      </c>
      <c r="AM5" s="612">
        <v>1</v>
      </c>
      <c r="AN5" s="612">
        <v>2</v>
      </c>
      <c r="AO5" s="612">
        <v>3</v>
      </c>
      <c r="AP5" s="612">
        <v>1</v>
      </c>
      <c r="AQ5" s="612">
        <v>2</v>
      </c>
      <c r="AR5" s="612">
        <v>3</v>
      </c>
      <c r="AS5" s="612">
        <v>1</v>
      </c>
      <c r="AT5" s="612">
        <v>2</v>
      </c>
      <c r="AU5" s="612">
        <v>3</v>
      </c>
      <c r="AV5" s="612">
        <v>1</v>
      </c>
      <c r="AW5" s="612">
        <v>2</v>
      </c>
      <c r="AX5" s="612">
        <v>3</v>
      </c>
      <c r="AY5" s="612">
        <v>1</v>
      </c>
      <c r="AZ5" s="612">
        <v>2</v>
      </c>
      <c r="BA5" s="612">
        <v>3</v>
      </c>
      <c r="BB5" s="612">
        <v>1</v>
      </c>
      <c r="BC5" s="612">
        <v>2</v>
      </c>
      <c r="BD5" s="612">
        <v>3</v>
      </c>
      <c r="BE5" s="612">
        <v>1</v>
      </c>
      <c r="BF5" s="612">
        <v>2</v>
      </c>
      <c r="BG5" s="612">
        <v>3</v>
      </c>
      <c r="BH5" s="612">
        <v>1</v>
      </c>
      <c r="BI5" s="612">
        <v>2</v>
      </c>
      <c r="BJ5" s="612">
        <v>3</v>
      </c>
      <c r="BK5" s="612">
        <v>1</v>
      </c>
      <c r="BL5" s="612">
        <v>2</v>
      </c>
      <c r="BM5" s="612">
        <v>3</v>
      </c>
      <c r="BN5" s="612">
        <v>1</v>
      </c>
      <c r="BO5" s="612">
        <v>2</v>
      </c>
      <c r="BP5" s="612">
        <v>3</v>
      </c>
      <c r="BQ5" s="612">
        <v>1</v>
      </c>
      <c r="BR5" s="612">
        <v>2</v>
      </c>
      <c r="BS5" s="612">
        <v>3</v>
      </c>
      <c r="BT5" s="612">
        <v>1</v>
      </c>
      <c r="BU5" s="612">
        <v>2</v>
      </c>
      <c r="BV5" s="612">
        <v>3</v>
      </c>
      <c r="BW5" s="612">
        <v>1</v>
      </c>
      <c r="BX5" s="612">
        <v>2</v>
      </c>
      <c r="BY5" s="612">
        <v>3</v>
      </c>
      <c r="BZ5" s="612">
        <v>1</v>
      </c>
      <c r="CA5" s="612">
        <v>2</v>
      </c>
      <c r="CB5" s="612">
        <v>3</v>
      </c>
      <c r="CC5" s="612">
        <v>1</v>
      </c>
      <c r="CD5" s="612">
        <v>2</v>
      </c>
      <c r="CE5" s="612">
        <v>3</v>
      </c>
      <c r="CF5" s="612">
        <v>1</v>
      </c>
      <c r="CG5" s="612">
        <v>2</v>
      </c>
      <c r="CH5" s="612">
        <v>3</v>
      </c>
      <c r="CI5" s="612">
        <v>1</v>
      </c>
      <c r="CJ5" s="612">
        <v>2</v>
      </c>
      <c r="CK5" s="612">
        <v>3</v>
      </c>
      <c r="CL5" s="612">
        <v>1</v>
      </c>
      <c r="CM5" s="612">
        <v>2</v>
      </c>
      <c r="CN5" s="612">
        <v>3</v>
      </c>
      <c r="CO5" s="612">
        <v>1</v>
      </c>
      <c r="CP5" s="612">
        <v>2</v>
      </c>
      <c r="CQ5" s="612">
        <v>3</v>
      </c>
      <c r="CR5" s="612">
        <v>1</v>
      </c>
      <c r="CS5" s="612">
        <v>2</v>
      </c>
      <c r="CT5" s="612">
        <v>3</v>
      </c>
      <c r="CU5" s="612">
        <v>1</v>
      </c>
      <c r="CV5" s="612">
        <v>2</v>
      </c>
      <c r="CW5" s="612">
        <v>3</v>
      </c>
      <c r="CX5" s="612">
        <v>1</v>
      </c>
      <c r="CY5" s="612">
        <v>2</v>
      </c>
      <c r="CZ5" s="612">
        <v>3</v>
      </c>
      <c r="DA5" s="612">
        <v>1</v>
      </c>
      <c r="DB5" s="612">
        <v>2</v>
      </c>
      <c r="DC5" s="612">
        <v>3</v>
      </c>
      <c r="DD5" s="612">
        <v>1</v>
      </c>
      <c r="DE5" s="612">
        <v>2</v>
      </c>
      <c r="DF5" s="612">
        <v>3</v>
      </c>
      <c r="DG5" s="612">
        <v>1</v>
      </c>
      <c r="DH5" s="612">
        <v>2</v>
      </c>
      <c r="DI5" s="612">
        <v>3</v>
      </c>
      <c r="DJ5" s="612">
        <v>1</v>
      </c>
      <c r="DK5" s="612">
        <v>2</v>
      </c>
      <c r="DL5" s="612">
        <v>3</v>
      </c>
      <c r="DM5" s="612">
        <v>1</v>
      </c>
      <c r="DN5" s="612">
        <v>2</v>
      </c>
      <c r="DO5" s="612">
        <v>3</v>
      </c>
      <c r="DP5" s="612">
        <v>1</v>
      </c>
      <c r="DQ5" s="612">
        <v>2</v>
      </c>
      <c r="DR5" s="612">
        <v>3</v>
      </c>
      <c r="DS5" s="612">
        <v>1</v>
      </c>
      <c r="DT5" s="612">
        <v>2</v>
      </c>
      <c r="DU5" s="612">
        <v>3</v>
      </c>
      <c r="DV5" s="612">
        <v>1</v>
      </c>
      <c r="DW5" s="612">
        <v>2</v>
      </c>
      <c r="DX5" s="612">
        <v>3</v>
      </c>
      <c r="DY5" s="612">
        <v>1</v>
      </c>
      <c r="DZ5" s="612">
        <v>2</v>
      </c>
      <c r="EA5" s="612">
        <v>3</v>
      </c>
      <c r="EB5" s="612">
        <v>1</v>
      </c>
      <c r="EC5" s="612">
        <v>2</v>
      </c>
      <c r="ED5" s="612">
        <v>3</v>
      </c>
      <c r="EE5" s="612">
        <v>1</v>
      </c>
      <c r="EF5" s="612">
        <v>2</v>
      </c>
      <c r="EG5" s="612">
        <v>3</v>
      </c>
      <c r="EH5" s="612">
        <v>1</v>
      </c>
      <c r="EI5" s="612">
        <v>2</v>
      </c>
      <c r="EJ5" s="612">
        <v>3</v>
      </c>
      <c r="EK5" s="612">
        <v>1</v>
      </c>
      <c r="EL5" s="612">
        <v>2</v>
      </c>
      <c r="EM5" s="612">
        <v>3</v>
      </c>
      <c r="EN5" s="612">
        <v>1</v>
      </c>
      <c r="EO5" s="612">
        <v>2</v>
      </c>
      <c r="EP5" s="612">
        <v>3</v>
      </c>
      <c r="EQ5" s="612">
        <v>1</v>
      </c>
      <c r="ER5" s="612">
        <v>2</v>
      </c>
      <c r="ES5" s="612">
        <v>3</v>
      </c>
      <c r="ET5" s="612">
        <v>1</v>
      </c>
      <c r="EU5" s="612">
        <v>2</v>
      </c>
      <c r="EV5" s="612">
        <v>3</v>
      </c>
      <c r="EW5" s="612">
        <v>1</v>
      </c>
      <c r="EX5" s="612">
        <v>2</v>
      </c>
      <c r="EY5" s="612">
        <v>3</v>
      </c>
      <c r="EZ5" s="612">
        <v>1</v>
      </c>
      <c r="FA5" s="612">
        <v>2</v>
      </c>
      <c r="FB5" s="612">
        <v>3</v>
      </c>
      <c r="FC5" s="612">
        <v>1</v>
      </c>
      <c r="FD5" s="612">
        <v>2</v>
      </c>
      <c r="FE5" s="612">
        <v>3</v>
      </c>
      <c r="FF5" s="612">
        <v>1</v>
      </c>
      <c r="FG5" s="612">
        <v>2</v>
      </c>
      <c r="FH5" s="612">
        <v>3</v>
      </c>
      <c r="FI5" s="612">
        <v>1</v>
      </c>
      <c r="FJ5" s="612">
        <v>2</v>
      </c>
      <c r="FK5" s="612">
        <v>3</v>
      </c>
      <c r="FL5" s="612">
        <v>1</v>
      </c>
      <c r="FM5" s="612">
        <v>2</v>
      </c>
      <c r="FN5" s="612">
        <v>3</v>
      </c>
      <c r="FO5" s="612">
        <v>1</v>
      </c>
      <c r="FP5" s="612">
        <v>2</v>
      </c>
      <c r="FQ5" s="612">
        <v>3</v>
      </c>
      <c r="FR5" s="612">
        <v>1</v>
      </c>
      <c r="FS5" s="612">
        <v>2</v>
      </c>
      <c r="FT5" s="612">
        <v>3</v>
      </c>
    </row>
    <row r="6" spans="1:176" ht="13.5" thickBot="1" x14ac:dyDescent="0.25">
      <c r="A6" s="614"/>
      <c r="B6" s="51"/>
      <c r="C6" s="603"/>
      <c r="D6" s="59"/>
      <c r="E6" s="152"/>
      <c r="F6" s="87"/>
      <c r="G6" s="88"/>
      <c r="H6" s="88"/>
      <c r="I6" s="89"/>
      <c r="J6" s="90"/>
      <c r="K6" s="89"/>
      <c r="L6" s="89"/>
      <c r="M6" s="89"/>
      <c r="N6" s="89"/>
      <c r="O6" s="89"/>
      <c r="P6" s="89"/>
      <c r="Q6" s="89"/>
      <c r="R6" s="89"/>
      <c r="S6" s="89"/>
      <c r="T6" s="89"/>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c r="FK6" s="91"/>
      <c r="FL6" s="91"/>
      <c r="FM6" s="91"/>
      <c r="FN6" s="91"/>
      <c r="FO6" s="91"/>
      <c r="FP6" s="91"/>
      <c r="FQ6" s="91"/>
      <c r="FR6" s="91"/>
      <c r="FS6" s="91"/>
      <c r="FT6" s="91"/>
    </row>
    <row r="7" spans="1:176" ht="12.75" x14ac:dyDescent="0.2">
      <c r="A7" s="93">
        <v>2</v>
      </c>
      <c r="B7" s="145" t="s">
        <v>563</v>
      </c>
      <c r="C7" s="604" t="s">
        <v>866</v>
      </c>
      <c r="D7" s="142" t="s">
        <v>867</v>
      </c>
      <c r="E7" s="149" t="s">
        <v>562</v>
      </c>
      <c r="F7" s="542">
        <v>-653365</v>
      </c>
      <c r="G7" s="542">
        <v>0</v>
      </c>
      <c r="H7" s="542">
        <v>-653365</v>
      </c>
      <c r="I7" s="542">
        <v>-396819</v>
      </c>
      <c r="J7" s="542">
        <v>0</v>
      </c>
      <c r="K7" s="542">
        <v>-396819</v>
      </c>
      <c r="L7" s="542">
        <v>0</v>
      </c>
      <c r="M7" s="542">
        <v>0</v>
      </c>
      <c r="N7" s="542">
        <v>0</v>
      </c>
      <c r="O7" s="542">
        <v>7116</v>
      </c>
      <c r="P7" s="542">
        <v>0</v>
      </c>
      <c r="Q7" s="542">
        <v>7116</v>
      </c>
      <c r="R7" s="542">
        <v>-1043068</v>
      </c>
      <c r="S7" s="542">
        <v>0</v>
      </c>
      <c r="T7" s="542">
        <v>-1043068</v>
      </c>
      <c r="U7" s="542">
        <v>-1199474</v>
      </c>
      <c r="V7" s="542">
        <v>0</v>
      </c>
      <c r="W7" s="542">
        <v>-1199474</v>
      </c>
      <c r="X7" s="542">
        <v>0</v>
      </c>
      <c r="Y7" s="542">
        <v>0</v>
      </c>
      <c r="Z7" s="542">
        <v>0</v>
      </c>
      <c r="AA7" s="542">
        <v>-97610</v>
      </c>
      <c r="AB7" s="542">
        <v>0</v>
      </c>
      <c r="AC7" s="542">
        <v>-97610</v>
      </c>
      <c r="AD7" s="542">
        <v>-42072</v>
      </c>
      <c r="AE7" s="542">
        <v>0</v>
      </c>
      <c r="AF7" s="542">
        <v>-42072</v>
      </c>
      <c r="AG7" s="542">
        <v>399056</v>
      </c>
      <c r="AH7" s="542">
        <v>0</v>
      </c>
      <c r="AI7" s="542">
        <v>399056</v>
      </c>
      <c r="AJ7" s="542">
        <v>-521</v>
      </c>
      <c r="AK7" s="542">
        <v>0</v>
      </c>
      <c r="AL7" s="542">
        <v>-521</v>
      </c>
      <c r="AM7" s="542">
        <v>-1260075</v>
      </c>
      <c r="AN7" s="542">
        <v>0</v>
      </c>
      <c r="AO7" s="542">
        <v>-1260075</v>
      </c>
      <c r="AP7" s="542">
        <v>-6782</v>
      </c>
      <c r="AQ7" s="542">
        <v>0</v>
      </c>
      <c r="AR7" s="542">
        <v>-6782</v>
      </c>
      <c r="AS7" s="542">
        <v>-78423</v>
      </c>
      <c r="AT7" s="542">
        <v>0</v>
      </c>
      <c r="AU7" s="542">
        <v>-78423</v>
      </c>
      <c r="AV7" s="542">
        <v>0</v>
      </c>
      <c r="AW7" s="542">
        <v>0</v>
      </c>
      <c r="AX7" s="542">
        <v>0</v>
      </c>
      <c r="AY7" s="542">
        <v>0</v>
      </c>
      <c r="AZ7" s="542">
        <v>0</v>
      </c>
      <c r="BA7" s="542">
        <v>0</v>
      </c>
      <c r="BB7" s="542">
        <v>0</v>
      </c>
      <c r="BC7" s="542">
        <v>0</v>
      </c>
      <c r="BD7" s="542">
        <v>0</v>
      </c>
      <c r="BE7" s="542">
        <v>-2243829</v>
      </c>
      <c r="BF7" s="542">
        <v>0</v>
      </c>
      <c r="BG7" s="542">
        <v>-2243829</v>
      </c>
      <c r="BH7" s="542">
        <v>-559</v>
      </c>
      <c r="BI7" s="542">
        <v>0</v>
      </c>
      <c r="BJ7" s="542">
        <v>-559</v>
      </c>
      <c r="BK7" s="542">
        <v>-1092</v>
      </c>
      <c r="BL7" s="542">
        <v>0</v>
      </c>
      <c r="BM7" s="542">
        <v>-1092</v>
      </c>
      <c r="BN7" s="542">
        <v>-293078</v>
      </c>
      <c r="BO7" s="542">
        <v>0</v>
      </c>
      <c r="BP7" s="542">
        <v>-293078</v>
      </c>
      <c r="BQ7" s="542">
        <v>-272143</v>
      </c>
      <c r="BR7" s="542">
        <v>0</v>
      </c>
      <c r="BS7" s="542">
        <v>-272143</v>
      </c>
      <c r="BT7" s="542">
        <v>-566872</v>
      </c>
      <c r="BU7" s="542">
        <v>0</v>
      </c>
      <c r="BV7" s="542">
        <v>-566872</v>
      </c>
      <c r="BW7" s="542">
        <v>-31533</v>
      </c>
      <c r="BX7" s="542">
        <v>0</v>
      </c>
      <c r="BY7" s="542">
        <v>-31533</v>
      </c>
      <c r="BZ7" s="542">
        <v>-1989</v>
      </c>
      <c r="CA7" s="542">
        <v>0</v>
      </c>
      <c r="CB7" s="542">
        <v>-1989</v>
      </c>
      <c r="CC7" s="542">
        <v>0</v>
      </c>
      <c r="CD7" s="542">
        <v>0</v>
      </c>
      <c r="CE7" s="542">
        <v>0</v>
      </c>
      <c r="CF7" s="542">
        <v>-2694</v>
      </c>
      <c r="CG7" s="542">
        <v>0</v>
      </c>
      <c r="CH7" s="542">
        <v>-2694</v>
      </c>
      <c r="CI7" s="542">
        <v>-2585</v>
      </c>
      <c r="CJ7" s="542">
        <v>0</v>
      </c>
      <c r="CK7" s="542">
        <v>-2585</v>
      </c>
      <c r="CL7" s="542">
        <v>0</v>
      </c>
      <c r="CM7" s="542">
        <v>0</v>
      </c>
      <c r="CN7" s="542">
        <v>0</v>
      </c>
      <c r="CO7" s="542">
        <v>0</v>
      </c>
      <c r="CP7" s="542">
        <v>0</v>
      </c>
      <c r="CQ7" s="542">
        <v>0</v>
      </c>
      <c r="CR7" s="542">
        <v>0</v>
      </c>
      <c r="CS7" s="542">
        <v>0</v>
      </c>
      <c r="CT7" s="542">
        <v>0</v>
      </c>
      <c r="CU7" s="542">
        <v>0</v>
      </c>
      <c r="CV7" s="542">
        <v>0</v>
      </c>
      <c r="CW7" s="542">
        <v>0</v>
      </c>
      <c r="CX7" s="542">
        <v>0</v>
      </c>
      <c r="CY7" s="542">
        <v>0</v>
      </c>
      <c r="CZ7" s="542">
        <v>0</v>
      </c>
      <c r="DA7" s="542">
        <v>0</v>
      </c>
      <c r="DB7" s="542">
        <v>0</v>
      </c>
      <c r="DC7" s="542">
        <v>0</v>
      </c>
      <c r="DD7" s="542">
        <v>0</v>
      </c>
      <c r="DE7" s="542">
        <v>0</v>
      </c>
      <c r="DF7" s="542">
        <v>0</v>
      </c>
      <c r="DG7" s="542"/>
      <c r="DH7" s="542">
        <v>0</v>
      </c>
      <c r="DI7" s="542"/>
      <c r="DJ7" s="542">
        <v>0</v>
      </c>
      <c r="DK7" s="542"/>
      <c r="DL7" s="542"/>
      <c r="DM7" s="542">
        <v>-38801</v>
      </c>
      <c r="DN7" s="542">
        <v>0</v>
      </c>
      <c r="DO7" s="542">
        <v>-38801</v>
      </c>
      <c r="DP7" s="542">
        <v>0</v>
      </c>
      <c r="DQ7" s="542">
        <v>0</v>
      </c>
      <c r="DR7" s="542">
        <v>0</v>
      </c>
      <c r="DS7" s="542">
        <v>0</v>
      </c>
      <c r="DT7" s="542">
        <v>0</v>
      </c>
      <c r="DU7" s="542">
        <v>0</v>
      </c>
      <c r="DV7" s="542">
        <v>0</v>
      </c>
      <c r="DW7" s="542">
        <v>0</v>
      </c>
      <c r="DX7" s="542">
        <v>0</v>
      </c>
      <c r="DY7" s="542">
        <v>-194853</v>
      </c>
      <c r="DZ7" s="542">
        <v>0</v>
      </c>
      <c r="EA7" s="542">
        <v>-194853</v>
      </c>
      <c r="EB7" s="542">
        <v>0</v>
      </c>
      <c r="EC7" s="542">
        <v>0</v>
      </c>
      <c r="ED7" s="542">
        <v>0</v>
      </c>
      <c r="EE7" s="542">
        <v>-3549</v>
      </c>
      <c r="EF7" s="542">
        <v>0</v>
      </c>
      <c r="EG7" s="542">
        <v>-3549</v>
      </c>
      <c r="EH7" s="542">
        <v>-198402</v>
      </c>
      <c r="EI7" s="542">
        <v>0</v>
      </c>
      <c r="EJ7" s="542">
        <v>-198402</v>
      </c>
      <c r="EK7" s="542">
        <v>-7889</v>
      </c>
      <c r="EL7" s="542">
        <v>0</v>
      </c>
      <c r="EM7" s="542">
        <v>-7889</v>
      </c>
      <c r="EN7" s="542">
        <v>-7739</v>
      </c>
      <c r="EO7" s="542">
        <v>0</v>
      </c>
      <c r="EP7" s="542">
        <v>-7739</v>
      </c>
      <c r="EQ7" s="542">
        <v>-15628</v>
      </c>
      <c r="ER7" s="542">
        <v>0</v>
      </c>
      <c r="ES7" s="542">
        <v>-15628</v>
      </c>
      <c r="ET7" s="542">
        <v>20770133</v>
      </c>
      <c r="EU7" s="542">
        <v>0</v>
      </c>
      <c r="EV7" s="542">
        <v>20770133</v>
      </c>
      <c r="EW7" s="542">
        <v>-1043068</v>
      </c>
      <c r="EX7" s="542">
        <v>0</v>
      </c>
      <c r="EY7" s="542">
        <v>-1043068</v>
      </c>
      <c r="EZ7" s="542">
        <v>-2243829</v>
      </c>
      <c r="FA7" s="542">
        <v>0</v>
      </c>
      <c r="FB7" s="542">
        <v>-2243829</v>
      </c>
      <c r="FC7" s="542">
        <v>-566872</v>
      </c>
      <c r="FD7" s="542">
        <v>0</v>
      </c>
      <c r="FE7" s="542">
        <v>-566872</v>
      </c>
      <c r="FF7" s="542">
        <v>-38801</v>
      </c>
      <c r="FG7" s="542">
        <v>0</v>
      </c>
      <c r="FH7" s="542">
        <v>-38801</v>
      </c>
      <c r="FI7" s="542">
        <v>-198402</v>
      </c>
      <c r="FJ7" s="542">
        <v>0</v>
      </c>
      <c r="FK7" s="542">
        <v>-198402</v>
      </c>
      <c r="FL7" s="542">
        <v>-15628</v>
      </c>
      <c r="FM7" s="542">
        <v>0</v>
      </c>
      <c r="FN7" s="542">
        <v>-15628</v>
      </c>
      <c r="FO7" s="542">
        <v>-4106600</v>
      </c>
      <c r="FP7" s="542">
        <v>0</v>
      </c>
      <c r="FQ7" s="542">
        <v>-4106600</v>
      </c>
      <c r="FR7" s="542">
        <v>16663533</v>
      </c>
      <c r="FS7" s="542">
        <v>0</v>
      </c>
      <c r="FT7" s="542">
        <v>16663533</v>
      </c>
    </row>
    <row r="8" spans="1:176" ht="12.75" x14ac:dyDescent="0.2">
      <c r="A8" s="93">
        <v>3</v>
      </c>
      <c r="B8" s="145" t="s">
        <v>565</v>
      </c>
      <c r="C8" s="604" t="s">
        <v>866</v>
      </c>
      <c r="D8" s="142" t="s">
        <v>868</v>
      </c>
      <c r="E8" s="149" t="s">
        <v>564</v>
      </c>
      <c r="F8" s="542">
        <v>-88739</v>
      </c>
      <c r="G8" s="542">
        <v>0</v>
      </c>
      <c r="H8" s="542">
        <v>-88739</v>
      </c>
      <c r="I8" s="542">
        <v>252891</v>
      </c>
      <c r="J8" s="542">
        <v>0</v>
      </c>
      <c r="K8" s="542">
        <v>252891</v>
      </c>
      <c r="L8" s="542">
        <v>3488</v>
      </c>
      <c r="M8" s="542">
        <v>0</v>
      </c>
      <c r="N8" s="542">
        <v>3488</v>
      </c>
      <c r="O8" s="542">
        <v>1177</v>
      </c>
      <c r="P8" s="542">
        <v>0</v>
      </c>
      <c r="Q8" s="542">
        <v>1177</v>
      </c>
      <c r="R8" s="542">
        <v>168817</v>
      </c>
      <c r="S8" s="542">
        <v>0</v>
      </c>
      <c r="T8" s="542">
        <v>168817</v>
      </c>
      <c r="U8" s="542">
        <v>-3266092</v>
      </c>
      <c r="V8" s="542">
        <v>0</v>
      </c>
      <c r="W8" s="542">
        <v>-3266092</v>
      </c>
      <c r="X8" s="542">
        <v>-759</v>
      </c>
      <c r="Y8" s="542">
        <v>0</v>
      </c>
      <c r="Z8" s="542">
        <v>-759</v>
      </c>
      <c r="AA8" s="542">
        <v>-207026</v>
      </c>
      <c r="AB8" s="542">
        <v>0</v>
      </c>
      <c r="AC8" s="542">
        <v>-207026</v>
      </c>
      <c r="AD8" s="542">
        <v>-81078</v>
      </c>
      <c r="AE8" s="542">
        <v>0</v>
      </c>
      <c r="AF8" s="542">
        <v>-81078</v>
      </c>
      <c r="AG8" s="542">
        <v>580601</v>
      </c>
      <c r="AH8" s="542">
        <v>0</v>
      </c>
      <c r="AI8" s="542">
        <v>580601</v>
      </c>
      <c r="AJ8" s="542">
        <v>-47343</v>
      </c>
      <c r="AK8" s="542">
        <v>0</v>
      </c>
      <c r="AL8" s="542">
        <v>-47343</v>
      </c>
      <c r="AM8" s="542">
        <v>-1549028</v>
      </c>
      <c r="AN8" s="542">
        <v>0</v>
      </c>
      <c r="AO8" s="542">
        <v>-1549028</v>
      </c>
      <c r="AP8" s="542">
        <v>2731</v>
      </c>
      <c r="AQ8" s="542">
        <v>0</v>
      </c>
      <c r="AR8" s="542">
        <v>2731</v>
      </c>
      <c r="AS8" s="542">
        <v>-63810</v>
      </c>
      <c r="AT8" s="542">
        <v>0</v>
      </c>
      <c r="AU8" s="542">
        <v>-63810</v>
      </c>
      <c r="AV8" s="542">
        <v>0</v>
      </c>
      <c r="AW8" s="542">
        <v>0</v>
      </c>
      <c r="AX8" s="542">
        <v>0</v>
      </c>
      <c r="AY8" s="542">
        <v>-36267</v>
      </c>
      <c r="AZ8" s="542">
        <v>0</v>
      </c>
      <c r="BA8" s="542">
        <v>-36267</v>
      </c>
      <c r="BB8" s="542">
        <v>0</v>
      </c>
      <c r="BC8" s="542">
        <v>0</v>
      </c>
      <c r="BD8" s="542">
        <v>0</v>
      </c>
      <c r="BE8" s="542">
        <v>-4586234</v>
      </c>
      <c r="BF8" s="542">
        <v>0</v>
      </c>
      <c r="BG8" s="542">
        <v>-4586234</v>
      </c>
      <c r="BH8" s="542">
        <v>-37891</v>
      </c>
      <c r="BI8" s="542">
        <v>0</v>
      </c>
      <c r="BJ8" s="542">
        <v>-37891</v>
      </c>
      <c r="BK8" s="542">
        <v>47049</v>
      </c>
      <c r="BL8" s="542">
        <v>0</v>
      </c>
      <c r="BM8" s="542">
        <v>47049</v>
      </c>
      <c r="BN8" s="542">
        <v>-745980</v>
      </c>
      <c r="BO8" s="542">
        <v>0</v>
      </c>
      <c r="BP8" s="542">
        <v>-745980</v>
      </c>
      <c r="BQ8" s="542">
        <v>117562</v>
      </c>
      <c r="BR8" s="542">
        <v>0</v>
      </c>
      <c r="BS8" s="542">
        <v>117562</v>
      </c>
      <c r="BT8" s="542">
        <v>-619260</v>
      </c>
      <c r="BU8" s="542">
        <v>0</v>
      </c>
      <c r="BV8" s="542">
        <v>-619260</v>
      </c>
      <c r="BW8" s="542">
        <v>-114000</v>
      </c>
      <c r="BX8" s="542">
        <v>0</v>
      </c>
      <c r="BY8" s="542">
        <v>-114000</v>
      </c>
      <c r="BZ8" s="542">
        <v>1829</v>
      </c>
      <c r="CA8" s="542">
        <v>0</v>
      </c>
      <c r="CB8" s="542">
        <v>1829</v>
      </c>
      <c r="CC8" s="542">
        <v>-78882</v>
      </c>
      <c r="CD8" s="542">
        <v>0</v>
      </c>
      <c r="CE8" s="542">
        <v>-78882</v>
      </c>
      <c r="CF8" s="542">
        <v>0</v>
      </c>
      <c r="CG8" s="542">
        <v>0</v>
      </c>
      <c r="CH8" s="542">
        <v>0</v>
      </c>
      <c r="CI8" s="542">
        <v>-1205</v>
      </c>
      <c r="CJ8" s="542">
        <v>0</v>
      </c>
      <c r="CK8" s="542">
        <v>-1205</v>
      </c>
      <c r="CL8" s="542">
        <v>0</v>
      </c>
      <c r="CM8" s="542">
        <v>0</v>
      </c>
      <c r="CN8" s="542">
        <v>0</v>
      </c>
      <c r="CO8" s="542">
        <v>-2097</v>
      </c>
      <c r="CP8" s="542">
        <v>0</v>
      </c>
      <c r="CQ8" s="542">
        <v>-2097</v>
      </c>
      <c r="CR8" s="542">
        <v>0</v>
      </c>
      <c r="CS8" s="542">
        <v>0</v>
      </c>
      <c r="CT8" s="542">
        <v>0</v>
      </c>
      <c r="CU8" s="542">
        <v>0</v>
      </c>
      <c r="CV8" s="542">
        <v>0</v>
      </c>
      <c r="CW8" s="542">
        <v>0</v>
      </c>
      <c r="CX8" s="542">
        <v>0</v>
      </c>
      <c r="CY8" s="542">
        <v>0</v>
      </c>
      <c r="CZ8" s="542">
        <v>0</v>
      </c>
      <c r="DA8" s="542">
        <v>0</v>
      </c>
      <c r="DB8" s="542">
        <v>0</v>
      </c>
      <c r="DC8" s="542">
        <v>0</v>
      </c>
      <c r="DD8" s="542">
        <v>0</v>
      </c>
      <c r="DE8" s="542">
        <v>0</v>
      </c>
      <c r="DF8" s="542">
        <v>0</v>
      </c>
      <c r="DG8" s="542"/>
      <c r="DH8" s="542">
        <v>0</v>
      </c>
      <c r="DI8" s="542"/>
      <c r="DJ8" s="542">
        <v>0</v>
      </c>
      <c r="DK8" s="542"/>
      <c r="DL8" s="542"/>
      <c r="DM8" s="542">
        <v>-194355</v>
      </c>
      <c r="DN8" s="542">
        <v>0</v>
      </c>
      <c r="DO8" s="542">
        <v>-194355</v>
      </c>
      <c r="DP8" s="542">
        <v>0</v>
      </c>
      <c r="DQ8" s="542">
        <v>0</v>
      </c>
      <c r="DR8" s="542">
        <v>0</v>
      </c>
      <c r="DS8" s="542">
        <v>0</v>
      </c>
      <c r="DT8" s="542">
        <v>0</v>
      </c>
      <c r="DU8" s="542">
        <v>0</v>
      </c>
      <c r="DV8" s="542">
        <v>-2720</v>
      </c>
      <c r="DW8" s="542">
        <v>0</v>
      </c>
      <c r="DX8" s="542">
        <v>-2720</v>
      </c>
      <c r="DY8" s="542">
        <v>-492754</v>
      </c>
      <c r="DZ8" s="542">
        <v>0</v>
      </c>
      <c r="EA8" s="542">
        <v>-492754</v>
      </c>
      <c r="EB8" s="542">
        <v>0</v>
      </c>
      <c r="EC8" s="542">
        <v>0</v>
      </c>
      <c r="ED8" s="542">
        <v>0</v>
      </c>
      <c r="EE8" s="542">
        <v>0</v>
      </c>
      <c r="EF8" s="542">
        <v>0</v>
      </c>
      <c r="EG8" s="542">
        <v>0</v>
      </c>
      <c r="EH8" s="542">
        <v>-495474</v>
      </c>
      <c r="EI8" s="542">
        <v>0</v>
      </c>
      <c r="EJ8" s="542">
        <v>-495474</v>
      </c>
      <c r="EK8" s="542">
        <v>0</v>
      </c>
      <c r="EL8" s="542">
        <v>0</v>
      </c>
      <c r="EM8" s="542">
        <v>0</v>
      </c>
      <c r="EN8" s="542">
        <v>0</v>
      </c>
      <c r="EO8" s="542">
        <v>0</v>
      </c>
      <c r="EP8" s="542">
        <v>0</v>
      </c>
      <c r="EQ8" s="542">
        <v>0</v>
      </c>
      <c r="ER8" s="542">
        <v>0</v>
      </c>
      <c r="ES8" s="542">
        <v>0</v>
      </c>
      <c r="ET8" s="542">
        <v>30240232</v>
      </c>
      <c r="EU8" s="542">
        <v>0</v>
      </c>
      <c r="EV8" s="542">
        <v>30240232</v>
      </c>
      <c r="EW8" s="542">
        <v>168817</v>
      </c>
      <c r="EX8" s="542">
        <v>0</v>
      </c>
      <c r="EY8" s="542">
        <v>168817</v>
      </c>
      <c r="EZ8" s="542">
        <v>-4586234</v>
      </c>
      <c r="FA8" s="542">
        <v>0</v>
      </c>
      <c r="FB8" s="542">
        <v>-4586234</v>
      </c>
      <c r="FC8" s="542">
        <v>-619260</v>
      </c>
      <c r="FD8" s="542">
        <v>0</v>
      </c>
      <c r="FE8" s="542">
        <v>-619260</v>
      </c>
      <c r="FF8" s="542">
        <v>-194355</v>
      </c>
      <c r="FG8" s="542">
        <v>0</v>
      </c>
      <c r="FH8" s="542">
        <v>-194355</v>
      </c>
      <c r="FI8" s="542">
        <v>-495474</v>
      </c>
      <c r="FJ8" s="542">
        <v>0</v>
      </c>
      <c r="FK8" s="542">
        <v>-495474</v>
      </c>
      <c r="FL8" s="542">
        <v>0</v>
      </c>
      <c r="FM8" s="542">
        <v>0</v>
      </c>
      <c r="FN8" s="542">
        <v>0</v>
      </c>
      <c r="FO8" s="542">
        <v>-5726506</v>
      </c>
      <c r="FP8" s="542">
        <v>0</v>
      </c>
      <c r="FQ8" s="542">
        <v>-5726506</v>
      </c>
      <c r="FR8" s="542">
        <v>24513726</v>
      </c>
      <c r="FS8" s="542">
        <v>0</v>
      </c>
      <c r="FT8" s="542">
        <v>24513726</v>
      </c>
    </row>
    <row r="9" spans="1:176" ht="12.75" x14ac:dyDescent="0.2">
      <c r="A9" s="93">
        <v>4</v>
      </c>
      <c r="B9" s="145" t="s">
        <v>567</v>
      </c>
      <c r="C9" s="604" t="s">
        <v>866</v>
      </c>
      <c r="D9" s="142" t="s">
        <v>869</v>
      </c>
      <c r="E9" s="149" t="s">
        <v>566</v>
      </c>
      <c r="F9" s="542">
        <v>-46674</v>
      </c>
      <c r="G9" s="542">
        <v>0</v>
      </c>
      <c r="H9" s="542">
        <v>-46674</v>
      </c>
      <c r="I9" s="542">
        <v>95407</v>
      </c>
      <c r="J9" s="542">
        <v>0</v>
      </c>
      <c r="K9" s="542">
        <v>95407</v>
      </c>
      <c r="L9" s="542">
        <v>20552</v>
      </c>
      <c r="M9" s="542">
        <v>0</v>
      </c>
      <c r="N9" s="542">
        <v>20552</v>
      </c>
      <c r="O9" s="542">
        <v>144332</v>
      </c>
      <c r="P9" s="542">
        <v>0</v>
      </c>
      <c r="Q9" s="542">
        <v>144332</v>
      </c>
      <c r="R9" s="542">
        <v>213617</v>
      </c>
      <c r="S9" s="542">
        <v>0</v>
      </c>
      <c r="T9" s="542">
        <v>213617</v>
      </c>
      <c r="U9" s="542">
        <v>-2627988</v>
      </c>
      <c r="V9" s="542">
        <v>0</v>
      </c>
      <c r="W9" s="542">
        <v>-2627988</v>
      </c>
      <c r="X9" s="542">
        <v>0</v>
      </c>
      <c r="Y9" s="542">
        <v>0</v>
      </c>
      <c r="Z9" s="542">
        <v>0</v>
      </c>
      <c r="AA9" s="542">
        <v>-59643</v>
      </c>
      <c r="AB9" s="542">
        <v>0</v>
      </c>
      <c r="AC9" s="542">
        <v>-59643</v>
      </c>
      <c r="AD9" s="542">
        <v>-37770</v>
      </c>
      <c r="AE9" s="542">
        <v>0</v>
      </c>
      <c r="AF9" s="542">
        <v>-37770</v>
      </c>
      <c r="AG9" s="542">
        <v>699404</v>
      </c>
      <c r="AH9" s="542">
        <v>0</v>
      </c>
      <c r="AI9" s="542">
        <v>699404</v>
      </c>
      <c r="AJ9" s="542">
        <v>-20966</v>
      </c>
      <c r="AK9" s="542">
        <v>0</v>
      </c>
      <c r="AL9" s="542">
        <v>-20966</v>
      </c>
      <c r="AM9" s="542">
        <v>-1657417</v>
      </c>
      <c r="AN9" s="542">
        <v>0</v>
      </c>
      <c r="AO9" s="542">
        <v>-1657417</v>
      </c>
      <c r="AP9" s="542">
        <v>35382</v>
      </c>
      <c r="AQ9" s="542">
        <v>0</v>
      </c>
      <c r="AR9" s="542">
        <v>35382</v>
      </c>
      <c r="AS9" s="542">
        <v>-40681</v>
      </c>
      <c r="AT9" s="542">
        <v>0</v>
      </c>
      <c r="AU9" s="542">
        <v>-40681</v>
      </c>
      <c r="AV9" s="542">
        <v>0</v>
      </c>
      <c r="AW9" s="542">
        <v>0</v>
      </c>
      <c r="AX9" s="542">
        <v>0</v>
      </c>
      <c r="AY9" s="542">
        <v>-20349</v>
      </c>
      <c r="AZ9" s="542">
        <v>0</v>
      </c>
      <c r="BA9" s="542">
        <v>-20349</v>
      </c>
      <c r="BB9" s="542">
        <v>0</v>
      </c>
      <c r="BC9" s="542">
        <v>0</v>
      </c>
      <c r="BD9" s="542">
        <v>0</v>
      </c>
      <c r="BE9" s="542">
        <v>-3692258</v>
      </c>
      <c r="BF9" s="542">
        <v>0</v>
      </c>
      <c r="BG9" s="542">
        <v>-3692258</v>
      </c>
      <c r="BH9" s="542">
        <v>-163812</v>
      </c>
      <c r="BI9" s="542">
        <v>0</v>
      </c>
      <c r="BJ9" s="542">
        <v>-163812</v>
      </c>
      <c r="BK9" s="542">
        <v>-2810</v>
      </c>
      <c r="BL9" s="542">
        <v>0</v>
      </c>
      <c r="BM9" s="542">
        <v>-2810</v>
      </c>
      <c r="BN9" s="542">
        <v>-1470874</v>
      </c>
      <c r="BO9" s="542">
        <v>0</v>
      </c>
      <c r="BP9" s="542">
        <v>-1470874</v>
      </c>
      <c r="BQ9" s="542">
        <v>-86232</v>
      </c>
      <c r="BR9" s="542">
        <v>0</v>
      </c>
      <c r="BS9" s="542">
        <v>-86232</v>
      </c>
      <c r="BT9" s="542">
        <v>-1723728</v>
      </c>
      <c r="BU9" s="542">
        <v>0</v>
      </c>
      <c r="BV9" s="542">
        <v>-1723728</v>
      </c>
      <c r="BW9" s="542">
        <v>-43000</v>
      </c>
      <c r="BX9" s="542">
        <v>0</v>
      </c>
      <c r="BY9" s="542">
        <v>-43000</v>
      </c>
      <c r="BZ9" s="542">
        <v>-3</v>
      </c>
      <c r="CA9" s="542">
        <v>0</v>
      </c>
      <c r="CB9" s="542">
        <v>-3</v>
      </c>
      <c r="CC9" s="542">
        <v>-65674</v>
      </c>
      <c r="CD9" s="542">
        <v>0</v>
      </c>
      <c r="CE9" s="542">
        <v>-65674</v>
      </c>
      <c r="CF9" s="542">
        <v>0</v>
      </c>
      <c r="CG9" s="542">
        <v>0</v>
      </c>
      <c r="CH9" s="542">
        <v>0</v>
      </c>
      <c r="CI9" s="542">
        <v>0</v>
      </c>
      <c r="CJ9" s="542">
        <v>0</v>
      </c>
      <c r="CK9" s="542">
        <v>0</v>
      </c>
      <c r="CL9" s="542">
        <v>0</v>
      </c>
      <c r="CM9" s="542">
        <v>0</v>
      </c>
      <c r="CN9" s="542">
        <v>0</v>
      </c>
      <c r="CO9" s="542">
        <v>-20349</v>
      </c>
      <c r="CP9" s="542">
        <v>0</v>
      </c>
      <c r="CQ9" s="542">
        <v>-20349</v>
      </c>
      <c r="CR9" s="542">
        <v>0</v>
      </c>
      <c r="CS9" s="542">
        <v>0</v>
      </c>
      <c r="CT9" s="542">
        <v>0</v>
      </c>
      <c r="CU9" s="542">
        <v>-2082</v>
      </c>
      <c r="CV9" s="542">
        <v>0</v>
      </c>
      <c r="CW9" s="542">
        <v>-2082</v>
      </c>
      <c r="CX9" s="542">
        <v>0</v>
      </c>
      <c r="CY9" s="542">
        <v>0</v>
      </c>
      <c r="CZ9" s="542">
        <v>0</v>
      </c>
      <c r="DA9" s="542">
        <v>0</v>
      </c>
      <c r="DB9" s="542">
        <v>0</v>
      </c>
      <c r="DC9" s="542">
        <v>0</v>
      </c>
      <c r="DD9" s="542">
        <v>0</v>
      </c>
      <c r="DE9" s="542">
        <v>0</v>
      </c>
      <c r="DF9" s="542">
        <v>0</v>
      </c>
      <c r="DG9" s="542"/>
      <c r="DH9" s="542">
        <v>0</v>
      </c>
      <c r="DI9" s="542"/>
      <c r="DJ9" s="542">
        <v>0</v>
      </c>
      <c r="DK9" s="542"/>
      <c r="DL9" s="542"/>
      <c r="DM9" s="542">
        <v>-131108</v>
      </c>
      <c r="DN9" s="542">
        <v>0</v>
      </c>
      <c r="DO9" s="542">
        <v>-131108</v>
      </c>
      <c r="DP9" s="542">
        <v>0</v>
      </c>
      <c r="DQ9" s="542">
        <v>0</v>
      </c>
      <c r="DR9" s="542">
        <v>0</v>
      </c>
      <c r="DS9" s="542">
        <v>0</v>
      </c>
      <c r="DT9" s="542">
        <v>0</v>
      </c>
      <c r="DU9" s="542">
        <v>0</v>
      </c>
      <c r="DV9" s="542">
        <v>-12321</v>
      </c>
      <c r="DW9" s="542">
        <v>0</v>
      </c>
      <c r="DX9" s="542">
        <v>-12321</v>
      </c>
      <c r="DY9" s="542">
        <v>-498423</v>
      </c>
      <c r="DZ9" s="542">
        <v>0</v>
      </c>
      <c r="EA9" s="542">
        <v>-498423</v>
      </c>
      <c r="EB9" s="542">
        <v>0</v>
      </c>
      <c r="EC9" s="542">
        <v>0</v>
      </c>
      <c r="ED9" s="542">
        <v>0</v>
      </c>
      <c r="EE9" s="542">
        <v>0</v>
      </c>
      <c r="EF9" s="542">
        <v>0</v>
      </c>
      <c r="EG9" s="542">
        <v>0</v>
      </c>
      <c r="EH9" s="542">
        <v>-510744</v>
      </c>
      <c r="EI9" s="542">
        <v>0</v>
      </c>
      <c r="EJ9" s="542">
        <v>-510744</v>
      </c>
      <c r="EK9" s="542">
        <v>0</v>
      </c>
      <c r="EL9" s="542">
        <v>0</v>
      </c>
      <c r="EM9" s="542">
        <v>0</v>
      </c>
      <c r="EN9" s="542">
        <v>0</v>
      </c>
      <c r="EO9" s="542">
        <v>0</v>
      </c>
      <c r="EP9" s="542">
        <v>0</v>
      </c>
      <c r="EQ9" s="542">
        <v>0</v>
      </c>
      <c r="ER9" s="542">
        <v>0</v>
      </c>
      <c r="ES9" s="542">
        <v>0</v>
      </c>
      <c r="ET9" s="542">
        <v>35640161</v>
      </c>
      <c r="EU9" s="542">
        <v>0</v>
      </c>
      <c r="EV9" s="542">
        <v>35640161</v>
      </c>
      <c r="EW9" s="542">
        <v>213617</v>
      </c>
      <c r="EX9" s="542">
        <v>0</v>
      </c>
      <c r="EY9" s="542">
        <v>213617</v>
      </c>
      <c r="EZ9" s="542">
        <v>-3692258</v>
      </c>
      <c r="FA9" s="542">
        <v>0</v>
      </c>
      <c r="FB9" s="542">
        <v>-3692258</v>
      </c>
      <c r="FC9" s="542">
        <v>-1723728</v>
      </c>
      <c r="FD9" s="542">
        <v>0</v>
      </c>
      <c r="FE9" s="542">
        <v>-1723728</v>
      </c>
      <c r="FF9" s="542">
        <v>-131108</v>
      </c>
      <c r="FG9" s="542">
        <v>0</v>
      </c>
      <c r="FH9" s="542">
        <v>-131108</v>
      </c>
      <c r="FI9" s="542">
        <v>-510744</v>
      </c>
      <c r="FJ9" s="542">
        <v>0</v>
      </c>
      <c r="FK9" s="542">
        <v>-510744</v>
      </c>
      <c r="FL9" s="542">
        <v>0</v>
      </c>
      <c r="FM9" s="542">
        <v>0</v>
      </c>
      <c r="FN9" s="542">
        <v>0</v>
      </c>
      <c r="FO9" s="542">
        <v>-5844221</v>
      </c>
      <c r="FP9" s="542">
        <v>0</v>
      </c>
      <c r="FQ9" s="542">
        <v>-5844221</v>
      </c>
      <c r="FR9" s="542">
        <v>29795940</v>
      </c>
      <c r="FS9" s="542">
        <v>0</v>
      </c>
      <c r="FT9" s="542">
        <v>29795940</v>
      </c>
    </row>
    <row r="10" spans="1:176" ht="12.75" x14ac:dyDescent="0.2">
      <c r="A10" s="93">
        <v>5</v>
      </c>
      <c r="B10" s="145" t="s">
        <v>569</v>
      </c>
      <c r="C10" s="604" t="s">
        <v>866</v>
      </c>
      <c r="D10" s="142" t="s">
        <v>867</v>
      </c>
      <c r="E10" s="149" t="s">
        <v>568</v>
      </c>
      <c r="F10" s="542">
        <v>-21266</v>
      </c>
      <c r="G10" s="542">
        <v>0</v>
      </c>
      <c r="H10" s="542">
        <v>-21266</v>
      </c>
      <c r="I10" s="542">
        <v>237646</v>
      </c>
      <c r="J10" s="542">
        <v>0</v>
      </c>
      <c r="K10" s="542">
        <v>237646</v>
      </c>
      <c r="L10" s="542">
        <v>14925</v>
      </c>
      <c r="M10" s="542">
        <v>0</v>
      </c>
      <c r="N10" s="542">
        <v>14925</v>
      </c>
      <c r="O10" s="542">
        <v>15546</v>
      </c>
      <c r="P10" s="542">
        <v>0</v>
      </c>
      <c r="Q10" s="542">
        <v>15546</v>
      </c>
      <c r="R10" s="542">
        <v>246851</v>
      </c>
      <c r="S10" s="542">
        <v>0</v>
      </c>
      <c r="T10" s="542">
        <v>246851</v>
      </c>
      <c r="U10" s="542">
        <v>-3196002</v>
      </c>
      <c r="V10" s="542">
        <v>0</v>
      </c>
      <c r="W10" s="542">
        <v>-3196002</v>
      </c>
      <c r="X10" s="542">
        <v>-13197</v>
      </c>
      <c r="Y10" s="542">
        <v>0</v>
      </c>
      <c r="Z10" s="542">
        <v>-13197</v>
      </c>
      <c r="AA10" s="542">
        <v>-196471</v>
      </c>
      <c r="AB10" s="542">
        <v>0</v>
      </c>
      <c r="AC10" s="542">
        <v>-196471</v>
      </c>
      <c r="AD10" s="542">
        <v>-68633</v>
      </c>
      <c r="AE10" s="542">
        <v>0</v>
      </c>
      <c r="AF10" s="542">
        <v>-68633</v>
      </c>
      <c r="AG10" s="542">
        <v>754765</v>
      </c>
      <c r="AH10" s="542">
        <v>0</v>
      </c>
      <c r="AI10" s="542">
        <v>754765</v>
      </c>
      <c r="AJ10" s="542">
        <v>76083</v>
      </c>
      <c r="AK10" s="542">
        <v>0</v>
      </c>
      <c r="AL10" s="542">
        <v>76083</v>
      </c>
      <c r="AM10" s="542">
        <v>-2594087</v>
      </c>
      <c r="AN10" s="542">
        <v>0</v>
      </c>
      <c r="AO10" s="542">
        <v>-2594087</v>
      </c>
      <c r="AP10" s="542">
        <v>54332</v>
      </c>
      <c r="AQ10" s="542">
        <v>0</v>
      </c>
      <c r="AR10" s="542">
        <v>54332</v>
      </c>
      <c r="AS10" s="542">
        <v>-81761</v>
      </c>
      <c r="AT10" s="542">
        <v>0</v>
      </c>
      <c r="AU10" s="542">
        <v>-81761</v>
      </c>
      <c r="AV10" s="542">
        <v>0</v>
      </c>
      <c r="AW10" s="542">
        <v>0</v>
      </c>
      <c r="AX10" s="542">
        <v>0</v>
      </c>
      <c r="AY10" s="542">
        <v>-7338</v>
      </c>
      <c r="AZ10" s="542">
        <v>0</v>
      </c>
      <c r="BA10" s="542">
        <v>-7338</v>
      </c>
      <c r="BB10" s="542">
        <v>0</v>
      </c>
      <c r="BC10" s="542">
        <v>0</v>
      </c>
      <c r="BD10" s="542">
        <v>0</v>
      </c>
      <c r="BE10" s="542">
        <v>-5190479</v>
      </c>
      <c r="BF10" s="542">
        <v>0</v>
      </c>
      <c r="BG10" s="542">
        <v>-5190479</v>
      </c>
      <c r="BH10" s="542">
        <v>-7521</v>
      </c>
      <c r="BI10" s="542">
        <v>0</v>
      </c>
      <c r="BJ10" s="542">
        <v>-7521</v>
      </c>
      <c r="BK10" s="542">
        <v>53</v>
      </c>
      <c r="BL10" s="542">
        <v>0</v>
      </c>
      <c r="BM10" s="542">
        <v>53</v>
      </c>
      <c r="BN10" s="542">
        <v>-679350</v>
      </c>
      <c r="BO10" s="542">
        <v>0</v>
      </c>
      <c r="BP10" s="542">
        <v>-679350</v>
      </c>
      <c r="BQ10" s="542">
        <v>-57061</v>
      </c>
      <c r="BR10" s="542">
        <v>0</v>
      </c>
      <c r="BS10" s="542">
        <v>-57061</v>
      </c>
      <c r="BT10" s="542">
        <v>-743879</v>
      </c>
      <c r="BU10" s="542">
        <v>0</v>
      </c>
      <c r="BV10" s="542">
        <v>-743879</v>
      </c>
      <c r="BW10" s="542">
        <v>-98052</v>
      </c>
      <c r="BX10" s="542">
        <v>0</v>
      </c>
      <c r="BY10" s="542">
        <v>-98052</v>
      </c>
      <c r="BZ10" s="542">
        <v>4070</v>
      </c>
      <c r="CA10" s="542">
        <v>0</v>
      </c>
      <c r="CB10" s="542">
        <v>4070</v>
      </c>
      <c r="CC10" s="542">
        <v>-11816</v>
      </c>
      <c r="CD10" s="542">
        <v>0</v>
      </c>
      <c r="CE10" s="542">
        <v>-11816</v>
      </c>
      <c r="CF10" s="542">
        <v>0</v>
      </c>
      <c r="CG10" s="542">
        <v>0</v>
      </c>
      <c r="CH10" s="542">
        <v>0</v>
      </c>
      <c r="CI10" s="542">
        <v>-844</v>
      </c>
      <c r="CJ10" s="542">
        <v>0</v>
      </c>
      <c r="CK10" s="542">
        <v>-844</v>
      </c>
      <c r="CL10" s="542">
        <v>0</v>
      </c>
      <c r="CM10" s="542">
        <v>0</v>
      </c>
      <c r="CN10" s="542">
        <v>0</v>
      </c>
      <c r="CO10" s="542">
        <v>-3910</v>
      </c>
      <c r="CP10" s="542">
        <v>0</v>
      </c>
      <c r="CQ10" s="542">
        <v>-3910</v>
      </c>
      <c r="CR10" s="542">
        <v>0</v>
      </c>
      <c r="CS10" s="542">
        <v>0</v>
      </c>
      <c r="CT10" s="542">
        <v>0</v>
      </c>
      <c r="CU10" s="542">
        <v>0</v>
      </c>
      <c r="CV10" s="542">
        <v>0</v>
      </c>
      <c r="CW10" s="542">
        <v>0</v>
      </c>
      <c r="CX10" s="542">
        <v>0</v>
      </c>
      <c r="CY10" s="542">
        <v>0</v>
      </c>
      <c r="CZ10" s="542">
        <v>0</v>
      </c>
      <c r="DA10" s="542">
        <v>0</v>
      </c>
      <c r="DB10" s="542">
        <v>0</v>
      </c>
      <c r="DC10" s="542">
        <v>0</v>
      </c>
      <c r="DD10" s="542">
        <v>0</v>
      </c>
      <c r="DE10" s="542">
        <v>0</v>
      </c>
      <c r="DF10" s="542">
        <v>0</v>
      </c>
      <c r="DG10" s="542"/>
      <c r="DH10" s="542">
        <v>0</v>
      </c>
      <c r="DI10" s="542"/>
      <c r="DJ10" s="542">
        <v>0</v>
      </c>
      <c r="DK10" s="542"/>
      <c r="DL10" s="542"/>
      <c r="DM10" s="542">
        <v>-110552</v>
      </c>
      <c r="DN10" s="542">
        <v>0</v>
      </c>
      <c r="DO10" s="542">
        <v>-110552</v>
      </c>
      <c r="DP10" s="542">
        <v>0</v>
      </c>
      <c r="DQ10" s="542">
        <v>0</v>
      </c>
      <c r="DR10" s="542">
        <v>0</v>
      </c>
      <c r="DS10" s="542">
        <v>0</v>
      </c>
      <c r="DT10" s="542">
        <v>0</v>
      </c>
      <c r="DU10" s="542">
        <v>0</v>
      </c>
      <c r="DV10" s="542">
        <v>-2946</v>
      </c>
      <c r="DW10" s="542">
        <v>0</v>
      </c>
      <c r="DX10" s="542">
        <v>-2946</v>
      </c>
      <c r="DY10" s="542">
        <v>-650962</v>
      </c>
      <c r="DZ10" s="542">
        <v>0</v>
      </c>
      <c r="EA10" s="542">
        <v>-650962</v>
      </c>
      <c r="EB10" s="542">
        <v>0</v>
      </c>
      <c r="EC10" s="542">
        <v>0</v>
      </c>
      <c r="ED10" s="542">
        <v>0</v>
      </c>
      <c r="EE10" s="542">
        <v>-10177</v>
      </c>
      <c r="EF10" s="542">
        <v>0</v>
      </c>
      <c r="EG10" s="542">
        <v>-10177</v>
      </c>
      <c r="EH10" s="542">
        <v>-664085</v>
      </c>
      <c r="EI10" s="542">
        <v>0</v>
      </c>
      <c r="EJ10" s="542">
        <v>-664085</v>
      </c>
      <c r="EK10" s="542">
        <v>0</v>
      </c>
      <c r="EL10" s="542">
        <v>0</v>
      </c>
      <c r="EM10" s="542">
        <v>0</v>
      </c>
      <c r="EN10" s="542">
        <v>0</v>
      </c>
      <c r="EO10" s="542">
        <v>0</v>
      </c>
      <c r="EP10" s="542">
        <v>0</v>
      </c>
      <c r="EQ10" s="542">
        <v>0</v>
      </c>
      <c r="ER10" s="542">
        <v>0</v>
      </c>
      <c r="ES10" s="542">
        <v>0</v>
      </c>
      <c r="ET10" s="542">
        <v>39383200</v>
      </c>
      <c r="EU10" s="542">
        <v>0</v>
      </c>
      <c r="EV10" s="542">
        <v>39383200</v>
      </c>
      <c r="EW10" s="542">
        <v>246851</v>
      </c>
      <c r="EX10" s="542">
        <v>0</v>
      </c>
      <c r="EY10" s="542">
        <v>246851</v>
      </c>
      <c r="EZ10" s="542">
        <v>-5190479</v>
      </c>
      <c r="FA10" s="542">
        <v>0</v>
      </c>
      <c r="FB10" s="542">
        <v>-5190479</v>
      </c>
      <c r="FC10" s="542">
        <v>-743879</v>
      </c>
      <c r="FD10" s="542">
        <v>0</v>
      </c>
      <c r="FE10" s="542">
        <v>-743879</v>
      </c>
      <c r="FF10" s="542">
        <v>-110552</v>
      </c>
      <c r="FG10" s="542">
        <v>0</v>
      </c>
      <c r="FH10" s="542">
        <v>-110552</v>
      </c>
      <c r="FI10" s="542">
        <v>-664085</v>
      </c>
      <c r="FJ10" s="542">
        <v>0</v>
      </c>
      <c r="FK10" s="542">
        <v>-664085</v>
      </c>
      <c r="FL10" s="542">
        <v>0</v>
      </c>
      <c r="FM10" s="542">
        <v>0</v>
      </c>
      <c r="FN10" s="542">
        <v>0</v>
      </c>
      <c r="FO10" s="542">
        <v>-6462144</v>
      </c>
      <c r="FP10" s="542">
        <v>0</v>
      </c>
      <c r="FQ10" s="542">
        <v>-6462144</v>
      </c>
      <c r="FR10" s="542">
        <v>32921056</v>
      </c>
      <c r="FS10" s="542">
        <v>0</v>
      </c>
      <c r="FT10" s="542">
        <v>32921056</v>
      </c>
    </row>
    <row r="11" spans="1:176" ht="12.75" x14ac:dyDescent="0.2">
      <c r="A11" s="93">
        <v>6</v>
      </c>
      <c r="B11" s="145" t="s">
        <v>571</v>
      </c>
      <c r="C11" s="604" t="s">
        <v>866</v>
      </c>
      <c r="D11" s="142" t="s">
        <v>869</v>
      </c>
      <c r="E11" s="149" t="s">
        <v>570</v>
      </c>
      <c r="F11" s="542">
        <v>-60902</v>
      </c>
      <c r="G11" s="542">
        <v>0</v>
      </c>
      <c r="H11" s="542">
        <v>-60902</v>
      </c>
      <c r="I11" s="542">
        <v>0</v>
      </c>
      <c r="J11" s="542">
        <v>0</v>
      </c>
      <c r="K11" s="542">
        <v>0</v>
      </c>
      <c r="L11" s="542">
        <v>11243</v>
      </c>
      <c r="M11" s="542">
        <v>0</v>
      </c>
      <c r="N11" s="542">
        <v>11243</v>
      </c>
      <c r="O11" s="542">
        <v>0</v>
      </c>
      <c r="P11" s="542">
        <v>0</v>
      </c>
      <c r="Q11" s="542">
        <v>0</v>
      </c>
      <c r="R11" s="542">
        <v>-49659</v>
      </c>
      <c r="S11" s="542">
        <v>0</v>
      </c>
      <c r="T11" s="542">
        <v>-49659</v>
      </c>
      <c r="U11" s="542">
        <v>-1853473</v>
      </c>
      <c r="V11" s="542">
        <v>0</v>
      </c>
      <c r="W11" s="542">
        <v>-1853473</v>
      </c>
      <c r="X11" s="542">
        <v>-4420</v>
      </c>
      <c r="Y11" s="542">
        <v>0</v>
      </c>
      <c r="Z11" s="542">
        <v>-4420</v>
      </c>
      <c r="AA11" s="542">
        <v>-101083</v>
      </c>
      <c r="AB11" s="542">
        <v>0</v>
      </c>
      <c r="AC11" s="542">
        <v>-101083</v>
      </c>
      <c r="AD11" s="542">
        <v>0</v>
      </c>
      <c r="AE11" s="542">
        <v>0</v>
      </c>
      <c r="AF11" s="542">
        <v>0</v>
      </c>
      <c r="AG11" s="542">
        <v>777749</v>
      </c>
      <c r="AH11" s="542">
        <v>0</v>
      </c>
      <c r="AI11" s="542">
        <v>777749</v>
      </c>
      <c r="AJ11" s="542">
        <v>0</v>
      </c>
      <c r="AK11" s="542">
        <v>0</v>
      </c>
      <c r="AL11" s="542">
        <v>0</v>
      </c>
      <c r="AM11" s="542">
        <v>-1679285</v>
      </c>
      <c r="AN11" s="542">
        <v>0</v>
      </c>
      <c r="AO11" s="542">
        <v>-1679285</v>
      </c>
      <c r="AP11" s="542">
        <v>-170332</v>
      </c>
      <c r="AQ11" s="542">
        <v>0</v>
      </c>
      <c r="AR11" s="542">
        <v>-170332</v>
      </c>
      <c r="AS11" s="542">
        <v>-6502</v>
      </c>
      <c r="AT11" s="542">
        <v>0</v>
      </c>
      <c r="AU11" s="542">
        <v>-6502</v>
      </c>
      <c r="AV11" s="542">
        <v>0</v>
      </c>
      <c r="AW11" s="542">
        <v>0</v>
      </c>
      <c r="AX11" s="542">
        <v>0</v>
      </c>
      <c r="AY11" s="542">
        <v>-12573</v>
      </c>
      <c r="AZ11" s="542">
        <v>0</v>
      </c>
      <c r="BA11" s="542">
        <v>-12573</v>
      </c>
      <c r="BB11" s="542">
        <v>57</v>
      </c>
      <c r="BC11" s="542">
        <v>0</v>
      </c>
      <c r="BD11" s="542">
        <v>57</v>
      </c>
      <c r="BE11" s="542">
        <v>-3045442</v>
      </c>
      <c r="BF11" s="542">
        <v>0</v>
      </c>
      <c r="BG11" s="542">
        <v>-3045442</v>
      </c>
      <c r="BH11" s="542">
        <v>-904</v>
      </c>
      <c r="BI11" s="542">
        <v>0</v>
      </c>
      <c r="BJ11" s="542">
        <v>-904</v>
      </c>
      <c r="BK11" s="542">
        <v>-1340</v>
      </c>
      <c r="BL11" s="542">
        <v>0</v>
      </c>
      <c r="BM11" s="542">
        <v>-1340</v>
      </c>
      <c r="BN11" s="542">
        <v>-763937</v>
      </c>
      <c r="BO11" s="542">
        <v>0</v>
      </c>
      <c r="BP11" s="542">
        <v>-763937</v>
      </c>
      <c r="BQ11" s="542">
        <v>-49055</v>
      </c>
      <c r="BR11" s="542">
        <v>0</v>
      </c>
      <c r="BS11" s="542">
        <v>-49055</v>
      </c>
      <c r="BT11" s="542">
        <v>-815236</v>
      </c>
      <c r="BU11" s="542">
        <v>0</v>
      </c>
      <c r="BV11" s="542">
        <v>-815236</v>
      </c>
      <c r="BW11" s="542">
        <v>-136303</v>
      </c>
      <c r="BX11" s="542">
        <v>0</v>
      </c>
      <c r="BY11" s="542">
        <v>-136303</v>
      </c>
      <c r="BZ11" s="542">
        <v>109</v>
      </c>
      <c r="CA11" s="542">
        <v>0</v>
      </c>
      <c r="CB11" s="542">
        <v>109</v>
      </c>
      <c r="CC11" s="542">
        <v>-45695</v>
      </c>
      <c r="CD11" s="542">
        <v>0</v>
      </c>
      <c r="CE11" s="542">
        <v>-45695</v>
      </c>
      <c r="CF11" s="542">
        <v>0</v>
      </c>
      <c r="CG11" s="542">
        <v>0</v>
      </c>
      <c r="CH11" s="542">
        <v>0</v>
      </c>
      <c r="CI11" s="542">
        <v>0</v>
      </c>
      <c r="CJ11" s="542">
        <v>0</v>
      </c>
      <c r="CK11" s="542">
        <v>0</v>
      </c>
      <c r="CL11" s="542">
        <v>0</v>
      </c>
      <c r="CM11" s="542">
        <v>0</v>
      </c>
      <c r="CN11" s="542">
        <v>0</v>
      </c>
      <c r="CO11" s="542">
        <v>-7840</v>
      </c>
      <c r="CP11" s="542">
        <v>0</v>
      </c>
      <c r="CQ11" s="542">
        <v>-7840</v>
      </c>
      <c r="CR11" s="542">
        <v>57</v>
      </c>
      <c r="CS11" s="542">
        <v>0</v>
      </c>
      <c r="CT11" s="542">
        <v>57</v>
      </c>
      <c r="CU11" s="542">
        <v>-2271</v>
      </c>
      <c r="CV11" s="542">
        <v>0</v>
      </c>
      <c r="CW11" s="542">
        <v>-2271</v>
      </c>
      <c r="CX11" s="542">
        <v>922</v>
      </c>
      <c r="CY11" s="542">
        <v>0</v>
      </c>
      <c r="CZ11" s="542">
        <v>922</v>
      </c>
      <c r="DA11" s="542">
        <v>0</v>
      </c>
      <c r="DB11" s="542">
        <v>0</v>
      </c>
      <c r="DC11" s="542">
        <v>0</v>
      </c>
      <c r="DD11" s="542">
        <v>0</v>
      </c>
      <c r="DE11" s="542">
        <v>0</v>
      </c>
      <c r="DF11" s="542">
        <v>0</v>
      </c>
      <c r="DG11" s="542"/>
      <c r="DH11" s="542">
        <v>0</v>
      </c>
      <c r="DI11" s="542"/>
      <c r="DJ11" s="542">
        <v>0</v>
      </c>
      <c r="DK11" s="542"/>
      <c r="DL11" s="542"/>
      <c r="DM11" s="542">
        <v>-191021</v>
      </c>
      <c r="DN11" s="542">
        <v>0</v>
      </c>
      <c r="DO11" s="542">
        <v>-191021</v>
      </c>
      <c r="DP11" s="542">
        <v>0</v>
      </c>
      <c r="DQ11" s="542">
        <v>0</v>
      </c>
      <c r="DR11" s="542">
        <v>0</v>
      </c>
      <c r="DS11" s="542">
        <v>0</v>
      </c>
      <c r="DT11" s="542">
        <v>0</v>
      </c>
      <c r="DU11" s="542">
        <v>0</v>
      </c>
      <c r="DV11" s="542">
        <v>0</v>
      </c>
      <c r="DW11" s="542">
        <v>0</v>
      </c>
      <c r="DX11" s="542">
        <v>0</v>
      </c>
      <c r="DY11" s="542">
        <v>-148204</v>
      </c>
      <c r="DZ11" s="542">
        <v>0</v>
      </c>
      <c r="EA11" s="542">
        <v>-148204</v>
      </c>
      <c r="EB11" s="542">
        <v>0</v>
      </c>
      <c r="EC11" s="542">
        <v>0</v>
      </c>
      <c r="ED11" s="542">
        <v>0</v>
      </c>
      <c r="EE11" s="542">
        <v>0</v>
      </c>
      <c r="EF11" s="542">
        <v>0</v>
      </c>
      <c r="EG11" s="542">
        <v>0</v>
      </c>
      <c r="EH11" s="542">
        <v>-148204</v>
      </c>
      <c r="EI11" s="542">
        <v>0</v>
      </c>
      <c r="EJ11" s="542">
        <v>-148204</v>
      </c>
      <c r="EK11" s="542">
        <v>0</v>
      </c>
      <c r="EL11" s="542">
        <v>0</v>
      </c>
      <c r="EM11" s="542">
        <v>0</v>
      </c>
      <c r="EN11" s="542">
        <v>0</v>
      </c>
      <c r="EO11" s="542">
        <v>0</v>
      </c>
      <c r="EP11" s="542">
        <v>0</v>
      </c>
      <c r="EQ11" s="542">
        <v>0</v>
      </c>
      <c r="ER11" s="542">
        <v>0</v>
      </c>
      <c r="ES11" s="542">
        <v>0</v>
      </c>
      <c r="ET11" s="542">
        <v>38636536</v>
      </c>
      <c r="EU11" s="542">
        <v>0</v>
      </c>
      <c r="EV11" s="542">
        <v>38636536</v>
      </c>
      <c r="EW11" s="542">
        <v>-49659</v>
      </c>
      <c r="EX11" s="542">
        <v>0</v>
      </c>
      <c r="EY11" s="542">
        <v>-49659</v>
      </c>
      <c r="EZ11" s="542">
        <v>-3045442</v>
      </c>
      <c r="FA11" s="542">
        <v>0</v>
      </c>
      <c r="FB11" s="542">
        <v>-3045442</v>
      </c>
      <c r="FC11" s="542">
        <v>-815236</v>
      </c>
      <c r="FD11" s="542">
        <v>0</v>
      </c>
      <c r="FE11" s="542">
        <v>-815236</v>
      </c>
      <c r="FF11" s="542">
        <v>-191021</v>
      </c>
      <c r="FG11" s="542">
        <v>0</v>
      </c>
      <c r="FH11" s="542">
        <v>-191021</v>
      </c>
      <c r="FI11" s="542">
        <v>-148204</v>
      </c>
      <c r="FJ11" s="542">
        <v>0</v>
      </c>
      <c r="FK11" s="542">
        <v>-148204</v>
      </c>
      <c r="FL11" s="542">
        <v>0</v>
      </c>
      <c r="FM11" s="542">
        <v>0</v>
      </c>
      <c r="FN11" s="542">
        <v>0</v>
      </c>
      <c r="FO11" s="542">
        <v>-4249562</v>
      </c>
      <c r="FP11" s="542">
        <v>0</v>
      </c>
      <c r="FQ11" s="542">
        <v>-4249562</v>
      </c>
      <c r="FR11" s="542">
        <v>34386974</v>
      </c>
      <c r="FS11" s="542">
        <v>0</v>
      </c>
      <c r="FT11" s="542">
        <v>34386974</v>
      </c>
    </row>
    <row r="12" spans="1:176" ht="12.75" x14ac:dyDescent="0.2">
      <c r="A12" s="93">
        <v>7</v>
      </c>
      <c r="B12" s="145" t="s">
        <v>573</v>
      </c>
      <c r="C12" s="604" t="s">
        <v>866</v>
      </c>
      <c r="D12" s="142" t="s">
        <v>867</v>
      </c>
      <c r="E12" s="149" t="s">
        <v>572</v>
      </c>
      <c r="F12" s="542">
        <v>-62268</v>
      </c>
      <c r="G12" s="542">
        <v>0</v>
      </c>
      <c r="H12" s="542">
        <v>-62268</v>
      </c>
      <c r="I12" s="542">
        <v>43919</v>
      </c>
      <c r="J12" s="542">
        <v>0</v>
      </c>
      <c r="K12" s="542">
        <v>43919</v>
      </c>
      <c r="L12" s="542">
        <v>8390</v>
      </c>
      <c r="M12" s="542">
        <v>0</v>
      </c>
      <c r="N12" s="542">
        <v>8390</v>
      </c>
      <c r="O12" s="542">
        <v>68867</v>
      </c>
      <c r="P12" s="542">
        <v>0</v>
      </c>
      <c r="Q12" s="542">
        <v>68867</v>
      </c>
      <c r="R12" s="542">
        <v>58908</v>
      </c>
      <c r="S12" s="542">
        <v>0</v>
      </c>
      <c r="T12" s="542">
        <v>58908</v>
      </c>
      <c r="U12" s="542">
        <v>-2541463</v>
      </c>
      <c r="V12" s="542">
        <v>0</v>
      </c>
      <c r="W12" s="542">
        <v>-2541463</v>
      </c>
      <c r="X12" s="542">
        <v>-11384</v>
      </c>
      <c r="Y12" s="542">
        <v>0</v>
      </c>
      <c r="Z12" s="542">
        <v>-11384</v>
      </c>
      <c r="AA12" s="542">
        <v>-277116</v>
      </c>
      <c r="AB12" s="542">
        <v>0</v>
      </c>
      <c r="AC12" s="542">
        <v>-277116</v>
      </c>
      <c r="AD12" s="542">
        <v>-90534</v>
      </c>
      <c r="AE12" s="542">
        <v>0</v>
      </c>
      <c r="AF12" s="542">
        <v>-90534</v>
      </c>
      <c r="AG12" s="542">
        <v>1088253</v>
      </c>
      <c r="AH12" s="542">
        <v>0</v>
      </c>
      <c r="AI12" s="542">
        <v>1088253</v>
      </c>
      <c r="AJ12" s="542">
        <v>164975</v>
      </c>
      <c r="AK12" s="542">
        <v>0</v>
      </c>
      <c r="AL12" s="542">
        <v>164975</v>
      </c>
      <c r="AM12" s="542">
        <v>-3287573</v>
      </c>
      <c r="AN12" s="542">
        <v>0</v>
      </c>
      <c r="AO12" s="542">
        <v>-3287573</v>
      </c>
      <c r="AP12" s="542">
        <v>135771</v>
      </c>
      <c r="AQ12" s="542">
        <v>0</v>
      </c>
      <c r="AR12" s="542">
        <v>135771</v>
      </c>
      <c r="AS12" s="542">
        <v>-87568</v>
      </c>
      <c r="AT12" s="542">
        <v>0</v>
      </c>
      <c r="AU12" s="542">
        <v>-87568</v>
      </c>
      <c r="AV12" s="542">
        <v>-5669</v>
      </c>
      <c r="AW12" s="542">
        <v>0</v>
      </c>
      <c r="AX12" s="542">
        <v>-5669</v>
      </c>
      <c r="AY12" s="542">
        <v>-36263</v>
      </c>
      <c r="AZ12" s="542">
        <v>0</v>
      </c>
      <c r="BA12" s="542">
        <v>-36263</v>
      </c>
      <c r="BB12" s="542">
        <v>-660</v>
      </c>
      <c r="BC12" s="542">
        <v>0</v>
      </c>
      <c r="BD12" s="542">
        <v>-660</v>
      </c>
      <c r="BE12" s="542">
        <v>-4847313</v>
      </c>
      <c r="BF12" s="542">
        <v>0</v>
      </c>
      <c r="BG12" s="542">
        <v>-4847313</v>
      </c>
      <c r="BH12" s="542">
        <v>-6058</v>
      </c>
      <c r="BI12" s="542">
        <v>0</v>
      </c>
      <c r="BJ12" s="542">
        <v>-6058</v>
      </c>
      <c r="BK12" s="542">
        <v>0</v>
      </c>
      <c r="BL12" s="542">
        <v>0</v>
      </c>
      <c r="BM12" s="542">
        <v>0</v>
      </c>
      <c r="BN12" s="542">
        <v>-1629896</v>
      </c>
      <c r="BO12" s="542">
        <v>0</v>
      </c>
      <c r="BP12" s="542">
        <v>-1629896</v>
      </c>
      <c r="BQ12" s="542">
        <v>-9335</v>
      </c>
      <c r="BR12" s="542">
        <v>0</v>
      </c>
      <c r="BS12" s="542">
        <v>-9335</v>
      </c>
      <c r="BT12" s="542">
        <v>-1645289</v>
      </c>
      <c r="BU12" s="542">
        <v>0</v>
      </c>
      <c r="BV12" s="542">
        <v>-1645289</v>
      </c>
      <c r="BW12" s="542">
        <v>-169458</v>
      </c>
      <c r="BX12" s="542">
        <v>0</v>
      </c>
      <c r="BY12" s="542">
        <v>-169458</v>
      </c>
      <c r="BZ12" s="542">
        <v>122</v>
      </c>
      <c r="CA12" s="542">
        <v>0</v>
      </c>
      <c r="CB12" s="542">
        <v>122</v>
      </c>
      <c r="CC12" s="542">
        <v>-92853</v>
      </c>
      <c r="CD12" s="542">
        <v>0</v>
      </c>
      <c r="CE12" s="542">
        <v>-92853</v>
      </c>
      <c r="CF12" s="542">
        <v>-3264</v>
      </c>
      <c r="CG12" s="542">
        <v>0</v>
      </c>
      <c r="CH12" s="542">
        <v>-3264</v>
      </c>
      <c r="CI12" s="542">
        <v>-12638</v>
      </c>
      <c r="CJ12" s="542">
        <v>0</v>
      </c>
      <c r="CK12" s="542">
        <v>-12638</v>
      </c>
      <c r="CL12" s="542">
        <v>0</v>
      </c>
      <c r="CM12" s="542">
        <v>0</v>
      </c>
      <c r="CN12" s="542">
        <v>0</v>
      </c>
      <c r="CO12" s="542">
        <v>-14865</v>
      </c>
      <c r="CP12" s="542">
        <v>0</v>
      </c>
      <c r="CQ12" s="542">
        <v>-14865</v>
      </c>
      <c r="CR12" s="542">
        <v>0</v>
      </c>
      <c r="CS12" s="542">
        <v>0</v>
      </c>
      <c r="CT12" s="542">
        <v>0</v>
      </c>
      <c r="CU12" s="542">
        <v>-52823</v>
      </c>
      <c r="CV12" s="542">
        <v>0</v>
      </c>
      <c r="CW12" s="542">
        <v>-52823</v>
      </c>
      <c r="CX12" s="542">
        <v>-1546</v>
      </c>
      <c r="CY12" s="542">
        <v>0</v>
      </c>
      <c r="CZ12" s="542">
        <v>-1546</v>
      </c>
      <c r="DA12" s="542">
        <v>0</v>
      </c>
      <c r="DB12" s="542">
        <v>0</v>
      </c>
      <c r="DC12" s="542">
        <v>0</v>
      </c>
      <c r="DD12" s="542">
        <v>0</v>
      </c>
      <c r="DE12" s="542">
        <v>0</v>
      </c>
      <c r="DF12" s="542">
        <v>0</v>
      </c>
      <c r="DG12" s="542"/>
      <c r="DH12" s="542">
        <v>0</v>
      </c>
      <c r="DI12" s="542"/>
      <c r="DJ12" s="542">
        <v>0</v>
      </c>
      <c r="DK12" s="542"/>
      <c r="DL12" s="542"/>
      <c r="DM12" s="542">
        <v>-347325</v>
      </c>
      <c r="DN12" s="542">
        <v>0</v>
      </c>
      <c r="DO12" s="542">
        <v>-347325</v>
      </c>
      <c r="DP12" s="542">
        <v>-373</v>
      </c>
      <c r="DQ12" s="542">
        <v>0</v>
      </c>
      <c r="DR12" s="542">
        <v>-373</v>
      </c>
      <c r="DS12" s="542">
        <v>-515</v>
      </c>
      <c r="DT12" s="542">
        <v>0</v>
      </c>
      <c r="DU12" s="542">
        <v>-515</v>
      </c>
      <c r="DV12" s="542">
        <v>-14637</v>
      </c>
      <c r="DW12" s="542">
        <v>0</v>
      </c>
      <c r="DX12" s="542">
        <v>-14637</v>
      </c>
      <c r="DY12" s="542">
        <v>-522345</v>
      </c>
      <c r="DZ12" s="542">
        <v>0</v>
      </c>
      <c r="EA12" s="542">
        <v>-522345</v>
      </c>
      <c r="EB12" s="542">
        <v>0</v>
      </c>
      <c r="EC12" s="542">
        <v>0</v>
      </c>
      <c r="ED12" s="542">
        <v>0</v>
      </c>
      <c r="EE12" s="542">
        <v>-21021</v>
      </c>
      <c r="EF12" s="542">
        <v>0</v>
      </c>
      <c r="EG12" s="542">
        <v>-21021</v>
      </c>
      <c r="EH12" s="542">
        <v>-558891</v>
      </c>
      <c r="EI12" s="542">
        <v>0</v>
      </c>
      <c r="EJ12" s="542">
        <v>-558891</v>
      </c>
      <c r="EK12" s="542">
        <v>0</v>
      </c>
      <c r="EL12" s="542">
        <v>0</v>
      </c>
      <c r="EM12" s="542">
        <v>0</v>
      </c>
      <c r="EN12" s="542">
        <v>0</v>
      </c>
      <c r="EO12" s="542">
        <v>0</v>
      </c>
      <c r="EP12" s="542">
        <v>0</v>
      </c>
      <c r="EQ12" s="542">
        <v>0</v>
      </c>
      <c r="ER12" s="542">
        <v>0</v>
      </c>
      <c r="ES12" s="542">
        <v>0</v>
      </c>
      <c r="ET12" s="542">
        <v>53227886</v>
      </c>
      <c r="EU12" s="542">
        <v>0</v>
      </c>
      <c r="EV12" s="542">
        <v>53227886</v>
      </c>
      <c r="EW12" s="542">
        <v>58908</v>
      </c>
      <c r="EX12" s="542">
        <v>0</v>
      </c>
      <c r="EY12" s="542">
        <v>58908</v>
      </c>
      <c r="EZ12" s="542">
        <v>-4847313</v>
      </c>
      <c r="FA12" s="542">
        <v>0</v>
      </c>
      <c r="FB12" s="542">
        <v>-4847313</v>
      </c>
      <c r="FC12" s="542">
        <v>-1645289</v>
      </c>
      <c r="FD12" s="542">
        <v>0</v>
      </c>
      <c r="FE12" s="542">
        <v>-1645289</v>
      </c>
      <c r="FF12" s="542">
        <v>-347325</v>
      </c>
      <c r="FG12" s="542">
        <v>0</v>
      </c>
      <c r="FH12" s="542">
        <v>-347325</v>
      </c>
      <c r="FI12" s="542">
        <v>-558891</v>
      </c>
      <c r="FJ12" s="542">
        <v>0</v>
      </c>
      <c r="FK12" s="542">
        <v>-558891</v>
      </c>
      <c r="FL12" s="542">
        <v>0</v>
      </c>
      <c r="FM12" s="542">
        <v>0</v>
      </c>
      <c r="FN12" s="542">
        <v>0</v>
      </c>
      <c r="FO12" s="542">
        <v>-7339910</v>
      </c>
      <c r="FP12" s="542">
        <v>0</v>
      </c>
      <c r="FQ12" s="542">
        <v>-7339910</v>
      </c>
      <c r="FR12" s="542">
        <v>45887976</v>
      </c>
      <c r="FS12" s="542">
        <v>0</v>
      </c>
      <c r="FT12" s="542">
        <v>45887976</v>
      </c>
    </row>
    <row r="13" spans="1:176" ht="12.75" x14ac:dyDescent="0.2">
      <c r="A13" s="93">
        <v>8</v>
      </c>
      <c r="B13" s="145" t="s">
        <v>575</v>
      </c>
      <c r="C13" s="604" t="s">
        <v>866</v>
      </c>
      <c r="D13" s="142" t="s">
        <v>867</v>
      </c>
      <c r="E13" s="149" t="s">
        <v>574</v>
      </c>
      <c r="F13" s="542">
        <v>-39309</v>
      </c>
      <c r="G13" s="542">
        <v>0</v>
      </c>
      <c r="H13" s="542">
        <v>-39309</v>
      </c>
      <c r="I13" s="542">
        <v>36486</v>
      </c>
      <c r="J13" s="542">
        <v>0</v>
      </c>
      <c r="K13" s="542">
        <v>36486</v>
      </c>
      <c r="L13" s="542">
        <v>14490</v>
      </c>
      <c r="M13" s="542">
        <v>0</v>
      </c>
      <c r="N13" s="542">
        <v>14490</v>
      </c>
      <c r="O13" s="542">
        <v>219383</v>
      </c>
      <c r="P13" s="542">
        <v>0</v>
      </c>
      <c r="Q13" s="542">
        <v>219383</v>
      </c>
      <c r="R13" s="542">
        <v>231050</v>
      </c>
      <c r="S13" s="542">
        <v>0</v>
      </c>
      <c r="T13" s="542">
        <v>231050</v>
      </c>
      <c r="U13" s="542">
        <v>-3145047</v>
      </c>
      <c r="V13" s="542">
        <v>0</v>
      </c>
      <c r="W13" s="542">
        <v>-3145047</v>
      </c>
      <c r="X13" s="542">
        <v>-5593</v>
      </c>
      <c r="Y13" s="542">
        <v>0</v>
      </c>
      <c r="Z13" s="542">
        <v>-5593</v>
      </c>
      <c r="AA13" s="542">
        <v>-211800</v>
      </c>
      <c r="AB13" s="542">
        <v>0</v>
      </c>
      <c r="AC13" s="542">
        <v>-211800</v>
      </c>
      <c r="AD13" s="542">
        <v>-75376</v>
      </c>
      <c r="AE13" s="542">
        <v>0</v>
      </c>
      <c r="AF13" s="542">
        <v>-75376</v>
      </c>
      <c r="AG13" s="542">
        <v>1200781</v>
      </c>
      <c r="AH13" s="542">
        <v>0</v>
      </c>
      <c r="AI13" s="542">
        <v>1200781</v>
      </c>
      <c r="AJ13" s="542">
        <v>127943</v>
      </c>
      <c r="AK13" s="542">
        <v>0</v>
      </c>
      <c r="AL13" s="542">
        <v>127943</v>
      </c>
      <c r="AM13" s="542">
        <v>-4338691</v>
      </c>
      <c r="AN13" s="542">
        <v>0</v>
      </c>
      <c r="AO13" s="542">
        <v>-4338691</v>
      </c>
      <c r="AP13" s="542">
        <v>-844</v>
      </c>
      <c r="AQ13" s="542">
        <v>0</v>
      </c>
      <c r="AR13" s="542">
        <v>-844</v>
      </c>
      <c r="AS13" s="542">
        <v>-28128</v>
      </c>
      <c r="AT13" s="542">
        <v>0</v>
      </c>
      <c r="AU13" s="542">
        <v>-28128</v>
      </c>
      <c r="AV13" s="542">
        <v>0</v>
      </c>
      <c r="AW13" s="542">
        <v>0</v>
      </c>
      <c r="AX13" s="542">
        <v>0</v>
      </c>
      <c r="AY13" s="542">
        <v>-57634</v>
      </c>
      <c r="AZ13" s="542">
        <v>0</v>
      </c>
      <c r="BA13" s="542">
        <v>-57634</v>
      </c>
      <c r="BB13" s="542">
        <v>-2358</v>
      </c>
      <c r="BC13" s="542">
        <v>0</v>
      </c>
      <c r="BD13" s="542">
        <v>-2358</v>
      </c>
      <c r="BE13" s="542">
        <v>-6455778</v>
      </c>
      <c r="BF13" s="542">
        <v>0</v>
      </c>
      <c r="BG13" s="542">
        <v>-6455778</v>
      </c>
      <c r="BH13" s="542">
        <v>-29431</v>
      </c>
      <c r="BI13" s="542">
        <v>0</v>
      </c>
      <c r="BJ13" s="542">
        <v>-29431</v>
      </c>
      <c r="BK13" s="542">
        <v>-244135</v>
      </c>
      <c r="BL13" s="542">
        <v>0</v>
      </c>
      <c r="BM13" s="542">
        <v>-244135</v>
      </c>
      <c r="BN13" s="542">
        <v>-2841834</v>
      </c>
      <c r="BO13" s="542">
        <v>0</v>
      </c>
      <c r="BP13" s="542">
        <v>-2841834</v>
      </c>
      <c r="BQ13" s="542">
        <v>-248793</v>
      </c>
      <c r="BR13" s="542">
        <v>0</v>
      </c>
      <c r="BS13" s="542">
        <v>-248793</v>
      </c>
      <c r="BT13" s="542">
        <v>-3364193</v>
      </c>
      <c r="BU13" s="542">
        <v>0</v>
      </c>
      <c r="BV13" s="542">
        <v>-3364193</v>
      </c>
      <c r="BW13" s="542">
        <v>-142322</v>
      </c>
      <c r="BX13" s="542">
        <v>0</v>
      </c>
      <c r="BY13" s="542">
        <v>-142322</v>
      </c>
      <c r="BZ13" s="542">
        <v>-1218</v>
      </c>
      <c r="CA13" s="542">
        <v>0</v>
      </c>
      <c r="CB13" s="542">
        <v>-1218</v>
      </c>
      <c r="CC13" s="542">
        <v>-140107</v>
      </c>
      <c r="CD13" s="542">
        <v>0</v>
      </c>
      <c r="CE13" s="542">
        <v>-140107</v>
      </c>
      <c r="CF13" s="542">
        <v>831</v>
      </c>
      <c r="CG13" s="542">
        <v>0</v>
      </c>
      <c r="CH13" s="542">
        <v>831</v>
      </c>
      <c r="CI13" s="542">
        <v>0</v>
      </c>
      <c r="CJ13" s="542">
        <v>0</v>
      </c>
      <c r="CK13" s="542">
        <v>0</v>
      </c>
      <c r="CL13" s="542">
        <v>0</v>
      </c>
      <c r="CM13" s="542">
        <v>0</v>
      </c>
      <c r="CN13" s="542">
        <v>0</v>
      </c>
      <c r="CO13" s="542">
        <v>0</v>
      </c>
      <c r="CP13" s="542">
        <v>0</v>
      </c>
      <c r="CQ13" s="542">
        <v>0</v>
      </c>
      <c r="CR13" s="542">
        <v>0</v>
      </c>
      <c r="CS13" s="542">
        <v>0</v>
      </c>
      <c r="CT13" s="542">
        <v>0</v>
      </c>
      <c r="CU13" s="542">
        <v>0</v>
      </c>
      <c r="CV13" s="542">
        <v>0</v>
      </c>
      <c r="CW13" s="542">
        <v>0</v>
      </c>
      <c r="CX13" s="542">
        <v>0</v>
      </c>
      <c r="CY13" s="542">
        <v>0</v>
      </c>
      <c r="CZ13" s="542">
        <v>0</v>
      </c>
      <c r="DA13" s="542">
        <v>0</v>
      </c>
      <c r="DB13" s="542">
        <v>0</v>
      </c>
      <c r="DC13" s="542">
        <v>0</v>
      </c>
      <c r="DD13" s="542">
        <v>0</v>
      </c>
      <c r="DE13" s="542">
        <v>0</v>
      </c>
      <c r="DF13" s="542">
        <v>0</v>
      </c>
      <c r="DG13" s="542"/>
      <c r="DH13" s="542">
        <v>0</v>
      </c>
      <c r="DI13" s="542"/>
      <c r="DJ13" s="542">
        <v>0</v>
      </c>
      <c r="DK13" s="542"/>
      <c r="DL13" s="542"/>
      <c r="DM13" s="542">
        <v>-282816</v>
      </c>
      <c r="DN13" s="542">
        <v>0</v>
      </c>
      <c r="DO13" s="542">
        <v>-282816</v>
      </c>
      <c r="DP13" s="542">
        <v>-91046</v>
      </c>
      <c r="DQ13" s="542">
        <v>0</v>
      </c>
      <c r="DR13" s="542">
        <v>-91046</v>
      </c>
      <c r="DS13" s="542">
        <v>0</v>
      </c>
      <c r="DT13" s="542">
        <v>0</v>
      </c>
      <c r="DU13" s="542">
        <v>0</v>
      </c>
      <c r="DV13" s="542">
        <v>0</v>
      </c>
      <c r="DW13" s="542">
        <v>0</v>
      </c>
      <c r="DX13" s="542">
        <v>0</v>
      </c>
      <c r="DY13" s="542">
        <v>-537436</v>
      </c>
      <c r="DZ13" s="542">
        <v>0</v>
      </c>
      <c r="EA13" s="542">
        <v>-537436</v>
      </c>
      <c r="EB13" s="542">
        <v>0</v>
      </c>
      <c r="EC13" s="542">
        <v>0</v>
      </c>
      <c r="ED13" s="542">
        <v>0</v>
      </c>
      <c r="EE13" s="542">
        <v>0</v>
      </c>
      <c r="EF13" s="542">
        <v>0</v>
      </c>
      <c r="EG13" s="542">
        <v>0</v>
      </c>
      <c r="EH13" s="542">
        <v>-628482</v>
      </c>
      <c r="EI13" s="542">
        <v>0</v>
      </c>
      <c r="EJ13" s="542">
        <v>-628482</v>
      </c>
      <c r="EK13" s="542">
        <v>-1874</v>
      </c>
      <c r="EL13" s="542">
        <v>0</v>
      </c>
      <c r="EM13" s="542">
        <v>-1874</v>
      </c>
      <c r="EN13" s="542">
        <v>-972</v>
      </c>
      <c r="EO13" s="542">
        <v>0</v>
      </c>
      <c r="EP13" s="542">
        <v>-972</v>
      </c>
      <c r="EQ13" s="542">
        <v>-2846</v>
      </c>
      <c r="ER13" s="542">
        <v>0</v>
      </c>
      <c r="ES13" s="542">
        <v>-2846</v>
      </c>
      <c r="ET13" s="542">
        <v>60116105</v>
      </c>
      <c r="EU13" s="542">
        <v>0</v>
      </c>
      <c r="EV13" s="542">
        <v>60116105</v>
      </c>
      <c r="EW13" s="542">
        <v>231050</v>
      </c>
      <c r="EX13" s="542">
        <v>0</v>
      </c>
      <c r="EY13" s="542">
        <v>231050</v>
      </c>
      <c r="EZ13" s="542">
        <v>-6455778</v>
      </c>
      <c r="FA13" s="542">
        <v>0</v>
      </c>
      <c r="FB13" s="542">
        <v>-6455778</v>
      </c>
      <c r="FC13" s="542">
        <v>-3364193</v>
      </c>
      <c r="FD13" s="542">
        <v>0</v>
      </c>
      <c r="FE13" s="542">
        <v>-3364193</v>
      </c>
      <c r="FF13" s="542">
        <v>-282816</v>
      </c>
      <c r="FG13" s="542">
        <v>0</v>
      </c>
      <c r="FH13" s="542">
        <v>-282816</v>
      </c>
      <c r="FI13" s="542">
        <v>-628482</v>
      </c>
      <c r="FJ13" s="542">
        <v>0</v>
      </c>
      <c r="FK13" s="542">
        <v>-628482</v>
      </c>
      <c r="FL13" s="542">
        <v>-2846</v>
      </c>
      <c r="FM13" s="542">
        <v>0</v>
      </c>
      <c r="FN13" s="542">
        <v>-2846</v>
      </c>
      <c r="FO13" s="542">
        <v>-10503065</v>
      </c>
      <c r="FP13" s="542">
        <v>0</v>
      </c>
      <c r="FQ13" s="542">
        <v>-10503065</v>
      </c>
      <c r="FR13" s="542">
        <v>49613040</v>
      </c>
      <c r="FS13" s="542">
        <v>0</v>
      </c>
      <c r="FT13" s="542">
        <v>49613040</v>
      </c>
    </row>
    <row r="14" spans="1:176" ht="12.75" x14ac:dyDescent="0.2">
      <c r="A14" s="93">
        <v>9</v>
      </c>
      <c r="B14" s="145" t="s">
        <v>577</v>
      </c>
      <c r="C14" s="604" t="s">
        <v>866</v>
      </c>
      <c r="D14" s="142" t="s">
        <v>870</v>
      </c>
      <c r="E14" s="149" t="s">
        <v>576</v>
      </c>
      <c r="F14" s="542">
        <v>-33442</v>
      </c>
      <c r="G14" s="542">
        <v>0</v>
      </c>
      <c r="H14" s="542">
        <v>-33442</v>
      </c>
      <c r="I14" s="542">
        <v>15046</v>
      </c>
      <c r="J14" s="542">
        <v>0</v>
      </c>
      <c r="K14" s="542">
        <v>15046</v>
      </c>
      <c r="L14" s="542">
        <v>12244</v>
      </c>
      <c r="M14" s="542">
        <v>0</v>
      </c>
      <c r="N14" s="542">
        <v>12244</v>
      </c>
      <c r="O14" s="542">
        <v>44944</v>
      </c>
      <c r="P14" s="542">
        <v>0</v>
      </c>
      <c r="Q14" s="542">
        <v>44944</v>
      </c>
      <c r="R14" s="542">
        <v>38792</v>
      </c>
      <c r="S14" s="542">
        <v>0</v>
      </c>
      <c r="T14" s="542">
        <v>38792</v>
      </c>
      <c r="U14" s="542">
        <v>-2140262</v>
      </c>
      <c r="V14" s="542">
        <v>0</v>
      </c>
      <c r="W14" s="542">
        <v>-2140262</v>
      </c>
      <c r="X14" s="542">
        <v>-4000</v>
      </c>
      <c r="Y14" s="542">
        <v>0</v>
      </c>
      <c r="Z14" s="542">
        <v>-4000</v>
      </c>
      <c r="AA14" s="542">
        <v>-72360</v>
      </c>
      <c r="AB14" s="542">
        <v>0</v>
      </c>
      <c r="AC14" s="542">
        <v>-72360</v>
      </c>
      <c r="AD14" s="542">
        <v>0</v>
      </c>
      <c r="AE14" s="542">
        <v>0</v>
      </c>
      <c r="AF14" s="542">
        <v>0</v>
      </c>
      <c r="AG14" s="542">
        <v>518221</v>
      </c>
      <c r="AH14" s="542">
        <v>0</v>
      </c>
      <c r="AI14" s="542">
        <v>518221</v>
      </c>
      <c r="AJ14" s="542">
        <v>-11714</v>
      </c>
      <c r="AK14" s="542">
        <v>0</v>
      </c>
      <c r="AL14" s="542">
        <v>-11714</v>
      </c>
      <c r="AM14" s="542">
        <v>-1792982</v>
      </c>
      <c r="AN14" s="542">
        <v>0</v>
      </c>
      <c r="AO14" s="542">
        <v>-1792982</v>
      </c>
      <c r="AP14" s="542">
        <v>19165</v>
      </c>
      <c r="AQ14" s="542">
        <v>0</v>
      </c>
      <c r="AR14" s="542">
        <v>19165</v>
      </c>
      <c r="AS14" s="542">
        <v>-51159</v>
      </c>
      <c r="AT14" s="542">
        <v>0</v>
      </c>
      <c r="AU14" s="542">
        <v>-51159</v>
      </c>
      <c r="AV14" s="542">
        <v>0</v>
      </c>
      <c r="AW14" s="542">
        <v>0</v>
      </c>
      <c r="AX14" s="542">
        <v>0</v>
      </c>
      <c r="AY14" s="542">
        <v>-90413</v>
      </c>
      <c r="AZ14" s="542">
        <v>0</v>
      </c>
      <c r="BA14" s="542">
        <v>-90413</v>
      </c>
      <c r="BB14" s="542">
        <v>-56</v>
      </c>
      <c r="BC14" s="542">
        <v>0</v>
      </c>
      <c r="BD14" s="542">
        <v>-56</v>
      </c>
      <c r="BE14" s="542">
        <v>-3621560</v>
      </c>
      <c r="BF14" s="542">
        <v>0</v>
      </c>
      <c r="BG14" s="542">
        <v>-3621560</v>
      </c>
      <c r="BH14" s="542">
        <v>0</v>
      </c>
      <c r="BI14" s="542">
        <v>0</v>
      </c>
      <c r="BJ14" s="542">
        <v>0</v>
      </c>
      <c r="BK14" s="542">
        <v>-5744</v>
      </c>
      <c r="BL14" s="542">
        <v>0</v>
      </c>
      <c r="BM14" s="542">
        <v>-5744</v>
      </c>
      <c r="BN14" s="542">
        <v>-726136</v>
      </c>
      <c r="BO14" s="542">
        <v>0</v>
      </c>
      <c r="BP14" s="542">
        <v>-726136</v>
      </c>
      <c r="BQ14" s="542">
        <v>2193</v>
      </c>
      <c r="BR14" s="542">
        <v>0</v>
      </c>
      <c r="BS14" s="542">
        <v>2193</v>
      </c>
      <c r="BT14" s="542">
        <v>-729687</v>
      </c>
      <c r="BU14" s="542">
        <v>0</v>
      </c>
      <c r="BV14" s="542">
        <v>-729687</v>
      </c>
      <c r="BW14" s="542">
        <v>-43962</v>
      </c>
      <c r="BX14" s="542">
        <v>0</v>
      </c>
      <c r="BY14" s="542">
        <v>-43962</v>
      </c>
      <c r="BZ14" s="542">
        <v>-475</v>
      </c>
      <c r="CA14" s="542">
        <v>0</v>
      </c>
      <c r="CB14" s="542">
        <v>-475</v>
      </c>
      <c r="CC14" s="542">
        <v>-9876</v>
      </c>
      <c r="CD14" s="542">
        <v>0</v>
      </c>
      <c r="CE14" s="542">
        <v>-9876</v>
      </c>
      <c r="CF14" s="542">
        <v>0</v>
      </c>
      <c r="CG14" s="542">
        <v>0</v>
      </c>
      <c r="CH14" s="542">
        <v>0</v>
      </c>
      <c r="CI14" s="542">
        <v>-6737</v>
      </c>
      <c r="CJ14" s="542">
        <v>0</v>
      </c>
      <c r="CK14" s="542">
        <v>-6737</v>
      </c>
      <c r="CL14" s="542">
        <v>0</v>
      </c>
      <c r="CM14" s="542">
        <v>0</v>
      </c>
      <c r="CN14" s="542">
        <v>0</v>
      </c>
      <c r="CO14" s="542">
        <v>-74809</v>
      </c>
      <c r="CP14" s="542">
        <v>0</v>
      </c>
      <c r="CQ14" s="542">
        <v>-74809</v>
      </c>
      <c r="CR14" s="542">
        <v>-1875</v>
      </c>
      <c r="CS14" s="542">
        <v>0</v>
      </c>
      <c r="CT14" s="542">
        <v>-1875</v>
      </c>
      <c r="CU14" s="542">
        <v>-15368</v>
      </c>
      <c r="CV14" s="542">
        <v>0</v>
      </c>
      <c r="CW14" s="542">
        <v>-15368</v>
      </c>
      <c r="CX14" s="542">
        <v>0</v>
      </c>
      <c r="CY14" s="542">
        <v>0</v>
      </c>
      <c r="CZ14" s="542">
        <v>0</v>
      </c>
      <c r="DA14" s="542">
        <v>0</v>
      </c>
      <c r="DB14" s="542">
        <v>0</v>
      </c>
      <c r="DC14" s="542">
        <v>0</v>
      </c>
      <c r="DD14" s="542">
        <v>0</v>
      </c>
      <c r="DE14" s="542">
        <v>0</v>
      </c>
      <c r="DF14" s="542">
        <v>0</v>
      </c>
      <c r="DG14" s="542"/>
      <c r="DH14" s="542">
        <v>0</v>
      </c>
      <c r="DI14" s="542"/>
      <c r="DJ14" s="542">
        <v>0</v>
      </c>
      <c r="DK14" s="542"/>
      <c r="DL14" s="542"/>
      <c r="DM14" s="542">
        <v>-153102</v>
      </c>
      <c r="DN14" s="542">
        <v>0</v>
      </c>
      <c r="DO14" s="542">
        <v>-153102</v>
      </c>
      <c r="DP14" s="542">
        <v>0</v>
      </c>
      <c r="DQ14" s="542">
        <v>0</v>
      </c>
      <c r="DR14" s="542">
        <v>0</v>
      </c>
      <c r="DS14" s="542">
        <v>0</v>
      </c>
      <c r="DT14" s="542">
        <v>0</v>
      </c>
      <c r="DU14" s="542">
        <v>0</v>
      </c>
      <c r="DV14" s="542">
        <v>-6561</v>
      </c>
      <c r="DW14" s="542">
        <v>0</v>
      </c>
      <c r="DX14" s="542">
        <v>-6561</v>
      </c>
      <c r="DY14" s="542">
        <v>-282903</v>
      </c>
      <c r="DZ14" s="542">
        <v>0</v>
      </c>
      <c r="EA14" s="542">
        <v>-282903</v>
      </c>
      <c r="EB14" s="542">
        <v>0</v>
      </c>
      <c r="EC14" s="542">
        <v>0</v>
      </c>
      <c r="ED14" s="542">
        <v>0</v>
      </c>
      <c r="EE14" s="542">
        <v>-1626</v>
      </c>
      <c r="EF14" s="542">
        <v>0</v>
      </c>
      <c r="EG14" s="542">
        <v>-1626</v>
      </c>
      <c r="EH14" s="542">
        <v>-291090</v>
      </c>
      <c r="EI14" s="542">
        <v>0</v>
      </c>
      <c r="EJ14" s="542">
        <v>-291090</v>
      </c>
      <c r="EK14" s="542">
        <v>0</v>
      </c>
      <c r="EL14" s="542">
        <v>0</v>
      </c>
      <c r="EM14" s="542">
        <v>0</v>
      </c>
      <c r="EN14" s="542">
        <v>0</v>
      </c>
      <c r="EO14" s="542">
        <v>0</v>
      </c>
      <c r="EP14" s="542">
        <v>0</v>
      </c>
      <c r="EQ14" s="542">
        <v>0</v>
      </c>
      <c r="ER14" s="542">
        <v>0</v>
      </c>
      <c r="ES14" s="542">
        <v>0</v>
      </c>
      <c r="ET14" s="542">
        <v>27118185</v>
      </c>
      <c r="EU14" s="542">
        <v>0</v>
      </c>
      <c r="EV14" s="542">
        <v>27118185</v>
      </c>
      <c r="EW14" s="542">
        <v>38792</v>
      </c>
      <c r="EX14" s="542">
        <v>0</v>
      </c>
      <c r="EY14" s="542">
        <v>38792</v>
      </c>
      <c r="EZ14" s="542">
        <v>-3621560</v>
      </c>
      <c r="FA14" s="542">
        <v>0</v>
      </c>
      <c r="FB14" s="542">
        <v>-3621560</v>
      </c>
      <c r="FC14" s="542">
        <v>-729687</v>
      </c>
      <c r="FD14" s="542">
        <v>0</v>
      </c>
      <c r="FE14" s="542">
        <v>-729687</v>
      </c>
      <c r="FF14" s="542">
        <v>-153102</v>
      </c>
      <c r="FG14" s="542">
        <v>0</v>
      </c>
      <c r="FH14" s="542">
        <v>-153102</v>
      </c>
      <c r="FI14" s="542">
        <v>-291090</v>
      </c>
      <c r="FJ14" s="542">
        <v>0</v>
      </c>
      <c r="FK14" s="542">
        <v>-291090</v>
      </c>
      <c r="FL14" s="542">
        <v>0</v>
      </c>
      <c r="FM14" s="542">
        <v>0</v>
      </c>
      <c r="FN14" s="542">
        <v>0</v>
      </c>
      <c r="FO14" s="542">
        <v>-4756647</v>
      </c>
      <c r="FP14" s="542">
        <v>0</v>
      </c>
      <c r="FQ14" s="542">
        <v>-4756647</v>
      </c>
      <c r="FR14" s="542">
        <v>22361538</v>
      </c>
      <c r="FS14" s="542">
        <v>0</v>
      </c>
      <c r="FT14" s="542">
        <v>22361538</v>
      </c>
    </row>
    <row r="15" spans="1:176" ht="12.75" x14ac:dyDescent="0.2">
      <c r="A15" s="93">
        <v>10</v>
      </c>
      <c r="B15" s="145" t="s">
        <v>579</v>
      </c>
      <c r="C15" s="604" t="s">
        <v>871</v>
      </c>
      <c r="D15" s="142" t="s">
        <v>872</v>
      </c>
      <c r="E15" s="149" t="s">
        <v>688</v>
      </c>
      <c r="F15" s="542">
        <v>-993690</v>
      </c>
      <c r="G15" s="542">
        <v>0</v>
      </c>
      <c r="H15" s="542">
        <v>-993690</v>
      </c>
      <c r="I15" s="542">
        <v>-1158505</v>
      </c>
      <c r="J15" s="542">
        <v>0</v>
      </c>
      <c r="K15" s="542">
        <v>-1158505</v>
      </c>
      <c r="L15" s="542">
        <v>6330</v>
      </c>
      <c r="M15" s="542">
        <v>0</v>
      </c>
      <c r="N15" s="542">
        <v>6330</v>
      </c>
      <c r="O15" s="542">
        <v>211467</v>
      </c>
      <c r="P15" s="542">
        <v>0</v>
      </c>
      <c r="Q15" s="542">
        <v>211467</v>
      </c>
      <c r="R15" s="542">
        <v>-1934398</v>
      </c>
      <c r="S15" s="542">
        <v>0</v>
      </c>
      <c r="T15" s="542">
        <v>-1934398</v>
      </c>
      <c r="U15" s="542">
        <v>-2503007</v>
      </c>
      <c r="V15" s="542">
        <v>0</v>
      </c>
      <c r="W15" s="542">
        <v>-2503007</v>
      </c>
      <c r="X15" s="542">
        <v>-1693</v>
      </c>
      <c r="Y15" s="542">
        <v>0</v>
      </c>
      <c r="Z15" s="542">
        <v>-1693</v>
      </c>
      <c r="AA15" s="542">
        <v>-101278</v>
      </c>
      <c r="AB15" s="542">
        <v>0</v>
      </c>
      <c r="AC15" s="542">
        <v>-101278</v>
      </c>
      <c r="AD15" s="542">
        <v>-70276</v>
      </c>
      <c r="AE15" s="542">
        <v>0</v>
      </c>
      <c r="AF15" s="542">
        <v>-70276</v>
      </c>
      <c r="AG15" s="542">
        <v>1366132</v>
      </c>
      <c r="AH15" s="542">
        <v>0</v>
      </c>
      <c r="AI15" s="542">
        <v>1366132</v>
      </c>
      <c r="AJ15" s="542">
        <v>-3162</v>
      </c>
      <c r="AK15" s="542">
        <v>0</v>
      </c>
      <c r="AL15" s="542">
        <v>-3162</v>
      </c>
      <c r="AM15" s="542">
        <v>-3376107</v>
      </c>
      <c r="AN15" s="542">
        <v>0</v>
      </c>
      <c r="AO15" s="542">
        <v>-3376107</v>
      </c>
      <c r="AP15" s="542">
        <v>-92038</v>
      </c>
      <c r="AQ15" s="542">
        <v>0</v>
      </c>
      <c r="AR15" s="542">
        <v>-92038</v>
      </c>
      <c r="AS15" s="542">
        <v>-19184</v>
      </c>
      <c r="AT15" s="542">
        <v>0</v>
      </c>
      <c r="AU15" s="542">
        <v>-19184</v>
      </c>
      <c r="AV15" s="542">
        <v>0</v>
      </c>
      <c r="AW15" s="542">
        <v>0</v>
      </c>
      <c r="AX15" s="542">
        <v>0</v>
      </c>
      <c r="AY15" s="542">
        <v>0</v>
      </c>
      <c r="AZ15" s="542">
        <v>0</v>
      </c>
      <c r="BA15" s="542">
        <v>0</v>
      </c>
      <c r="BB15" s="542">
        <v>0</v>
      </c>
      <c r="BC15" s="542">
        <v>0</v>
      </c>
      <c r="BD15" s="542">
        <v>0</v>
      </c>
      <c r="BE15" s="542">
        <v>-4728644</v>
      </c>
      <c r="BF15" s="542">
        <v>0</v>
      </c>
      <c r="BG15" s="542">
        <v>-4728644</v>
      </c>
      <c r="BH15" s="542">
        <v>0</v>
      </c>
      <c r="BI15" s="542">
        <v>0</v>
      </c>
      <c r="BJ15" s="542">
        <v>0</v>
      </c>
      <c r="BK15" s="542">
        <v>115630</v>
      </c>
      <c r="BL15" s="542">
        <v>0</v>
      </c>
      <c r="BM15" s="542">
        <v>115630</v>
      </c>
      <c r="BN15" s="542">
        <v>-2612870</v>
      </c>
      <c r="BO15" s="542">
        <v>0</v>
      </c>
      <c r="BP15" s="542">
        <v>-2612870</v>
      </c>
      <c r="BQ15" s="542">
        <v>194393.93</v>
      </c>
      <c r="BR15" s="542">
        <v>0</v>
      </c>
      <c r="BS15" s="542">
        <v>194393.93</v>
      </c>
      <c r="BT15" s="542">
        <v>-2302846</v>
      </c>
      <c r="BU15" s="542">
        <v>0</v>
      </c>
      <c r="BV15" s="542">
        <v>-2302846</v>
      </c>
      <c r="BW15" s="542">
        <v>-301416</v>
      </c>
      <c r="BX15" s="542">
        <v>0</v>
      </c>
      <c r="BY15" s="542">
        <v>-301416</v>
      </c>
      <c r="BZ15" s="542">
        <v>-19459</v>
      </c>
      <c r="CA15" s="542">
        <v>0</v>
      </c>
      <c r="CB15" s="542">
        <v>-19459</v>
      </c>
      <c r="CC15" s="542">
        <v>-36863</v>
      </c>
      <c r="CD15" s="542">
        <v>0</v>
      </c>
      <c r="CE15" s="542">
        <v>-36863</v>
      </c>
      <c r="CF15" s="542">
        <v>10197</v>
      </c>
      <c r="CG15" s="542">
        <v>0</v>
      </c>
      <c r="CH15" s="542">
        <v>10197</v>
      </c>
      <c r="CI15" s="542">
        <v>-4796</v>
      </c>
      <c r="CJ15" s="542">
        <v>0</v>
      </c>
      <c r="CK15" s="542">
        <v>-4796</v>
      </c>
      <c r="CL15" s="542">
        <v>0</v>
      </c>
      <c r="CM15" s="542">
        <v>0</v>
      </c>
      <c r="CN15" s="542">
        <v>0</v>
      </c>
      <c r="CO15" s="542">
        <v>0</v>
      </c>
      <c r="CP15" s="542">
        <v>0</v>
      </c>
      <c r="CQ15" s="542">
        <v>0</v>
      </c>
      <c r="CR15" s="542">
        <v>0</v>
      </c>
      <c r="CS15" s="542">
        <v>0</v>
      </c>
      <c r="CT15" s="542">
        <v>0</v>
      </c>
      <c r="CU15" s="542">
        <v>0</v>
      </c>
      <c r="CV15" s="542">
        <v>0</v>
      </c>
      <c r="CW15" s="542">
        <v>0</v>
      </c>
      <c r="CX15" s="542">
        <v>0</v>
      </c>
      <c r="CY15" s="542">
        <v>0</v>
      </c>
      <c r="CZ15" s="542">
        <v>0</v>
      </c>
      <c r="DA15" s="542">
        <v>0</v>
      </c>
      <c r="DB15" s="542">
        <v>0</v>
      </c>
      <c r="DC15" s="542">
        <v>0</v>
      </c>
      <c r="DD15" s="542">
        <v>0</v>
      </c>
      <c r="DE15" s="542">
        <v>0</v>
      </c>
      <c r="DF15" s="542">
        <v>0</v>
      </c>
      <c r="DG15" s="542"/>
      <c r="DH15" s="542">
        <v>0</v>
      </c>
      <c r="DI15" s="542"/>
      <c r="DJ15" s="542">
        <v>0</v>
      </c>
      <c r="DK15" s="542"/>
      <c r="DL15" s="542"/>
      <c r="DM15" s="542">
        <v>-352337</v>
      </c>
      <c r="DN15" s="542">
        <v>0</v>
      </c>
      <c r="DO15" s="542">
        <v>-352337</v>
      </c>
      <c r="DP15" s="542">
        <v>-55305</v>
      </c>
      <c r="DQ15" s="542">
        <v>0</v>
      </c>
      <c r="DR15" s="542">
        <v>-55305</v>
      </c>
      <c r="DS15" s="542">
        <v>0</v>
      </c>
      <c r="DT15" s="542">
        <v>0</v>
      </c>
      <c r="DU15" s="542">
        <v>0</v>
      </c>
      <c r="DV15" s="542">
        <v>-915</v>
      </c>
      <c r="DW15" s="542">
        <v>0</v>
      </c>
      <c r="DX15" s="542">
        <v>-915</v>
      </c>
      <c r="DY15" s="542">
        <v>-659300</v>
      </c>
      <c r="DZ15" s="542">
        <v>0</v>
      </c>
      <c r="EA15" s="542">
        <v>-659300</v>
      </c>
      <c r="EB15" s="542">
        <v>0</v>
      </c>
      <c r="EC15" s="542">
        <v>0</v>
      </c>
      <c r="ED15" s="542">
        <v>0</v>
      </c>
      <c r="EE15" s="542">
        <v>-4036</v>
      </c>
      <c r="EF15" s="542">
        <v>0</v>
      </c>
      <c r="EG15" s="542">
        <v>-4036</v>
      </c>
      <c r="EH15" s="542">
        <v>-719556</v>
      </c>
      <c r="EI15" s="542">
        <v>0</v>
      </c>
      <c r="EJ15" s="542">
        <v>-719556</v>
      </c>
      <c r="EK15" s="542">
        <v>-2600</v>
      </c>
      <c r="EL15" s="542">
        <v>0</v>
      </c>
      <c r="EM15" s="542">
        <v>-2600</v>
      </c>
      <c r="EN15" s="542">
        <v>-3170</v>
      </c>
      <c r="EO15" s="542">
        <v>0</v>
      </c>
      <c r="EP15" s="542">
        <v>-3170</v>
      </c>
      <c r="EQ15" s="542">
        <v>-5770</v>
      </c>
      <c r="ER15" s="542">
        <v>0</v>
      </c>
      <c r="ES15" s="542">
        <v>-5770</v>
      </c>
      <c r="ET15" s="542">
        <v>69507513</v>
      </c>
      <c r="EU15" s="542">
        <v>0</v>
      </c>
      <c r="EV15" s="542">
        <v>69507513</v>
      </c>
      <c r="EW15" s="542">
        <v>-1934398</v>
      </c>
      <c r="EX15" s="542">
        <v>0</v>
      </c>
      <c r="EY15" s="542">
        <v>-1934398</v>
      </c>
      <c r="EZ15" s="542">
        <v>-4728644</v>
      </c>
      <c r="FA15" s="542">
        <v>0</v>
      </c>
      <c r="FB15" s="542">
        <v>-4728644</v>
      </c>
      <c r="FC15" s="542">
        <v>-2302846</v>
      </c>
      <c r="FD15" s="542">
        <v>0</v>
      </c>
      <c r="FE15" s="542">
        <v>-2302846</v>
      </c>
      <c r="FF15" s="542">
        <v>-352337</v>
      </c>
      <c r="FG15" s="542">
        <v>0</v>
      </c>
      <c r="FH15" s="542">
        <v>-352337</v>
      </c>
      <c r="FI15" s="542">
        <v>-719556</v>
      </c>
      <c r="FJ15" s="542">
        <v>0</v>
      </c>
      <c r="FK15" s="542">
        <v>-719556</v>
      </c>
      <c r="FL15" s="542">
        <v>-5770</v>
      </c>
      <c r="FM15" s="542">
        <v>0</v>
      </c>
      <c r="FN15" s="542">
        <v>-5770</v>
      </c>
      <c r="FO15" s="542">
        <v>-10043551</v>
      </c>
      <c r="FP15" s="542">
        <v>0</v>
      </c>
      <c r="FQ15" s="542">
        <v>-10043551</v>
      </c>
      <c r="FR15" s="542">
        <v>59463962</v>
      </c>
      <c r="FS15" s="542">
        <v>0</v>
      </c>
      <c r="FT15" s="542">
        <v>59463962</v>
      </c>
    </row>
    <row r="16" spans="1:176" ht="12.75" x14ac:dyDescent="0.2">
      <c r="A16" s="93">
        <v>11</v>
      </c>
      <c r="B16" s="145" t="s">
        <v>581</v>
      </c>
      <c r="C16" s="604" t="s">
        <v>871</v>
      </c>
      <c r="D16" s="142" t="s">
        <v>872</v>
      </c>
      <c r="E16" s="149" t="s">
        <v>580</v>
      </c>
      <c r="F16" s="542">
        <v>-219591</v>
      </c>
      <c r="G16" s="542">
        <v>0</v>
      </c>
      <c r="H16" s="542">
        <v>-219591</v>
      </c>
      <c r="I16" s="542">
        <v>871281</v>
      </c>
      <c r="J16" s="542">
        <v>0</v>
      </c>
      <c r="K16" s="542">
        <v>871281</v>
      </c>
      <c r="L16" s="542">
        <v>2970</v>
      </c>
      <c r="M16" s="542">
        <v>0</v>
      </c>
      <c r="N16" s="542">
        <v>2970</v>
      </c>
      <c r="O16" s="542">
        <v>179195</v>
      </c>
      <c r="P16" s="542">
        <v>0</v>
      </c>
      <c r="Q16" s="542">
        <v>179195</v>
      </c>
      <c r="R16" s="542">
        <v>833855</v>
      </c>
      <c r="S16" s="542">
        <v>0</v>
      </c>
      <c r="T16" s="542">
        <v>833855</v>
      </c>
      <c r="U16" s="542">
        <v>-3652392</v>
      </c>
      <c r="V16" s="542">
        <v>0</v>
      </c>
      <c r="W16" s="542">
        <v>-3652392</v>
      </c>
      <c r="X16" s="542">
        <v>0</v>
      </c>
      <c r="Y16" s="542">
        <v>0</v>
      </c>
      <c r="Z16" s="542">
        <v>0</v>
      </c>
      <c r="AA16" s="542">
        <v>-622977</v>
      </c>
      <c r="AB16" s="542">
        <v>0</v>
      </c>
      <c r="AC16" s="542">
        <v>-622977</v>
      </c>
      <c r="AD16" s="542">
        <v>-234969</v>
      </c>
      <c r="AE16" s="542">
        <v>0</v>
      </c>
      <c r="AF16" s="542">
        <v>-234969</v>
      </c>
      <c r="AG16" s="542">
        <v>2419911</v>
      </c>
      <c r="AH16" s="542">
        <v>0</v>
      </c>
      <c r="AI16" s="542">
        <v>2419911</v>
      </c>
      <c r="AJ16" s="542">
        <v>-86336</v>
      </c>
      <c r="AK16" s="542">
        <v>0</v>
      </c>
      <c r="AL16" s="542">
        <v>-86336</v>
      </c>
      <c r="AM16" s="542">
        <v>-10927883</v>
      </c>
      <c r="AN16" s="542">
        <v>0</v>
      </c>
      <c r="AO16" s="542">
        <v>-10927883</v>
      </c>
      <c r="AP16" s="542">
        <v>-152075</v>
      </c>
      <c r="AQ16" s="542">
        <v>0</v>
      </c>
      <c r="AR16" s="542">
        <v>-152075</v>
      </c>
      <c r="AS16" s="542">
        <v>-204079</v>
      </c>
      <c r="AT16" s="542">
        <v>0</v>
      </c>
      <c r="AU16" s="542">
        <v>-204079</v>
      </c>
      <c r="AV16" s="542">
        <v>41920</v>
      </c>
      <c r="AW16" s="542">
        <v>0</v>
      </c>
      <c r="AX16" s="542">
        <v>41920</v>
      </c>
      <c r="AY16" s="542">
        <v>0</v>
      </c>
      <c r="AZ16" s="542">
        <v>0</v>
      </c>
      <c r="BA16" s="542">
        <v>0</v>
      </c>
      <c r="BB16" s="542">
        <v>0</v>
      </c>
      <c r="BC16" s="542">
        <v>0</v>
      </c>
      <c r="BD16" s="542">
        <v>0</v>
      </c>
      <c r="BE16" s="542">
        <v>-13183911</v>
      </c>
      <c r="BF16" s="542">
        <v>0</v>
      </c>
      <c r="BG16" s="542">
        <v>-13183911</v>
      </c>
      <c r="BH16" s="542">
        <v>-15558</v>
      </c>
      <c r="BI16" s="542">
        <v>0</v>
      </c>
      <c r="BJ16" s="542">
        <v>-15558</v>
      </c>
      <c r="BK16" s="542">
        <v>-19863</v>
      </c>
      <c r="BL16" s="542">
        <v>0</v>
      </c>
      <c r="BM16" s="542">
        <v>-19863</v>
      </c>
      <c r="BN16" s="542">
        <v>-2425198</v>
      </c>
      <c r="BO16" s="542">
        <v>0</v>
      </c>
      <c r="BP16" s="542">
        <v>-2425198</v>
      </c>
      <c r="BQ16" s="542">
        <v>27661</v>
      </c>
      <c r="BR16" s="542">
        <v>0</v>
      </c>
      <c r="BS16" s="542">
        <v>27661</v>
      </c>
      <c r="BT16" s="542">
        <v>-2432958</v>
      </c>
      <c r="BU16" s="542">
        <v>0</v>
      </c>
      <c r="BV16" s="542">
        <v>-2432958</v>
      </c>
      <c r="BW16" s="542">
        <v>-875028</v>
      </c>
      <c r="BX16" s="542">
        <v>0</v>
      </c>
      <c r="BY16" s="542">
        <v>-875028</v>
      </c>
      <c r="BZ16" s="542">
        <v>-7432</v>
      </c>
      <c r="CA16" s="542">
        <v>0</v>
      </c>
      <c r="CB16" s="542">
        <v>-7432</v>
      </c>
      <c r="CC16" s="542">
        <v>-102019</v>
      </c>
      <c r="CD16" s="542">
        <v>0</v>
      </c>
      <c r="CE16" s="542">
        <v>-102019</v>
      </c>
      <c r="CF16" s="542">
        <v>0</v>
      </c>
      <c r="CG16" s="542">
        <v>0</v>
      </c>
      <c r="CH16" s="542">
        <v>0</v>
      </c>
      <c r="CI16" s="542">
        <v>0</v>
      </c>
      <c r="CJ16" s="542">
        <v>0</v>
      </c>
      <c r="CK16" s="542">
        <v>0</v>
      </c>
      <c r="CL16" s="542">
        <v>0</v>
      </c>
      <c r="CM16" s="542">
        <v>0</v>
      </c>
      <c r="CN16" s="542">
        <v>0</v>
      </c>
      <c r="CO16" s="542">
        <v>0</v>
      </c>
      <c r="CP16" s="542">
        <v>0</v>
      </c>
      <c r="CQ16" s="542">
        <v>0</v>
      </c>
      <c r="CR16" s="542">
        <v>0</v>
      </c>
      <c r="CS16" s="542">
        <v>0</v>
      </c>
      <c r="CT16" s="542">
        <v>0</v>
      </c>
      <c r="CU16" s="542">
        <v>0</v>
      </c>
      <c r="CV16" s="542">
        <v>0</v>
      </c>
      <c r="CW16" s="542">
        <v>0</v>
      </c>
      <c r="CX16" s="542">
        <v>0</v>
      </c>
      <c r="CY16" s="542">
        <v>0</v>
      </c>
      <c r="CZ16" s="542">
        <v>0</v>
      </c>
      <c r="DA16" s="542">
        <v>0</v>
      </c>
      <c r="DB16" s="542">
        <v>0</v>
      </c>
      <c r="DC16" s="542">
        <v>0</v>
      </c>
      <c r="DD16" s="542">
        <v>0</v>
      </c>
      <c r="DE16" s="542">
        <v>0</v>
      </c>
      <c r="DF16" s="542">
        <v>0</v>
      </c>
      <c r="DG16" s="542"/>
      <c r="DH16" s="542">
        <v>0</v>
      </c>
      <c r="DI16" s="542"/>
      <c r="DJ16" s="542">
        <v>0</v>
      </c>
      <c r="DK16" s="542"/>
      <c r="DL16" s="542"/>
      <c r="DM16" s="542">
        <v>-984479</v>
      </c>
      <c r="DN16" s="542">
        <v>0</v>
      </c>
      <c r="DO16" s="542">
        <v>-984479</v>
      </c>
      <c r="DP16" s="542">
        <v>0</v>
      </c>
      <c r="DQ16" s="542">
        <v>0</v>
      </c>
      <c r="DR16" s="542">
        <v>0</v>
      </c>
      <c r="DS16" s="542">
        <v>0</v>
      </c>
      <c r="DT16" s="542">
        <v>0</v>
      </c>
      <c r="DU16" s="542">
        <v>0</v>
      </c>
      <c r="DV16" s="542">
        <v>-12479</v>
      </c>
      <c r="DW16" s="542">
        <v>0</v>
      </c>
      <c r="DX16" s="542">
        <v>-12479</v>
      </c>
      <c r="DY16" s="542">
        <v>-1672156</v>
      </c>
      <c r="DZ16" s="542">
        <v>0</v>
      </c>
      <c r="EA16" s="542">
        <v>-1672156</v>
      </c>
      <c r="EB16" s="542">
        <v>0</v>
      </c>
      <c r="EC16" s="542">
        <v>0</v>
      </c>
      <c r="ED16" s="542">
        <v>0</v>
      </c>
      <c r="EE16" s="542">
        <v>0</v>
      </c>
      <c r="EF16" s="542">
        <v>0</v>
      </c>
      <c r="EG16" s="542">
        <v>0</v>
      </c>
      <c r="EH16" s="542">
        <v>-1684635</v>
      </c>
      <c r="EI16" s="542">
        <v>0</v>
      </c>
      <c r="EJ16" s="542">
        <v>-1684635</v>
      </c>
      <c r="EK16" s="542">
        <v>0</v>
      </c>
      <c r="EL16" s="542">
        <v>0</v>
      </c>
      <c r="EM16" s="542">
        <v>0</v>
      </c>
      <c r="EN16" s="542">
        <v>0</v>
      </c>
      <c r="EO16" s="542">
        <v>0</v>
      </c>
      <c r="EP16" s="542">
        <v>0</v>
      </c>
      <c r="EQ16" s="542">
        <v>0</v>
      </c>
      <c r="ER16" s="542">
        <v>0</v>
      </c>
      <c r="ES16" s="542">
        <v>0</v>
      </c>
      <c r="ET16" s="542">
        <v>126331122</v>
      </c>
      <c r="EU16" s="542">
        <v>0</v>
      </c>
      <c r="EV16" s="542">
        <v>126331122</v>
      </c>
      <c r="EW16" s="542">
        <v>833855</v>
      </c>
      <c r="EX16" s="542">
        <v>0</v>
      </c>
      <c r="EY16" s="542">
        <v>833855</v>
      </c>
      <c r="EZ16" s="542">
        <v>-13183911</v>
      </c>
      <c r="FA16" s="542">
        <v>0</v>
      </c>
      <c r="FB16" s="542">
        <v>-13183911</v>
      </c>
      <c r="FC16" s="542">
        <v>-2432958</v>
      </c>
      <c r="FD16" s="542">
        <v>0</v>
      </c>
      <c r="FE16" s="542">
        <v>-2432958</v>
      </c>
      <c r="FF16" s="542">
        <v>-984479</v>
      </c>
      <c r="FG16" s="542">
        <v>0</v>
      </c>
      <c r="FH16" s="542">
        <v>-984479</v>
      </c>
      <c r="FI16" s="542">
        <v>-1684635</v>
      </c>
      <c r="FJ16" s="542">
        <v>0</v>
      </c>
      <c r="FK16" s="542">
        <v>-1684635</v>
      </c>
      <c r="FL16" s="542">
        <v>0</v>
      </c>
      <c r="FM16" s="542">
        <v>0</v>
      </c>
      <c r="FN16" s="542">
        <v>0</v>
      </c>
      <c r="FO16" s="542">
        <v>-17452128</v>
      </c>
      <c r="FP16" s="542">
        <v>0</v>
      </c>
      <c r="FQ16" s="542">
        <v>-17452128</v>
      </c>
      <c r="FR16" s="542">
        <v>108878994</v>
      </c>
      <c r="FS16" s="542">
        <v>0</v>
      </c>
      <c r="FT16" s="542">
        <v>108878994</v>
      </c>
    </row>
    <row r="17" spans="1:176" ht="12.75" x14ac:dyDescent="0.2">
      <c r="A17" s="93">
        <v>12</v>
      </c>
      <c r="B17" s="145" t="s">
        <v>583</v>
      </c>
      <c r="C17" s="604" t="s">
        <v>873</v>
      </c>
      <c r="D17" s="142" t="s">
        <v>874</v>
      </c>
      <c r="E17" s="149" t="s">
        <v>582</v>
      </c>
      <c r="F17" s="542">
        <v>-58386</v>
      </c>
      <c r="G17" s="542">
        <v>0</v>
      </c>
      <c r="H17" s="542">
        <v>-58386</v>
      </c>
      <c r="I17" s="542">
        <v>295823</v>
      </c>
      <c r="J17" s="542">
        <v>0</v>
      </c>
      <c r="K17" s="542">
        <v>295823</v>
      </c>
      <c r="L17" s="542">
        <v>17021</v>
      </c>
      <c r="M17" s="542">
        <v>0</v>
      </c>
      <c r="N17" s="542">
        <v>17021</v>
      </c>
      <c r="O17" s="542">
        <v>-23330</v>
      </c>
      <c r="P17" s="542">
        <v>0</v>
      </c>
      <c r="Q17" s="542">
        <v>-23330</v>
      </c>
      <c r="R17" s="542">
        <v>231128</v>
      </c>
      <c r="S17" s="542">
        <v>0</v>
      </c>
      <c r="T17" s="542">
        <v>231128</v>
      </c>
      <c r="U17" s="542">
        <v>-4787123</v>
      </c>
      <c r="V17" s="542">
        <v>0</v>
      </c>
      <c r="W17" s="542">
        <v>-4787123</v>
      </c>
      <c r="X17" s="542">
        <v>0</v>
      </c>
      <c r="Y17" s="542">
        <v>0</v>
      </c>
      <c r="Z17" s="542">
        <v>0</v>
      </c>
      <c r="AA17" s="542">
        <v>-266982</v>
      </c>
      <c r="AB17" s="542">
        <v>0</v>
      </c>
      <c r="AC17" s="542">
        <v>-266982</v>
      </c>
      <c r="AD17" s="542">
        <v>-112346</v>
      </c>
      <c r="AE17" s="542">
        <v>0</v>
      </c>
      <c r="AF17" s="542">
        <v>-112346</v>
      </c>
      <c r="AG17" s="542">
        <v>1218661</v>
      </c>
      <c r="AH17" s="542">
        <v>8983</v>
      </c>
      <c r="AI17" s="542">
        <v>1227644</v>
      </c>
      <c r="AJ17" s="542">
        <v>-27504</v>
      </c>
      <c r="AK17" s="542">
        <v>181</v>
      </c>
      <c r="AL17" s="542">
        <v>-27323</v>
      </c>
      <c r="AM17" s="542">
        <v>-3203410</v>
      </c>
      <c r="AN17" s="542">
        <v>0</v>
      </c>
      <c r="AO17" s="542">
        <v>-3203410</v>
      </c>
      <c r="AP17" s="542">
        <v>10015</v>
      </c>
      <c r="AQ17" s="542">
        <v>0</v>
      </c>
      <c r="AR17" s="542">
        <v>10015</v>
      </c>
      <c r="AS17" s="542">
        <v>0</v>
      </c>
      <c r="AT17" s="542">
        <v>0</v>
      </c>
      <c r="AU17" s="542">
        <v>0</v>
      </c>
      <c r="AV17" s="542">
        <v>0</v>
      </c>
      <c r="AW17" s="542">
        <v>0</v>
      </c>
      <c r="AX17" s="542">
        <v>0</v>
      </c>
      <c r="AY17" s="542">
        <v>-7153</v>
      </c>
      <c r="AZ17" s="542">
        <v>0</v>
      </c>
      <c r="BA17" s="542">
        <v>-7153</v>
      </c>
      <c r="BB17" s="542">
        <v>1360</v>
      </c>
      <c r="BC17" s="542">
        <v>0</v>
      </c>
      <c r="BD17" s="542">
        <v>1360</v>
      </c>
      <c r="BE17" s="542">
        <v>-7062136</v>
      </c>
      <c r="BF17" s="542">
        <v>9164</v>
      </c>
      <c r="BG17" s="542">
        <v>-7052972</v>
      </c>
      <c r="BH17" s="542">
        <v>-35752</v>
      </c>
      <c r="BI17" s="542">
        <v>0</v>
      </c>
      <c r="BJ17" s="542">
        <v>-35752</v>
      </c>
      <c r="BK17" s="542">
        <v>-13204</v>
      </c>
      <c r="BL17" s="542">
        <v>0</v>
      </c>
      <c r="BM17" s="542">
        <v>-13204</v>
      </c>
      <c r="BN17" s="542">
        <v>-2192644</v>
      </c>
      <c r="BO17" s="542">
        <v>0</v>
      </c>
      <c r="BP17" s="542">
        <v>-2192644</v>
      </c>
      <c r="BQ17" s="542">
        <v>-482956</v>
      </c>
      <c r="BR17" s="542">
        <v>0</v>
      </c>
      <c r="BS17" s="542">
        <v>-482956</v>
      </c>
      <c r="BT17" s="542">
        <v>-2724556</v>
      </c>
      <c r="BU17" s="542">
        <v>0</v>
      </c>
      <c r="BV17" s="542">
        <v>-2724556</v>
      </c>
      <c r="BW17" s="542">
        <v>-184133</v>
      </c>
      <c r="BX17" s="542">
        <v>0</v>
      </c>
      <c r="BY17" s="542">
        <v>-184133</v>
      </c>
      <c r="BZ17" s="542">
        <v>-3593</v>
      </c>
      <c r="CA17" s="542">
        <v>0</v>
      </c>
      <c r="CB17" s="542">
        <v>-3593</v>
      </c>
      <c r="CC17" s="542">
        <v>-39259</v>
      </c>
      <c r="CD17" s="542">
        <v>0</v>
      </c>
      <c r="CE17" s="542">
        <v>-39259</v>
      </c>
      <c r="CF17" s="542">
        <v>38551</v>
      </c>
      <c r="CG17" s="542">
        <v>0</v>
      </c>
      <c r="CH17" s="542">
        <v>38551</v>
      </c>
      <c r="CI17" s="542">
        <v>0</v>
      </c>
      <c r="CJ17" s="542">
        <v>0</v>
      </c>
      <c r="CK17" s="542">
        <v>0</v>
      </c>
      <c r="CL17" s="542">
        <v>0</v>
      </c>
      <c r="CM17" s="542">
        <v>0</v>
      </c>
      <c r="CN17" s="542">
        <v>0</v>
      </c>
      <c r="CO17" s="542">
        <v>-2590</v>
      </c>
      <c r="CP17" s="542">
        <v>0</v>
      </c>
      <c r="CQ17" s="542">
        <v>-2590</v>
      </c>
      <c r="CR17" s="542">
        <v>0</v>
      </c>
      <c r="CS17" s="542">
        <v>0</v>
      </c>
      <c r="CT17" s="542">
        <v>0</v>
      </c>
      <c r="CU17" s="542">
        <v>0</v>
      </c>
      <c r="CV17" s="542">
        <v>0</v>
      </c>
      <c r="CW17" s="542">
        <v>0</v>
      </c>
      <c r="CX17" s="542">
        <v>0</v>
      </c>
      <c r="CY17" s="542">
        <v>0</v>
      </c>
      <c r="CZ17" s="542">
        <v>0</v>
      </c>
      <c r="DA17" s="542">
        <v>0</v>
      </c>
      <c r="DB17" s="542">
        <v>-110566</v>
      </c>
      <c r="DC17" s="542">
        <v>-110566</v>
      </c>
      <c r="DD17" s="542">
        <v>0</v>
      </c>
      <c r="DE17" s="542">
        <v>0</v>
      </c>
      <c r="DF17" s="542">
        <v>0</v>
      </c>
      <c r="DG17" s="542"/>
      <c r="DH17" s="542">
        <v>-110556</v>
      </c>
      <c r="DI17" s="542"/>
      <c r="DJ17" s="542">
        <v>0</v>
      </c>
      <c r="DK17" s="542"/>
      <c r="DL17" s="542"/>
      <c r="DM17" s="542">
        <v>-191024</v>
      </c>
      <c r="DN17" s="542">
        <v>-110566</v>
      </c>
      <c r="DO17" s="542">
        <v>-301590</v>
      </c>
      <c r="DP17" s="542">
        <v>-3296</v>
      </c>
      <c r="DQ17" s="542">
        <v>0</v>
      </c>
      <c r="DR17" s="542">
        <v>-3296</v>
      </c>
      <c r="DS17" s="542">
        <v>0</v>
      </c>
      <c r="DT17" s="542">
        <v>0</v>
      </c>
      <c r="DU17" s="542">
        <v>0</v>
      </c>
      <c r="DV17" s="542">
        <v>-4936</v>
      </c>
      <c r="DW17" s="542">
        <v>0</v>
      </c>
      <c r="DX17" s="542">
        <v>-4936</v>
      </c>
      <c r="DY17" s="542">
        <v>-753850</v>
      </c>
      <c r="DZ17" s="542">
        <v>0</v>
      </c>
      <c r="EA17" s="542">
        <v>-753850</v>
      </c>
      <c r="EB17" s="542">
        <v>0</v>
      </c>
      <c r="EC17" s="542">
        <v>0</v>
      </c>
      <c r="ED17" s="542">
        <v>0</v>
      </c>
      <c r="EE17" s="542">
        <v>0</v>
      </c>
      <c r="EF17" s="542">
        <v>0</v>
      </c>
      <c r="EG17" s="542">
        <v>0</v>
      </c>
      <c r="EH17" s="542">
        <v>-762082</v>
      </c>
      <c r="EI17" s="542">
        <v>0</v>
      </c>
      <c r="EJ17" s="542">
        <v>-762082</v>
      </c>
      <c r="EK17" s="542">
        <v>0</v>
      </c>
      <c r="EL17" s="542">
        <v>0</v>
      </c>
      <c r="EM17" s="542">
        <v>0</v>
      </c>
      <c r="EN17" s="542">
        <v>5792</v>
      </c>
      <c r="EO17" s="542">
        <v>0</v>
      </c>
      <c r="EP17" s="542">
        <v>5792</v>
      </c>
      <c r="EQ17" s="542">
        <v>5792</v>
      </c>
      <c r="ER17" s="542">
        <v>0</v>
      </c>
      <c r="ES17" s="542">
        <v>5792</v>
      </c>
      <c r="ET17" s="542">
        <v>62371026</v>
      </c>
      <c r="EU17" s="542">
        <v>495381</v>
      </c>
      <c r="EV17" s="542">
        <v>62866407</v>
      </c>
      <c r="EW17" s="542">
        <v>231128</v>
      </c>
      <c r="EX17" s="542">
        <v>0</v>
      </c>
      <c r="EY17" s="542">
        <v>231128</v>
      </c>
      <c r="EZ17" s="542">
        <v>-7062136</v>
      </c>
      <c r="FA17" s="542">
        <v>9164</v>
      </c>
      <c r="FB17" s="542">
        <v>-7052972</v>
      </c>
      <c r="FC17" s="542">
        <v>-2724556</v>
      </c>
      <c r="FD17" s="542">
        <v>0</v>
      </c>
      <c r="FE17" s="542">
        <v>-2724556</v>
      </c>
      <c r="FF17" s="542">
        <v>-191024</v>
      </c>
      <c r="FG17" s="542">
        <v>-110566</v>
      </c>
      <c r="FH17" s="542">
        <v>-301590</v>
      </c>
      <c r="FI17" s="542">
        <v>-762082</v>
      </c>
      <c r="FJ17" s="542">
        <v>0</v>
      </c>
      <c r="FK17" s="542">
        <v>-762082</v>
      </c>
      <c r="FL17" s="542">
        <v>5792</v>
      </c>
      <c r="FM17" s="542">
        <v>0</v>
      </c>
      <c r="FN17" s="542">
        <v>5792</v>
      </c>
      <c r="FO17" s="542">
        <v>-10502878</v>
      </c>
      <c r="FP17" s="542">
        <v>-101402</v>
      </c>
      <c r="FQ17" s="542">
        <v>-10604280</v>
      </c>
      <c r="FR17" s="542">
        <v>51868148</v>
      </c>
      <c r="FS17" s="542">
        <v>393979</v>
      </c>
      <c r="FT17" s="542">
        <v>52262127</v>
      </c>
    </row>
    <row r="18" spans="1:176" ht="12.75" x14ac:dyDescent="0.2">
      <c r="A18" s="93">
        <v>13</v>
      </c>
      <c r="B18" s="145" t="s">
        <v>585</v>
      </c>
      <c r="C18" s="604" t="s">
        <v>866</v>
      </c>
      <c r="D18" s="142" t="s">
        <v>868</v>
      </c>
      <c r="E18" s="149" t="s">
        <v>584</v>
      </c>
      <c r="F18" s="542">
        <v>-90084</v>
      </c>
      <c r="G18" s="542">
        <v>0</v>
      </c>
      <c r="H18" s="542">
        <v>-90084</v>
      </c>
      <c r="I18" s="542">
        <v>52154</v>
      </c>
      <c r="J18" s="542">
        <v>0</v>
      </c>
      <c r="K18" s="542">
        <v>52154</v>
      </c>
      <c r="L18" s="542">
        <v>529</v>
      </c>
      <c r="M18" s="542">
        <v>0</v>
      </c>
      <c r="N18" s="542">
        <v>529</v>
      </c>
      <c r="O18" s="542">
        <v>64770</v>
      </c>
      <c r="P18" s="542">
        <v>0</v>
      </c>
      <c r="Q18" s="542">
        <v>64770</v>
      </c>
      <c r="R18" s="542">
        <v>27369</v>
      </c>
      <c r="S18" s="542">
        <v>0</v>
      </c>
      <c r="T18" s="542">
        <v>27369</v>
      </c>
      <c r="U18" s="542">
        <v>-1328807</v>
      </c>
      <c r="V18" s="542">
        <v>0</v>
      </c>
      <c r="W18" s="542">
        <v>-1328807</v>
      </c>
      <c r="X18" s="542">
        <v>-1837</v>
      </c>
      <c r="Y18" s="542">
        <v>0</v>
      </c>
      <c r="Z18" s="542">
        <v>-1837</v>
      </c>
      <c r="AA18" s="542">
        <v>-33054</v>
      </c>
      <c r="AB18" s="542">
        <v>0</v>
      </c>
      <c r="AC18" s="542">
        <v>-33054</v>
      </c>
      <c r="AD18" s="542">
        <v>-14192</v>
      </c>
      <c r="AE18" s="542">
        <v>0</v>
      </c>
      <c r="AF18" s="542">
        <v>-14192</v>
      </c>
      <c r="AG18" s="542">
        <v>549291</v>
      </c>
      <c r="AH18" s="542">
        <v>0</v>
      </c>
      <c r="AI18" s="542">
        <v>549291</v>
      </c>
      <c r="AJ18" s="542">
        <v>89666</v>
      </c>
      <c r="AK18" s="542">
        <v>0</v>
      </c>
      <c r="AL18" s="542">
        <v>89666</v>
      </c>
      <c r="AM18" s="542">
        <v>-1537154</v>
      </c>
      <c r="AN18" s="542">
        <v>0</v>
      </c>
      <c r="AO18" s="542">
        <v>-1537154</v>
      </c>
      <c r="AP18" s="542">
        <v>-186504</v>
      </c>
      <c r="AQ18" s="542">
        <v>0</v>
      </c>
      <c r="AR18" s="542">
        <v>-186504</v>
      </c>
      <c r="AS18" s="542">
        <v>-90772</v>
      </c>
      <c r="AT18" s="542">
        <v>0</v>
      </c>
      <c r="AU18" s="542">
        <v>-90772</v>
      </c>
      <c r="AV18" s="542">
        <v>1138.1400000000001</v>
      </c>
      <c r="AW18" s="542">
        <v>0</v>
      </c>
      <c r="AX18" s="542">
        <v>1138.1400000000001</v>
      </c>
      <c r="AY18" s="542">
        <v>0</v>
      </c>
      <c r="AZ18" s="542">
        <v>0</v>
      </c>
      <c r="BA18" s="542">
        <v>0</v>
      </c>
      <c r="BB18" s="542">
        <v>0</v>
      </c>
      <c r="BC18" s="542">
        <v>0</v>
      </c>
      <c r="BD18" s="542">
        <v>0</v>
      </c>
      <c r="BE18" s="542">
        <v>-2536196</v>
      </c>
      <c r="BF18" s="542">
        <v>0</v>
      </c>
      <c r="BG18" s="542">
        <v>-2536196</v>
      </c>
      <c r="BH18" s="542">
        <v>-9813</v>
      </c>
      <c r="BI18" s="542">
        <v>0</v>
      </c>
      <c r="BJ18" s="542">
        <v>-9813</v>
      </c>
      <c r="BK18" s="542">
        <v>-4119</v>
      </c>
      <c r="BL18" s="542">
        <v>0</v>
      </c>
      <c r="BM18" s="542">
        <v>-4119</v>
      </c>
      <c r="BN18" s="542">
        <v>-557294</v>
      </c>
      <c r="BO18" s="542">
        <v>0</v>
      </c>
      <c r="BP18" s="542">
        <v>-557294</v>
      </c>
      <c r="BQ18" s="542">
        <v>-40364</v>
      </c>
      <c r="BR18" s="542">
        <v>0</v>
      </c>
      <c r="BS18" s="542">
        <v>-40364</v>
      </c>
      <c r="BT18" s="542">
        <v>-611590</v>
      </c>
      <c r="BU18" s="542">
        <v>0</v>
      </c>
      <c r="BV18" s="542">
        <v>-611590</v>
      </c>
      <c r="BW18" s="542">
        <v>-17073</v>
      </c>
      <c r="BX18" s="542">
        <v>0</v>
      </c>
      <c r="BY18" s="542">
        <v>-17073</v>
      </c>
      <c r="BZ18" s="542">
        <v>432</v>
      </c>
      <c r="CA18" s="542">
        <v>0</v>
      </c>
      <c r="CB18" s="542">
        <v>432</v>
      </c>
      <c r="CC18" s="542">
        <v>-58803</v>
      </c>
      <c r="CD18" s="542">
        <v>0</v>
      </c>
      <c r="CE18" s="542">
        <v>-58803</v>
      </c>
      <c r="CF18" s="542">
        <v>3375</v>
      </c>
      <c r="CG18" s="542">
        <v>0</v>
      </c>
      <c r="CH18" s="542">
        <v>3375</v>
      </c>
      <c r="CI18" s="542">
        <v>-5384</v>
      </c>
      <c r="CJ18" s="542">
        <v>0</v>
      </c>
      <c r="CK18" s="542">
        <v>-5384</v>
      </c>
      <c r="CL18" s="542">
        <v>142</v>
      </c>
      <c r="CM18" s="542">
        <v>0</v>
      </c>
      <c r="CN18" s="542">
        <v>142</v>
      </c>
      <c r="CO18" s="542">
        <v>0</v>
      </c>
      <c r="CP18" s="542">
        <v>0</v>
      </c>
      <c r="CQ18" s="542">
        <v>0</v>
      </c>
      <c r="CR18" s="542">
        <v>0</v>
      </c>
      <c r="CS18" s="542">
        <v>0</v>
      </c>
      <c r="CT18" s="542">
        <v>0</v>
      </c>
      <c r="CU18" s="542">
        <v>0</v>
      </c>
      <c r="CV18" s="542">
        <v>0</v>
      </c>
      <c r="CW18" s="542">
        <v>0</v>
      </c>
      <c r="CX18" s="542">
        <v>0</v>
      </c>
      <c r="CY18" s="542">
        <v>0</v>
      </c>
      <c r="CZ18" s="542">
        <v>0</v>
      </c>
      <c r="DA18" s="542">
        <v>0</v>
      </c>
      <c r="DB18" s="542">
        <v>0</v>
      </c>
      <c r="DC18" s="542">
        <v>0</v>
      </c>
      <c r="DD18" s="542">
        <v>0</v>
      </c>
      <c r="DE18" s="542">
        <v>0</v>
      </c>
      <c r="DF18" s="542">
        <v>0</v>
      </c>
      <c r="DG18" s="542"/>
      <c r="DH18" s="542">
        <v>0</v>
      </c>
      <c r="DI18" s="542"/>
      <c r="DJ18" s="542">
        <v>0</v>
      </c>
      <c r="DK18" s="542"/>
      <c r="DL18" s="542"/>
      <c r="DM18" s="542">
        <v>-77311</v>
      </c>
      <c r="DN18" s="542">
        <v>0</v>
      </c>
      <c r="DO18" s="542">
        <v>-77311</v>
      </c>
      <c r="DP18" s="542">
        <v>-2238</v>
      </c>
      <c r="DQ18" s="542">
        <v>0</v>
      </c>
      <c r="DR18" s="542">
        <v>-2238</v>
      </c>
      <c r="DS18" s="542">
        <v>0</v>
      </c>
      <c r="DT18" s="542">
        <v>0</v>
      </c>
      <c r="DU18" s="542">
        <v>0</v>
      </c>
      <c r="DV18" s="542">
        <v>-5623</v>
      </c>
      <c r="DW18" s="542">
        <v>0</v>
      </c>
      <c r="DX18" s="542">
        <v>-5623</v>
      </c>
      <c r="DY18" s="542">
        <v>-302370</v>
      </c>
      <c r="DZ18" s="542">
        <v>0</v>
      </c>
      <c r="EA18" s="542">
        <v>-302370</v>
      </c>
      <c r="EB18" s="542">
        <v>0</v>
      </c>
      <c r="EC18" s="542">
        <v>0</v>
      </c>
      <c r="ED18" s="542">
        <v>0</v>
      </c>
      <c r="EE18" s="542">
        <v>0</v>
      </c>
      <c r="EF18" s="542">
        <v>0</v>
      </c>
      <c r="EG18" s="542">
        <v>0</v>
      </c>
      <c r="EH18" s="542">
        <v>-310231</v>
      </c>
      <c r="EI18" s="542">
        <v>0</v>
      </c>
      <c r="EJ18" s="542">
        <v>-310231</v>
      </c>
      <c r="EK18" s="542">
        <v>0</v>
      </c>
      <c r="EL18" s="542">
        <v>0</v>
      </c>
      <c r="EM18" s="542">
        <v>0</v>
      </c>
      <c r="EN18" s="542">
        <v>0</v>
      </c>
      <c r="EO18" s="542">
        <v>0</v>
      </c>
      <c r="EP18" s="542">
        <v>0</v>
      </c>
      <c r="EQ18" s="542">
        <v>0</v>
      </c>
      <c r="ER18" s="542">
        <v>0</v>
      </c>
      <c r="ES18" s="542">
        <v>0</v>
      </c>
      <c r="ET18" s="542">
        <v>26499941</v>
      </c>
      <c r="EU18" s="542">
        <v>0</v>
      </c>
      <c r="EV18" s="542">
        <v>26499941</v>
      </c>
      <c r="EW18" s="542">
        <v>27369</v>
      </c>
      <c r="EX18" s="542">
        <v>0</v>
      </c>
      <c r="EY18" s="542">
        <v>27369</v>
      </c>
      <c r="EZ18" s="542">
        <v>-2536196</v>
      </c>
      <c r="FA18" s="542">
        <v>0</v>
      </c>
      <c r="FB18" s="542">
        <v>-2536196</v>
      </c>
      <c r="FC18" s="542">
        <v>-611590</v>
      </c>
      <c r="FD18" s="542">
        <v>0</v>
      </c>
      <c r="FE18" s="542">
        <v>-611590</v>
      </c>
      <c r="FF18" s="542">
        <v>-77311</v>
      </c>
      <c r="FG18" s="542">
        <v>0</v>
      </c>
      <c r="FH18" s="542">
        <v>-77311</v>
      </c>
      <c r="FI18" s="542">
        <v>-310231</v>
      </c>
      <c r="FJ18" s="542">
        <v>0</v>
      </c>
      <c r="FK18" s="542">
        <v>-310231</v>
      </c>
      <c r="FL18" s="542">
        <v>0</v>
      </c>
      <c r="FM18" s="542">
        <v>0</v>
      </c>
      <c r="FN18" s="542">
        <v>0</v>
      </c>
      <c r="FO18" s="542">
        <v>-3507959</v>
      </c>
      <c r="FP18" s="542">
        <v>0</v>
      </c>
      <c r="FQ18" s="542">
        <v>-3507959</v>
      </c>
      <c r="FR18" s="542">
        <v>22991982</v>
      </c>
      <c r="FS18" s="542">
        <v>0</v>
      </c>
      <c r="FT18" s="542">
        <v>22991982</v>
      </c>
    </row>
    <row r="19" spans="1:176" ht="12.75" x14ac:dyDescent="0.2">
      <c r="A19" s="93">
        <v>14</v>
      </c>
      <c r="B19" s="145" t="s">
        <v>587</v>
      </c>
      <c r="C19" s="604" t="s">
        <v>866</v>
      </c>
      <c r="D19" s="142" t="s">
        <v>870</v>
      </c>
      <c r="E19" s="149" t="s">
        <v>586</v>
      </c>
      <c r="F19" s="542">
        <v>-38764</v>
      </c>
      <c r="G19" s="542">
        <v>0</v>
      </c>
      <c r="H19" s="542">
        <v>-38764</v>
      </c>
      <c r="I19" s="542">
        <v>12652</v>
      </c>
      <c r="J19" s="542">
        <v>0</v>
      </c>
      <c r="K19" s="542">
        <v>12652</v>
      </c>
      <c r="L19" s="542">
        <v>84627</v>
      </c>
      <c r="M19" s="542">
        <v>0</v>
      </c>
      <c r="N19" s="542">
        <v>84627</v>
      </c>
      <c r="O19" s="542">
        <v>1392062</v>
      </c>
      <c r="P19" s="542">
        <v>0</v>
      </c>
      <c r="Q19" s="542">
        <v>1392062</v>
      </c>
      <c r="R19" s="542">
        <v>1450577</v>
      </c>
      <c r="S19" s="542">
        <v>0</v>
      </c>
      <c r="T19" s="542">
        <v>1450577</v>
      </c>
      <c r="U19" s="542">
        <v>-2407512</v>
      </c>
      <c r="V19" s="542">
        <v>0</v>
      </c>
      <c r="W19" s="542">
        <v>-2407512</v>
      </c>
      <c r="X19" s="542">
        <v>-2997.17</v>
      </c>
      <c r="Y19" s="542">
        <v>0</v>
      </c>
      <c r="Z19" s="542">
        <v>-2997.17</v>
      </c>
      <c r="AA19" s="542">
        <v>-167629</v>
      </c>
      <c r="AB19" s="542">
        <v>0</v>
      </c>
      <c r="AC19" s="542">
        <v>-167629</v>
      </c>
      <c r="AD19" s="542">
        <v>-75064</v>
      </c>
      <c r="AE19" s="542">
        <v>0</v>
      </c>
      <c r="AF19" s="542">
        <v>-75064</v>
      </c>
      <c r="AG19" s="542">
        <v>1841732</v>
      </c>
      <c r="AH19" s="542">
        <v>0</v>
      </c>
      <c r="AI19" s="542">
        <v>1841732</v>
      </c>
      <c r="AJ19" s="542">
        <v>-57222</v>
      </c>
      <c r="AK19" s="542">
        <v>0</v>
      </c>
      <c r="AL19" s="542">
        <v>-57222</v>
      </c>
      <c r="AM19" s="542">
        <v>-3386957</v>
      </c>
      <c r="AN19" s="542">
        <v>0</v>
      </c>
      <c r="AO19" s="542">
        <v>-3386957</v>
      </c>
      <c r="AP19" s="542">
        <v>-6801</v>
      </c>
      <c r="AQ19" s="542">
        <v>0</v>
      </c>
      <c r="AR19" s="542">
        <v>-6801</v>
      </c>
      <c r="AS19" s="542">
        <v>-29498</v>
      </c>
      <c r="AT19" s="542">
        <v>0</v>
      </c>
      <c r="AU19" s="542">
        <v>-29498</v>
      </c>
      <c r="AV19" s="542">
        <v>0</v>
      </c>
      <c r="AW19" s="542">
        <v>0</v>
      </c>
      <c r="AX19" s="542">
        <v>0</v>
      </c>
      <c r="AY19" s="542">
        <v>-3398</v>
      </c>
      <c r="AZ19" s="542">
        <v>0</v>
      </c>
      <c r="BA19" s="542">
        <v>-3398</v>
      </c>
      <c r="BB19" s="542">
        <v>0</v>
      </c>
      <c r="BC19" s="542">
        <v>0</v>
      </c>
      <c r="BD19" s="542">
        <v>0</v>
      </c>
      <c r="BE19" s="542">
        <v>-4217285</v>
      </c>
      <c r="BF19" s="542">
        <v>0</v>
      </c>
      <c r="BG19" s="542">
        <v>-4217285</v>
      </c>
      <c r="BH19" s="542">
        <v>-43751</v>
      </c>
      <c r="BI19" s="542">
        <v>0</v>
      </c>
      <c r="BJ19" s="542">
        <v>-43751</v>
      </c>
      <c r="BK19" s="542">
        <v>-93192</v>
      </c>
      <c r="BL19" s="542">
        <v>0</v>
      </c>
      <c r="BM19" s="542">
        <v>-93192</v>
      </c>
      <c r="BN19" s="542">
        <v>-2018253</v>
      </c>
      <c r="BO19" s="542">
        <v>0</v>
      </c>
      <c r="BP19" s="542">
        <v>-2018253</v>
      </c>
      <c r="BQ19" s="542">
        <v>86298</v>
      </c>
      <c r="BR19" s="542">
        <v>0</v>
      </c>
      <c r="BS19" s="542">
        <v>86298</v>
      </c>
      <c r="BT19" s="542">
        <v>-2068898</v>
      </c>
      <c r="BU19" s="542">
        <v>0</v>
      </c>
      <c r="BV19" s="542">
        <v>-2068898</v>
      </c>
      <c r="BW19" s="542">
        <v>-7859</v>
      </c>
      <c r="BX19" s="542">
        <v>0</v>
      </c>
      <c r="BY19" s="542">
        <v>-7859</v>
      </c>
      <c r="BZ19" s="542">
        <v>-1242</v>
      </c>
      <c r="CA19" s="542">
        <v>0</v>
      </c>
      <c r="CB19" s="542">
        <v>-1242</v>
      </c>
      <c r="CC19" s="542">
        <v>-40164</v>
      </c>
      <c r="CD19" s="542">
        <v>0</v>
      </c>
      <c r="CE19" s="542">
        <v>-40164</v>
      </c>
      <c r="CF19" s="542">
        <v>4230</v>
      </c>
      <c r="CG19" s="542">
        <v>0</v>
      </c>
      <c r="CH19" s="542">
        <v>4230</v>
      </c>
      <c r="CI19" s="542">
        <v>0</v>
      </c>
      <c r="CJ19" s="542">
        <v>0</v>
      </c>
      <c r="CK19" s="542">
        <v>0</v>
      </c>
      <c r="CL19" s="542">
        <v>0</v>
      </c>
      <c r="CM19" s="542">
        <v>0</v>
      </c>
      <c r="CN19" s="542">
        <v>0</v>
      </c>
      <c r="CO19" s="542">
        <v>0</v>
      </c>
      <c r="CP19" s="542">
        <v>0</v>
      </c>
      <c r="CQ19" s="542">
        <v>0</v>
      </c>
      <c r="CR19" s="542">
        <v>0</v>
      </c>
      <c r="CS19" s="542">
        <v>0</v>
      </c>
      <c r="CT19" s="542">
        <v>0</v>
      </c>
      <c r="CU19" s="542">
        <v>0</v>
      </c>
      <c r="CV19" s="542">
        <v>0</v>
      </c>
      <c r="CW19" s="542">
        <v>0</v>
      </c>
      <c r="CX19" s="542">
        <v>0</v>
      </c>
      <c r="CY19" s="542">
        <v>0</v>
      </c>
      <c r="CZ19" s="542">
        <v>0</v>
      </c>
      <c r="DA19" s="542">
        <v>0</v>
      </c>
      <c r="DB19" s="542">
        <v>0</v>
      </c>
      <c r="DC19" s="542">
        <v>0</v>
      </c>
      <c r="DD19" s="542">
        <v>0</v>
      </c>
      <c r="DE19" s="542">
        <v>0</v>
      </c>
      <c r="DF19" s="542">
        <v>0</v>
      </c>
      <c r="DG19" s="542"/>
      <c r="DH19" s="542">
        <v>0</v>
      </c>
      <c r="DI19" s="542"/>
      <c r="DJ19" s="542">
        <v>0</v>
      </c>
      <c r="DK19" s="542"/>
      <c r="DL19" s="542"/>
      <c r="DM19" s="542">
        <v>-45035</v>
      </c>
      <c r="DN19" s="542">
        <v>0</v>
      </c>
      <c r="DO19" s="542">
        <v>-45035</v>
      </c>
      <c r="DP19" s="542">
        <v>0</v>
      </c>
      <c r="DQ19" s="542">
        <v>0</v>
      </c>
      <c r="DR19" s="542">
        <v>0</v>
      </c>
      <c r="DS19" s="542">
        <v>0</v>
      </c>
      <c r="DT19" s="542">
        <v>0</v>
      </c>
      <c r="DU19" s="542">
        <v>0</v>
      </c>
      <c r="DV19" s="542">
        <v>0</v>
      </c>
      <c r="DW19" s="542">
        <v>0</v>
      </c>
      <c r="DX19" s="542">
        <v>0</v>
      </c>
      <c r="DY19" s="542">
        <v>-498267</v>
      </c>
      <c r="DZ19" s="542">
        <v>0</v>
      </c>
      <c r="EA19" s="542">
        <v>-498267</v>
      </c>
      <c r="EB19" s="542">
        <v>0</v>
      </c>
      <c r="EC19" s="542">
        <v>0</v>
      </c>
      <c r="ED19" s="542">
        <v>0</v>
      </c>
      <c r="EE19" s="542">
        <v>0</v>
      </c>
      <c r="EF19" s="542">
        <v>0</v>
      </c>
      <c r="EG19" s="542">
        <v>0</v>
      </c>
      <c r="EH19" s="542">
        <v>-498267</v>
      </c>
      <c r="EI19" s="542">
        <v>0</v>
      </c>
      <c r="EJ19" s="542">
        <v>-498267</v>
      </c>
      <c r="EK19" s="542">
        <v>0</v>
      </c>
      <c r="EL19" s="542">
        <v>0</v>
      </c>
      <c r="EM19" s="542">
        <v>0</v>
      </c>
      <c r="EN19" s="542">
        <v>0</v>
      </c>
      <c r="EO19" s="542">
        <v>0</v>
      </c>
      <c r="EP19" s="542">
        <v>0</v>
      </c>
      <c r="EQ19" s="542">
        <v>0</v>
      </c>
      <c r="ER19" s="542">
        <v>0</v>
      </c>
      <c r="ES19" s="542">
        <v>0</v>
      </c>
      <c r="ET19" s="542">
        <v>84902302</v>
      </c>
      <c r="EU19" s="542">
        <v>0</v>
      </c>
      <c r="EV19" s="542">
        <v>84902302</v>
      </c>
      <c r="EW19" s="542">
        <v>1450577</v>
      </c>
      <c r="EX19" s="542">
        <v>0</v>
      </c>
      <c r="EY19" s="542">
        <v>1450577</v>
      </c>
      <c r="EZ19" s="542">
        <v>-4217285</v>
      </c>
      <c r="FA19" s="542">
        <v>0</v>
      </c>
      <c r="FB19" s="542">
        <v>-4217285</v>
      </c>
      <c r="FC19" s="542">
        <v>-2068898</v>
      </c>
      <c r="FD19" s="542">
        <v>0</v>
      </c>
      <c r="FE19" s="542">
        <v>-2068898</v>
      </c>
      <c r="FF19" s="542">
        <v>-45035</v>
      </c>
      <c r="FG19" s="542">
        <v>0</v>
      </c>
      <c r="FH19" s="542">
        <v>-45035</v>
      </c>
      <c r="FI19" s="542">
        <v>-498267</v>
      </c>
      <c r="FJ19" s="542">
        <v>0</v>
      </c>
      <c r="FK19" s="542">
        <v>-498267</v>
      </c>
      <c r="FL19" s="542">
        <v>0</v>
      </c>
      <c r="FM19" s="542">
        <v>0</v>
      </c>
      <c r="FN19" s="542">
        <v>0</v>
      </c>
      <c r="FO19" s="542">
        <v>-5378908</v>
      </c>
      <c r="FP19" s="542">
        <v>0</v>
      </c>
      <c r="FQ19" s="542">
        <v>-5378908</v>
      </c>
      <c r="FR19" s="542">
        <v>79523394</v>
      </c>
      <c r="FS19" s="542">
        <v>0</v>
      </c>
      <c r="FT19" s="542">
        <v>79523394</v>
      </c>
    </row>
    <row r="20" spans="1:176" ht="12.75" x14ac:dyDescent="0.2">
      <c r="A20" s="93">
        <v>15</v>
      </c>
      <c r="B20" s="145" t="s">
        <v>589</v>
      </c>
      <c r="C20" s="604" t="s">
        <v>866</v>
      </c>
      <c r="D20" s="142" t="s">
        <v>867</v>
      </c>
      <c r="E20" s="149" t="s">
        <v>588</v>
      </c>
      <c r="F20" s="542">
        <v>-47043</v>
      </c>
      <c r="G20" s="542">
        <v>0</v>
      </c>
      <c r="H20" s="542">
        <v>-47043</v>
      </c>
      <c r="I20" s="542">
        <v>1561582</v>
      </c>
      <c r="J20" s="542">
        <v>0</v>
      </c>
      <c r="K20" s="542">
        <v>1561582</v>
      </c>
      <c r="L20" s="542">
        <v>3678</v>
      </c>
      <c r="M20" s="542">
        <v>0</v>
      </c>
      <c r="N20" s="542">
        <v>3678</v>
      </c>
      <c r="O20" s="542">
        <v>117453</v>
      </c>
      <c r="P20" s="542">
        <v>0</v>
      </c>
      <c r="Q20" s="542">
        <v>117453</v>
      </c>
      <c r="R20" s="542">
        <v>1635670</v>
      </c>
      <c r="S20" s="542">
        <v>0</v>
      </c>
      <c r="T20" s="542">
        <v>1635670</v>
      </c>
      <c r="U20" s="542">
        <v>-1637169</v>
      </c>
      <c r="V20" s="542">
        <v>0</v>
      </c>
      <c r="W20" s="542">
        <v>-1637169</v>
      </c>
      <c r="X20" s="542">
        <v>-1573</v>
      </c>
      <c r="Y20" s="542">
        <v>0</v>
      </c>
      <c r="Z20" s="542">
        <v>-1573</v>
      </c>
      <c r="AA20" s="542">
        <v>-88290</v>
      </c>
      <c r="AB20" s="542">
        <v>0</v>
      </c>
      <c r="AC20" s="542">
        <v>-88290</v>
      </c>
      <c r="AD20" s="542">
        <v>-88290</v>
      </c>
      <c r="AE20" s="542">
        <v>0</v>
      </c>
      <c r="AF20" s="542">
        <v>-88290</v>
      </c>
      <c r="AG20" s="542">
        <v>1789505</v>
      </c>
      <c r="AH20" s="542">
        <v>0</v>
      </c>
      <c r="AI20" s="542">
        <v>1789505</v>
      </c>
      <c r="AJ20" s="542">
        <v>-55288</v>
      </c>
      <c r="AK20" s="542">
        <v>0</v>
      </c>
      <c r="AL20" s="542">
        <v>-55288</v>
      </c>
      <c r="AM20" s="542">
        <v>-2977270</v>
      </c>
      <c r="AN20" s="542">
        <v>0</v>
      </c>
      <c r="AO20" s="542">
        <v>-2977270</v>
      </c>
      <c r="AP20" s="542">
        <v>49138</v>
      </c>
      <c r="AQ20" s="542">
        <v>0</v>
      </c>
      <c r="AR20" s="542">
        <v>49138</v>
      </c>
      <c r="AS20" s="542">
        <v>-10970</v>
      </c>
      <c r="AT20" s="542">
        <v>0</v>
      </c>
      <c r="AU20" s="542">
        <v>-10970</v>
      </c>
      <c r="AV20" s="542">
        <v>0</v>
      </c>
      <c r="AW20" s="542">
        <v>0</v>
      </c>
      <c r="AX20" s="542">
        <v>0</v>
      </c>
      <c r="AY20" s="542">
        <v>-37626</v>
      </c>
      <c r="AZ20" s="542">
        <v>0</v>
      </c>
      <c r="BA20" s="542">
        <v>-37626</v>
      </c>
      <c r="BB20" s="542">
        <v>-95</v>
      </c>
      <c r="BC20" s="542">
        <v>0</v>
      </c>
      <c r="BD20" s="542">
        <v>-95</v>
      </c>
      <c r="BE20" s="542">
        <v>-2968065</v>
      </c>
      <c r="BF20" s="542">
        <v>0</v>
      </c>
      <c r="BG20" s="542">
        <v>-2968065</v>
      </c>
      <c r="BH20" s="542">
        <v>-584994</v>
      </c>
      <c r="BI20" s="542">
        <v>0</v>
      </c>
      <c r="BJ20" s="542">
        <v>-584994</v>
      </c>
      <c r="BK20" s="542">
        <v>21138</v>
      </c>
      <c r="BL20" s="542">
        <v>0</v>
      </c>
      <c r="BM20" s="542">
        <v>21138</v>
      </c>
      <c r="BN20" s="542">
        <v>-3671310</v>
      </c>
      <c r="BO20" s="542">
        <v>0</v>
      </c>
      <c r="BP20" s="542">
        <v>-3671310</v>
      </c>
      <c r="BQ20" s="542">
        <v>6255</v>
      </c>
      <c r="BR20" s="542">
        <v>0</v>
      </c>
      <c r="BS20" s="542">
        <v>6255</v>
      </c>
      <c r="BT20" s="542">
        <v>-4228911</v>
      </c>
      <c r="BU20" s="542">
        <v>0</v>
      </c>
      <c r="BV20" s="542">
        <v>-4228911</v>
      </c>
      <c r="BW20" s="542">
        <v>-363029</v>
      </c>
      <c r="BX20" s="542">
        <v>0</v>
      </c>
      <c r="BY20" s="542">
        <v>-363029</v>
      </c>
      <c r="BZ20" s="542">
        <v>78</v>
      </c>
      <c r="CA20" s="542">
        <v>0</v>
      </c>
      <c r="CB20" s="542">
        <v>78</v>
      </c>
      <c r="CC20" s="542">
        <v>-158602</v>
      </c>
      <c r="CD20" s="542">
        <v>0</v>
      </c>
      <c r="CE20" s="542">
        <v>-158602</v>
      </c>
      <c r="CF20" s="542">
        <v>0</v>
      </c>
      <c r="CG20" s="542">
        <v>0</v>
      </c>
      <c r="CH20" s="542">
        <v>0</v>
      </c>
      <c r="CI20" s="542">
        <v>-2743</v>
      </c>
      <c r="CJ20" s="542">
        <v>0</v>
      </c>
      <c r="CK20" s="542">
        <v>-2743</v>
      </c>
      <c r="CL20" s="542">
        <v>0</v>
      </c>
      <c r="CM20" s="542">
        <v>0</v>
      </c>
      <c r="CN20" s="542">
        <v>0</v>
      </c>
      <c r="CO20" s="542">
        <v>-28173</v>
      </c>
      <c r="CP20" s="542">
        <v>0</v>
      </c>
      <c r="CQ20" s="542">
        <v>-28173</v>
      </c>
      <c r="CR20" s="542">
        <v>0</v>
      </c>
      <c r="CS20" s="542">
        <v>0</v>
      </c>
      <c r="CT20" s="542">
        <v>0</v>
      </c>
      <c r="CU20" s="542">
        <v>-58863</v>
      </c>
      <c r="CV20" s="542">
        <v>0</v>
      </c>
      <c r="CW20" s="542">
        <v>-58863</v>
      </c>
      <c r="CX20" s="542">
        <v>716</v>
      </c>
      <c r="CY20" s="542">
        <v>0</v>
      </c>
      <c r="CZ20" s="542">
        <v>716</v>
      </c>
      <c r="DA20" s="542">
        <v>0</v>
      </c>
      <c r="DB20" s="542">
        <v>0</v>
      </c>
      <c r="DC20" s="542">
        <v>0</v>
      </c>
      <c r="DD20" s="542">
        <v>0</v>
      </c>
      <c r="DE20" s="542">
        <v>0</v>
      </c>
      <c r="DF20" s="542">
        <v>0</v>
      </c>
      <c r="DG20" s="542"/>
      <c r="DH20" s="542">
        <v>0</v>
      </c>
      <c r="DI20" s="542"/>
      <c r="DJ20" s="542">
        <v>0</v>
      </c>
      <c r="DK20" s="542"/>
      <c r="DL20" s="542"/>
      <c r="DM20" s="542">
        <v>-610616</v>
      </c>
      <c r="DN20" s="542">
        <v>0</v>
      </c>
      <c r="DO20" s="542">
        <v>-610616</v>
      </c>
      <c r="DP20" s="542">
        <v>0</v>
      </c>
      <c r="DQ20" s="542">
        <v>0</v>
      </c>
      <c r="DR20" s="542">
        <v>0</v>
      </c>
      <c r="DS20" s="542">
        <v>0</v>
      </c>
      <c r="DT20" s="542">
        <v>0</v>
      </c>
      <c r="DU20" s="542">
        <v>0</v>
      </c>
      <c r="DV20" s="542">
        <v>-22931</v>
      </c>
      <c r="DW20" s="542">
        <v>0</v>
      </c>
      <c r="DX20" s="542">
        <v>-22931</v>
      </c>
      <c r="DY20" s="542">
        <v>-270058</v>
      </c>
      <c r="DZ20" s="542">
        <v>0</v>
      </c>
      <c r="EA20" s="542">
        <v>-270058</v>
      </c>
      <c r="EB20" s="542">
        <v>-7897</v>
      </c>
      <c r="EC20" s="542">
        <v>0</v>
      </c>
      <c r="ED20" s="542">
        <v>-7897</v>
      </c>
      <c r="EE20" s="542">
        <v>0</v>
      </c>
      <c r="EF20" s="542">
        <v>0</v>
      </c>
      <c r="EG20" s="542">
        <v>0</v>
      </c>
      <c r="EH20" s="542">
        <v>-300886</v>
      </c>
      <c r="EI20" s="542">
        <v>0</v>
      </c>
      <c r="EJ20" s="542">
        <v>-300886</v>
      </c>
      <c r="EK20" s="542">
        <v>0</v>
      </c>
      <c r="EL20" s="542">
        <v>0</v>
      </c>
      <c r="EM20" s="542">
        <v>0</v>
      </c>
      <c r="EN20" s="542">
        <v>0</v>
      </c>
      <c r="EO20" s="542">
        <v>0</v>
      </c>
      <c r="EP20" s="542">
        <v>0</v>
      </c>
      <c r="EQ20" s="542">
        <v>0</v>
      </c>
      <c r="ER20" s="542">
        <v>0</v>
      </c>
      <c r="ES20" s="542">
        <v>0</v>
      </c>
      <c r="ET20" s="542">
        <v>80597342</v>
      </c>
      <c r="EU20" s="542">
        <v>0</v>
      </c>
      <c r="EV20" s="542">
        <v>80597342</v>
      </c>
      <c r="EW20" s="542">
        <v>1635670</v>
      </c>
      <c r="EX20" s="542">
        <v>0</v>
      </c>
      <c r="EY20" s="542">
        <v>1635670</v>
      </c>
      <c r="EZ20" s="542">
        <v>-2968065</v>
      </c>
      <c r="FA20" s="542">
        <v>0</v>
      </c>
      <c r="FB20" s="542">
        <v>-2968065</v>
      </c>
      <c r="FC20" s="542">
        <v>-4228911</v>
      </c>
      <c r="FD20" s="542">
        <v>0</v>
      </c>
      <c r="FE20" s="542">
        <v>-4228911</v>
      </c>
      <c r="FF20" s="542">
        <v>-610616</v>
      </c>
      <c r="FG20" s="542">
        <v>0</v>
      </c>
      <c r="FH20" s="542">
        <v>-610616</v>
      </c>
      <c r="FI20" s="542">
        <v>-300886</v>
      </c>
      <c r="FJ20" s="542">
        <v>0</v>
      </c>
      <c r="FK20" s="542">
        <v>-300886</v>
      </c>
      <c r="FL20" s="542">
        <v>0</v>
      </c>
      <c r="FM20" s="542">
        <v>0</v>
      </c>
      <c r="FN20" s="542">
        <v>0</v>
      </c>
      <c r="FO20" s="542">
        <v>-6472808</v>
      </c>
      <c r="FP20" s="542">
        <v>0</v>
      </c>
      <c r="FQ20" s="542">
        <v>-6472808</v>
      </c>
      <c r="FR20" s="542">
        <v>74124534</v>
      </c>
      <c r="FS20" s="542">
        <v>0</v>
      </c>
      <c r="FT20" s="542">
        <v>74124534</v>
      </c>
    </row>
    <row r="21" spans="1:176" ht="12.75" x14ac:dyDescent="0.2">
      <c r="A21" s="93">
        <v>16</v>
      </c>
      <c r="B21" s="145" t="s">
        <v>591</v>
      </c>
      <c r="C21" s="604" t="s">
        <v>866</v>
      </c>
      <c r="D21" s="142" t="s">
        <v>869</v>
      </c>
      <c r="E21" s="149" t="s">
        <v>590</v>
      </c>
      <c r="F21" s="542">
        <v>-407927</v>
      </c>
      <c r="G21" s="542">
        <v>0</v>
      </c>
      <c r="H21" s="542">
        <v>-407927</v>
      </c>
      <c r="I21" s="542">
        <v>-887410</v>
      </c>
      <c r="J21" s="542">
        <v>0</v>
      </c>
      <c r="K21" s="542">
        <v>-887410</v>
      </c>
      <c r="L21" s="542">
        <v>16779</v>
      </c>
      <c r="M21" s="542">
        <v>0</v>
      </c>
      <c r="N21" s="542">
        <v>16779</v>
      </c>
      <c r="O21" s="542">
        <v>49708</v>
      </c>
      <c r="P21" s="542">
        <v>0</v>
      </c>
      <c r="Q21" s="542">
        <v>49708</v>
      </c>
      <c r="R21" s="542">
        <v>-1228850</v>
      </c>
      <c r="S21" s="542">
        <v>0</v>
      </c>
      <c r="T21" s="542">
        <v>-1228850</v>
      </c>
      <c r="U21" s="542">
        <v>-2393119</v>
      </c>
      <c r="V21" s="542">
        <v>0</v>
      </c>
      <c r="W21" s="542">
        <v>-2393119</v>
      </c>
      <c r="X21" s="542">
        <v>-664</v>
      </c>
      <c r="Y21" s="542">
        <v>0</v>
      </c>
      <c r="Z21" s="542">
        <v>-664</v>
      </c>
      <c r="AA21" s="542">
        <v>-174747</v>
      </c>
      <c r="AB21" s="542">
        <v>0</v>
      </c>
      <c r="AC21" s="542">
        <v>-174747</v>
      </c>
      <c r="AD21" s="542">
        <v>0</v>
      </c>
      <c r="AE21" s="542">
        <v>0</v>
      </c>
      <c r="AF21" s="542">
        <v>0</v>
      </c>
      <c r="AG21" s="542">
        <v>1211860</v>
      </c>
      <c r="AH21" s="542">
        <v>0</v>
      </c>
      <c r="AI21" s="542">
        <v>1211860</v>
      </c>
      <c r="AJ21" s="542">
        <v>150220</v>
      </c>
      <c r="AK21" s="542">
        <v>0</v>
      </c>
      <c r="AL21" s="542">
        <v>150220</v>
      </c>
      <c r="AM21" s="542">
        <v>-3014936</v>
      </c>
      <c r="AN21" s="542">
        <v>0</v>
      </c>
      <c r="AO21" s="542">
        <v>-3014936</v>
      </c>
      <c r="AP21" s="542">
        <v>135138</v>
      </c>
      <c r="AQ21" s="542">
        <v>0</v>
      </c>
      <c r="AR21" s="542">
        <v>135138</v>
      </c>
      <c r="AS21" s="542">
        <v>-10932</v>
      </c>
      <c r="AT21" s="542">
        <v>0</v>
      </c>
      <c r="AU21" s="542">
        <v>-10932</v>
      </c>
      <c r="AV21" s="542">
        <v>232</v>
      </c>
      <c r="AW21" s="542">
        <v>0</v>
      </c>
      <c r="AX21" s="542">
        <v>232</v>
      </c>
      <c r="AY21" s="542">
        <v>-39009</v>
      </c>
      <c r="AZ21" s="542">
        <v>0</v>
      </c>
      <c r="BA21" s="542">
        <v>-39009</v>
      </c>
      <c r="BB21" s="542">
        <v>-2181</v>
      </c>
      <c r="BC21" s="542">
        <v>0</v>
      </c>
      <c r="BD21" s="542">
        <v>-2181</v>
      </c>
      <c r="BE21" s="542">
        <v>-4137474</v>
      </c>
      <c r="BF21" s="542">
        <v>0</v>
      </c>
      <c r="BG21" s="542">
        <v>-4137474</v>
      </c>
      <c r="BH21" s="542">
        <v>-233490</v>
      </c>
      <c r="BI21" s="542">
        <v>0</v>
      </c>
      <c r="BJ21" s="542">
        <v>-233490</v>
      </c>
      <c r="BK21" s="542">
        <v>-9246</v>
      </c>
      <c r="BL21" s="542">
        <v>0</v>
      </c>
      <c r="BM21" s="542">
        <v>-9246</v>
      </c>
      <c r="BN21" s="542">
        <v>-1320219</v>
      </c>
      <c r="BO21" s="542">
        <v>0</v>
      </c>
      <c r="BP21" s="542">
        <v>-1320219</v>
      </c>
      <c r="BQ21" s="542">
        <v>-433120</v>
      </c>
      <c r="BR21" s="542">
        <v>0</v>
      </c>
      <c r="BS21" s="542">
        <v>-433120</v>
      </c>
      <c r="BT21" s="542">
        <v>-1996075</v>
      </c>
      <c r="BU21" s="542">
        <v>0</v>
      </c>
      <c r="BV21" s="542">
        <v>-1996075</v>
      </c>
      <c r="BW21" s="542">
        <v>-112157</v>
      </c>
      <c r="BX21" s="542">
        <v>0</v>
      </c>
      <c r="BY21" s="542">
        <v>-112157</v>
      </c>
      <c r="BZ21" s="542">
        <v>3915</v>
      </c>
      <c r="CA21" s="542">
        <v>0</v>
      </c>
      <c r="CB21" s="542">
        <v>3915</v>
      </c>
      <c r="CC21" s="542">
        <v>-88885</v>
      </c>
      <c r="CD21" s="542">
        <v>0</v>
      </c>
      <c r="CE21" s="542">
        <v>-88885</v>
      </c>
      <c r="CF21" s="542">
        <v>0</v>
      </c>
      <c r="CG21" s="542">
        <v>0</v>
      </c>
      <c r="CH21" s="542">
        <v>0</v>
      </c>
      <c r="CI21" s="542">
        <v>-2733</v>
      </c>
      <c r="CJ21" s="542">
        <v>0</v>
      </c>
      <c r="CK21" s="542">
        <v>-2733</v>
      </c>
      <c r="CL21" s="542">
        <v>-2038</v>
      </c>
      <c r="CM21" s="542">
        <v>0</v>
      </c>
      <c r="CN21" s="542">
        <v>-2038</v>
      </c>
      <c r="CO21" s="542">
        <v>-39009</v>
      </c>
      <c r="CP21" s="542">
        <v>0</v>
      </c>
      <c r="CQ21" s="542">
        <v>-39009</v>
      </c>
      <c r="CR21" s="542">
        <v>-2181</v>
      </c>
      <c r="CS21" s="542">
        <v>0</v>
      </c>
      <c r="CT21" s="542">
        <v>-2181</v>
      </c>
      <c r="CU21" s="542">
        <v>-9694</v>
      </c>
      <c r="CV21" s="542">
        <v>0</v>
      </c>
      <c r="CW21" s="542">
        <v>-9694</v>
      </c>
      <c r="CX21" s="542">
        <v>0</v>
      </c>
      <c r="CY21" s="542">
        <v>0</v>
      </c>
      <c r="CZ21" s="542">
        <v>0</v>
      </c>
      <c r="DA21" s="542">
        <v>0</v>
      </c>
      <c r="DB21" s="542">
        <v>0</v>
      </c>
      <c r="DC21" s="542">
        <v>0</v>
      </c>
      <c r="DD21" s="542">
        <v>0</v>
      </c>
      <c r="DE21" s="542">
        <v>0</v>
      </c>
      <c r="DF21" s="542">
        <v>0</v>
      </c>
      <c r="DG21" s="542"/>
      <c r="DH21" s="542">
        <v>0</v>
      </c>
      <c r="DI21" s="542"/>
      <c r="DJ21" s="542">
        <v>0</v>
      </c>
      <c r="DK21" s="542"/>
      <c r="DL21" s="542"/>
      <c r="DM21" s="542">
        <v>-252782</v>
      </c>
      <c r="DN21" s="542">
        <v>0</v>
      </c>
      <c r="DO21" s="542">
        <v>-252782</v>
      </c>
      <c r="DP21" s="542">
        <v>-13930</v>
      </c>
      <c r="DQ21" s="542">
        <v>0</v>
      </c>
      <c r="DR21" s="542">
        <v>-13930</v>
      </c>
      <c r="DS21" s="542">
        <v>0</v>
      </c>
      <c r="DT21" s="542">
        <v>0</v>
      </c>
      <c r="DU21" s="542">
        <v>0</v>
      </c>
      <c r="DV21" s="542">
        <v>-14347</v>
      </c>
      <c r="DW21" s="542">
        <v>0</v>
      </c>
      <c r="DX21" s="542">
        <v>-14347</v>
      </c>
      <c r="DY21" s="542">
        <v>-295463</v>
      </c>
      <c r="DZ21" s="542">
        <v>0</v>
      </c>
      <c r="EA21" s="542">
        <v>-295463</v>
      </c>
      <c r="EB21" s="542">
        <v>0</v>
      </c>
      <c r="EC21" s="542">
        <v>0</v>
      </c>
      <c r="ED21" s="542">
        <v>0</v>
      </c>
      <c r="EE21" s="542">
        <v>0</v>
      </c>
      <c r="EF21" s="542">
        <v>0</v>
      </c>
      <c r="EG21" s="542">
        <v>0</v>
      </c>
      <c r="EH21" s="542">
        <v>-323740</v>
      </c>
      <c r="EI21" s="542">
        <v>0</v>
      </c>
      <c r="EJ21" s="542">
        <v>-323740</v>
      </c>
      <c r="EK21" s="542">
        <v>0</v>
      </c>
      <c r="EL21" s="542">
        <v>0</v>
      </c>
      <c r="EM21" s="542">
        <v>0</v>
      </c>
      <c r="EN21" s="542">
        <v>0</v>
      </c>
      <c r="EO21" s="542">
        <v>0</v>
      </c>
      <c r="EP21" s="542">
        <v>0</v>
      </c>
      <c r="EQ21" s="542">
        <v>0</v>
      </c>
      <c r="ER21" s="542">
        <v>0</v>
      </c>
      <c r="ES21" s="542">
        <v>0</v>
      </c>
      <c r="ET21" s="542">
        <v>62953541</v>
      </c>
      <c r="EU21" s="542">
        <v>0</v>
      </c>
      <c r="EV21" s="542">
        <v>62953541</v>
      </c>
      <c r="EW21" s="542">
        <v>-1228850</v>
      </c>
      <c r="EX21" s="542">
        <v>0</v>
      </c>
      <c r="EY21" s="542">
        <v>-1228850</v>
      </c>
      <c r="EZ21" s="542">
        <v>-4137474</v>
      </c>
      <c r="FA21" s="542">
        <v>0</v>
      </c>
      <c r="FB21" s="542">
        <v>-4137474</v>
      </c>
      <c r="FC21" s="542">
        <v>-1996075</v>
      </c>
      <c r="FD21" s="542">
        <v>0</v>
      </c>
      <c r="FE21" s="542">
        <v>-1996075</v>
      </c>
      <c r="FF21" s="542">
        <v>-252782</v>
      </c>
      <c r="FG21" s="542">
        <v>0</v>
      </c>
      <c r="FH21" s="542">
        <v>-252782</v>
      </c>
      <c r="FI21" s="542">
        <v>-323740</v>
      </c>
      <c r="FJ21" s="542">
        <v>0</v>
      </c>
      <c r="FK21" s="542">
        <v>-323740</v>
      </c>
      <c r="FL21" s="542">
        <v>0</v>
      </c>
      <c r="FM21" s="542">
        <v>0</v>
      </c>
      <c r="FN21" s="542">
        <v>0</v>
      </c>
      <c r="FO21" s="542">
        <v>-7938921</v>
      </c>
      <c r="FP21" s="542">
        <v>0</v>
      </c>
      <c r="FQ21" s="542">
        <v>-7938921</v>
      </c>
      <c r="FR21" s="542">
        <v>55014620</v>
      </c>
      <c r="FS21" s="542">
        <v>0</v>
      </c>
      <c r="FT21" s="542">
        <v>55014620</v>
      </c>
    </row>
    <row r="22" spans="1:176" ht="12.75" x14ac:dyDescent="0.2">
      <c r="A22" s="93">
        <v>17</v>
      </c>
      <c r="B22" s="145" t="s">
        <v>593</v>
      </c>
      <c r="C22" s="604" t="s">
        <v>770</v>
      </c>
      <c r="D22" s="142" t="s">
        <v>875</v>
      </c>
      <c r="E22" s="149" t="s">
        <v>592</v>
      </c>
      <c r="F22" s="542">
        <v>-162398</v>
      </c>
      <c r="G22" s="542">
        <v>-391</v>
      </c>
      <c r="H22" s="542">
        <v>-162789</v>
      </c>
      <c r="I22" s="542">
        <v>212188</v>
      </c>
      <c r="J22" s="542">
        <v>29710</v>
      </c>
      <c r="K22" s="542">
        <v>241898</v>
      </c>
      <c r="L22" s="542">
        <v>0</v>
      </c>
      <c r="M22" s="542">
        <v>0</v>
      </c>
      <c r="N22" s="542">
        <v>0</v>
      </c>
      <c r="O22" s="542">
        <v>55704</v>
      </c>
      <c r="P22" s="542">
        <v>7044</v>
      </c>
      <c r="Q22" s="542">
        <v>62748</v>
      </c>
      <c r="R22" s="542">
        <v>105494</v>
      </c>
      <c r="S22" s="542">
        <v>36363</v>
      </c>
      <c r="T22" s="542">
        <v>141857</v>
      </c>
      <c r="U22" s="542">
        <v>-3625626</v>
      </c>
      <c r="V22" s="542">
        <v>-96246</v>
      </c>
      <c r="W22" s="542">
        <v>-3721872</v>
      </c>
      <c r="X22" s="542">
        <v>-10677</v>
      </c>
      <c r="Y22" s="542">
        <v>-720</v>
      </c>
      <c r="Z22" s="542">
        <v>-11397</v>
      </c>
      <c r="AA22" s="542">
        <v>-244991</v>
      </c>
      <c r="AB22" s="542">
        <v>421</v>
      </c>
      <c r="AC22" s="542">
        <v>-244570</v>
      </c>
      <c r="AD22" s="542">
        <v>-90839</v>
      </c>
      <c r="AE22" s="542">
        <v>421</v>
      </c>
      <c r="AF22" s="542">
        <v>-90418</v>
      </c>
      <c r="AG22" s="542">
        <v>1421156</v>
      </c>
      <c r="AH22" s="542">
        <v>136529</v>
      </c>
      <c r="AI22" s="542">
        <v>1557685</v>
      </c>
      <c r="AJ22" s="542">
        <v>83707</v>
      </c>
      <c r="AK22" s="542">
        <v>29395</v>
      </c>
      <c r="AL22" s="542">
        <v>113102</v>
      </c>
      <c r="AM22" s="542">
        <v>-6484626</v>
      </c>
      <c r="AN22" s="542">
        <v>-204420</v>
      </c>
      <c r="AO22" s="542">
        <v>-6689046</v>
      </c>
      <c r="AP22" s="542">
        <v>211759</v>
      </c>
      <c r="AQ22" s="542">
        <v>985</v>
      </c>
      <c r="AR22" s="542">
        <v>212744</v>
      </c>
      <c r="AS22" s="542">
        <v>-149437</v>
      </c>
      <c r="AT22" s="542">
        <v>0</v>
      </c>
      <c r="AU22" s="542">
        <v>-149437</v>
      </c>
      <c r="AV22" s="542">
        <v>-114</v>
      </c>
      <c r="AW22" s="542">
        <v>0</v>
      </c>
      <c r="AX22" s="542">
        <v>-114</v>
      </c>
      <c r="AY22" s="542">
        <v>-24053</v>
      </c>
      <c r="AZ22" s="542">
        <v>0</v>
      </c>
      <c r="BA22" s="542">
        <v>-24053</v>
      </c>
      <c r="BB22" s="542">
        <v>-497</v>
      </c>
      <c r="BC22" s="542">
        <v>0</v>
      </c>
      <c r="BD22" s="542">
        <v>-497</v>
      </c>
      <c r="BE22" s="542">
        <v>-8812722</v>
      </c>
      <c r="BF22" s="542">
        <v>-133336</v>
      </c>
      <c r="BG22" s="542">
        <v>-8946058</v>
      </c>
      <c r="BH22" s="542">
        <v>-50102</v>
      </c>
      <c r="BI22" s="542">
        <v>0</v>
      </c>
      <c r="BJ22" s="542">
        <v>-50102</v>
      </c>
      <c r="BK22" s="542">
        <v>0</v>
      </c>
      <c r="BL22" s="542">
        <v>0</v>
      </c>
      <c r="BM22" s="542">
        <v>0</v>
      </c>
      <c r="BN22" s="542">
        <v>-2738204</v>
      </c>
      <c r="BO22" s="542">
        <v>-197674</v>
      </c>
      <c r="BP22" s="542">
        <v>-2935878</v>
      </c>
      <c r="BQ22" s="542">
        <v>1950</v>
      </c>
      <c r="BR22" s="542">
        <v>-37606</v>
      </c>
      <c r="BS22" s="542">
        <v>-35656</v>
      </c>
      <c r="BT22" s="542">
        <v>-2786356</v>
      </c>
      <c r="BU22" s="542">
        <v>-235280</v>
      </c>
      <c r="BV22" s="542">
        <v>-3021636</v>
      </c>
      <c r="BW22" s="542">
        <v>-79662</v>
      </c>
      <c r="BX22" s="542">
        <v>0</v>
      </c>
      <c r="BY22" s="542">
        <v>-79662</v>
      </c>
      <c r="BZ22" s="542">
        <v>-49042</v>
      </c>
      <c r="CA22" s="542">
        <v>0</v>
      </c>
      <c r="CB22" s="542">
        <v>-49042</v>
      </c>
      <c r="CC22" s="542">
        <v>-28454</v>
      </c>
      <c r="CD22" s="542">
        <v>0</v>
      </c>
      <c r="CE22" s="542">
        <v>-28454</v>
      </c>
      <c r="CF22" s="542">
        <v>0</v>
      </c>
      <c r="CG22" s="542">
        <v>0</v>
      </c>
      <c r="CH22" s="542">
        <v>0</v>
      </c>
      <c r="CI22" s="542">
        <v>-19882</v>
      </c>
      <c r="CJ22" s="542">
        <v>0</v>
      </c>
      <c r="CK22" s="542">
        <v>-19882</v>
      </c>
      <c r="CL22" s="542">
        <v>-28</v>
      </c>
      <c r="CM22" s="542">
        <v>0</v>
      </c>
      <c r="CN22" s="542">
        <v>-28</v>
      </c>
      <c r="CO22" s="542">
        <v>-12820</v>
      </c>
      <c r="CP22" s="542">
        <v>0</v>
      </c>
      <c r="CQ22" s="542">
        <v>-12820</v>
      </c>
      <c r="CR22" s="542">
        <v>-497</v>
      </c>
      <c r="CS22" s="542">
        <v>0</v>
      </c>
      <c r="CT22" s="542">
        <v>-497</v>
      </c>
      <c r="CU22" s="542">
        <v>-36747</v>
      </c>
      <c r="CV22" s="542">
        <v>0</v>
      </c>
      <c r="CW22" s="542">
        <v>-36747</v>
      </c>
      <c r="CX22" s="542">
        <v>-1288</v>
      </c>
      <c r="CY22" s="542">
        <v>0</v>
      </c>
      <c r="CZ22" s="542">
        <v>-1288</v>
      </c>
      <c r="DA22" s="542">
        <v>0</v>
      </c>
      <c r="DB22" s="542">
        <v>0</v>
      </c>
      <c r="DC22" s="542">
        <v>0</v>
      </c>
      <c r="DD22" s="542">
        <v>0</v>
      </c>
      <c r="DE22" s="542">
        <v>0</v>
      </c>
      <c r="DF22" s="542">
        <v>0</v>
      </c>
      <c r="DG22" s="542"/>
      <c r="DH22" s="542">
        <v>0</v>
      </c>
      <c r="DI22" s="542"/>
      <c r="DJ22" s="542">
        <v>0</v>
      </c>
      <c r="DK22" s="542"/>
      <c r="DL22" s="542"/>
      <c r="DM22" s="542">
        <v>-228420</v>
      </c>
      <c r="DN22" s="542">
        <v>0</v>
      </c>
      <c r="DO22" s="542">
        <v>-228420</v>
      </c>
      <c r="DP22" s="542">
        <v>0</v>
      </c>
      <c r="DQ22" s="542">
        <v>0</v>
      </c>
      <c r="DR22" s="542">
        <v>0</v>
      </c>
      <c r="DS22" s="542">
        <v>0</v>
      </c>
      <c r="DT22" s="542">
        <v>0</v>
      </c>
      <c r="DU22" s="542">
        <v>0</v>
      </c>
      <c r="DV22" s="542">
        <v>-9023</v>
      </c>
      <c r="DW22" s="542">
        <v>0</v>
      </c>
      <c r="DX22" s="542">
        <v>-9023</v>
      </c>
      <c r="DY22" s="542">
        <v>-721705</v>
      </c>
      <c r="DZ22" s="542">
        <v>-30983</v>
      </c>
      <c r="EA22" s="542">
        <v>-752688</v>
      </c>
      <c r="EB22" s="542">
        <v>0</v>
      </c>
      <c r="EC22" s="542">
        <v>0</v>
      </c>
      <c r="ED22" s="542">
        <v>0</v>
      </c>
      <c r="EE22" s="542">
        <v>-19002</v>
      </c>
      <c r="EF22" s="542">
        <v>0</v>
      </c>
      <c r="EG22" s="542">
        <v>-19002</v>
      </c>
      <c r="EH22" s="542">
        <v>-749730</v>
      </c>
      <c r="EI22" s="542">
        <v>-30983</v>
      </c>
      <c r="EJ22" s="542">
        <v>-780713</v>
      </c>
      <c r="EK22" s="542">
        <v>0</v>
      </c>
      <c r="EL22" s="542">
        <v>0</v>
      </c>
      <c r="EM22" s="542">
        <v>0</v>
      </c>
      <c r="EN22" s="542">
        <v>0</v>
      </c>
      <c r="EO22" s="542">
        <v>0</v>
      </c>
      <c r="EP22" s="542">
        <v>0</v>
      </c>
      <c r="EQ22" s="542">
        <v>0</v>
      </c>
      <c r="ER22" s="542">
        <v>0</v>
      </c>
      <c r="ES22" s="542">
        <v>0</v>
      </c>
      <c r="ET22" s="542">
        <v>69844421</v>
      </c>
      <c r="EU22" s="542">
        <v>5845336</v>
      </c>
      <c r="EV22" s="542">
        <v>75689757</v>
      </c>
      <c r="EW22" s="542">
        <v>105494</v>
      </c>
      <c r="EX22" s="542">
        <v>36363</v>
      </c>
      <c r="EY22" s="542">
        <v>141857</v>
      </c>
      <c r="EZ22" s="542">
        <v>-8812722</v>
      </c>
      <c r="FA22" s="542">
        <v>-133336</v>
      </c>
      <c r="FB22" s="542">
        <v>-8946058</v>
      </c>
      <c r="FC22" s="542">
        <v>-2786356</v>
      </c>
      <c r="FD22" s="542">
        <v>-235280</v>
      </c>
      <c r="FE22" s="542">
        <v>-3021636</v>
      </c>
      <c r="FF22" s="542">
        <v>-228420</v>
      </c>
      <c r="FG22" s="542">
        <v>0</v>
      </c>
      <c r="FH22" s="542">
        <v>-228420</v>
      </c>
      <c r="FI22" s="542">
        <v>-749730</v>
      </c>
      <c r="FJ22" s="542">
        <v>-30983</v>
      </c>
      <c r="FK22" s="542">
        <v>-780713</v>
      </c>
      <c r="FL22" s="542">
        <v>0</v>
      </c>
      <c r="FM22" s="542">
        <v>0</v>
      </c>
      <c r="FN22" s="542">
        <v>0</v>
      </c>
      <c r="FO22" s="542">
        <v>-12471734</v>
      </c>
      <c r="FP22" s="542">
        <v>-363236</v>
      </c>
      <c r="FQ22" s="542">
        <v>-12834970</v>
      </c>
      <c r="FR22" s="542">
        <v>57372687</v>
      </c>
      <c r="FS22" s="542">
        <v>5482100</v>
      </c>
      <c r="FT22" s="542">
        <v>62854787</v>
      </c>
    </row>
    <row r="23" spans="1:176" ht="12.75" x14ac:dyDescent="0.2">
      <c r="A23" s="93">
        <v>18</v>
      </c>
      <c r="B23" s="145" t="s">
        <v>595</v>
      </c>
      <c r="C23" s="604" t="s">
        <v>770</v>
      </c>
      <c r="D23" s="142" t="s">
        <v>870</v>
      </c>
      <c r="E23" s="149" t="s">
        <v>594</v>
      </c>
      <c r="F23" s="542">
        <v>-384246</v>
      </c>
      <c r="G23" s="542">
        <v>0</v>
      </c>
      <c r="H23" s="542">
        <v>-384246</v>
      </c>
      <c r="I23" s="542">
        <v>172790</v>
      </c>
      <c r="J23" s="542">
        <v>0</v>
      </c>
      <c r="K23" s="542">
        <v>172790</v>
      </c>
      <c r="L23" s="542">
        <v>18742</v>
      </c>
      <c r="M23" s="542">
        <v>0</v>
      </c>
      <c r="N23" s="542">
        <v>18742</v>
      </c>
      <c r="O23" s="542">
        <v>217707</v>
      </c>
      <c r="P23" s="542">
        <v>0</v>
      </c>
      <c r="Q23" s="542">
        <v>217707</v>
      </c>
      <c r="R23" s="542">
        <v>24993</v>
      </c>
      <c r="S23" s="542">
        <v>0</v>
      </c>
      <c r="T23" s="542">
        <v>24993</v>
      </c>
      <c r="U23" s="542">
        <v>-3075774</v>
      </c>
      <c r="V23" s="542">
        <v>0</v>
      </c>
      <c r="W23" s="542">
        <v>-3075774</v>
      </c>
      <c r="X23" s="542">
        <v>-7954</v>
      </c>
      <c r="Y23" s="542">
        <v>0</v>
      </c>
      <c r="Z23" s="542">
        <v>-7954</v>
      </c>
      <c r="AA23" s="542">
        <v>-227948</v>
      </c>
      <c r="AB23" s="542">
        <v>0</v>
      </c>
      <c r="AC23" s="542">
        <v>-227948</v>
      </c>
      <c r="AD23" s="542">
        <v>-87361</v>
      </c>
      <c r="AE23" s="542">
        <v>0</v>
      </c>
      <c r="AF23" s="542">
        <v>-87361</v>
      </c>
      <c r="AG23" s="542">
        <v>1564756</v>
      </c>
      <c r="AH23" s="542">
        <v>0</v>
      </c>
      <c r="AI23" s="542">
        <v>1564756</v>
      </c>
      <c r="AJ23" s="542">
        <v>96614</v>
      </c>
      <c r="AK23" s="542">
        <v>0</v>
      </c>
      <c r="AL23" s="542">
        <v>96614</v>
      </c>
      <c r="AM23" s="542">
        <v>-5132532</v>
      </c>
      <c r="AN23" s="542">
        <v>0</v>
      </c>
      <c r="AO23" s="542">
        <v>-5132532</v>
      </c>
      <c r="AP23" s="542">
        <v>3470</v>
      </c>
      <c r="AQ23" s="542">
        <v>0</v>
      </c>
      <c r="AR23" s="542">
        <v>3470</v>
      </c>
      <c r="AS23" s="542">
        <v>-142311</v>
      </c>
      <c r="AT23" s="542">
        <v>0</v>
      </c>
      <c r="AU23" s="542">
        <v>-142311</v>
      </c>
      <c r="AV23" s="542">
        <v>37859</v>
      </c>
      <c r="AW23" s="542">
        <v>0</v>
      </c>
      <c r="AX23" s="542">
        <v>37859</v>
      </c>
      <c r="AY23" s="542">
        <v>-43551</v>
      </c>
      <c r="AZ23" s="542">
        <v>0</v>
      </c>
      <c r="BA23" s="542">
        <v>-43551</v>
      </c>
      <c r="BB23" s="542">
        <v>-796</v>
      </c>
      <c r="BC23" s="542">
        <v>0</v>
      </c>
      <c r="BD23" s="542">
        <v>-796</v>
      </c>
      <c r="BE23" s="542">
        <v>-6920213</v>
      </c>
      <c r="BF23" s="542">
        <v>0</v>
      </c>
      <c r="BG23" s="542">
        <v>-6920213</v>
      </c>
      <c r="BH23" s="542">
        <v>-12055</v>
      </c>
      <c r="BI23" s="542">
        <v>0</v>
      </c>
      <c r="BJ23" s="542">
        <v>-12055</v>
      </c>
      <c r="BK23" s="542">
        <v>5908</v>
      </c>
      <c r="BL23" s="542">
        <v>0</v>
      </c>
      <c r="BM23" s="542">
        <v>5908</v>
      </c>
      <c r="BN23" s="542">
        <v>-2407313</v>
      </c>
      <c r="BO23" s="542">
        <v>0</v>
      </c>
      <c r="BP23" s="542">
        <v>-2407313</v>
      </c>
      <c r="BQ23" s="542">
        <v>-110323</v>
      </c>
      <c r="BR23" s="542">
        <v>0</v>
      </c>
      <c r="BS23" s="542">
        <v>-110323</v>
      </c>
      <c r="BT23" s="542">
        <v>-2523783</v>
      </c>
      <c r="BU23" s="542">
        <v>0</v>
      </c>
      <c r="BV23" s="542">
        <v>-2523783</v>
      </c>
      <c r="BW23" s="542">
        <v>-117193</v>
      </c>
      <c r="BX23" s="542">
        <v>0</v>
      </c>
      <c r="BY23" s="542">
        <v>-117193</v>
      </c>
      <c r="BZ23" s="542">
        <v>-1380</v>
      </c>
      <c r="CA23" s="542">
        <v>0</v>
      </c>
      <c r="CB23" s="542">
        <v>-1380</v>
      </c>
      <c r="CC23" s="542">
        <v>-31059</v>
      </c>
      <c r="CD23" s="542">
        <v>0</v>
      </c>
      <c r="CE23" s="542">
        <v>-31059</v>
      </c>
      <c r="CF23" s="542">
        <v>-13461</v>
      </c>
      <c r="CG23" s="542">
        <v>0</v>
      </c>
      <c r="CH23" s="542">
        <v>-13461</v>
      </c>
      <c r="CI23" s="542">
        <v>-1285</v>
      </c>
      <c r="CJ23" s="542">
        <v>0</v>
      </c>
      <c r="CK23" s="542">
        <v>-1285</v>
      </c>
      <c r="CL23" s="542">
        <v>0</v>
      </c>
      <c r="CM23" s="542">
        <v>0</v>
      </c>
      <c r="CN23" s="542">
        <v>0</v>
      </c>
      <c r="CO23" s="542">
        <v>-35379</v>
      </c>
      <c r="CP23" s="542">
        <v>0</v>
      </c>
      <c r="CQ23" s="542">
        <v>-35379</v>
      </c>
      <c r="CR23" s="542">
        <v>-438</v>
      </c>
      <c r="CS23" s="542">
        <v>0</v>
      </c>
      <c r="CT23" s="542">
        <v>-438</v>
      </c>
      <c r="CU23" s="542">
        <v>-27719</v>
      </c>
      <c r="CV23" s="542">
        <v>0</v>
      </c>
      <c r="CW23" s="542">
        <v>-27719</v>
      </c>
      <c r="CX23" s="542">
        <v>304</v>
      </c>
      <c r="CY23" s="542">
        <v>0</v>
      </c>
      <c r="CZ23" s="542">
        <v>304</v>
      </c>
      <c r="DA23" s="542">
        <v>0</v>
      </c>
      <c r="DB23" s="542">
        <v>0</v>
      </c>
      <c r="DC23" s="542">
        <v>0</v>
      </c>
      <c r="DD23" s="542">
        <v>0</v>
      </c>
      <c r="DE23" s="542">
        <v>0</v>
      </c>
      <c r="DF23" s="542">
        <v>0</v>
      </c>
      <c r="DG23" s="542"/>
      <c r="DH23" s="542">
        <v>0</v>
      </c>
      <c r="DI23" s="542"/>
      <c r="DJ23" s="542">
        <v>0</v>
      </c>
      <c r="DK23" s="542"/>
      <c r="DL23" s="542"/>
      <c r="DM23" s="542">
        <v>-227610</v>
      </c>
      <c r="DN23" s="542">
        <v>0</v>
      </c>
      <c r="DO23" s="542">
        <v>-227610</v>
      </c>
      <c r="DP23" s="542">
        <v>-12631</v>
      </c>
      <c r="DQ23" s="542">
        <v>0</v>
      </c>
      <c r="DR23" s="542">
        <v>-12631</v>
      </c>
      <c r="DS23" s="542">
        <v>0</v>
      </c>
      <c r="DT23" s="542">
        <v>0</v>
      </c>
      <c r="DU23" s="542">
        <v>0</v>
      </c>
      <c r="DV23" s="542">
        <v>-9646</v>
      </c>
      <c r="DW23" s="542">
        <v>0</v>
      </c>
      <c r="DX23" s="542">
        <v>-9646</v>
      </c>
      <c r="DY23" s="542">
        <v>-500894</v>
      </c>
      <c r="DZ23" s="542">
        <v>0</v>
      </c>
      <c r="EA23" s="542">
        <v>-500894</v>
      </c>
      <c r="EB23" s="542">
        <v>0</v>
      </c>
      <c r="EC23" s="542">
        <v>0</v>
      </c>
      <c r="ED23" s="542">
        <v>0</v>
      </c>
      <c r="EE23" s="542">
        <v>0</v>
      </c>
      <c r="EF23" s="542">
        <v>0</v>
      </c>
      <c r="EG23" s="542">
        <v>0</v>
      </c>
      <c r="EH23" s="542">
        <v>-523171</v>
      </c>
      <c r="EI23" s="542">
        <v>0</v>
      </c>
      <c r="EJ23" s="542">
        <v>-523171</v>
      </c>
      <c r="EK23" s="542">
        <v>-49405</v>
      </c>
      <c r="EL23" s="542">
        <v>0</v>
      </c>
      <c r="EM23" s="542">
        <v>-49405</v>
      </c>
      <c r="EN23" s="542">
        <v>-2032</v>
      </c>
      <c r="EO23" s="542">
        <v>0</v>
      </c>
      <c r="EP23" s="542">
        <v>-2032</v>
      </c>
      <c r="EQ23" s="542">
        <v>-51437</v>
      </c>
      <c r="ER23" s="542">
        <v>0</v>
      </c>
      <c r="ES23" s="542">
        <v>-51437</v>
      </c>
      <c r="ET23" s="542">
        <v>74403128</v>
      </c>
      <c r="EU23" s="542">
        <v>0</v>
      </c>
      <c r="EV23" s="542">
        <v>74403128</v>
      </c>
      <c r="EW23" s="542">
        <v>24993</v>
      </c>
      <c r="EX23" s="542">
        <v>0</v>
      </c>
      <c r="EY23" s="542">
        <v>24993</v>
      </c>
      <c r="EZ23" s="542">
        <v>-6920213</v>
      </c>
      <c r="FA23" s="542">
        <v>0</v>
      </c>
      <c r="FB23" s="542">
        <v>-6920213</v>
      </c>
      <c r="FC23" s="542">
        <v>-2523783</v>
      </c>
      <c r="FD23" s="542">
        <v>0</v>
      </c>
      <c r="FE23" s="542">
        <v>-2523783</v>
      </c>
      <c r="FF23" s="542">
        <v>-227610</v>
      </c>
      <c r="FG23" s="542">
        <v>0</v>
      </c>
      <c r="FH23" s="542">
        <v>-227610</v>
      </c>
      <c r="FI23" s="542">
        <v>-523171</v>
      </c>
      <c r="FJ23" s="542">
        <v>0</v>
      </c>
      <c r="FK23" s="542">
        <v>-523171</v>
      </c>
      <c r="FL23" s="542">
        <v>-51437</v>
      </c>
      <c r="FM23" s="542">
        <v>0</v>
      </c>
      <c r="FN23" s="542">
        <v>-51437</v>
      </c>
      <c r="FO23" s="542">
        <v>-10221221</v>
      </c>
      <c r="FP23" s="542">
        <v>0</v>
      </c>
      <c r="FQ23" s="542">
        <v>-10221221</v>
      </c>
      <c r="FR23" s="542">
        <v>64181907</v>
      </c>
      <c r="FS23" s="542">
        <v>0</v>
      </c>
      <c r="FT23" s="542">
        <v>64181907</v>
      </c>
    </row>
    <row r="24" spans="1:176" ht="12.75" x14ac:dyDescent="0.2">
      <c r="A24" s="93">
        <v>19</v>
      </c>
      <c r="B24" s="145" t="s">
        <v>597</v>
      </c>
      <c r="C24" s="604" t="s">
        <v>871</v>
      </c>
      <c r="D24" s="142" t="s">
        <v>872</v>
      </c>
      <c r="E24" s="149" t="s">
        <v>596</v>
      </c>
      <c r="F24" s="542">
        <v>-71682</v>
      </c>
      <c r="G24" s="542">
        <v>0</v>
      </c>
      <c r="H24" s="542">
        <v>-71682</v>
      </c>
      <c r="I24" s="542">
        <v>93535</v>
      </c>
      <c r="J24" s="542">
        <v>0</v>
      </c>
      <c r="K24" s="542">
        <v>93535</v>
      </c>
      <c r="L24" s="542">
        <v>20680</v>
      </c>
      <c r="M24" s="542">
        <v>0</v>
      </c>
      <c r="N24" s="542">
        <v>20680</v>
      </c>
      <c r="O24" s="542">
        <v>165264</v>
      </c>
      <c r="P24" s="542">
        <v>0</v>
      </c>
      <c r="Q24" s="542">
        <v>165264</v>
      </c>
      <c r="R24" s="542">
        <v>207797</v>
      </c>
      <c r="S24" s="542">
        <v>0</v>
      </c>
      <c r="T24" s="542">
        <v>207797</v>
      </c>
      <c r="U24" s="542">
        <v>-3927882</v>
      </c>
      <c r="V24" s="542">
        <v>0</v>
      </c>
      <c r="W24" s="542">
        <v>-3927882</v>
      </c>
      <c r="X24" s="542">
        <v>0</v>
      </c>
      <c r="Y24" s="542">
        <v>0</v>
      </c>
      <c r="Z24" s="542">
        <v>0</v>
      </c>
      <c r="AA24" s="542">
        <v>-58238</v>
      </c>
      <c r="AB24" s="542">
        <v>0</v>
      </c>
      <c r="AC24" s="542">
        <v>-58238</v>
      </c>
      <c r="AD24" s="542">
        <v>-24291</v>
      </c>
      <c r="AE24" s="542">
        <v>0</v>
      </c>
      <c r="AF24" s="542">
        <v>-24291</v>
      </c>
      <c r="AG24" s="542">
        <v>1573460</v>
      </c>
      <c r="AH24" s="542">
        <v>0</v>
      </c>
      <c r="AI24" s="542">
        <v>1573460</v>
      </c>
      <c r="AJ24" s="542">
        <v>-73868</v>
      </c>
      <c r="AK24" s="542">
        <v>0</v>
      </c>
      <c r="AL24" s="542">
        <v>-73868</v>
      </c>
      <c r="AM24" s="542">
        <v>-6152473</v>
      </c>
      <c r="AN24" s="542">
        <v>0</v>
      </c>
      <c r="AO24" s="542">
        <v>-6152473</v>
      </c>
      <c r="AP24" s="542">
        <v>-438199</v>
      </c>
      <c r="AQ24" s="542">
        <v>0</v>
      </c>
      <c r="AR24" s="542">
        <v>-438199</v>
      </c>
      <c r="AS24" s="542">
        <v>-99809</v>
      </c>
      <c r="AT24" s="542">
        <v>0</v>
      </c>
      <c r="AU24" s="542">
        <v>-99809</v>
      </c>
      <c r="AV24" s="542">
        <v>0</v>
      </c>
      <c r="AW24" s="542">
        <v>0</v>
      </c>
      <c r="AX24" s="542">
        <v>0</v>
      </c>
      <c r="AY24" s="542">
        <v>0</v>
      </c>
      <c r="AZ24" s="542">
        <v>0</v>
      </c>
      <c r="BA24" s="542">
        <v>0</v>
      </c>
      <c r="BB24" s="542">
        <v>0</v>
      </c>
      <c r="BC24" s="542">
        <v>0</v>
      </c>
      <c r="BD24" s="542">
        <v>0</v>
      </c>
      <c r="BE24" s="542">
        <v>-9177009</v>
      </c>
      <c r="BF24" s="542">
        <v>0</v>
      </c>
      <c r="BG24" s="542">
        <v>-9177009</v>
      </c>
      <c r="BH24" s="542">
        <v>-203041</v>
      </c>
      <c r="BI24" s="542">
        <v>0</v>
      </c>
      <c r="BJ24" s="542">
        <v>-203041</v>
      </c>
      <c r="BK24" s="542">
        <v>71436</v>
      </c>
      <c r="BL24" s="542">
        <v>0</v>
      </c>
      <c r="BM24" s="542">
        <v>71436</v>
      </c>
      <c r="BN24" s="542">
        <v>-1501404</v>
      </c>
      <c r="BO24" s="542">
        <v>0</v>
      </c>
      <c r="BP24" s="542">
        <v>-1501404</v>
      </c>
      <c r="BQ24" s="542">
        <v>501378</v>
      </c>
      <c r="BR24" s="542">
        <v>0</v>
      </c>
      <c r="BS24" s="542">
        <v>501378</v>
      </c>
      <c r="BT24" s="542">
        <v>-1131631</v>
      </c>
      <c r="BU24" s="542">
        <v>0</v>
      </c>
      <c r="BV24" s="542">
        <v>-1131631</v>
      </c>
      <c r="BW24" s="542">
        <v>0</v>
      </c>
      <c r="BX24" s="542">
        <v>0</v>
      </c>
      <c r="BY24" s="542">
        <v>0</v>
      </c>
      <c r="BZ24" s="542">
        <v>0</v>
      </c>
      <c r="CA24" s="542">
        <v>0</v>
      </c>
      <c r="CB24" s="542">
        <v>0</v>
      </c>
      <c r="CC24" s="542">
        <v>0</v>
      </c>
      <c r="CD24" s="542">
        <v>0</v>
      </c>
      <c r="CE24" s="542">
        <v>0</v>
      </c>
      <c r="CF24" s="542">
        <v>0</v>
      </c>
      <c r="CG24" s="542">
        <v>0</v>
      </c>
      <c r="CH24" s="542">
        <v>0</v>
      </c>
      <c r="CI24" s="542">
        <v>0</v>
      </c>
      <c r="CJ24" s="542">
        <v>0</v>
      </c>
      <c r="CK24" s="542">
        <v>0</v>
      </c>
      <c r="CL24" s="542">
        <v>0</v>
      </c>
      <c r="CM24" s="542">
        <v>0</v>
      </c>
      <c r="CN24" s="542">
        <v>0</v>
      </c>
      <c r="CO24" s="542">
        <v>0</v>
      </c>
      <c r="CP24" s="542">
        <v>0</v>
      </c>
      <c r="CQ24" s="542">
        <v>0</v>
      </c>
      <c r="CR24" s="542">
        <v>0</v>
      </c>
      <c r="CS24" s="542">
        <v>0</v>
      </c>
      <c r="CT24" s="542">
        <v>0</v>
      </c>
      <c r="CU24" s="542">
        <v>0</v>
      </c>
      <c r="CV24" s="542">
        <v>0</v>
      </c>
      <c r="CW24" s="542">
        <v>0</v>
      </c>
      <c r="CX24" s="542">
        <v>0</v>
      </c>
      <c r="CY24" s="542">
        <v>0</v>
      </c>
      <c r="CZ24" s="542">
        <v>0</v>
      </c>
      <c r="DA24" s="542">
        <v>0</v>
      </c>
      <c r="DB24" s="542">
        <v>0</v>
      </c>
      <c r="DC24" s="542">
        <v>0</v>
      </c>
      <c r="DD24" s="542">
        <v>0</v>
      </c>
      <c r="DE24" s="542">
        <v>0</v>
      </c>
      <c r="DF24" s="542">
        <v>0</v>
      </c>
      <c r="DG24" s="542"/>
      <c r="DH24" s="542">
        <v>0</v>
      </c>
      <c r="DI24" s="542"/>
      <c r="DJ24" s="542">
        <v>0</v>
      </c>
      <c r="DK24" s="542"/>
      <c r="DL24" s="542"/>
      <c r="DM24" s="542">
        <v>0</v>
      </c>
      <c r="DN24" s="542">
        <v>0</v>
      </c>
      <c r="DO24" s="542">
        <v>0</v>
      </c>
      <c r="DP24" s="542">
        <v>0</v>
      </c>
      <c r="DQ24" s="542">
        <v>0</v>
      </c>
      <c r="DR24" s="542">
        <v>0</v>
      </c>
      <c r="DS24" s="542">
        <v>0</v>
      </c>
      <c r="DT24" s="542">
        <v>0</v>
      </c>
      <c r="DU24" s="542">
        <v>0</v>
      </c>
      <c r="DV24" s="542">
        <v>-5532</v>
      </c>
      <c r="DW24" s="542">
        <v>0</v>
      </c>
      <c r="DX24" s="542">
        <v>-5532</v>
      </c>
      <c r="DY24" s="542">
        <v>-866519</v>
      </c>
      <c r="DZ24" s="542">
        <v>0</v>
      </c>
      <c r="EA24" s="542">
        <v>-866519</v>
      </c>
      <c r="EB24" s="542">
        <v>0</v>
      </c>
      <c r="EC24" s="542">
        <v>0</v>
      </c>
      <c r="ED24" s="542">
        <v>0</v>
      </c>
      <c r="EE24" s="542">
        <v>0</v>
      </c>
      <c r="EF24" s="542">
        <v>0</v>
      </c>
      <c r="EG24" s="542">
        <v>0</v>
      </c>
      <c r="EH24" s="542">
        <v>-872051</v>
      </c>
      <c r="EI24" s="542">
        <v>0</v>
      </c>
      <c r="EJ24" s="542">
        <v>-872051</v>
      </c>
      <c r="EK24" s="542">
        <v>0</v>
      </c>
      <c r="EL24" s="542">
        <v>0</v>
      </c>
      <c r="EM24" s="542">
        <v>0</v>
      </c>
      <c r="EN24" s="542">
        <v>0</v>
      </c>
      <c r="EO24" s="542">
        <v>0</v>
      </c>
      <c r="EP24" s="542">
        <v>0</v>
      </c>
      <c r="EQ24" s="542">
        <v>0</v>
      </c>
      <c r="ER24" s="542">
        <v>0</v>
      </c>
      <c r="ES24" s="542">
        <v>0</v>
      </c>
      <c r="ET24" s="542">
        <v>76976839</v>
      </c>
      <c r="EU24" s="542">
        <v>0</v>
      </c>
      <c r="EV24" s="542">
        <v>76976839</v>
      </c>
      <c r="EW24" s="542">
        <v>207797</v>
      </c>
      <c r="EX24" s="542">
        <v>0</v>
      </c>
      <c r="EY24" s="542">
        <v>207797</v>
      </c>
      <c r="EZ24" s="542">
        <v>-9177009</v>
      </c>
      <c r="FA24" s="542">
        <v>0</v>
      </c>
      <c r="FB24" s="542">
        <v>-9177009</v>
      </c>
      <c r="FC24" s="542">
        <v>-1131631</v>
      </c>
      <c r="FD24" s="542">
        <v>0</v>
      </c>
      <c r="FE24" s="542">
        <v>-1131631</v>
      </c>
      <c r="FF24" s="542">
        <v>0</v>
      </c>
      <c r="FG24" s="542">
        <v>0</v>
      </c>
      <c r="FH24" s="542">
        <v>0</v>
      </c>
      <c r="FI24" s="542">
        <v>-872051</v>
      </c>
      <c r="FJ24" s="542">
        <v>0</v>
      </c>
      <c r="FK24" s="542">
        <v>-872051</v>
      </c>
      <c r="FL24" s="542">
        <v>0</v>
      </c>
      <c r="FM24" s="542">
        <v>0</v>
      </c>
      <c r="FN24" s="542">
        <v>0</v>
      </c>
      <c r="FO24" s="542">
        <v>-10972894</v>
      </c>
      <c r="FP24" s="542">
        <v>0</v>
      </c>
      <c r="FQ24" s="542">
        <v>-10972894</v>
      </c>
      <c r="FR24" s="542">
        <v>66003945</v>
      </c>
      <c r="FS24" s="542">
        <v>0</v>
      </c>
      <c r="FT24" s="542">
        <v>66003945</v>
      </c>
    </row>
    <row r="25" spans="1:176" ht="12.75" x14ac:dyDescent="0.2">
      <c r="A25" s="93">
        <v>20</v>
      </c>
      <c r="B25" s="145" t="s">
        <v>599</v>
      </c>
      <c r="C25" s="604" t="s">
        <v>873</v>
      </c>
      <c r="D25" s="142" t="s">
        <v>876</v>
      </c>
      <c r="E25" s="149" t="s">
        <v>598</v>
      </c>
      <c r="F25" s="542">
        <v>-383810</v>
      </c>
      <c r="G25" s="542">
        <v>-3254</v>
      </c>
      <c r="H25" s="542">
        <v>-387064</v>
      </c>
      <c r="I25" s="542">
        <v>2053039</v>
      </c>
      <c r="J25" s="542">
        <v>0</v>
      </c>
      <c r="K25" s="542">
        <v>2053039</v>
      </c>
      <c r="L25" s="542">
        <v>552669</v>
      </c>
      <c r="M25" s="542">
        <v>2018</v>
      </c>
      <c r="N25" s="542">
        <v>554687</v>
      </c>
      <c r="O25" s="542">
        <v>2585121</v>
      </c>
      <c r="P25" s="542">
        <v>0</v>
      </c>
      <c r="Q25" s="542">
        <v>2585121</v>
      </c>
      <c r="R25" s="542">
        <v>4807019</v>
      </c>
      <c r="S25" s="542">
        <v>-1236</v>
      </c>
      <c r="T25" s="542">
        <v>4805783</v>
      </c>
      <c r="U25" s="542">
        <v>-21910677</v>
      </c>
      <c r="V25" s="542">
        <v>-193512</v>
      </c>
      <c r="W25" s="542">
        <v>-22104189</v>
      </c>
      <c r="X25" s="542">
        <v>-39636</v>
      </c>
      <c r="Y25" s="542">
        <v>0</v>
      </c>
      <c r="Z25" s="542">
        <v>-39636</v>
      </c>
      <c r="AA25" s="542">
        <v>-1751351</v>
      </c>
      <c r="AB25" s="542">
        <v>0</v>
      </c>
      <c r="AC25" s="542">
        <v>-1751351</v>
      </c>
      <c r="AD25" s="542">
        <v>-895743</v>
      </c>
      <c r="AE25" s="542">
        <v>0</v>
      </c>
      <c r="AF25" s="542">
        <v>-895743</v>
      </c>
      <c r="AG25" s="542">
        <v>9977468</v>
      </c>
      <c r="AH25" s="542">
        <v>95037</v>
      </c>
      <c r="AI25" s="542">
        <v>10072505</v>
      </c>
      <c r="AJ25" s="542">
        <v>388923</v>
      </c>
      <c r="AK25" s="542">
        <v>0</v>
      </c>
      <c r="AL25" s="542">
        <v>388923</v>
      </c>
      <c r="AM25" s="542">
        <v>-28265867</v>
      </c>
      <c r="AN25" s="542">
        <v>-436148</v>
      </c>
      <c r="AO25" s="542">
        <v>-28702015</v>
      </c>
      <c r="AP25" s="542">
        <v>-961622</v>
      </c>
      <c r="AQ25" s="542">
        <v>0</v>
      </c>
      <c r="AR25" s="542">
        <v>-961622</v>
      </c>
      <c r="AS25" s="542">
        <v>-132357</v>
      </c>
      <c r="AT25" s="542">
        <v>0</v>
      </c>
      <c r="AU25" s="542">
        <v>-132357</v>
      </c>
      <c r="AV25" s="542">
        <v>0</v>
      </c>
      <c r="AW25" s="542">
        <v>0</v>
      </c>
      <c r="AX25" s="542">
        <v>0</v>
      </c>
      <c r="AY25" s="542">
        <v>0</v>
      </c>
      <c r="AZ25" s="542">
        <v>0</v>
      </c>
      <c r="BA25" s="542">
        <v>0</v>
      </c>
      <c r="BB25" s="542">
        <v>0</v>
      </c>
      <c r="BC25" s="542">
        <v>0</v>
      </c>
      <c r="BD25" s="542">
        <v>0</v>
      </c>
      <c r="BE25" s="542">
        <v>-42655483</v>
      </c>
      <c r="BF25" s="542">
        <v>-534623</v>
      </c>
      <c r="BG25" s="542">
        <v>-43190106</v>
      </c>
      <c r="BH25" s="542">
        <v>-354111</v>
      </c>
      <c r="BI25" s="542">
        <v>0</v>
      </c>
      <c r="BJ25" s="542">
        <v>-354111</v>
      </c>
      <c r="BK25" s="542">
        <v>-213035</v>
      </c>
      <c r="BL25" s="542">
        <v>0</v>
      </c>
      <c r="BM25" s="542">
        <v>-213035</v>
      </c>
      <c r="BN25" s="542">
        <v>-25405914</v>
      </c>
      <c r="BO25" s="542">
        <v>-846200</v>
      </c>
      <c r="BP25" s="542">
        <v>-26252114</v>
      </c>
      <c r="BQ25" s="542">
        <v>1530906</v>
      </c>
      <c r="BR25" s="542">
        <v>0</v>
      </c>
      <c r="BS25" s="542">
        <v>1530906</v>
      </c>
      <c r="BT25" s="542">
        <v>-24442154</v>
      </c>
      <c r="BU25" s="542">
        <v>-846200</v>
      </c>
      <c r="BV25" s="542">
        <v>-25288354</v>
      </c>
      <c r="BW25" s="542">
        <v>-42025</v>
      </c>
      <c r="BX25" s="542">
        <v>0</v>
      </c>
      <c r="BY25" s="542">
        <v>-42025</v>
      </c>
      <c r="BZ25" s="542">
        <v>-8360</v>
      </c>
      <c r="CA25" s="542">
        <v>0</v>
      </c>
      <c r="CB25" s="542">
        <v>-8360</v>
      </c>
      <c r="CC25" s="542">
        <v>-489852</v>
      </c>
      <c r="CD25" s="542">
        <v>-4847</v>
      </c>
      <c r="CE25" s="542">
        <v>-494699</v>
      </c>
      <c r="CF25" s="542">
        <v>7773</v>
      </c>
      <c r="CG25" s="542">
        <v>0</v>
      </c>
      <c r="CH25" s="542">
        <v>7773</v>
      </c>
      <c r="CI25" s="542">
        <v>0</v>
      </c>
      <c r="CJ25" s="542">
        <v>0</v>
      </c>
      <c r="CK25" s="542">
        <v>0</v>
      </c>
      <c r="CL25" s="542">
        <v>0</v>
      </c>
      <c r="CM25" s="542">
        <v>0</v>
      </c>
      <c r="CN25" s="542">
        <v>0</v>
      </c>
      <c r="CO25" s="542">
        <v>0</v>
      </c>
      <c r="CP25" s="542">
        <v>0</v>
      </c>
      <c r="CQ25" s="542">
        <v>0</v>
      </c>
      <c r="CR25" s="542">
        <v>0</v>
      </c>
      <c r="CS25" s="542">
        <v>0</v>
      </c>
      <c r="CT25" s="542">
        <v>0</v>
      </c>
      <c r="CU25" s="542">
        <v>0</v>
      </c>
      <c r="CV25" s="542">
        <v>0</v>
      </c>
      <c r="CW25" s="542">
        <v>0</v>
      </c>
      <c r="CX25" s="542">
        <v>0</v>
      </c>
      <c r="CY25" s="542">
        <v>0</v>
      </c>
      <c r="CZ25" s="542">
        <v>0</v>
      </c>
      <c r="DA25" s="542">
        <v>0</v>
      </c>
      <c r="DB25" s="542">
        <v>-463004</v>
      </c>
      <c r="DC25" s="542">
        <v>-463004</v>
      </c>
      <c r="DD25" s="542">
        <v>0</v>
      </c>
      <c r="DE25" s="542">
        <v>-20588</v>
      </c>
      <c r="DF25" s="542">
        <v>-20588</v>
      </c>
      <c r="DG25" s="542"/>
      <c r="DH25" s="542">
        <v>-483592</v>
      </c>
      <c r="DI25" s="542"/>
      <c r="DJ25" s="542">
        <v>0</v>
      </c>
      <c r="DK25" s="542"/>
      <c r="DL25" s="542"/>
      <c r="DM25" s="542">
        <v>-532464</v>
      </c>
      <c r="DN25" s="542">
        <v>-488439</v>
      </c>
      <c r="DO25" s="542">
        <v>-1020903</v>
      </c>
      <c r="DP25" s="542">
        <v>-52172</v>
      </c>
      <c r="DQ25" s="542">
        <v>-5729</v>
      </c>
      <c r="DR25" s="542">
        <v>-57901</v>
      </c>
      <c r="DS25" s="542">
        <v>-2586</v>
      </c>
      <c r="DT25" s="542">
        <v>0</v>
      </c>
      <c r="DU25" s="542">
        <v>-2586</v>
      </c>
      <c r="DV25" s="542">
        <v>-20738</v>
      </c>
      <c r="DW25" s="542">
        <v>0</v>
      </c>
      <c r="DX25" s="542">
        <v>-20738</v>
      </c>
      <c r="DY25" s="542">
        <v>-2638828</v>
      </c>
      <c r="DZ25" s="542">
        <v>-16219</v>
      </c>
      <c r="EA25" s="542">
        <v>-2655047</v>
      </c>
      <c r="EB25" s="542">
        <v>0</v>
      </c>
      <c r="EC25" s="542">
        <v>0</v>
      </c>
      <c r="ED25" s="542">
        <v>0</v>
      </c>
      <c r="EE25" s="542">
        <v>0</v>
      </c>
      <c r="EF25" s="542">
        <v>0</v>
      </c>
      <c r="EG25" s="542">
        <v>0</v>
      </c>
      <c r="EH25" s="542">
        <v>-2714324</v>
      </c>
      <c r="EI25" s="542">
        <v>-21948</v>
      </c>
      <c r="EJ25" s="542">
        <v>-2736272</v>
      </c>
      <c r="EK25" s="542">
        <v>-324035</v>
      </c>
      <c r="EL25" s="542">
        <v>0</v>
      </c>
      <c r="EM25" s="542">
        <v>-324035</v>
      </c>
      <c r="EN25" s="542">
        <v>2997</v>
      </c>
      <c r="EO25" s="542">
        <v>0</v>
      </c>
      <c r="EP25" s="542">
        <v>2997</v>
      </c>
      <c r="EQ25" s="542">
        <v>-321038</v>
      </c>
      <c r="ER25" s="542">
        <v>0</v>
      </c>
      <c r="ES25" s="542">
        <v>-321038</v>
      </c>
      <c r="ET25" s="542">
        <v>471824284</v>
      </c>
      <c r="EU25" s="542">
        <v>6761662</v>
      </c>
      <c r="EV25" s="542">
        <v>478585946</v>
      </c>
      <c r="EW25" s="542">
        <v>4807019</v>
      </c>
      <c r="EX25" s="542">
        <v>-1236</v>
      </c>
      <c r="EY25" s="542">
        <v>4805783</v>
      </c>
      <c r="EZ25" s="542">
        <v>-42655483</v>
      </c>
      <c r="FA25" s="542">
        <v>-534623</v>
      </c>
      <c r="FB25" s="542">
        <v>-43190106</v>
      </c>
      <c r="FC25" s="542">
        <v>-24442154</v>
      </c>
      <c r="FD25" s="542">
        <v>-846200</v>
      </c>
      <c r="FE25" s="542">
        <v>-25288354</v>
      </c>
      <c r="FF25" s="542">
        <v>-532464</v>
      </c>
      <c r="FG25" s="542">
        <v>-488439</v>
      </c>
      <c r="FH25" s="542">
        <v>-1020903</v>
      </c>
      <c r="FI25" s="542">
        <v>-2714324</v>
      </c>
      <c r="FJ25" s="542">
        <v>-21948</v>
      </c>
      <c r="FK25" s="542">
        <v>-2736272</v>
      </c>
      <c r="FL25" s="542">
        <v>-321038</v>
      </c>
      <c r="FM25" s="542">
        <v>0</v>
      </c>
      <c r="FN25" s="542">
        <v>-321038</v>
      </c>
      <c r="FO25" s="542">
        <v>-65858444</v>
      </c>
      <c r="FP25" s="542">
        <v>-1892446</v>
      </c>
      <c r="FQ25" s="542">
        <v>-67750890</v>
      </c>
      <c r="FR25" s="542">
        <v>405965840</v>
      </c>
      <c r="FS25" s="542">
        <v>4869216</v>
      </c>
      <c r="FT25" s="542">
        <v>410835056</v>
      </c>
    </row>
    <row r="26" spans="1:176" ht="12.75" x14ac:dyDescent="0.2">
      <c r="A26" s="93">
        <v>21</v>
      </c>
      <c r="B26" s="145" t="s">
        <v>601</v>
      </c>
      <c r="C26" s="604" t="s">
        <v>866</v>
      </c>
      <c r="D26" s="142" t="s">
        <v>869</v>
      </c>
      <c r="E26" s="149" t="s">
        <v>600</v>
      </c>
      <c r="F26" s="542">
        <v>-13673</v>
      </c>
      <c r="G26" s="542">
        <v>0</v>
      </c>
      <c r="H26" s="542">
        <v>-13673</v>
      </c>
      <c r="I26" s="542">
        <v>195563</v>
      </c>
      <c r="J26" s="542">
        <v>0</v>
      </c>
      <c r="K26" s="542">
        <v>195563</v>
      </c>
      <c r="L26" s="542">
        <v>15690</v>
      </c>
      <c r="M26" s="542">
        <v>0</v>
      </c>
      <c r="N26" s="542">
        <v>15690</v>
      </c>
      <c r="O26" s="542">
        <v>70502</v>
      </c>
      <c r="P26" s="542">
        <v>0</v>
      </c>
      <c r="Q26" s="542">
        <v>70502</v>
      </c>
      <c r="R26" s="542">
        <v>268082</v>
      </c>
      <c r="S26" s="542">
        <v>0</v>
      </c>
      <c r="T26" s="542">
        <v>268082</v>
      </c>
      <c r="U26" s="542">
        <v>-1184062</v>
      </c>
      <c r="V26" s="542">
        <v>0</v>
      </c>
      <c r="W26" s="542">
        <v>-1184062</v>
      </c>
      <c r="X26" s="542">
        <v>-228</v>
      </c>
      <c r="Y26" s="542">
        <v>0</v>
      </c>
      <c r="Z26" s="542">
        <v>-228</v>
      </c>
      <c r="AA26" s="542">
        <v>-63931</v>
      </c>
      <c r="AB26" s="542">
        <v>0</v>
      </c>
      <c r="AC26" s="542">
        <v>-63931</v>
      </c>
      <c r="AD26" s="542">
        <v>-16803</v>
      </c>
      <c r="AE26" s="542">
        <v>0</v>
      </c>
      <c r="AF26" s="542">
        <v>-16803</v>
      </c>
      <c r="AG26" s="542">
        <v>946310</v>
      </c>
      <c r="AH26" s="542">
        <v>0</v>
      </c>
      <c r="AI26" s="542">
        <v>946310</v>
      </c>
      <c r="AJ26" s="542">
        <v>-10395</v>
      </c>
      <c r="AK26" s="542">
        <v>0</v>
      </c>
      <c r="AL26" s="542">
        <v>-10395</v>
      </c>
      <c r="AM26" s="542">
        <v>-847548</v>
      </c>
      <c r="AN26" s="542">
        <v>0</v>
      </c>
      <c r="AO26" s="542">
        <v>-847548</v>
      </c>
      <c r="AP26" s="542">
        <v>179837</v>
      </c>
      <c r="AQ26" s="542">
        <v>0</v>
      </c>
      <c r="AR26" s="542">
        <v>179837</v>
      </c>
      <c r="AS26" s="542">
        <v>-43347</v>
      </c>
      <c r="AT26" s="542">
        <v>0</v>
      </c>
      <c r="AU26" s="542">
        <v>-43347</v>
      </c>
      <c r="AV26" s="542">
        <v>0</v>
      </c>
      <c r="AW26" s="542">
        <v>0</v>
      </c>
      <c r="AX26" s="542">
        <v>0</v>
      </c>
      <c r="AY26" s="542">
        <v>0</v>
      </c>
      <c r="AZ26" s="542">
        <v>0</v>
      </c>
      <c r="BA26" s="542">
        <v>0</v>
      </c>
      <c r="BB26" s="542">
        <v>0</v>
      </c>
      <c r="BC26" s="542">
        <v>0</v>
      </c>
      <c r="BD26" s="542">
        <v>0</v>
      </c>
      <c r="BE26" s="542">
        <v>-1023136</v>
      </c>
      <c r="BF26" s="542">
        <v>0</v>
      </c>
      <c r="BG26" s="542">
        <v>-1023136</v>
      </c>
      <c r="BH26" s="542">
        <v>-23416</v>
      </c>
      <c r="BI26" s="542">
        <v>0</v>
      </c>
      <c r="BJ26" s="542">
        <v>-23416</v>
      </c>
      <c r="BK26" s="542">
        <v>-12656</v>
      </c>
      <c r="BL26" s="542">
        <v>0</v>
      </c>
      <c r="BM26" s="542">
        <v>-12656</v>
      </c>
      <c r="BN26" s="542">
        <v>-430433</v>
      </c>
      <c r="BO26" s="542">
        <v>0</v>
      </c>
      <c r="BP26" s="542">
        <v>-430433</v>
      </c>
      <c r="BQ26" s="542">
        <v>-101559</v>
      </c>
      <c r="BR26" s="542">
        <v>0</v>
      </c>
      <c r="BS26" s="542">
        <v>-101559</v>
      </c>
      <c r="BT26" s="542">
        <v>-568064</v>
      </c>
      <c r="BU26" s="542">
        <v>0</v>
      </c>
      <c r="BV26" s="542">
        <v>-568064</v>
      </c>
      <c r="BW26" s="542">
        <v>-47730</v>
      </c>
      <c r="BX26" s="542">
        <v>0</v>
      </c>
      <c r="BY26" s="542">
        <v>-47730</v>
      </c>
      <c r="BZ26" s="542">
        <v>0</v>
      </c>
      <c r="CA26" s="542">
        <v>0</v>
      </c>
      <c r="CB26" s="542">
        <v>0</v>
      </c>
      <c r="CC26" s="542">
        <v>-2743</v>
      </c>
      <c r="CD26" s="542">
        <v>0</v>
      </c>
      <c r="CE26" s="542">
        <v>-2743</v>
      </c>
      <c r="CF26" s="542">
        <v>0</v>
      </c>
      <c r="CG26" s="542">
        <v>0</v>
      </c>
      <c r="CH26" s="542">
        <v>0</v>
      </c>
      <c r="CI26" s="542">
        <v>-4303</v>
      </c>
      <c r="CJ26" s="542">
        <v>0</v>
      </c>
      <c r="CK26" s="542">
        <v>-4303</v>
      </c>
      <c r="CL26" s="542">
        <v>0</v>
      </c>
      <c r="CM26" s="542">
        <v>0</v>
      </c>
      <c r="CN26" s="542">
        <v>0</v>
      </c>
      <c r="CO26" s="542">
        <v>0</v>
      </c>
      <c r="CP26" s="542">
        <v>0</v>
      </c>
      <c r="CQ26" s="542">
        <v>0</v>
      </c>
      <c r="CR26" s="542">
        <v>0</v>
      </c>
      <c r="CS26" s="542">
        <v>0</v>
      </c>
      <c r="CT26" s="542">
        <v>0</v>
      </c>
      <c r="CU26" s="542">
        <v>0</v>
      </c>
      <c r="CV26" s="542">
        <v>0</v>
      </c>
      <c r="CW26" s="542">
        <v>0</v>
      </c>
      <c r="CX26" s="542">
        <v>0</v>
      </c>
      <c r="CY26" s="542">
        <v>0</v>
      </c>
      <c r="CZ26" s="542">
        <v>0</v>
      </c>
      <c r="DA26" s="542">
        <v>0</v>
      </c>
      <c r="DB26" s="542">
        <v>0</v>
      </c>
      <c r="DC26" s="542">
        <v>0</v>
      </c>
      <c r="DD26" s="542">
        <v>0</v>
      </c>
      <c r="DE26" s="542">
        <v>0</v>
      </c>
      <c r="DF26" s="542">
        <v>0</v>
      </c>
      <c r="DG26" s="542"/>
      <c r="DH26" s="542">
        <v>0</v>
      </c>
      <c r="DI26" s="542"/>
      <c r="DJ26" s="542">
        <v>0</v>
      </c>
      <c r="DK26" s="542"/>
      <c r="DL26" s="542"/>
      <c r="DM26" s="542">
        <v>-54776</v>
      </c>
      <c r="DN26" s="542">
        <v>0</v>
      </c>
      <c r="DO26" s="542">
        <v>-54776</v>
      </c>
      <c r="DP26" s="542">
        <v>0</v>
      </c>
      <c r="DQ26" s="542">
        <v>0</v>
      </c>
      <c r="DR26" s="542">
        <v>0</v>
      </c>
      <c r="DS26" s="542">
        <v>0</v>
      </c>
      <c r="DT26" s="542">
        <v>0</v>
      </c>
      <c r="DU26" s="542">
        <v>0</v>
      </c>
      <c r="DV26" s="542">
        <v>0</v>
      </c>
      <c r="DW26" s="542">
        <v>0</v>
      </c>
      <c r="DX26" s="542">
        <v>0</v>
      </c>
      <c r="DY26" s="542">
        <v>-70519</v>
      </c>
      <c r="DZ26" s="542">
        <v>0</v>
      </c>
      <c r="EA26" s="542">
        <v>-70519</v>
      </c>
      <c r="EB26" s="542">
        <v>0</v>
      </c>
      <c r="EC26" s="542">
        <v>0</v>
      </c>
      <c r="ED26" s="542">
        <v>0</v>
      </c>
      <c r="EE26" s="542">
        <v>0</v>
      </c>
      <c r="EF26" s="542">
        <v>0</v>
      </c>
      <c r="EG26" s="542">
        <v>0</v>
      </c>
      <c r="EH26" s="542">
        <v>-70519</v>
      </c>
      <c r="EI26" s="542">
        <v>0</v>
      </c>
      <c r="EJ26" s="542">
        <v>-70519</v>
      </c>
      <c r="EK26" s="542">
        <v>0</v>
      </c>
      <c r="EL26" s="542">
        <v>0</v>
      </c>
      <c r="EM26" s="542">
        <v>0</v>
      </c>
      <c r="EN26" s="542">
        <v>0</v>
      </c>
      <c r="EO26" s="542">
        <v>0</v>
      </c>
      <c r="EP26" s="542">
        <v>0</v>
      </c>
      <c r="EQ26" s="542">
        <v>0</v>
      </c>
      <c r="ER26" s="542">
        <v>0</v>
      </c>
      <c r="ES26" s="542">
        <v>0</v>
      </c>
      <c r="ET26" s="542">
        <v>43256608</v>
      </c>
      <c r="EU26" s="542">
        <v>0</v>
      </c>
      <c r="EV26" s="542">
        <v>43256608</v>
      </c>
      <c r="EW26" s="542">
        <v>268082</v>
      </c>
      <c r="EX26" s="542">
        <v>0</v>
      </c>
      <c r="EY26" s="542">
        <v>268082</v>
      </c>
      <c r="EZ26" s="542">
        <v>-1023136</v>
      </c>
      <c r="FA26" s="542">
        <v>0</v>
      </c>
      <c r="FB26" s="542">
        <v>-1023136</v>
      </c>
      <c r="FC26" s="542">
        <v>-568064</v>
      </c>
      <c r="FD26" s="542">
        <v>0</v>
      </c>
      <c r="FE26" s="542">
        <v>-568064</v>
      </c>
      <c r="FF26" s="542">
        <v>-54776</v>
      </c>
      <c r="FG26" s="542">
        <v>0</v>
      </c>
      <c r="FH26" s="542">
        <v>-54776</v>
      </c>
      <c r="FI26" s="542">
        <v>-70519</v>
      </c>
      <c r="FJ26" s="542">
        <v>0</v>
      </c>
      <c r="FK26" s="542">
        <v>-70519</v>
      </c>
      <c r="FL26" s="542">
        <v>0</v>
      </c>
      <c r="FM26" s="542">
        <v>0</v>
      </c>
      <c r="FN26" s="542">
        <v>0</v>
      </c>
      <c r="FO26" s="542">
        <v>-1448413</v>
      </c>
      <c r="FP26" s="542">
        <v>0</v>
      </c>
      <c r="FQ26" s="542">
        <v>-1448413</v>
      </c>
      <c r="FR26" s="542">
        <v>41808195</v>
      </c>
      <c r="FS26" s="542">
        <v>0</v>
      </c>
      <c r="FT26" s="542">
        <v>41808195</v>
      </c>
    </row>
    <row r="27" spans="1:176" ht="12.75" x14ac:dyDescent="0.2">
      <c r="A27" s="93">
        <v>22</v>
      </c>
      <c r="B27" s="145" t="s">
        <v>603</v>
      </c>
      <c r="C27" s="604" t="s">
        <v>770</v>
      </c>
      <c r="D27" s="142" t="s">
        <v>868</v>
      </c>
      <c r="E27" s="149" t="s">
        <v>689</v>
      </c>
      <c r="F27" s="542">
        <v>-109030</v>
      </c>
      <c r="G27" s="542">
        <v>0</v>
      </c>
      <c r="H27" s="542">
        <v>-109030</v>
      </c>
      <c r="I27" s="542">
        <v>0</v>
      </c>
      <c r="J27" s="542">
        <v>0</v>
      </c>
      <c r="K27" s="542">
        <v>0</v>
      </c>
      <c r="L27" s="542">
        <v>10737</v>
      </c>
      <c r="M27" s="542">
        <v>0</v>
      </c>
      <c r="N27" s="542">
        <v>10737</v>
      </c>
      <c r="O27" s="542">
        <v>1052777</v>
      </c>
      <c r="P27" s="542">
        <v>0</v>
      </c>
      <c r="Q27" s="542">
        <v>1052777</v>
      </c>
      <c r="R27" s="542">
        <v>954484</v>
      </c>
      <c r="S27" s="542">
        <v>0</v>
      </c>
      <c r="T27" s="542">
        <v>954484</v>
      </c>
      <c r="U27" s="542">
        <v>-4974523</v>
      </c>
      <c r="V27" s="542">
        <v>0</v>
      </c>
      <c r="W27" s="542">
        <v>-4974523</v>
      </c>
      <c r="X27" s="542">
        <v>-14256</v>
      </c>
      <c r="Y27" s="542">
        <v>0</v>
      </c>
      <c r="Z27" s="542">
        <v>-14256</v>
      </c>
      <c r="AA27" s="542">
        <v>-77830</v>
      </c>
      <c r="AB27" s="542">
        <v>0</v>
      </c>
      <c r="AC27" s="542">
        <v>-77830</v>
      </c>
      <c r="AD27" s="542">
        <v>-46569</v>
      </c>
      <c r="AE27" s="542">
        <v>0</v>
      </c>
      <c r="AF27" s="542">
        <v>-46569</v>
      </c>
      <c r="AG27" s="542">
        <v>1171908</v>
      </c>
      <c r="AH27" s="542">
        <v>0</v>
      </c>
      <c r="AI27" s="542">
        <v>1171908</v>
      </c>
      <c r="AJ27" s="542">
        <v>59426</v>
      </c>
      <c r="AK27" s="542">
        <v>0</v>
      </c>
      <c r="AL27" s="542">
        <v>59426</v>
      </c>
      <c r="AM27" s="542">
        <v>-3934316</v>
      </c>
      <c r="AN27" s="542">
        <v>0</v>
      </c>
      <c r="AO27" s="542">
        <v>-3934316</v>
      </c>
      <c r="AP27" s="542">
        <v>241938</v>
      </c>
      <c r="AQ27" s="542">
        <v>0</v>
      </c>
      <c r="AR27" s="542">
        <v>241938</v>
      </c>
      <c r="AS27" s="542">
        <v>-77311</v>
      </c>
      <c r="AT27" s="542">
        <v>0</v>
      </c>
      <c r="AU27" s="542">
        <v>-77311</v>
      </c>
      <c r="AV27" s="542">
        <v>0</v>
      </c>
      <c r="AW27" s="542">
        <v>0</v>
      </c>
      <c r="AX27" s="542">
        <v>0</v>
      </c>
      <c r="AY27" s="542">
        <v>-2736</v>
      </c>
      <c r="AZ27" s="542">
        <v>0</v>
      </c>
      <c r="BA27" s="542">
        <v>-2736</v>
      </c>
      <c r="BB27" s="542">
        <v>0</v>
      </c>
      <c r="BC27" s="542">
        <v>0</v>
      </c>
      <c r="BD27" s="542">
        <v>0</v>
      </c>
      <c r="BE27" s="542">
        <v>-7593444</v>
      </c>
      <c r="BF27" s="542">
        <v>0</v>
      </c>
      <c r="BG27" s="542">
        <v>-7593444</v>
      </c>
      <c r="BH27" s="542">
        <v>-97723</v>
      </c>
      <c r="BI27" s="542">
        <v>0</v>
      </c>
      <c r="BJ27" s="542">
        <v>-97723</v>
      </c>
      <c r="BK27" s="542">
        <v>-93711</v>
      </c>
      <c r="BL27" s="542">
        <v>0</v>
      </c>
      <c r="BM27" s="542">
        <v>-93711</v>
      </c>
      <c r="BN27" s="542">
        <v>-2891994</v>
      </c>
      <c r="BO27" s="542">
        <v>0</v>
      </c>
      <c r="BP27" s="542">
        <v>-2891994</v>
      </c>
      <c r="BQ27" s="542">
        <v>-278050</v>
      </c>
      <c r="BR27" s="542">
        <v>0</v>
      </c>
      <c r="BS27" s="542">
        <v>-278050</v>
      </c>
      <c r="BT27" s="542">
        <v>-3361478</v>
      </c>
      <c r="BU27" s="542">
        <v>0</v>
      </c>
      <c r="BV27" s="542">
        <v>-3361478</v>
      </c>
      <c r="BW27" s="542">
        <v>-23281</v>
      </c>
      <c r="BX27" s="542">
        <v>0</v>
      </c>
      <c r="BY27" s="542">
        <v>-23281</v>
      </c>
      <c r="BZ27" s="542">
        <v>-2263</v>
      </c>
      <c r="CA27" s="542">
        <v>0</v>
      </c>
      <c r="CB27" s="542">
        <v>-2263</v>
      </c>
      <c r="CC27" s="542">
        <v>-2216</v>
      </c>
      <c r="CD27" s="542">
        <v>0</v>
      </c>
      <c r="CE27" s="542">
        <v>-2216</v>
      </c>
      <c r="CF27" s="542">
        <v>9011</v>
      </c>
      <c r="CG27" s="542">
        <v>0</v>
      </c>
      <c r="CH27" s="542">
        <v>9011</v>
      </c>
      <c r="CI27" s="542">
        <v>-1368</v>
      </c>
      <c r="CJ27" s="542">
        <v>0</v>
      </c>
      <c r="CK27" s="542">
        <v>-1368</v>
      </c>
      <c r="CL27" s="542">
        <v>0</v>
      </c>
      <c r="CM27" s="542">
        <v>0</v>
      </c>
      <c r="CN27" s="542">
        <v>0</v>
      </c>
      <c r="CO27" s="542">
        <v>0</v>
      </c>
      <c r="CP27" s="542">
        <v>0</v>
      </c>
      <c r="CQ27" s="542">
        <v>0</v>
      </c>
      <c r="CR27" s="542">
        <v>0</v>
      </c>
      <c r="CS27" s="542">
        <v>0</v>
      </c>
      <c r="CT27" s="542">
        <v>0</v>
      </c>
      <c r="CU27" s="542">
        <v>0</v>
      </c>
      <c r="CV27" s="542">
        <v>0</v>
      </c>
      <c r="CW27" s="542">
        <v>0</v>
      </c>
      <c r="CX27" s="542">
        <v>0</v>
      </c>
      <c r="CY27" s="542">
        <v>0</v>
      </c>
      <c r="CZ27" s="542">
        <v>0</v>
      </c>
      <c r="DA27" s="542">
        <v>-13431</v>
      </c>
      <c r="DB27" s="542">
        <v>0</v>
      </c>
      <c r="DC27" s="542">
        <v>-13431</v>
      </c>
      <c r="DD27" s="542">
        <v>0</v>
      </c>
      <c r="DE27" s="542">
        <v>0</v>
      </c>
      <c r="DF27" s="542">
        <v>0</v>
      </c>
      <c r="DG27" s="542"/>
      <c r="DH27" s="542">
        <v>0</v>
      </c>
      <c r="DI27" s="542"/>
      <c r="DJ27" s="542">
        <v>0</v>
      </c>
      <c r="DK27" s="542"/>
      <c r="DL27" s="542"/>
      <c r="DM27" s="542">
        <v>-33548</v>
      </c>
      <c r="DN27" s="542">
        <v>0</v>
      </c>
      <c r="DO27" s="542">
        <v>-33548</v>
      </c>
      <c r="DP27" s="542">
        <v>-107</v>
      </c>
      <c r="DQ27" s="542">
        <v>0</v>
      </c>
      <c r="DR27" s="542">
        <v>-107</v>
      </c>
      <c r="DS27" s="542">
        <v>0</v>
      </c>
      <c r="DT27" s="542">
        <v>0</v>
      </c>
      <c r="DU27" s="542">
        <v>0</v>
      </c>
      <c r="DV27" s="542">
        <v>-45509</v>
      </c>
      <c r="DW27" s="542">
        <v>0</v>
      </c>
      <c r="DX27" s="542">
        <v>-45509</v>
      </c>
      <c r="DY27" s="542">
        <v>-495497</v>
      </c>
      <c r="DZ27" s="542">
        <v>0</v>
      </c>
      <c r="EA27" s="542">
        <v>-495497</v>
      </c>
      <c r="EB27" s="542">
        <v>0</v>
      </c>
      <c r="EC27" s="542">
        <v>0</v>
      </c>
      <c r="ED27" s="542">
        <v>0</v>
      </c>
      <c r="EE27" s="542">
        <v>0</v>
      </c>
      <c r="EF27" s="542">
        <v>0</v>
      </c>
      <c r="EG27" s="542">
        <v>0</v>
      </c>
      <c r="EH27" s="542">
        <v>-541113</v>
      </c>
      <c r="EI27" s="542">
        <v>0</v>
      </c>
      <c r="EJ27" s="542">
        <v>-541113</v>
      </c>
      <c r="EK27" s="542">
        <v>0</v>
      </c>
      <c r="EL27" s="542">
        <v>0</v>
      </c>
      <c r="EM27" s="542">
        <v>0</v>
      </c>
      <c r="EN27" s="542">
        <v>0</v>
      </c>
      <c r="EO27" s="542">
        <v>0</v>
      </c>
      <c r="EP27" s="542">
        <v>0</v>
      </c>
      <c r="EQ27" s="542">
        <v>0</v>
      </c>
      <c r="ER27" s="542">
        <v>0</v>
      </c>
      <c r="ES27" s="542">
        <v>0</v>
      </c>
      <c r="ET27" s="542">
        <v>58430716</v>
      </c>
      <c r="EU27" s="542">
        <v>0</v>
      </c>
      <c r="EV27" s="542">
        <v>58430716</v>
      </c>
      <c r="EW27" s="542">
        <v>954484</v>
      </c>
      <c r="EX27" s="542">
        <v>0</v>
      </c>
      <c r="EY27" s="542">
        <v>954484</v>
      </c>
      <c r="EZ27" s="542">
        <v>-7593444</v>
      </c>
      <c r="FA27" s="542">
        <v>0</v>
      </c>
      <c r="FB27" s="542">
        <v>-7593444</v>
      </c>
      <c r="FC27" s="542">
        <v>-3361478</v>
      </c>
      <c r="FD27" s="542">
        <v>0</v>
      </c>
      <c r="FE27" s="542">
        <v>-3361478</v>
      </c>
      <c r="FF27" s="542">
        <v>-33548</v>
      </c>
      <c r="FG27" s="542">
        <v>0</v>
      </c>
      <c r="FH27" s="542">
        <v>-33548</v>
      </c>
      <c r="FI27" s="542">
        <v>-541113</v>
      </c>
      <c r="FJ27" s="542">
        <v>0</v>
      </c>
      <c r="FK27" s="542">
        <v>-541113</v>
      </c>
      <c r="FL27" s="542">
        <v>0</v>
      </c>
      <c r="FM27" s="542">
        <v>0</v>
      </c>
      <c r="FN27" s="542">
        <v>0</v>
      </c>
      <c r="FO27" s="542">
        <v>-10575099</v>
      </c>
      <c r="FP27" s="542">
        <v>0</v>
      </c>
      <c r="FQ27" s="542">
        <v>-10575099</v>
      </c>
      <c r="FR27" s="542">
        <v>47855617</v>
      </c>
      <c r="FS27" s="542">
        <v>0</v>
      </c>
      <c r="FT27" s="542">
        <v>47855617</v>
      </c>
    </row>
    <row r="28" spans="1:176" ht="12.75" x14ac:dyDescent="0.2">
      <c r="A28" s="93">
        <v>23</v>
      </c>
      <c r="B28" s="145" t="s">
        <v>605</v>
      </c>
      <c r="C28" s="604" t="s">
        <v>770</v>
      </c>
      <c r="D28" s="142" t="s">
        <v>868</v>
      </c>
      <c r="E28" s="149" t="s">
        <v>690</v>
      </c>
      <c r="F28" s="542">
        <v>-67005</v>
      </c>
      <c r="G28" s="542">
        <v>0</v>
      </c>
      <c r="H28" s="542">
        <v>-67005</v>
      </c>
      <c r="I28" s="542">
        <v>372439</v>
      </c>
      <c r="J28" s="542">
        <v>0</v>
      </c>
      <c r="K28" s="542">
        <v>372439</v>
      </c>
      <c r="L28" s="542">
        <v>17523</v>
      </c>
      <c r="M28" s="542">
        <v>0</v>
      </c>
      <c r="N28" s="542">
        <v>17523</v>
      </c>
      <c r="O28" s="542">
        <v>742648</v>
      </c>
      <c r="P28" s="542">
        <v>0</v>
      </c>
      <c r="Q28" s="542">
        <v>742648</v>
      </c>
      <c r="R28" s="542">
        <v>1065605</v>
      </c>
      <c r="S28" s="542">
        <v>0</v>
      </c>
      <c r="T28" s="542">
        <v>1065605</v>
      </c>
      <c r="U28" s="542">
        <v>-6118683</v>
      </c>
      <c r="V28" s="542">
        <v>0</v>
      </c>
      <c r="W28" s="542">
        <v>-6118683</v>
      </c>
      <c r="X28" s="542">
        <v>-2508</v>
      </c>
      <c r="Y28" s="542">
        <v>0</v>
      </c>
      <c r="Z28" s="542">
        <v>-2508</v>
      </c>
      <c r="AA28" s="542">
        <v>-295250</v>
      </c>
      <c r="AB28" s="542">
        <v>0</v>
      </c>
      <c r="AC28" s="542">
        <v>-295250</v>
      </c>
      <c r="AD28" s="542">
        <v>-130659</v>
      </c>
      <c r="AE28" s="542">
        <v>0</v>
      </c>
      <c r="AF28" s="542">
        <v>-130659</v>
      </c>
      <c r="AG28" s="542">
        <v>1162070</v>
      </c>
      <c r="AH28" s="542">
        <v>0</v>
      </c>
      <c r="AI28" s="542">
        <v>1162070</v>
      </c>
      <c r="AJ28" s="542">
        <v>-63246</v>
      </c>
      <c r="AK28" s="542">
        <v>0</v>
      </c>
      <c r="AL28" s="542">
        <v>-63246</v>
      </c>
      <c r="AM28" s="542">
        <v>-2332302</v>
      </c>
      <c r="AN28" s="542">
        <v>0</v>
      </c>
      <c r="AO28" s="542">
        <v>-2332302</v>
      </c>
      <c r="AP28" s="542">
        <v>61590</v>
      </c>
      <c r="AQ28" s="542">
        <v>0</v>
      </c>
      <c r="AR28" s="542">
        <v>61590</v>
      </c>
      <c r="AS28" s="542">
        <v>0</v>
      </c>
      <c r="AT28" s="542">
        <v>0</v>
      </c>
      <c r="AU28" s="542">
        <v>0</v>
      </c>
      <c r="AV28" s="542">
        <v>0</v>
      </c>
      <c r="AW28" s="542">
        <v>0</v>
      </c>
      <c r="AX28" s="542">
        <v>0</v>
      </c>
      <c r="AY28" s="542">
        <v>0</v>
      </c>
      <c r="AZ28" s="542">
        <v>0</v>
      </c>
      <c r="BA28" s="542">
        <v>0</v>
      </c>
      <c r="BB28" s="542">
        <v>0</v>
      </c>
      <c r="BC28" s="542">
        <v>0</v>
      </c>
      <c r="BD28" s="542">
        <v>0</v>
      </c>
      <c r="BE28" s="542">
        <v>-7585821</v>
      </c>
      <c r="BF28" s="542">
        <v>0</v>
      </c>
      <c r="BG28" s="542">
        <v>-7585821</v>
      </c>
      <c r="BH28" s="542">
        <v>0</v>
      </c>
      <c r="BI28" s="542">
        <v>0</v>
      </c>
      <c r="BJ28" s="542">
        <v>0</v>
      </c>
      <c r="BK28" s="542">
        <v>1582</v>
      </c>
      <c r="BL28" s="542">
        <v>0</v>
      </c>
      <c r="BM28" s="542">
        <v>1582</v>
      </c>
      <c r="BN28" s="542">
        <v>-1899652</v>
      </c>
      <c r="BO28" s="542">
        <v>0</v>
      </c>
      <c r="BP28" s="542">
        <v>-1899652</v>
      </c>
      <c r="BQ28" s="542">
        <v>291029</v>
      </c>
      <c r="BR28" s="542">
        <v>0</v>
      </c>
      <c r="BS28" s="542">
        <v>291029</v>
      </c>
      <c r="BT28" s="542">
        <v>-1607041</v>
      </c>
      <c r="BU28" s="542">
        <v>0</v>
      </c>
      <c r="BV28" s="542">
        <v>-1607041</v>
      </c>
      <c r="BW28" s="542">
        <v>-5743</v>
      </c>
      <c r="BX28" s="542">
        <v>0</v>
      </c>
      <c r="BY28" s="542">
        <v>-5743</v>
      </c>
      <c r="BZ28" s="542">
        <v>0</v>
      </c>
      <c r="CA28" s="542">
        <v>0</v>
      </c>
      <c r="CB28" s="542">
        <v>0</v>
      </c>
      <c r="CC28" s="542">
        <v>-29648</v>
      </c>
      <c r="CD28" s="542">
        <v>0</v>
      </c>
      <c r="CE28" s="542">
        <v>-29648</v>
      </c>
      <c r="CF28" s="542">
        <v>0</v>
      </c>
      <c r="CG28" s="542">
        <v>0</v>
      </c>
      <c r="CH28" s="542">
        <v>0</v>
      </c>
      <c r="CI28" s="542">
        <v>0</v>
      </c>
      <c r="CJ28" s="542">
        <v>0</v>
      </c>
      <c r="CK28" s="542">
        <v>0</v>
      </c>
      <c r="CL28" s="542">
        <v>0</v>
      </c>
      <c r="CM28" s="542">
        <v>0</v>
      </c>
      <c r="CN28" s="542">
        <v>0</v>
      </c>
      <c r="CO28" s="542">
        <v>0</v>
      </c>
      <c r="CP28" s="542">
        <v>0</v>
      </c>
      <c r="CQ28" s="542">
        <v>0</v>
      </c>
      <c r="CR28" s="542">
        <v>0</v>
      </c>
      <c r="CS28" s="542">
        <v>0</v>
      </c>
      <c r="CT28" s="542">
        <v>0</v>
      </c>
      <c r="CU28" s="542">
        <v>0</v>
      </c>
      <c r="CV28" s="542">
        <v>0</v>
      </c>
      <c r="CW28" s="542">
        <v>0</v>
      </c>
      <c r="CX28" s="542">
        <v>0</v>
      </c>
      <c r="CY28" s="542">
        <v>0</v>
      </c>
      <c r="CZ28" s="542">
        <v>0</v>
      </c>
      <c r="DA28" s="542">
        <v>0</v>
      </c>
      <c r="DB28" s="542">
        <v>0</v>
      </c>
      <c r="DC28" s="542">
        <v>0</v>
      </c>
      <c r="DD28" s="542">
        <v>0</v>
      </c>
      <c r="DE28" s="542">
        <v>0</v>
      </c>
      <c r="DF28" s="542">
        <v>0</v>
      </c>
      <c r="DG28" s="542"/>
      <c r="DH28" s="542">
        <v>0</v>
      </c>
      <c r="DI28" s="542"/>
      <c r="DJ28" s="542">
        <v>0</v>
      </c>
      <c r="DK28" s="542"/>
      <c r="DL28" s="542"/>
      <c r="DM28" s="542">
        <v>-35391</v>
      </c>
      <c r="DN28" s="542">
        <v>0</v>
      </c>
      <c r="DO28" s="542">
        <v>-35391</v>
      </c>
      <c r="DP28" s="542">
        <v>-19911</v>
      </c>
      <c r="DQ28" s="542">
        <v>0</v>
      </c>
      <c r="DR28" s="542">
        <v>-19911</v>
      </c>
      <c r="DS28" s="542">
        <v>0</v>
      </c>
      <c r="DT28" s="542">
        <v>0</v>
      </c>
      <c r="DU28" s="542">
        <v>0</v>
      </c>
      <c r="DV28" s="542">
        <v>-83783</v>
      </c>
      <c r="DW28" s="542">
        <v>0</v>
      </c>
      <c r="DX28" s="542">
        <v>-83783</v>
      </c>
      <c r="DY28" s="542">
        <v>-638294</v>
      </c>
      <c r="DZ28" s="542">
        <v>0</v>
      </c>
      <c r="EA28" s="542">
        <v>-638294</v>
      </c>
      <c r="EB28" s="542">
        <v>-1397</v>
      </c>
      <c r="EC28" s="542">
        <v>0</v>
      </c>
      <c r="ED28" s="542">
        <v>-1397</v>
      </c>
      <c r="EE28" s="542">
        <v>-20710</v>
      </c>
      <c r="EF28" s="542">
        <v>0</v>
      </c>
      <c r="EG28" s="542">
        <v>-20710</v>
      </c>
      <c r="EH28" s="542">
        <v>-764095</v>
      </c>
      <c r="EI28" s="542">
        <v>0</v>
      </c>
      <c r="EJ28" s="542">
        <v>-764095</v>
      </c>
      <c r="EK28" s="542">
        <v>0</v>
      </c>
      <c r="EL28" s="542">
        <v>0</v>
      </c>
      <c r="EM28" s="542">
        <v>0</v>
      </c>
      <c r="EN28" s="542">
        <v>0</v>
      </c>
      <c r="EO28" s="542">
        <v>0</v>
      </c>
      <c r="EP28" s="542">
        <v>0</v>
      </c>
      <c r="EQ28" s="542">
        <v>0</v>
      </c>
      <c r="ER28" s="542">
        <v>0</v>
      </c>
      <c r="ES28" s="542">
        <v>0</v>
      </c>
      <c r="ET28" s="542">
        <v>58376421</v>
      </c>
      <c r="EU28" s="542">
        <v>0</v>
      </c>
      <c r="EV28" s="542">
        <v>58376421</v>
      </c>
      <c r="EW28" s="542">
        <v>1065605</v>
      </c>
      <c r="EX28" s="542">
        <v>0</v>
      </c>
      <c r="EY28" s="542">
        <v>1065605</v>
      </c>
      <c r="EZ28" s="542">
        <v>-7585821</v>
      </c>
      <c r="FA28" s="542">
        <v>0</v>
      </c>
      <c r="FB28" s="542">
        <v>-7585821</v>
      </c>
      <c r="FC28" s="542">
        <v>-1607041</v>
      </c>
      <c r="FD28" s="542">
        <v>0</v>
      </c>
      <c r="FE28" s="542">
        <v>-1607041</v>
      </c>
      <c r="FF28" s="542">
        <v>-35391</v>
      </c>
      <c r="FG28" s="542">
        <v>0</v>
      </c>
      <c r="FH28" s="542">
        <v>-35391</v>
      </c>
      <c r="FI28" s="542">
        <v>-764095</v>
      </c>
      <c r="FJ28" s="542">
        <v>0</v>
      </c>
      <c r="FK28" s="542">
        <v>-764095</v>
      </c>
      <c r="FL28" s="542">
        <v>0</v>
      </c>
      <c r="FM28" s="542">
        <v>0</v>
      </c>
      <c r="FN28" s="542">
        <v>0</v>
      </c>
      <c r="FO28" s="542">
        <v>-8926743</v>
      </c>
      <c r="FP28" s="542">
        <v>0</v>
      </c>
      <c r="FQ28" s="542">
        <v>-8926743</v>
      </c>
      <c r="FR28" s="542">
        <v>49449678</v>
      </c>
      <c r="FS28" s="542">
        <v>0</v>
      </c>
      <c r="FT28" s="542">
        <v>49449678</v>
      </c>
    </row>
    <row r="29" spans="1:176" ht="12.75" x14ac:dyDescent="0.2">
      <c r="A29" s="93">
        <v>24</v>
      </c>
      <c r="B29" s="145" t="s">
        <v>607</v>
      </c>
      <c r="C29" s="604" t="s">
        <v>866</v>
      </c>
      <c r="D29" s="142" t="s">
        <v>869</v>
      </c>
      <c r="E29" s="149" t="s">
        <v>606</v>
      </c>
      <c r="F29" s="542">
        <v>-33626</v>
      </c>
      <c r="G29" s="542">
        <v>0</v>
      </c>
      <c r="H29" s="542">
        <v>-33626</v>
      </c>
      <c r="I29" s="542">
        <v>12362</v>
      </c>
      <c r="J29" s="542">
        <v>0</v>
      </c>
      <c r="K29" s="542">
        <v>12362</v>
      </c>
      <c r="L29" s="542">
        <v>3531</v>
      </c>
      <c r="M29" s="542">
        <v>0</v>
      </c>
      <c r="N29" s="542">
        <v>3531</v>
      </c>
      <c r="O29" s="542">
        <v>78388</v>
      </c>
      <c r="P29" s="542">
        <v>0</v>
      </c>
      <c r="Q29" s="542">
        <v>78388</v>
      </c>
      <c r="R29" s="542">
        <v>60655</v>
      </c>
      <c r="S29" s="542">
        <v>0</v>
      </c>
      <c r="T29" s="542">
        <v>60655</v>
      </c>
      <c r="U29" s="542">
        <v>-1260170</v>
      </c>
      <c r="V29" s="542">
        <v>0</v>
      </c>
      <c r="W29" s="542">
        <v>-1260170</v>
      </c>
      <c r="X29" s="542">
        <v>-785</v>
      </c>
      <c r="Y29" s="542">
        <v>0</v>
      </c>
      <c r="Z29" s="542">
        <v>-785</v>
      </c>
      <c r="AA29" s="542">
        <v>-50295</v>
      </c>
      <c r="AB29" s="542">
        <v>0</v>
      </c>
      <c r="AC29" s="542">
        <v>-50295</v>
      </c>
      <c r="AD29" s="542">
        <v>-23723</v>
      </c>
      <c r="AE29" s="542">
        <v>0</v>
      </c>
      <c r="AF29" s="542">
        <v>-23723</v>
      </c>
      <c r="AG29" s="542">
        <v>515294</v>
      </c>
      <c r="AH29" s="542">
        <v>0</v>
      </c>
      <c r="AI29" s="542">
        <v>515294</v>
      </c>
      <c r="AJ29" s="542">
        <v>110</v>
      </c>
      <c r="AK29" s="542">
        <v>0</v>
      </c>
      <c r="AL29" s="542">
        <v>110</v>
      </c>
      <c r="AM29" s="542">
        <v>-557131</v>
      </c>
      <c r="AN29" s="542">
        <v>0</v>
      </c>
      <c r="AO29" s="542">
        <v>-557131</v>
      </c>
      <c r="AP29" s="542">
        <v>-84624</v>
      </c>
      <c r="AQ29" s="542">
        <v>0</v>
      </c>
      <c r="AR29" s="542">
        <v>-84624</v>
      </c>
      <c r="AS29" s="542">
        <v>0</v>
      </c>
      <c r="AT29" s="542">
        <v>0</v>
      </c>
      <c r="AU29" s="542">
        <v>0</v>
      </c>
      <c r="AV29" s="542">
        <v>0</v>
      </c>
      <c r="AW29" s="542">
        <v>0</v>
      </c>
      <c r="AX29" s="542">
        <v>0</v>
      </c>
      <c r="AY29" s="542">
        <v>-10094</v>
      </c>
      <c r="AZ29" s="542">
        <v>0</v>
      </c>
      <c r="BA29" s="542">
        <v>-10094</v>
      </c>
      <c r="BB29" s="542">
        <v>0</v>
      </c>
      <c r="BC29" s="542">
        <v>0</v>
      </c>
      <c r="BD29" s="542">
        <v>0</v>
      </c>
      <c r="BE29" s="542">
        <v>-1446910</v>
      </c>
      <c r="BF29" s="542">
        <v>0</v>
      </c>
      <c r="BG29" s="542">
        <v>-1446910</v>
      </c>
      <c r="BH29" s="542">
        <v>-118459</v>
      </c>
      <c r="BI29" s="542">
        <v>0</v>
      </c>
      <c r="BJ29" s="542">
        <v>-118459</v>
      </c>
      <c r="BK29" s="542">
        <v>-70657</v>
      </c>
      <c r="BL29" s="542">
        <v>0</v>
      </c>
      <c r="BM29" s="542">
        <v>-70657</v>
      </c>
      <c r="BN29" s="542">
        <v>-556401</v>
      </c>
      <c r="BO29" s="542">
        <v>0</v>
      </c>
      <c r="BP29" s="542">
        <v>-556401</v>
      </c>
      <c r="BQ29" s="542">
        <v>15799</v>
      </c>
      <c r="BR29" s="542">
        <v>0</v>
      </c>
      <c r="BS29" s="542">
        <v>15799</v>
      </c>
      <c r="BT29" s="542">
        <v>-729718</v>
      </c>
      <c r="BU29" s="542">
        <v>0</v>
      </c>
      <c r="BV29" s="542">
        <v>-729718</v>
      </c>
      <c r="BW29" s="542">
        <v>0</v>
      </c>
      <c r="BX29" s="542">
        <v>0</v>
      </c>
      <c r="BY29" s="542">
        <v>0</v>
      </c>
      <c r="BZ29" s="542">
        <v>0</v>
      </c>
      <c r="CA29" s="542">
        <v>0</v>
      </c>
      <c r="CB29" s="542">
        <v>0</v>
      </c>
      <c r="CC29" s="542">
        <v>-24362</v>
      </c>
      <c r="CD29" s="542">
        <v>0</v>
      </c>
      <c r="CE29" s="542">
        <v>-24362</v>
      </c>
      <c r="CF29" s="542">
        <v>1524</v>
      </c>
      <c r="CG29" s="542">
        <v>0</v>
      </c>
      <c r="CH29" s="542">
        <v>1524</v>
      </c>
      <c r="CI29" s="542">
        <v>0</v>
      </c>
      <c r="CJ29" s="542">
        <v>0</v>
      </c>
      <c r="CK29" s="542">
        <v>0</v>
      </c>
      <c r="CL29" s="542">
        <v>0</v>
      </c>
      <c r="CM29" s="542">
        <v>0</v>
      </c>
      <c r="CN29" s="542">
        <v>0</v>
      </c>
      <c r="CO29" s="542">
        <v>0</v>
      </c>
      <c r="CP29" s="542">
        <v>0</v>
      </c>
      <c r="CQ29" s="542">
        <v>0</v>
      </c>
      <c r="CR29" s="542">
        <v>0</v>
      </c>
      <c r="CS29" s="542">
        <v>0</v>
      </c>
      <c r="CT29" s="542">
        <v>0</v>
      </c>
      <c r="CU29" s="542">
        <v>0</v>
      </c>
      <c r="CV29" s="542">
        <v>0</v>
      </c>
      <c r="CW29" s="542">
        <v>0</v>
      </c>
      <c r="CX29" s="542">
        <v>0</v>
      </c>
      <c r="CY29" s="542">
        <v>0</v>
      </c>
      <c r="CZ29" s="542">
        <v>0</v>
      </c>
      <c r="DA29" s="542">
        <v>0</v>
      </c>
      <c r="DB29" s="542">
        <v>0</v>
      </c>
      <c r="DC29" s="542">
        <v>0</v>
      </c>
      <c r="DD29" s="542">
        <v>0</v>
      </c>
      <c r="DE29" s="542">
        <v>0</v>
      </c>
      <c r="DF29" s="542">
        <v>0</v>
      </c>
      <c r="DG29" s="542"/>
      <c r="DH29" s="542">
        <v>0</v>
      </c>
      <c r="DI29" s="542"/>
      <c r="DJ29" s="542">
        <v>0</v>
      </c>
      <c r="DK29" s="542"/>
      <c r="DL29" s="542"/>
      <c r="DM29" s="542">
        <v>-22838</v>
      </c>
      <c r="DN29" s="542">
        <v>0</v>
      </c>
      <c r="DO29" s="542">
        <v>-22838</v>
      </c>
      <c r="DP29" s="542">
        <v>-196</v>
      </c>
      <c r="DQ29" s="542">
        <v>0</v>
      </c>
      <c r="DR29" s="542">
        <v>-196</v>
      </c>
      <c r="DS29" s="542">
        <v>0</v>
      </c>
      <c r="DT29" s="542">
        <v>0</v>
      </c>
      <c r="DU29" s="542">
        <v>0</v>
      </c>
      <c r="DV29" s="542">
        <v>0</v>
      </c>
      <c r="DW29" s="542">
        <v>0</v>
      </c>
      <c r="DX29" s="542">
        <v>0</v>
      </c>
      <c r="DY29" s="542">
        <v>-141595</v>
      </c>
      <c r="DZ29" s="542">
        <v>0</v>
      </c>
      <c r="EA29" s="542">
        <v>-141595</v>
      </c>
      <c r="EB29" s="542">
        <v>0</v>
      </c>
      <c r="EC29" s="542">
        <v>0</v>
      </c>
      <c r="ED29" s="542">
        <v>0</v>
      </c>
      <c r="EE29" s="542">
        <v>0</v>
      </c>
      <c r="EF29" s="542">
        <v>0</v>
      </c>
      <c r="EG29" s="542">
        <v>0</v>
      </c>
      <c r="EH29" s="542">
        <v>-141791</v>
      </c>
      <c r="EI29" s="542">
        <v>0</v>
      </c>
      <c r="EJ29" s="542">
        <v>-141791</v>
      </c>
      <c r="EK29" s="542">
        <v>0</v>
      </c>
      <c r="EL29" s="542">
        <v>0</v>
      </c>
      <c r="EM29" s="542">
        <v>0</v>
      </c>
      <c r="EN29" s="542">
        <v>0</v>
      </c>
      <c r="EO29" s="542">
        <v>0</v>
      </c>
      <c r="EP29" s="542">
        <v>0</v>
      </c>
      <c r="EQ29" s="542">
        <v>0</v>
      </c>
      <c r="ER29" s="542">
        <v>0</v>
      </c>
      <c r="ES29" s="542">
        <v>0</v>
      </c>
      <c r="ET29" s="542">
        <v>25757239</v>
      </c>
      <c r="EU29" s="542">
        <v>0</v>
      </c>
      <c r="EV29" s="542">
        <v>25757239</v>
      </c>
      <c r="EW29" s="542">
        <v>60655</v>
      </c>
      <c r="EX29" s="542">
        <v>0</v>
      </c>
      <c r="EY29" s="542">
        <v>60655</v>
      </c>
      <c r="EZ29" s="542">
        <v>-1446910</v>
      </c>
      <c r="FA29" s="542">
        <v>0</v>
      </c>
      <c r="FB29" s="542">
        <v>-1446910</v>
      </c>
      <c r="FC29" s="542">
        <v>-729718</v>
      </c>
      <c r="FD29" s="542">
        <v>0</v>
      </c>
      <c r="FE29" s="542">
        <v>-729718</v>
      </c>
      <c r="FF29" s="542">
        <v>-22838</v>
      </c>
      <c r="FG29" s="542">
        <v>0</v>
      </c>
      <c r="FH29" s="542">
        <v>-22838</v>
      </c>
      <c r="FI29" s="542">
        <v>-141791</v>
      </c>
      <c r="FJ29" s="542">
        <v>0</v>
      </c>
      <c r="FK29" s="542">
        <v>-141791</v>
      </c>
      <c r="FL29" s="542">
        <v>0</v>
      </c>
      <c r="FM29" s="542">
        <v>0</v>
      </c>
      <c r="FN29" s="542">
        <v>0</v>
      </c>
      <c r="FO29" s="542">
        <v>-2280602</v>
      </c>
      <c r="FP29" s="542">
        <v>0</v>
      </c>
      <c r="FQ29" s="542">
        <v>-2280602</v>
      </c>
      <c r="FR29" s="542">
        <v>23476637</v>
      </c>
      <c r="FS29" s="542">
        <v>0</v>
      </c>
      <c r="FT29" s="542">
        <v>23476637</v>
      </c>
    </row>
    <row r="30" spans="1:176" ht="12.75" x14ac:dyDescent="0.2">
      <c r="A30" s="93">
        <v>25</v>
      </c>
      <c r="B30" s="145" t="s">
        <v>609</v>
      </c>
      <c r="C30" s="604" t="s">
        <v>873</v>
      </c>
      <c r="D30" s="142" t="s">
        <v>868</v>
      </c>
      <c r="E30" s="149" t="s">
        <v>608</v>
      </c>
      <c r="F30" s="542">
        <v>-104400</v>
      </c>
      <c r="G30" s="542">
        <v>0</v>
      </c>
      <c r="H30" s="542">
        <v>-104400</v>
      </c>
      <c r="I30" s="542">
        <v>1496263</v>
      </c>
      <c r="J30" s="542">
        <v>0</v>
      </c>
      <c r="K30" s="542">
        <v>1496263</v>
      </c>
      <c r="L30" s="542">
        <v>59527</v>
      </c>
      <c r="M30" s="542">
        <v>0</v>
      </c>
      <c r="N30" s="542">
        <v>59527</v>
      </c>
      <c r="O30" s="542">
        <v>1075606</v>
      </c>
      <c r="P30" s="542">
        <v>0</v>
      </c>
      <c r="Q30" s="542">
        <v>1075606</v>
      </c>
      <c r="R30" s="542">
        <v>2526996</v>
      </c>
      <c r="S30" s="542">
        <v>0</v>
      </c>
      <c r="T30" s="542">
        <v>2526996</v>
      </c>
      <c r="U30" s="542">
        <v>-7569016</v>
      </c>
      <c r="V30" s="542">
        <v>0</v>
      </c>
      <c r="W30" s="542">
        <v>-7569016</v>
      </c>
      <c r="X30" s="542">
        <v>0</v>
      </c>
      <c r="Y30" s="542">
        <v>0</v>
      </c>
      <c r="Z30" s="542">
        <v>0</v>
      </c>
      <c r="AA30" s="542">
        <v>-186034</v>
      </c>
      <c r="AB30" s="542">
        <v>0</v>
      </c>
      <c r="AC30" s="542">
        <v>-186034</v>
      </c>
      <c r="AD30" s="542">
        <v>-112670</v>
      </c>
      <c r="AE30" s="542">
        <v>0</v>
      </c>
      <c r="AF30" s="542">
        <v>-112670</v>
      </c>
      <c r="AG30" s="542">
        <v>2089433</v>
      </c>
      <c r="AH30" s="542">
        <v>0</v>
      </c>
      <c r="AI30" s="542">
        <v>2089433</v>
      </c>
      <c r="AJ30" s="542">
        <v>-159709</v>
      </c>
      <c r="AK30" s="542">
        <v>0</v>
      </c>
      <c r="AL30" s="542">
        <v>-159709</v>
      </c>
      <c r="AM30" s="542">
        <v>-5899699</v>
      </c>
      <c r="AN30" s="542">
        <v>0</v>
      </c>
      <c r="AO30" s="542">
        <v>-5899699</v>
      </c>
      <c r="AP30" s="542">
        <v>105810</v>
      </c>
      <c r="AQ30" s="542">
        <v>0</v>
      </c>
      <c r="AR30" s="542">
        <v>105810</v>
      </c>
      <c r="AS30" s="542">
        <v>-102242</v>
      </c>
      <c r="AT30" s="542">
        <v>0</v>
      </c>
      <c r="AU30" s="542">
        <v>-102242</v>
      </c>
      <c r="AV30" s="542">
        <v>0</v>
      </c>
      <c r="AW30" s="542">
        <v>0</v>
      </c>
      <c r="AX30" s="542">
        <v>0</v>
      </c>
      <c r="AY30" s="542">
        <v>0</v>
      </c>
      <c r="AZ30" s="542">
        <v>0</v>
      </c>
      <c r="BA30" s="542">
        <v>0</v>
      </c>
      <c r="BB30" s="542">
        <v>0</v>
      </c>
      <c r="BC30" s="542">
        <v>0</v>
      </c>
      <c r="BD30" s="542">
        <v>0</v>
      </c>
      <c r="BE30" s="542">
        <v>-11721457</v>
      </c>
      <c r="BF30" s="542">
        <v>0</v>
      </c>
      <c r="BG30" s="542">
        <v>-11721457</v>
      </c>
      <c r="BH30" s="542">
        <v>-10173</v>
      </c>
      <c r="BI30" s="542">
        <v>0</v>
      </c>
      <c r="BJ30" s="542">
        <v>-10173</v>
      </c>
      <c r="BK30" s="542">
        <v>-35127</v>
      </c>
      <c r="BL30" s="542">
        <v>0</v>
      </c>
      <c r="BM30" s="542">
        <v>-35127</v>
      </c>
      <c r="BN30" s="542">
        <v>-4702355</v>
      </c>
      <c r="BO30" s="542">
        <v>0</v>
      </c>
      <c r="BP30" s="542">
        <v>-4702355</v>
      </c>
      <c r="BQ30" s="542">
        <v>204362</v>
      </c>
      <c r="BR30" s="542">
        <v>0</v>
      </c>
      <c r="BS30" s="542">
        <v>204362</v>
      </c>
      <c r="BT30" s="542">
        <v>-4543293</v>
      </c>
      <c r="BU30" s="542">
        <v>0</v>
      </c>
      <c r="BV30" s="542">
        <v>-4543293</v>
      </c>
      <c r="BW30" s="542">
        <v>-643270</v>
      </c>
      <c r="BX30" s="542">
        <v>0</v>
      </c>
      <c r="BY30" s="542">
        <v>-643270</v>
      </c>
      <c r="BZ30" s="542">
        <v>26954</v>
      </c>
      <c r="CA30" s="542">
        <v>0</v>
      </c>
      <c r="CB30" s="542">
        <v>26954</v>
      </c>
      <c r="CC30" s="542">
        <v>-280079</v>
      </c>
      <c r="CD30" s="542">
        <v>0</v>
      </c>
      <c r="CE30" s="542">
        <v>-280079</v>
      </c>
      <c r="CF30" s="542">
        <v>-6023</v>
      </c>
      <c r="CG30" s="542">
        <v>0</v>
      </c>
      <c r="CH30" s="542">
        <v>-6023</v>
      </c>
      <c r="CI30" s="542">
        <v>-4377</v>
      </c>
      <c r="CJ30" s="542">
        <v>0</v>
      </c>
      <c r="CK30" s="542">
        <v>-4377</v>
      </c>
      <c r="CL30" s="542">
        <v>0</v>
      </c>
      <c r="CM30" s="542">
        <v>0</v>
      </c>
      <c r="CN30" s="542">
        <v>0</v>
      </c>
      <c r="CO30" s="542">
        <v>0</v>
      </c>
      <c r="CP30" s="542">
        <v>0</v>
      </c>
      <c r="CQ30" s="542">
        <v>0</v>
      </c>
      <c r="CR30" s="542">
        <v>0</v>
      </c>
      <c r="CS30" s="542">
        <v>0</v>
      </c>
      <c r="CT30" s="542">
        <v>0</v>
      </c>
      <c r="CU30" s="542">
        <v>0</v>
      </c>
      <c r="CV30" s="542">
        <v>0</v>
      </c>
      <c r="CW30" s="542">
        <v>0</v>
      </c>
      <c r="CX30" s="542">
        <v>0</v>
      </c>
      <c r="CY30" s="542">
        <v>0</v>
      </c>
      <c r="CZ30" s="542">
        <v>0</v>
      </c>
      <c r="DA30" s="542">
        <v>0</v>
      </c>
      <c r="DB30" s="542">
        <v>0</v>
      </c>
      <c r="DC30" s="542">
        <v>0</v>
      </c>
      <c r="DD30" s="542">
        <v>0</v>
      </c>
      <c r="DE30" s="542">
        <v>0</v>
      </c>
      <c r="DF30" s="542">
        <v>0</v>
      </c>
      <c r="DG30" s="542"/>
      <c r="DH30" s="542">
        <v>0</v>
      </c>
      <c r="DI30" s="542"/>
      <c r="DJ30" s="542">
        <v>0</v>
      </c>
      <c r="DK30" s="542"/>
      <c r="DL30" s="542"/>
      <c r="DM30" s="542">
        <v>-906795</v>
      </c>
      <c r="DN30" s="542">
        <v>0</v>
      </c>
      <c r="DO30" s="542">
        <v>-906795</v>
      </c>
      <c r="DP30" s="542">
        <v>-10081</v>
      </c>
      <c r="DQ30" s="542">
        <v>0</v>
      </c>
      <c r="DR30" s="542">
        <v>-10081</v>
      </c>
      <c r="DS30" s="542">
        <v>0</v>
      </c>
      <c r="DT30" s="542">
        <v>0</v>
      </c>
      <c r="DU30" s="542">
        <v>0</v>
      </c>
      <c r="DV30" s="542">
        <v>-108910</v>
      </c>
      <c r="DW30" s="542">
        <v>0</v>
      </c>
      <c r="DX30" s="542">
        <v>-108910</v>
      </c>
      <c r="DY30" s="542">
        <v>-1223777</v>
      </c>
      <c r="DZ30" s="542">
        <v>0</v>
      </c>
      <c r="EA30" s="542">
        <v>-1223777</v>
      </c>
      <c r="EB30" s="542">
        <v>0</v>
      </c>
      <c r="EC30" s="542">
        <v>0</v>
      </c>
      <c r="ED30" s="542">
        <v>0</v>
      </c>
      <c r="EE30" s="542">
        <v>0</v>
      </c>
      <c r="EF30" s="542">
        <v>0</v>
      </c>
      <c r="EG30" s="542">
        <v>0</v>
      </c>
      <c r="EH30" s="542">
        <v>-1342768</v>
      </c>
      <c r="EI30" s="542">
        <v>0</v>
      </c>
      <c r="EJ30" s="542">
        <v>-1342768</v>
      </c>
      <c r="EK30" s="542">
        <v>0</v>
      </c>
      <c r="EL30" s="542">
        <v>0</v>
      </c>
      <c r="EM30" s="542">
        <v>0</v>
      </c>
      <c r="EN30" s="542">
        <v>0</v>
      </c>
      <c r="EO30" s="542">
        <v>0</v>
      </c>
      <c r="EP30" s="542">
        <v>0</v>
      </c>
      <c r="EQ30" s="542">
        <v>0</v>
      </c>
      <c r="ER30" s="542">
        <v>0</v>
      </c>
      <c r="ES30" s="542">
        <v>0</v>
      </c>
      <c r="ET30" s="542">
        <v>97641318</v>
      </c>
      <c r="EU30" s="542">
        <v>0</v>
      </c>
      <c r="EV30" s="542">
        <v>97641318</v>
      </c>
      <c r="EW30" s="542">
        <v>2526996</v>
      </c>
      <c r="EX30" s="542">
        <v>0</v>
      </c>
      <c r="EY30" s="542">
        <v>2526996</v>
      </c>
      <c r="EZ30" s="542">
        <v>-11721457</v>
      </c>
      <c r="FA30" s="542">
        <v>0</v>
      </c>
      <c r="FB30" s="542">
        <v>-11721457</v>
      </c>
      <c r="FC30" s="542">
        <v>-4543293</v>
      </c>
      <c r="FD30" s="542">
        <v>0</v>
      </c>
      <c r="FE30" s="542">
        <v>-4543293</v>
      </c>
      <c r="FF30" s="542">
        <v>-906795</v>
      </c>
      <c r="FG30" s="542">
        <v>0</v>
      </c>
      <c r="FH30" s="542">
        <v>-906795</v>
      </c>
      <c r="FI30" s="542">
        <v>-1342768</v>
      </c>
      <c r="FJ30" s="542">
        <v>0</v>
      </c>
      <c r="FK30" s="542">
        <v>-1342768</v>
      </c>
      <c r="FL30" s="542">
        <v>0</v>
      </c>
      <c r="FM30" s="542">
        <v>0</v>
      </c>
      <c r="FN30" s="542">
        <v>0</v>
      </c>
      <c r="FO30" s="542">
        <v>-15987317</v>
      </c>
      <c r="FP30" s="542">
        <v>0</v>
      </c>
      <c r="FQ30" s="542">
        <v>-15987317</v>
      </c>
      <c r="FR30" s="542">
        <v>81654001</v>
      </c>
      <c r="FS30" s="542">
        <v>0</v>
      </c>
      <c r="FT30" s="542">
        <v>81654001</v>
      </c>
    </row>
    <row r="31" spans="1:176" ht="12.75" x14ac:dyDescent="0.2">
      <c r="A31" s="93">
        <v>26</v>
      </c>
      <c r="B31" s="145" t="s">
        <v>611</v>
      </c>
      <c r="C31" s="604" t="s">
        <v>866</v>
      </c>
      <c r="D31" s="142" t="s">
        <v>869</v>
      </c>
      <c r="E31" s="149" t="s">
        <v>610</v>
      </c>
      <c r="F31" s="542">
        <v>-6344</v>
      </c>
      <c r="G31" s="542">
        <v>0</v>
      </c>
      <c r="H31" s="542">
        <v>-6344</v>
      </c>
      <c r="I31" s="542">
        <v>147285</v>
      </c>
      <c r="J31" s="542">
        <v>0</v>
      </c>
      <c r="K31" s="542">
        <v>147285</v>
      </c>
      <c r="L31" s="542">
        <v>154</v>
      </c>
      <c r="M31" s="542">
        <v>0</v>
      </c>
      <c r="N31" s="542">
        <v>154</v>
      </c>
      <c r="O31" s="542">
        <v>111766</v>
      </c>
      <c r="P31" s="542">
        <v>0</v>
      </c>
      <c r="Q31" s="542">
        <v>111766</v>
      </c>
      <c r="R31" s="542">
        <v>252861</v>
      </c>
      <c r="S31" s="542">
        <v>0</v>
      </c>
      <c r="T31" s="542">
        <v>252861</v>
      </c>
      <c r="U31" s="542">
        <v>-1413300</v>
      </c>
      <c r="V31" s="542">
        <v>0</v>
      </c>
      <c r="W31" s="542">
        <v>-1413300</v>
      </c>
      <c r="X31" s="542">
        <v>0</v>
      </c>
      <c r="Y31" s="542">
        <v>0</v>
      </c>
      <c r="Z31" s="542">
        <v>0</v>
      </c>
      <c r="AA31" s="542">
        <v>-111900</v>
      </c>
      <c r="AB31" s="542">
        <v>0</v>
      </c>
      <c r="AC31" s="542">
        <v>-111900</v>
      </c>
      <c r="AD31" s="542">
        <v>-39497</v>
      </c>
      <c r="AE31" s="542">
        <v>0</v>
      </c>
      <c r="AF31" s="542">
        <v>-39497</v>
      </c>
      <c r="AG31" s="542">
        <v>451525</v>
      </c>
      <c r="AH31" s="542">
        <v>0</v>
      </c>
      <c r="AI31" s="542">
        <v>451525</v>
      </c>
      <c r="AJ31" s="542">
        <v>-14090</v>
      </c>
      <c r="AK31" s="542">
        <v>0</v>
      </c>
      <c r="AL31" s="542">
        <v>-14090</v>
      </c>
      <c r="AM31" s="542">
        <v>-1389822</v>
      </c>
      <c r="AN31" s="542">
        <v>0</v>
      </c>
      <c r="AO31" s="542">
        <v>-1389822</v>
      </c>
      <c r="AP31" s="542">
        <v>11032</v>
      </c>
      <c r="AQ31" s="542">
        <v>0</v>
      </c>
      <c r="AR31" s="542">
        <v>11032</v>
      </c>
      <c r="AS31" s="542">
        <v>-59961</v>
      </c>
      <c r="AT31" s="542">
        <v>0</v>
      </c>
      <c r="AU31" s="542">
        <v>-59961</v>
      </c>
      <c r="AV31" s="542">
        <v>0</v>
      </c>
      <c r="AW31" s="542">
        <v>0</v>
      </c>
      <c r="AX31" s="542">
        <v>0</v>
      </c>
      <c r="AY31" s="542">
        <v>-20632</v>
      </c>
      <c r="AZ31" s="542">
        <v>0</v>
      </c>
      <c r="BA31" s="542">
        <v>-20632</v>
      </c>
      <c r="BB31" s="542">
        <v>444</v>
      </c>
      <c r="BC31" s="542">
        <v>0</v>
      </c>
      <c r="BD31" s="542">
        <v>444</v>
      </c>
      <c r="BE31" s="542">
        <v>-2546704</v>
      </c>
      <c r="BF31" s="542">
        <v>0</v>
      </c>
      <c r="BG31" s="542">
        <v>-2546704</v>
      </c>
      <c r="BH31" s="542">
        <v>0</v>
      </c>
      <c r="BI31" s="542">
        <v>0</v>
      </c>
      <c r="BJ31" s="542">
        <v>0</v>
      </c>
      <c r="BK31" s="542">
        <v>0</v>
      </c>
      <c r="BL31" s="542">
        <v>0</v>
      </c>
      <c r="BM31" s="542">
        <v>0</v>
      </c>
      <c r="BN31" s="542">
        <v>-968640</v>
      </c>
      <c r="BO31" s="542">
        <v>0</v>
      </c>
      <c r="BP31" s="542">
        <v>-968640</v>
      </c>
      <c r="BQ31" s="542">
        <v>-87233</v>
      </c>
      <c r="BR31" s="542">
        <v>0</v>
      </c>
      <c r="BS31" s="542">
        <v>-87233</v>
      </c>
      <c r="BT31" s="542">
        <v>-1055873</v>
      </c>
      <c r="BU31" s="542">
        <v>0</v>
      </c>
      <c r="BV31" s="542">
        <v>-1055873</v>
      </c>
      <c r="BW31" s="542">
        <v>-49251</v>
      </c>
      <c r="BX31" s="542">
        <v>0</v>
      </c>
      <c r="BY31" s="542">
        <v>-49251</v>
      </c>
      <c r="BZ31" s="542">
        <v>3091</v>
      </c>
      <c r="CA31" s="542">
        <v>0</v>
      </c>
      <c r="CB31" s="542">
        <v>3091</v>
      </c>
      <c r="CC31" s="542">
        <v>-15754</v>
      </c>
      <c r="CD31" s="542">
        <v>0</v>
      </c>
      <c r="CE31" s="542">
        <v>-15754</v>
      </c>
      <c r="CF31" s="542">
        <v>81835</v>
      </c>
      <c r="CG31" s="542">
        <v>0</v>
      </c>
      <c r="CH31" s="542">
        <v>81835</v>
      </c>
      <c r="CI31" s="542">
        <v>-11243</v>
      </c>
      <c r="CJ31" s="542">
        <v>0</v>
      </c>
      <c r="CK31" s="542">
        <v>-11243</v>
      </c>
      <c r="CL31" s="542">
        <v>0</v>
      </c>
      <c r="CM31" s="542">
        <v>0</v>
      </c>
      <c r="CN31" s="542">
        <v>0</v>
      </c>
      <c r="CO31" s="542">
        <v>-1624</v>
      </c>
      <c r="CP31" s="542">
        <v>0</v>
      </c>
      <c r="CQ31" s="542">
        <v>-1624</v>
      </c>
      <c r="CR31" s="542">
        <v>0</v>
      </c>
      <c r="CS31" s="542">
        <v>0</v>
      </c>
      <c r="CT31" s="542">
        <v>0</v>
      </c>
      <c r="CU31" s="542">
        <v>0</v>
      </c>
      <c r="CV31" s="542">
        <v>0</v>
      </c>
      <c r="CW31" s="542">
        <v>0</v>
      </c>
      <c r="CX31" s="542">
        <v>0</v>
      </c>
      <c r="CY31" s="542">
        <v>0</v>
      </c>
      <c r="CZ31" s="542">
        <v>0</v>
      </c>
      <c r="DA31" s="542">
        <v>0</v>
      </c>
      <c r="DB31" s="542">
        <v>0</v>
      </c>
      <c r="DC31" s="542">
        <v>0</v>
      </c>
      <c r="DD31" s="542">
        <v>0</v>
      </c>
      <c r="DE31" s="542">
        <v>0</v>
      </c>
      <c r="DF31" s="542">
        <v>0</v>
      </c>
      <c r="DG31" s="542"/>
      <c r="DH31" s="542">
        <v>0</v>
      </c>
      <c r="DI31" s="542"/>
      <c r="DJ31" s="542">
        <v>0</v>
      </c>
      <c r="DK31" s="542"/>
      <c r="DL31" s="542"/>
      <c r="DM31" s="542">
        <v>7054</v>
      </c>
      <c r="DN31" s="542">
        <v>0</v>
      </c>
      <c r="DO31" s="542">
        <v>7054</v>
      </c>
      <c r="DP31" s="542">
        <v>0</v>
      </c>
      <c r="DQ31" s="542">
        <v>0</v>
      </c>
      <c r="DR31" s="542">
        <v>0</v>
      </c>
      <c r="DS31" s="542">
        <v>0</v>
      </c>
      <c r="DT31" s="542">
        <v>0</v>
      </c>
      <c r="DU31" s="542">
        <v>0</v>
      </c>
      <c r="DV31" s="542">
        <v>-7687</v>
      </c>
      <c r="DW31" s="542">
        <v>0</v>
      </c>
      <c r="DX31" s="542">
        <v>-7687</v>
      </c>
      <c r="DY31" s="542">
        <v>-197249</v>
      </c>
      <c r="DZ31" s="542">
        <v>0</v>
      </c>
      <c r="EA31" s="542">
        <v>-197249</v>
      </c>
      <c r="EB31" s="542">
        <v>0</v>
      </c>
      <c r="EC31" s="542">
        <v>0</v>
      </c>
      <c r="ED31" s="542">
        <v>0</v>
      </c>
      <c r="EE31" s="542">
        <v>-31645</v>
      </c>
      <c r="EF31" s="542">
        <v>0</v>
      </c>
      <c r="EG31" s="542">
        <v>-31645</v>
      </c>
      <c r="EH31" s="542">
        <v>-236581</v>
      </c>
      <c r="EI31" s="542">
        <v>0</v>
      </c>
      <c r="EJ31" s="542">
        <v>-236581</v>
      </c>
      <c r="EK31" s="542">
        <v>0</v>
      </c>
      <c r="EL31" s="542">
        <v>0</v>
      </c>
      <c r="EM31" s="542">
        <v>0</v>
      </c>
      <c r="EN31" s="542">
        <v>-73402</v>
      </c>
      <c r="EO31" s="542">
        <v>0</v>
      </c>
      <c r="EP31" s="542">
        <v>-73402</v>
      </c>
      <c r="EQ31" s="542">
        <v>-73402</v>
      </c>
      <c r="ER31" s="542">
        <v>0</v>
      </c>
      <c r="ES31" s="542">
        <v>-73402</v>
      </c>
      <c r="ET31" s="542">
        <v>22388103</v>
      </c>
      <c r="EU31" s="542">
        <v>0</v>
      </c>
      <c r="EV31" s="542">
        <v>22388103</v>
      </c>
      <c r="EW31" s="542">
        <v>252861</v>
      </c>
      <c r="EX31" s="542">
        <v>0</v>
      </c>
      <c r="EY31" s="542">
        <v>252861</v>
      </c>
      <c r="EZ31" s="542">
        <v>-2546704</v>
      </c>
      <c r="FA31" s="542">
        <v>0</v>
      </c>
      <c r="FB31" s="542">
        <v>-2546704</v>
      </c>
      <c r="FC31" s="542">
        <v>-1055873</v>
      </c>
      <c r="FD31" s="542">
        <v>0</v>
      </c>
      <c r="FE31" s="542">
        <v>-1055873</v>
      </c>
      <c r="FF31" s="542">
        <v>7054</v>
      </c>
      <c r="FG31" s="542">
        <v>0</v>
      </c>
      <c r="FH31" s="542">
        <v>7054</v>
      </c>
      <c r="FI31" s="542">
        <v>-236581</v>
      </c>
      <c r="FJ31" s="542">
        <v>0</v>
      </c>
      <c r="FK31" s="542">
        <v>-236581</v>
      </c>
      <c r="FL31" s="542">
        <v>-73402</v>
      </c>
      <c r="FM31" s="542">
        <v>0</v>
      </c>
      <c r="FN31" s="542">
        <v>-73402</v>
      </c>
      <c r="FO31" s="542">
        <v>-3652645</v>
      </c>
      <c r="FP31" s="542">
        <v>0</v>
      </c>
      <c r="FQ31" s="542">
        <v>-3652645</v>
      </c>
      <c r="FR31" s="542">
        <v>18735458</v>
      </c>
      <c r="FS31" s="542">
        <v>0</v>
      </c>
      <c r="FT31" s="542">
        <v>18735458</v>
      </c>
    </row>
    <row r="32" spans="1:176" ht="12.75" x14ac:dyDescent="0.2">
      <c r="A32" s="93">
        <v>27</v>
      </c>
      <c r="B32" s="145" t="s">
        <v>613</v>
      </c>
      <c r="C32" s="604" t="s">
        <v>770</v>
      </c>
      <c r="D32" s="142" t="s">
        <v>875</v>
      </c>
      <c r="E32" s="149" t="s">
        <v>691</v>
      </c>
      <c r="F32" s="542">
        <v>-48681</v>
      </c>
      <c r="G32" s="542">
        <v>0</v>
      </c>
      <c r="H32" s="542">
        <v>-48681</v>
      </c>
      <c r="I32" s="542">
        <v>115149</v>
      </c>
      <c r="J32" s="542">
        <v>0</v>
      </c>
      <c r="K32" s="542">
        <v>115149</v>
      </c>
      <c r="L32" s="542">
        <v>108095</v>
      </c>
      <c r="M32" s="542">
        <v>0</v>
      </c>
      <c r="N32" s="542">
        <v>108095</v>
      </c>
      <c r="O32" s="542">
        <v>286561</v>
      </c>
      <c r="P32" s="542">
        <v>0</v>
      </c>
      <c r="Q32" s="542">
        <v>286561</v>
      </c>
      <c r="R32" s="542">
        <v>461124</v>
      </c>
      <c r="S32" s="542">
        <v>0</v>
      </c>
      <c r="T32" s="542">
        <v>461124</v>
      </c>
      <c r="U32" s="542">
        <v>-4475713</v>
      </c>
      <c r="V32" s="542">
        <v>0</v>
      </c>
      <c r="W32" s="542">
        <v>-4475713</v>
      </c>
      <c r="X32" s="542">
        <v>-28882</v>
      </c>
      <c r="Y32" s="542">
        <v>0</v>
      </c>
      <c r="Z32" s="542">
        <v>-28882</v>
      </c>
      <c r="AA32" s="542">
        <v>-121578</v>
      </c>
      <c r="AB32" s="542">
        <v>0</v>
      </c>
      <c r="AC32" s="542">
        <v>-121578</v>
      </c>
      <c r="AD32" s="542">
        <v>-47176</v>
      </c>
      <c r="AE32" s="542">
        <v>0</v>
      </c>
      <c r="AF32" s="542">
        <v>-47176</v>
      </c>
      <c r="AG32" s="542">
        <v>1549894</v>
      </c>
      <c r="AH32" s="542">
        <v>0</v>
      </c>
      <c r="AI32" s="542">
        <v>1549894</v>
      </c>
      <c r="AJ32" s="542">
        <v>-20415</v>
      </c>
      <c r="AK32" s="542">
        <v>0</v>
      </c>
      <c r="AL32" s="542">
        <v>-20415</v>
      </c>
      <c r="AM32" s="542">
        <v>-5074567</v>
      </c>
      <c r="AN32" s="542">
        <v>0</v>
      </c>
      <c r="AO32" s="542">
        <v>-5074567</v>
      </c>
      <c r="AP32" s="542">
        <v>65427</v>
      </c>
      <c r="AQ32" s="542">
        <v>0</v>
      </c>
      <c r="AR32" s="542">
        <v>65427</v>
      </c>
      <c r="AS32" s="542">
        <v>-111824</v>
      </c>
      <c r="AT32" s="542">
        <v>0</v>
      </c>
      <c r="AU32" s="542">
        <v>-111824</v>
      </c>
      <c r="AV32" s="542">
        <v>0</v>
      </c>
      <c r="AW32" s="542">
        <v>0</v>
      </c>
      <c r="AX32" s="542">
        <v>0</v>
      </c>
      <c r="AY32" s="542">
        <v>0</v>
      </c>
      <c r="AZ32" s="542">
        <v>0</v>
      </c>
      <c r="BA32" s="542">
        <v>0</v>
      </c>
      <c r="BB32" s="542">
        <v>0</v>
      </c>
      <c r="BC32" s="542">
        <v>0</v>
      </c>
      <c r="BD32" s="542">
        <v>0</v>
      </c>
      <c r="BE32" s="542">
        <v>-8188776</v>
      </c>
      <c r="BF32" s="542">
        <v>0</v>
      </c>
      <c r="BG32" s="542">
        <v>-8188776</v>
      </c>
      <c r="BH32" s="542">
        <v>0</v>
      </c>
      <c r="BI32" s="542">
        <v>0</v>
      </c>
      <c r="BJ32" s="542">
        <v>0</v>
      </c>
      <c r="BK32" s="542">
        <v>0</v>
      </c>
      <c r="BL32" s="542">
        <v>0</v>
      </c>
      <c r="BM32" s="542">
        <v>0</v>
      </c>
      <c r="BN32" s="542">
        <v>-2179068</v>
      </c>
      <c r="BO32" s="542">
        <v>0</v>
      </c>
      <c r="BP32" s="542">
        <v>-2179068</v>
      </c>
      <c r="BQ32" s="542">
        <v>80128</v>
      </c>
      <c r="BR32" s="542">
        <v>0</v>
      </c>
      <c r="BS32" s="542">
        <v>80128</v>
      </c>
      <c r="BT32" s="542">
        <v>-2098940</v>
      </c>
      <c r="BU32" s="542">
        <v>0</v>
      </c>
      <c r="BV32" s="542">
        <v>-2098940</v>
      </c>
      <c r="BW32" s="542">
        <v>-91512</v>
      </c>
      <c r="BX32" s="542">
        <v>0</v>
      </c>
      <c r="BY32" s="542">
        <v>-91512</v>
      </c>
      <c r="BZ32" s="542">
        <v>-939</v>
      </c>
      <c r="CA32" s="542">
        <v>0</v>
      </c>
      <c r="CB32" s="542">
        <v>-939</v>
      </c>
      <c r="CC32" s="542">
        <v>-24889</v>
      </c>
      <c r="CD32" s="542">
        <v>0</v>
      </c>
      <c r="CE32" s="542">
        <v>-24889</v>
      </c>
      <c r="CF32" s="542">
        <v>-2579</v>
      </c>
      <c r="CG32" s="542">
        <v>0</v>
      </c>
      <c r="CH32" s="542">
        <v>-2579</v>
      </c>
      <c r="CI32" s="542">
        <v>-4000</v>
      </c>
      <c r="CJ32" s="542">
        <v>0</v>
      </c>
      <c r="CK32" s="542">
        <v>-4000</v>
      </c>
      <c r="CL32" s="542">
        <v>0</v>
      </c>
      <c r="CM32" s="542">
        <v>0</v>
      </c>
      <c r="CN32" s="542">
        <v>0</v>
      </c>
      <c r="CO32" s="542">
        <v>0</v>
      </c>
      <c r="CP32" s="542">
        <v>0</v>
      </c>
      <c r="CQ32" s="542">
        <v>0</v>
      </c>
      <c r="CR32" s="542">
        <v>0</v>
      </c>
      <c r="CS32" s="542">
        <v>0</v>
      </c>
      <c r="CT32" s="542">
        <v>0</v>
      </c>
      <c r="CU32" s="542">
        <v>0</v>
      </c>
      <c r="CV32" s="542">
        <v>0</v>
      </c>
      <c r="CW32" s="542">
        <v>0</v>
      </c>
      <c r="CX32" s="542">
        <v>0</v>
      </c>
      <c r="CY32" s="542">
        <v>0</v>
      </c>
      <c r="CZ32" s="542">
        <v>0</v>
      </c>
      <c r="DA32" s="542">
        <v>0</v>
      </c>
      <c r="DB32" s="542">
        <v>0</v>
      </c>
      <c r="DC32" s="542">
        <v>0</v>
      </c>
      <c r="DD32" s="542">
        <v>0</v>
      </c>
      <c r="DE32" s="542">
        <v>0</v>
      </c>
      <c r="DF32" s="542">
        <v>0</v>
      </c>
      <c r="DG32" s="542"/>
      <c r="DH32" s="542">
        <v>0</v>
      </c>
      <c r="DI32" s="542"/>
      <c r="DJ32" s="542">
        <v>0</v>
      </c>
      <c r="DK32" s="542"/>
      <c r="DL32" s="542"/>
      <c r="DM32" s="542">
        <v>-123919</v>
      </c>
      <c r="DN32" s="542">
        <v>0</v>
      </c>
      <c r="DO32" s="542">
        <v>-123919</v>
      </c>
      <c r="DP32" s="542">
        <v>0</v>
      </c>
      <c r="DQ32" s="542">
        <v>0</v>
      </c>
      <c r="DR32" s="542">
        <v>0</v>
      </c>
      <c r="DS32" s="542">
        <v>0</v>
      </c>
      <c r="DT32" s="542">
        <v>0</v>
      </c>
      <c r="DU32" s="542">
        <v>0</v>
      </c>
      <c r="DV32" s="542">
        <v>-21443</v>
      </c>
      <c r="DW32" s="542">
        <v>0</v>
      </c>
      <c r="DX32" s="542">
        <v>-21443</v>
      </c>
      <c r="DY32" s="542">
        <v>-982029</v>
      </c>
      <c r="DZ32" s="542">
        <v>0</v>
      </c>
      <c r="EA32" s="542">
        <v>-982029</v>
      </c>
      <c r="EB32" s="542">
        <v>0</v>
      </c>
      <c r="EC32" s="542">
        <v>0</v>
      </c>
      <c r="ED32" s="542">
        <v>0</v>
      </c>
      <c r="EE32" s="542">
        <v>-1823</v>
      </c>
      <c r="EF32" s="542">
        <v>0</v>
      </c>
      <c r="EG32" s="542">
        <v>-1823</v>
      </c>
      <c r="EH32" s="542">
        <v>-1005295</v>
      </c>
      <c r="EI32" s="542">
        <v>0</v>
      </c>
      <c r="EJ32" s="542">
        <v>-1005295</v>
      </c>
      <c r="EK32" s="542">
        <v>0</v>
      </c>
      <c r="EL32" s="542">
        <v>0</v>
      </c>
      <c r="EM32" s="542">
        <v>0</v>
      </c>
      <c r="EN32" s="542">
        <v>0</v>
      </c>
      <c r="EO32" s="542">
        <v>0</v>
      </c>
      <c r="EP32" s="542">
        <v>0</v>
      </c>
      <c r="EQ32" s="542">
        <v>0</v>
      </c>
      <c r="ER32" s="542">
        <v>0</v>
      </c>
      <c r="ES32" s="542">
        <v>0</v>
      </c>
      <c r="ET32" s="542">
        <v>76901099</v>
      </c>
      <c r="EU32" s="542">
        <v>0</v>
      </c>
      <c r="EV32" s="542">
        <v>76901099</v>
      </c>
      <c r="EW32" s="542">
        <v>461124</v>
      </c>
      <c r="EX32" s="542">
        <v>0</v>
      </c>
      <c r="EY32" s="542">
        <v>461124</v>
      </c>
      <c r="EZ32" s="542">
        <v>-8188776</v>
      </c>
      <c r="FA32" s="542">
        <v>0</v>
      </c>
      <c r="FB32" s="542">
        <v>-8188776</v>
      </c>
      <c r="FC32" s="542">
        <v>-2098940</v>
      </c>
      <c r="FD32" s="542">
        <v>0</v>
      </c>
      <c r="FE32" s="542">
        <v>-2098940</v>
      </c>
      <c r="FF32" s="542">
        <v>-123919</v>
      </c>
      <c r="FG32" s="542">
        <v>0</v>
      </c>
      <c r="FH32" s="542">
        <v>-123919</v>
      </c>
      <c r="FI32" s="542">
        <v>-1005295</v>
      </c>
      <c r="FJ32" s="542">
        <v>0</v>
      </c>
      <c r="FK32" s="542">
        <v>-1005295</v>
      </c>
      <c r="FL32" s="542">
        <v>0</v>
      </c>
      <c r="FM32" s="542">
        <v>0</v>
      </c>
      <c r="FN32" s="542">
        <v>0</v>
      </c>
      <c r="FO32" s="542">
        <v>-10955806</v>
      </c>
      <c r="FP32" s="542">
        <v>0</v>
      </c>
      <c r="FQ32" s="542">
        <v>-10955806</v>
      </c>
      <c r="FR32" s="542">
        <v>65945293</v>
      </c>
      <c r="FS32" s="542">
        <v>0</v>
      </c>
      <c r="FT32" s="542">
        <v>65945293</v>
      </c>
    </row>
    <row r="33" spans="1:176" ht="12.75" x14ac:dyDescent="0.2">
      <c r="A33" s="93">
        <v>28</v>
      </c>
      <c r="B33" s="145" t="s">
        <v>615</v>
      </c>
      <c r="C33" s="604" t="s">
        <v>770</v>
      </c>
      <c r="D33" s="142" t="s">
        <v>867</v>
      </c>
      <c r="E33" s="149" t="s">
        <v>692</v>
      </c>
      <c r="F33" s="542">
        <v>-18318</v>
      </c>
      <c r="G33" s="542">
        <v>0</v>
      </c>
      <c r="H33" s="542">
        <v>-18318</v>
      </c>
      <c r="I33" s="542">
        <v>46047</v>
      </c>
      <c r="J33" s="542">
        <v>0</v>
      </c>
      <c r="K33" s="542">
        <v>46047</v>
      </c>
      <c r="L33" s="542">
        <v>10625</v>
      </c>
      <c r="M33" s="542">
        <v>0</v>
      </c>
      <c r="N33" s="542">
        <v>10625</v>
      </c>
      <c r="O33" s="542">
        <v>103247</v>
      </c>
      <c r="P33" s="542">
        <v>0</v>
      </c>
      <c r="Q33" s="542">
        <v>103247</v>
      </c>
      <c r="R33" s="542">
        <v>141601</v>
      </c>
      <c r="S33" s="542">
        <v>0</v>
      </c>
      <c r="T33" s="542">
        <v>141601</v>
      </c>
      <c r="U33" s="542">
        <v>-798150</v>
      </c>
      <c r="V33" s="542">
        <v>0</v>
      </c>
      <c r="W33" s="542">
        <v>-798150</v>
      </c>
      <c r="X33" s="542">
        <v>-216</v>
      </c>
      <c r="Y33" s="542">
        <v>0</v>
      </c>
      <c r="Z33" s="542">
        <v>-216</v>
      </c>
      <c r="AA33" s="542">
        <v>-39608</v>
      </c>
      <c r="AB33" s="542">
        <v>0</v>
      </c>
      <c r="AC33" s="542">
        <v>-39608</v>
      </c>
      <c r="AD33" s="542">
        <v>-15045</v>
      </c>
      <c r="AE33" s="542">
        <v>0</v>
      </c>
      <c r="AF33" s="542">
        <v>-15045</v>
      </c>
      <c r="AG33" s="542">
        <v>1785767</v>
      </c>
      <c r="AH33" s="542">
        <v>0</v>
      </c>
      <c r="AI33" s="542">
        <v>1785767</v>
      </c>
      <c r="AJ33" s="542">
        <v>23404</v>
      </c>
      <c r="AK33" s="542">
        <v>0</v>
      </c>
      <c r="AL33" s="542">
        <v>23404</v>
      </c>
      <c r="AM33" s="542">
        <v>-1811779</v>
      </c>
      <c r="AN33" s="542">
        <v>0</v>
      </c>
      <c r="AO33" s="542">
        <v>-1811779</v>
      </c>
      <c r="AP33" s="542">
        <v>7825</v>
      </c>
      <c r="AQ33" s="542">
        <v>0</v>
      </c>
      <c r="AR33" s="542">
        <v>7825</v>
      </c>
      <c r="AS33" s="542">
        <v>-3432</v>
      </c>
      <c r="AT33" s="542">
        <v>0</v>
      </c>
      <c r="AU33" s="542">
        <v>-3432</v>
      </c>
      <c r="AV33" s="542">
        <v>0</v>
      </c>
      <c r="AW33" s="542">
        <v>0</v>
      </c>
      <c r="AX33" s="542">
        <v>0</v>
      </c>
      <c r="AY33" s="542">
        <v>0</v>
      </c>
      <c r="AZ33" s="542">
        <v>0</v>
      </c>
      <c r="BA33" s="542">
        <v>0</v>
      </c>
      <c r="BB33" s="542">
        <v>0</v>
      </c>
      <c r="BC33" s="542">
        <v>0</v>
      </c>
      <c r="BD33" s="542">
        <v>0</v>
      </c>
      <c r="BE33" s="542">
        <v>-835973</v>
      </c>
      <c r="BF33" s="542">
        <v>0</v>
      </c>
      <c r="BG33" s="542">
        <v>-835973</v>
      </c>
      <c r="BH33" s="542">
        <v>-194922</v>
      </c>
      <c r="BI33" s="542">
        <v>0</v>
      </c>
      <c r="BJ33" s="542">
        <v>-194922</v>
      </c>
      <c r="BK33" s="542">
        <v>-19786</v>
      </c>
      <c r="BL33" s="542">
        <v>0</v>
      </c>
      <c r="BM33" s="542">
        <v>-19786</v>
      </c>
      <c r="BN33" s="542">
        <v>-2299433</v>
      </c>
      <c r="BO33" s="542">
        <v>0</v>
      </c>
      <c r="BP33" s="542">
        <v>-2299433</v>
      </c>
      <c r="BQ33" s="542">
        <v>-7364</v>
      </c>
      <c r="BR33" s="542">
        <v>0</v>
      </c>
      <c r="BS33" s="542">
        <v>-7364</v>
      </c>
      <c r="BT33" s="542">
        <v>-2521505</v>
      </c>
      <c r="BU33" s="542">
        <v>0</v>
      </c>
      <c r="BV33" s="542">
        <v>-2521505</v>
      </c>
      <c r="BW33" s="542">
        <v>-67787</v>
      </c>
      <c r="BX33" s="542">
        <v>0</v>
      </c>
      <c r="BY33" s="542">
        <v>-67787</v>
      </c>
      <c r="BZ33" s="542">
        <v>-649</v>
      </c>
      <c r="CA33" s="542">
        <v>0</v>
      </c>
      <c r="CB33" s="542">
        <v>-649</v>
      </c>
      <c r="CC33" s="542">
        <v>-47636</v>
      </c>
      <c r="CD33" s="542">
        <v>0</v>
      </c>
      <c r="CE33" s="542">
        <v>-47636</v>
      </c>
      <c r="CF33" s="542">
        <v>0</v>
      </c>
      <c r="CG33" s="542">
        <v>0</v>
      </c>
      <c r="CH33" s="542">
        <v>0</v>
      </c>
      <c r="CI33" s="542">
        <v>0</v>
      </c>
      <c r="CJ33" s="542">
        <v>0</v>
      </c>
      <c r="CK33" s="542">
        <v>0</v>
      </c>
      <c r="CL33" s="542">
        <v>0</v>
      </c>
      <c r="CM33" s="542">
        <v>0</v>
      </c>
      <c r="CN33" s="542">
        <v>0</v>
      </c>
      <c r="CO33" s="542">
        <v>0</v>
      </c>
      <c r="CP33" s="542">
        <v>0</v>
      </c>
      <c r="CQ33" s="542">
        <v>0</v>
      </c>
      <c r="CR33" s="542">
        <v>0</v>
      </c>
      <c r="CS33" s="542">
        <v>0</v>
      </c>
      <c r="CT33" s="542">
        <v>0</v>
      </c>
      <c r="CU33" s="542">
        <v>0</v>
      </c>
      <c r="CV33" s="542">
        <v>0</v>
      </c>
      <c r="CW33" s="542">
        <v>0</v>
      </c>
      <c r="CX33" s="542">
        <v>0</v>
      </c>
      <c r="CY33" s="542">
        <v>0</v>
      </c>
      <c r="CZ33" s="542">
        <v>0</v>
      </c>
      <c r="DA33" s="542">
        <v>0</v>
      </c>
      <c r="DB33" s="542">
        <v>0</v>
      </c>
      <c r="DC33" s="542">
        <v>0</v>
      </c>
      <c r="DD33" s="542">
        <v>0</v>
      </c>
      <c r="DE33" s="542">
        <v>0</v>
      </c>
      <c r="DF33" s="542">
        <v>0</v>
      </c>
      <c r="DG33" s="542"/>
      <c r="DH33" s="542">
        <v>0</v>
      </c>
      <c r="DI33" s="542"/>
      <c r="DJ33" s="542">
        <v>0</v>
      </c>
      <c r="DK33" s="542"/>
      <c r="DL33" s="542"/>
      <c r="DM33" s="542">
        <v>-116072</v>
      </c>
      <c r="DN33" s="542">
        <v>0</v>
      </c>
      <c r="DO33" s="542">
        <v>-116072</v>
      </c>
      <c r="DP33" s="542">
        <v>0</v>
      </c>
      <c r="DQ33" s="542">
        <v>0</v>
      </c>
      <c r="DR33" s="542">
        <v>0</v>
      </c>
      <c r="DS33" s="542">
        <v>0</v>
      </c>
      <c r="DT33" s="542">
        <v>0</v>
      </c>
      <c r="DU33" s="542">
        <v>0</v>
      </c>
      <c r="DV33" s="542">
        <v>-905</v>
      </c>
      <c r="DW33" s="542">
        <v>0</v>
      </c>
      <c r="DX33" s="542">
        <v>-905</v>
      </c>
      <c r="DY33" s="542">
        <v>-200904</v>
      </c>
      <c r="DZ33" s="542">
        <v>0</v>
      </c>
      <c r="EA33" s="542">
        <v>-200904</v>
      </c>
      <c r="EB33" s="542">
        <v>0</v>
      </c>
      <c r="EC33" s="542">
        <v>0</v>
      </c>
      <c r="ED33" s="542">
        <v>0</v>
      </c>
      <c r="EE33" s="542">
        <v>0</v>
      </c>
      <c r="EF33" s="542">
        <v>0</v>
      </c>
      <c r="EG33" s="542">
        <v>0</v>
      </c>
      <c r="EH33" s="542">
        <v>-201809</v>
      </c>
      <c r="EI33" s="542">
        <v>0</v>
      </c>
      <c r="EJ33" s="542">
        <v>-201809</v>
      </c>
      <c r="EK33" s="542">
        <v>0</v>
      </c>
      <c r="EL33" s="542">
        <v>0</v>
      </c>
      <c r="EM33" s="542">
        <v>0</v>
      </c>
      <c r="EN33" s="542">
        <v>0</v>
      </c>
      <c r="EO33" s="542">
        <v>0</v>
      </c>
      <c r="EP33" s="542">
        <v>0</v>
      </c>
      <c r="EQ33" s="542">
        <v>0</v>
      </c>
      <c r="ER33" s="542">
        <v>0</v>
      </c>
      <c r="ES33" s="542">
        <v>0</v>
      </c>
      <c r="ET33" s="542">
        <v>80701890</v>
      </c>
      <c r="EU33" s="542">
        <v>0</v>
      </c>
      <c r="EV33" s="542">
        <v>80701890</v>
      </c>
      <c r="EW33" s="542">
        <v>141601</v>
      </c>
      <c r="EX33" s="542">
        <v>0</v>
      </c>
      <c r="EY33" s="542">
        <v>141601</v>
      </c>
      <c r="EZ33" s="542">
        <v>-835973</v>
      </c>
      <c r="FA33" s="542">
        <v>0</v>
      </c>
      <c r="FB33" s="542">
        <v>-835973</v>
      </c>
      <c r="FC33" s="542">
        <v>-2521505</v>
      </c>
      <c r="FD33" s="542">
        <v>0</v>
      </c>
      <c r="FE33" s="542">
        <v>-2521505</v>
      </c>
      <c r="FF33" s="542">
        <v>-116072</v>
      </c>
      <c r="FG33" s="542">
        <v>0</v>
      </c>
      <c r="FH33" s="542">
        <v>-116072</v>
      </c>
      <c r="FI33" s="542">
        <v>-201809</v>
      </c>
      <c r="FJ33" s="542">
        <v>0</v>
      </c>
      <c r="FK33" s="542">
        <v>-201809</v>
      </c>
      <c r="FL33" s="542">
        <v>0</v>
      </c>
      <c r="FM33" s="542">
        <v>0</v>
      </c>
      <c r="FN33" s="542">
        <v>0</v>
      </c>
      <c r="FO33" s="542">
        <v>-3533758</v>
      </c>
      <c r="FP33" s="542">
        <v>0</v>
      </c>
      <c r="FQ33" s="542">
        <v>-3533758</v>
      </c>
      <c r="FR33" s="542">
        <v>77168132</v>
      </c>
      <c r="FS33" s="542">
        <v>0</v>
      </c>
      <c r="FT33" s="542">
        <v>77168132</v>
      </c>
    </row>
    <row r="34" spans="1:176" ht="12.75" x14ac:dyDescent="0.2">
      <c r="A34" s="93">
        <v>29</v>
      </c>
      <c r="B34" s="145" t="s">
        <v>617</v>
      </c>
      <c r="C34" s="604" t="s">
        <v>873</v>
      </c>
      <c r="D34" s="142" t="s">
        <v>874</v>
      </c>
      <c r="E34" s="149" t="s">
        <v>616</v>
      </c>
      <c r="F34" s="542">
        <v>-280300</v>
      </c>
      <c r="G34" s="542">
        <v>0</v>
      </c>
      <c r="H34" s="542">
        <v>-280300</v>
      </c>
      <c r="I34" s="542">
        <v>885636</v>
      </c>
      <c r="J34" s="542">
        <v>0</v>
      </c>
      <c r="K34" s="542">
        <v>885636</v>
      </c>
      <c r="L34" s="542">
        <v>41269</v>
      </c>
      <c r="M34" s="542">
        <v>0</v>
      </c>
      <c r="N34" s="542">
        <v>41269</v>
      </c>
      <c r="O34" s="542">
        <v>960817</v>
      </c>
      <c r="P34" s="542">
        <v>0</v>
      </c>
      <c r="Q34" s="542">
        <v>960817</v>
      </c>
      <c r="R34" s="542">
        <v>1607422</v>
      </c>
      <c r="S34" s="542">
        <v>0</v>
      </c>
      <c r="T34" s="542">
        <v>1607422</v>
      </c>
      <c r="U34" s="542">
        <v>-14694977</v>
      </c>
      <c r="V34" s="542">
        <v>0</v>
      </c>
      <c r="W34" s="542">
        <v>-14694977</v>
      </c>
      <c r="X34" s="542">
        <v>-39399</v>
      </c>
      <c r="Y34" s="542">
        <v>0</v>
      </c>
      <c r="Z34" s="542">
        <v>-39399</v>
      </c>
      <c r="AA34" s="542">
        <v>-508450</v>
      </c>
      <c r="AB34" s="542">
        <v>0</v>
      </c>
      <c r="AC34" s="542">
        <v>-508450</v>
      </c>
      <c r="AD34" s="542">
        <v>-26</v>
      </c>
      <c r="AE34" s="542">
        <v>0</v>
      </c>
      <c r="AF34" s="542">
        <v>-26</v>
      </c>
      <c r="AG34" s="542">
        <v>3414093</v>
      </c>
      <c r="AH34" s="542">
        <v>0</v>
      </c>
      <c r="AI34" s="542">
        <v>3414093</v>
      </c>
      <c r="AJ34" s="542">
        <v>-36464</v>
      </c>
      <c r="AK34" s="542">
        <v>0</v>
      </c>
      <c r="AL34" s="542">
        <v>-36464</v>
      </c>
      <c r="AM34" s="542">
        <v>-12442961</v>
      </c>
      <c r="AN34" s="542">
        <v>0</v>
      </c>
      <c r="AO34" s="542">
        <v>-12442961</v>
      </c>
      <c r="AP34" s="542">
        <v>142685</v>
      </c>
      <c r="AQ34" s="542">
        <v>0</v>
      </c>
      <c r="AR34" s="542">
        <v>142685</v>
      </c>
      <c r="AS34" s="542">
        <v>-135709</v>
      </c>
      <c r="AT34" s="542">
        <v>0</v>
      </c>
      <c r="AU34" s="542">
        <v>-135709</v>
      </c>
      <c r="AV34" s="542">
        <v>-782</v>
      </c>
      <c r="AW34" s="542">
        <v>0</v>
      </c>
      <c r="AX34" s="542">
        <v>-782</v>
      </c>
      <c r="AY34" s="542">
        <v>-9622</v>
      </c>
      <c r="AZ34" s="542">
        <v>0</v>
      </c>
      <c r="BA34" s="542">
        <v>-9622</v>
      </c>
      <c r="BB34" s="542">
        <v>15</v>
      </c>
      <c r="BC34" s="542">
        <v>0</v>
      </c>
      <c r="BD34" s="542">
        <v>15</v>
      </c>
      <c r="BE34" s="542">
        <v>-24272172</v>
      </c>
      <c r="BF34" s="542">
        <v>0</v>
      </c>
      <c r="BG34" s="542">
        <v>-24272172</v>
      </c>
      <c r="BH34" s="542">
        <v>-135323</v>
      </c>
      <c r="BI34" s="542">
        <v>0</v>
      </c>
      <c r="BJ34" s="542">
        <v>-135323</v>
      </c>
      <c r="BK34" s="542">
        <v>-40794</v>
      </c>
      <c r="BL34" s="542">
        <v>0</v>
      </c>
      <c r="BM34" s="542">
        <v>-40794</v>
      </c>
      <c r="BN34" s="542">
        <v>-8578949</v>
      </c>
      <c r="BO34" s="542">
        <v>0</v>
      </c>
      <c r="BP34" s="542">
        <v>-8578949</v>
      </c>
      <c r="BQ34" s="542">
        <v>-429981</v>
      </c>
      <c r="BR34" s="542">
        <v>0</v>
      </c>
      <c r="BS34" s="542">
        <v>-429981</v>
      </c>
      <c r="BT34" s="542">
        <v>-9185047</v>
      </c>
      <c r="BU34" s="542">
        <v>0</v>
      </c>
      <c r="BV34" s="542">
        <v>-9185047</v>
      </c>
      <c r="BW34" s="542">
        <v>-7895</v>
      </c>
      <c r="BX34" s="542">
        <v>0</v>
      </c>
      <c r="BY34" s="542">
        <v>-7895</v>
      </c>
      <c r="BZ34" s="542">
        <v>0</v>
      </c>
      <c r="CA34" s="542">
        <v>0</v>
      </c>
      <c r="CB34" s="542">
        <v>0</v>
      </c>
      <c r="CC34" s="542">
        <v>-385387</v>
      </c>
      <c r="CD34" s="542">
        <v>0</v>
      </c>
      <c r="CE34" s="542">
        <v>-385387</v>
      </c>
      <c r="CF34" s="542">
        <v>7358</v>
      </c>
      <c r="CG34" s="542">
        <v>0</v>
      </c>
      <c r="CH34" s="542">
        <v>7358</v>
      </c>
      <c r="CI34" s="542">
        <v>0</v>
      </c>
      <c r="CJ34" s="542">
        <v>0</v>
      </c>
      <c r="CK34" s="542">
        <v>0</v>
      </c>
      <c r="CL34" s="542">
        <v>0</v>
      </c>
      <c r="CM34" s="542">
        <v>0</v>
      </c>
      <c r="CN34" s="542">
        <v>0</v>
      </c>
      <c r="CO34" s="542">
        <v>-7930</v>
      </c>
      <c r="CP34" s="542">
        <v>0</v>
      </c>
      <c r="CQ34" s="542">
        <v>-7930</v>
      </c>
      <c r="CR34" s="542">
        <v>28</v>
      </c>
      <c r="CS34" s="542">
        <v>0</v>
      </c>
      <c r="CT34" s="542">
        <v>28</v>
      </c>
      <c r="CU34" s="542">
        <v>0</v>
      </c>
      <c r="CV34" s="542">
        <v>0</v>
      </c>
      <c r="CW34" s="542">
        <v>0</v>
      </c>
      <c r="CX34" s="542">
        <v>0</v>
      </c>
      <c r="CY34" s="542">
        <v>0</v>
      </c>
      <c r="CZ34" s="542">
        <v>0</v>
      </c>
      <c r="DA34" s="542">
        <v>0</v>
      </c>
      <c r="DB34" s="542">
        <v>0</v>
      </c>
      <c r="DC34" s="542">
        <v>0</v>
      </c>
      <c r="DD34" s="542">
        <v>0</v>
      </c>
      <c r="DE34" s="542">
        <v>0</v>
      </c>
      <c r="DF34" s="542">
        <v>0</v>
      </c>
      <c r="DG34" s="542"/>
      <c r="DH34" s="542">
        <v>0</v>
      </c>
      <c r="DI34" s="542"/>
      <c r="DJ34" s="542">
        <v>0</v>
      </c>
      <c r="DK34" s="542"/>
      <c r="DL34" s="542"/>
      <c r="DM34" s="542">
        <v>-393826</v>
      </c>
      <c r="DN34" s="542">
        <v>0</v>
      </c>
      <c r="DO34" s="542">
        <v>-393826</v>
      </c>
      <c r="DP34" s="542">
        <v>-20912</v>
      </c>
      <c r="DQ34" s="542">
        <v>0</v>
      </c>
      <c r="DR34" s="542">
        <v>-20912</v>
      </c>
      <c r="DS34" s="542">
        <v>0</v>
      </c>
      <c r="DT34" s="542">
        <v>0</v>
      </c>
      <c r="DU34" s="542">
        <v>0</v>
      </c>
      <c r="DV34" s="542">
        <v>-30822</v>
      </c>
      <c r="DW34" s="542">
        <v>0</v>
      </c>
      <c r="DX34" s="542">
        <v>-30822</v>
      </c>
      <c r="DY34" s="542">
        <v>-2102685</v>
      </c>
      <c r="DZ34" s="542">
        <v>0</v>
      </c>
      <c r="EA34" s="542">
        <v>-2102685</v>
      </c>
      <c r="EB34" s="542">
        <v>0</v>
      </c>
      <c r="EC34" s="542">
        <v>0</v>
      </c>
      <c r="ED34" s="542">
        <v>0</v>
      </c>
      <c r="EE34" s="542">
        <v>0</v>
      </c>
      <c r="EF34" s="542">
        <v>0</v>
      </c>
      <c r="EG34" s="542">
        <v>0</v>
      </c>
      <c r="EH34" s="542">
        <v>-2154419</v>
      </c>
      <c r="EI34" s="542">
        <v>0</v>
      </c>
      <c r="EJ34" s="542">
        <v>-2154419</v>
      </c>
      <c r="EK34" s="542">
        <v>0</v>
      </c>
      <c r="EL34" s="542">
        <v>0</v>
      </c>
      <c r="EM34" s="542">
        <v>0</v>
      </c>
      <c r="EN34" s="542">
        <v>-1733</v>
      </c>
      <c r="EO34" s="542">
        <v>0</v>
      </c>
      <c r="EP34" s="542">
        <v>-1733</v>
      </c>
      <c r="EQ34" s="542">
        <v>-1733</v>
      </c>
      <c r="ER34" s="542">
        <v>0</v>
      </c>
      <c r="ES34" s="542">
        <v>-1733</v>
      </c>
      <c r="ET34" s="542">
        <v>173283680</v>
      </c>
      <c r="EU34" s="542">
        <v>0</v>
      </c>
      <c r="EV34" s="542">
        <v>173283680</v>
      </c>
      <c r="EW34" s="542">
        <v>1607422</v>
      </c>
      <c r="EX34" s="542">
        <v>0</v>
      </c>
      <c r="EY34" s="542">
        <v>1607422</v>
      </c>
      <c r="EZ34" s="542">
        <v>-24272172</v>
      </c>
      <c r="FA34" s="542">
        <v>0</v>
      </c>
      <c r="FB34" s="542">
        <v>-24272172</v>
      </c>
      <c r="FC34" s="542">
        <v>-9185047</v>
      </c>
      <c r="FD34" s="542">
        <v>0</v>
      </c>
      <c r="FE34" s="542">
        <v>-9185047</v>
      </c>
      <c r="FF34" s="542">
        <v>-393826</v>
      </c>
      <c r="FG34" s="542">
        <v>0</v>
      </c>
      <c r="FH34" s="542">
        <v>-393826</v>
      </c>
      <c r="FI34" s="542">
        <v>-2154419</v>
      </c>
      <c r="FJ34" s="542">
        <v>0</v>
      </c>
      <c r="FK34" s="542">
        <v>-2154419</v>
      </c>
      <c r="FL34" s="542">
        <v>-1733</v>
      </c>
      <c r="FM34" s="542">
        <v>0</v>
      </c>
      <c r="FN34" s="542">
        <v>-1733</v>
      </c>
      <c r="FO34" s="542">
        <v>-34399775</v>
      </c>
      <c r="FP34" s="542">
        <v>0</v>
      </c>
      <c r="FQ34" s="542">
        <v>-34399775</v>
      </c>
      <c r="FR34" s="542">
        <v>138883905</v>
      </c>
      <c r="FS34" s="542">
        <v>0</v>
      </c>
      <c r="FT34" s="542">
        <v>138883905</v>
      </c>
    </row>
    <row r="35" spans="1:176" ht="12.75" x14ac:dyDescent="0.2">
      <c r="A35" s="93">
        <v>30</v>
      </c>
      <c r="B35" s="145" t="s">
        <v>619</v>
      </c>
      <c r="C35" s="604" t="s">
        <v>866</v>
      </c>
      <c r="D35" s="142" t="s">
        <v>870</v>
      </c>
      <c r="E35" s="149" t="s">
        <v>618</v>
      </c>
      <c r="F35" s="542">
        <v>-66666</v>
      </c>
      <c r="G35" s="542">
        <v>0</v>
      </c>
      <c r="H35" s="542">
        <v>-66666</v>
      </c>
      <c r="I35" s="542">
        <v>38646</v>
      </c>
      <c r="J35" s="542">
        <v>0</v>
      </c>
      <c r="K35" s="542">
        <v>38646</v>
      </c>
      <c r="L35" s="542">
        <v>2119</v>
      </c>
      <c r="M35" s="542">
        <v>0</v>
      </c>
      <c r="N35" s="542">
        <v>2119</v>
      </c>
      <c r="O35" s="542">
        <v>13422</v>
      </c>
      <c r="P35" s="542">
        <v>0</v>
      </c>
      <c r="Q35" s="542">
        <v>13422</v>
      </c>
      <c r="R35" s="542">
        <v>-12479</v>
      </c>
      <c r="S35" s="542">
        <v>0</v>
      </c>
      <c r="T35" s="542">
        <v>-12479</v>
      </c>
      <c r="U35" s="542">
        <v>-3122330</v>
      </c>
      <c r="V35" s="542">
        <v>0</v>
      </c>
      <c r="W35" s="542">
        <v>-3122330</v>
      </c>
      <c r="X35" s="542">
        <v>0</v>
      </c>
      <c r="Y35" s="542">
        <v>0</v>
      </c>
      <c r="Z35" s="542">
        <v>0</v>
      </c>
      <c r="AA35" s="542">
        <v>-250417</v>
      </c>
      <c r="AB35" s="542">
        <v>0</v>
      </c>
      <c r="AC35" s="542">
        <v>-250417</v>
      </c>
      <c r="AD35" s="542">
        <v>-106138</v>
      </c>
      <c r="AE35" s="542">
        <v>0</v>
      </c>
      <c r="AF35" s="542">
        <v>-106138</v>
      </c>
      <c r="AG35" s="542">
        <v>939497</v>
      </c>
      <c r="AH35" s="542">
        <v>0</v>
      </c>
      <c r="AI35" s="542">
        <v>939497</v>
      </c>
      <c r="AJ35" s="542">
        <v>-10794</v>
      </c>
      <c r="AK35" s="542">
        <v>0</v>
      </c>
      <c r="AL35" s="542">
        <v>-10794</v>
      </c>
      <c r="AM35" s="542">
        <v>-2745278</v>
      </c>
      <c r="AN35" s="542">
        <v>0</v>
      </c>
      <c r="AO35" s="542">
        <v>-2745278</v>
      </c>
      <c r="AP35" s="542">
        <v>-61458</v>
      </c>
      <c r="AQ35" s="542">
        <v>0</v>
      </c>
      <c r="AR35" s="542">
        <v>-61458</v>
      </c>
      <c r="AS35" s="542">
        <v>-103090</v>
      </c>
      <c r="AT35" s="542">
        <v>0</v>
      </c>
      <c r="AU35" s="542">
        <v>-103090</v>
      </c>
      <c r="AV35" s="542">
        <v>0</v>
      </c>
      <c r="AW35" s="542">
        <v>0</v>
      </c>
      <c r="AX35" s="542">
        <v>0</v>
      </c>
      <c r="AY35" s="542">
        <v>-12994</v>
      </c>
      <c r="AZ35" s="542">
        <v>0</v>
      </c>
      <c r="BA35" s="542">
        <v>-12994</v>
      </c>
      <c r="BB35" s="542">
        <v>1902</v>
      </c>
      <c r="BC35" s="542">
        <v>0</v>
      </c>
      <c r="BD35" s="542">
        <v>1902</v>
      </c>
      <c r="BE35" s="542">
        <v>-5364962</v>
      </c>
      <c r="BF35" s="542">
        <v>0</v>
      </c>
      <c r="BG35" s="542">
        <v>-5364962</v>
      </c>
      <c r="BH35" s="542">
        <v>-2175</v>
      </c>
      <c r="BI35" s="542">
        <v>0</v>
      </c>
      <c r="BJ35" s="542">
        <v>-2175</v>
      </c>
      <c r="BK35" s="542">
        <v>-111361</v>
      </c>
      <c r="BL35" s="542">
        <v>0</v>
      </c>
      <c r="BM35" s="542">
        <v>-111361</v>
      </c>
      <c r="BN35" s="542">
        <v>-1582279</v>
      </c>
      <c r="BO35" s="542">
        <v>0</v>
      </c>
      <c r="BP35" s="542">
        <v>-1582279</v>
      </c>
      <c r="BQ35" s="542">
        <v>-34441</v>
      </c>
      <c r="BR35" s="542">
        <v>0</v>
      </c>
      <c r="BS35" s="542">
        <v>-34441</v>
      </c>
      <c r="BT35" s="542">
        <v>-1730256</v>
      </c>
      <c r="BU35" s="542">
        <v>0</v>
      </c>
      <c r="BV35" s="542">
        <v>-1730256</v>
      </c>
      <c r="BW35" s="542">
        <v>-71717</v>
      </c>
      <c r="BX35" s="542">
        <v>0</v>
      </c>
      <c r="BY35" s="542">
        <v>-71717</v>
      </c>
      <c r="BZ35" s="542">
        <v>0</v>
      </c>
      <c r="CA35" s="542">
        <v>0</v>
      </c>
      <c r="CB35" s="542">
        <v>0</v>
      </c>
      <c r="CC35" s="542">
        <v>-177483</v>
      </c>
      <c r="CD35" s="542">
        <v>0</v>
      </c>
      <c r="CE35" s="542">
        <v>-177483</v>
      </c>
      <c r="CF35" s="542">
        <v>15332</v>
      </c>
      <c r="CG35" s="542">
        <v>0</v>
      </c>
      <c r="CH35" s="542">
        <v>15332</v>
      </c>
      <c r="CI35" s="542">
        <v>-624</v>
      </c>
      <c r="CJ35" s="542">
        <v>0</v>
      </c>
      <c r="CK35" s="542">
        <v>-624</v>
      </c>
      <c r="CL35" s="542">
        <v>0</v>
      </c>
      <c r="CM35" s="542">
        <v>0</v>
      </c>
      <c r="CN35" s="542">
        <v>0</v>
      </c>
      <c r="CO35" s="542">
        <v>-2987</v>
      </c>
      <c r="CP35" s="542">
        <v>0</v>
      </c>
      <c r="CQ35" s="542">
        <v>-2987</v>
      </c>
      <c r="CR35" s="542">
        <v>631</v>
      </c>
      <c r="CS35" s="542">
        <v>0</v>
      </c>
      <c r="CT35" s="542">
        <v>631</v>
      </c>
      <c r="CU35" s="542">
        <v>0</v>
      </c>
      <c r="CV35" s="542">
        <v>0</v>
      </c>
      <c r="CW35" s="542">
        <v>0</v>
      </c>
      <c r="CX35" s="542">
        <v>0</v>
      </c>
      <c r="CY35" s="542">
        <v>0</v>
      </c>
      <c r="CZ35" s="542">
        <v>0</v>
      </c>
      <c r="DA35" s="542">
        <v>0</v>
      </c>
      <c r="DB35" s="542">
        <v>0</v>
      </c>
      <c r="DC35" s="542">
        <v>0</v>
      </c>
      <c r="DD35" s="542">
        <v>0</v>
      </c>
      <c r="DE35" s="542">
        <v>0</v>
      </c>
      <c r="DF35" s="542">
        <v>0</v>
      </c>
      <c r="DG35" s="542"/>
      <c r="DH35" s="542">
        <v>0</v>
      </c>
      <c r="DI35" s="542"/>
      <c r="DJ35" s="542">
        <v>0</v>
      </c>
      <c r="DK35" s="542"/>
      <c r="DL35" s="542"/>
      <c r="DM35" s="542">
        <v>-236848</v>
      </c>
      <c r="DN35" s="542">
        <v>0</v>
      </c>
      <c r="DO35" s="542">
        <v>-236848</v>
      </c>
      <c r="DP35" s="542">
        <v>0</v>
      </c>
      <c r="DQ35" s="542">
        <v>0</v>
      </c>
      <c r="DR35" s="542">
        <v>0</v>
      </c>
      <c r="DS35" s="542">
        <v>0</v>
      </c>
      <c r="DT35" s="542">
        <v>0</v>
      </c>
      <c r="DU35" s="542">
        <v>0</v>
      </c>
      <c r="DV35" s="542">
        <v>-3183</v>
      </c>
      <c r="DW35" s="542">
        <v>0</v>
      </c>
      <c r="DX35" s="542">
        <v>-3183</v>
      </c>
      <c r="DY35" s="542">
        <v>-459042</v>
      </c>
      <c r="DZ35" s="542">
        <v>0</v>
      </c>
      <c r="EA35" s="542">
        <v>-459042</v>
      </c>
      <c r="EB35" s="542">
        <v>0</v>
      </c>
      <c r="EC35" s="542">
        <v>0</v>
      </c>
      <c r="ED35" s="542">
        <v>0</v>
      </c>
      <c r="EE35" s="542">
        <v>-51565</v>
      </c>
      <c r="EF35" s="542">
        <v>0</v>
      </c>
      <c r="EG35" s="542">
        <v>-51565</v>
      </c>
      <c r="EH35" s="542">
        <v>-513790</v>
      </c>
      <c r="EI35" s="542">
        <v>0</v>
      </c>
      <c r="EJ35" s="542">
        <v>-513790</v>
      </c>
      <c r="EK35" s="542">
        <v>0</v>
      </c>
      <c r="EL35" s="542">
        <v>0</v>
      </c>
      <c r="EM35" s="542">
        <v>0</v>
      </c>
      <c r="EN35" s="542">
        <v>0</v>
      </c>
      <c r="EO35" s="542">
        <v>0</v>
      </c>
      <c r="EP35" s="542">
        <v>0</v>
      </c>
      <c r="EQ35" s="542">
        <v>0</v>
      </c>
      <c r="ER35" s="542">
        <v>0</v>
      </c>
      <c r="ES35" s="542">
        <v>0</v>
      </c>
      <c r="ET35" s="542">
        <v>48818132</v>
      </c>
      <c r="EU35" s="542">
        <v>0</v>
      </c>
      <c r="EV35" s="542">
        <v>48818132</v>
      </c>
      <c r="EW35" s="542">
        <v>-12479</v>
      </c>
      <c r="EX35" s="542">
        <v>0</v>
      </c>
      <c r="EY35" s="542">
        <v>-12479</v>
      </c>
      <c r="EZ35" s="542">
        <v>-5364962</v>
      </c>
      <c r="FA35" s="542">
        <v>0</v>
      </c>
      <c r="FB35" s="542">
        <v>-5364962</v>
      </c>
      <c r="FC35" s="542">
        <v>-1730256</v>
      </c>
      <c r="FD35" s="542">
        <v>0</v>
      </c>
      <c r="FE35" s="542">
        <v>-1730256</v>
      </c>
      <c r="FF35" s="542">
        <v>-236848</v>
      </c>
      <c r="FG35" s="542">
        <v>0</v>
      </c>
      <c r="FH35" s="542">
        <v>-236848</v>
      </c>
      <c r="FI35" s="542">
        <v>-513790</v>
      </c>
      <c r="FJ35" s="542">
        <v>0</v>
      </c>
      <c r="FK35" s="542">
        <v>-513790</v>
      </c>
      <c r="FL35" s="542">
        <v>0</v>
      </c>
      <c r="FM35" s="542">
        <v>0</v>
      </c>
      <c r="FN35" s="542">
        <v>0</v>
      </c>
      <c r="FO35" s="542">
        <v>-7858335</v>
      </c>
      <c r="FP35" s="542">
        <v>0</v>
      </c>
      <c r="FQ35" s="542">
        <v>-7858335</v>
      </c>
      <c r="FR35" s="542">
        <v>40959797</v>
      </c>
      <c r="FS35" s="542">
        <v>0</v>
      </c>
      <c r="FT35" s="542">
        <v>40959797</v>
      </c>
    </row>
    <row r="36" spans="1:176" ht="12.75" x14ac:dyDescent="0.2">
      <c r="A36" s="93">
        <v>31</v>
      </c>
      <c r="B36" s="145" t="s">
        <v>621</v>
      </c>
      <c r="C36" s="604" t="s">
        <v>866</v>
      </c>
      <c r="D36" s="142" t="s">
        <v>870</v>
      </c>
      <c r="E36" s="149" t="s">
        <v>620</v>
      </c>
      <c r="F36" s="542">
        <v>-295795</v>
      </c>
      <c r="G36" s="542">
        <v>0</v>
      </c>
      <c r="H36" s="542">
        <v>-295795</v>
      </c>
      <c r="I36" s="542">
        <v>64715</v>
      </c>
      <c r="J36" s="542">
        <v>0</v>
      </c>
      <c r="K36" s="542">
        <v>64715</v>
      </c>
      <c r="L36" s="542">
        <v>21661</v>
      </c>
      <c r="M36" s="542">
        <v>0</v>
      </c>
      <c r="N36" s="542">
        <v>21661</v>
      </c>
      <c r="O36" s="542">
        <v>-23042</v>
      </c>
      <c r="P36" s="542">
        <v>0</v>
      </c>
      <c r="Q36" s="542">
        <v>-23042</v>
      </c>
      <c r="R36" s="542">
        <v>-232461</v>
      </c>
      <c r="S36" s="542">
        <v>0</v>
      </c>
      <c r="T36" s="542">
        <v>-232461</v>
      </c>
      <c r="U36" s="542">
        <v>-2868735</v>
      </c>
      <c r="V36" s="542">
        <v>0</v>
      </c>
      <c r="W36" s="542">
        <v>-2868735</v>
      </c>
      <c r="X36" s="542">
        <v>-4394</v>
      </c>
      <c r="Y36" s="542">
        <v>0</v>
      </c>
      <c r="Z36" s="542">
        <v>-4394</v>
      </c>
      <c r="AA36" s="542">
        <v>-50115</v>
      </c>
      <c r="AB36" s="542">
        <v>0</v>
      </c>
      <c r="AC36" s="542">
        <v>-50115</v>
      </c>
      <c r="AD36" s="542">
        <v>-31942</v>
      </c>
      <c r="AE36" s="542">
        <v>0</v>
      </c>
      <c r="AF36" s="542">
        <v>-31942</v>
      </c>
      <c r="AG36" s="542">
        <v>667263</v>
      </c>
      <c r="AH36" s="542">
        <v>0</v>
      </c>
      <c r="AI36" s="542">
        <v>667263</v>
      </c>
      <c r="AJ36" s="542">
        <v>-8112</v>
      </c>
      <c r="AK36" s="542">
        <v>0</v>
      </c>
      <c r="AL36" s="542">
        <v>-8112</v>
      </c>
      <c r="AM36" s="542">
        <v>-2137463</v>
      </c>
      <c r="AN36" s="542">
        <v>0</v>
      </c>
      <c r="AO36" s="542">
        <v>-2137463</v>
      </c>
      <c r="AP36" s="542">
        <v>-241994</v>
      </c>
      <c r="AQ36" s="542">
        <v>0</v>
      </c>
      <c r="AR36" s="542">
        <v>-241994</v>
      </c>
      <c r="AS36" s="542">
        <v>-34125</v>
      </c>
      <c r="AT36" s="542">
        <v>0</v>
      </c>
      <c r="AU36" s="542">
        <v>-34125</v>
      </c>
      <c r="AV36" s="542">
        <v>0</v>
      </c>
      <c r="AW36" s="542">
        <v>0</v>
      </c>
      <c r="AX36" s="542">
        <v>0</v>
      </c>
      <c r="AY36" s="542">
        <v>-82360</v>
      </c>
      <c r="AZ36" s="542">
        <v>0</v>
      </c>
      <c r="BA36" s="542">
        <v>-82360</v>
      </c>
      <c r="BB36" s="542">
        <v>18</v>
      </c>
      <c r="BC36" s="542">
        <v>0</v>
      </c>
      <c r="BD36" s="542">
        <v>18</v>
      </c>
      <c r="BE36" s="542">
        <v>-4755623</v>
      </c>
      <c r="BF36" s="542">
        <v>0</v>
      </c>
      <c r="BG36" s="542">
        <v>-4755623</v>
      </c>
      <c r="BH36" s="542">
        <v>-117668</v>
      </c>
      <c r="BI36" s="542">
        <v>0</v>
      </c>
      <c r="BJ36" s="542">
        <v>-117668</v>
      </c>
      <c r="BK36" s="542">
        <v>-39392</v>
      </c>
      <c r="BL36" s="542">
        <v>0</v>
      </c>
      <c r="BM36" s="542">
        <v>-39392</v>
      </c>
      <c r="BN36" s="542">
        <v>-818890</v>
      </c>
      <c r="BO36" s="542">
        <v>0</v>
      </c>
      <c r="BP36" s="542">
        <v>-818890</v>
      </c>
      <c r="BQ36" s="542">
        <v>-25342</v>
      </c>
      <c r="BR36" s="542">
        <v>0</v>
      </c>
      <c r="BS36" s="542">
        <v>-25342</v>
      </c>
      <c r="BT36" s="542">
        <v>-1001292</v>
      </c>
      <c r="BU36" s="542">
        <v>0</v>
      </c>
      <c r="BV36" s="542">
        <v>-1001292</v>
      </c>
      <c r="BW36" s="542">
        <v>-143756</v>
      </c>
      <c r="BX36" s="542">
        <v>0</v>
      </c>
      <c r="BY36" s="542">
        <v>-143756</v>
      </c>
      <c r="BZ36" s="542">
        <v>-40444</v>
      </c>
      <c r="CA36" s="542">
        <v>0</v>
      </c>
      <c r="CB36" s="542">
        <v>-40444</v>
      </c>
      <c r="CC36" s="542">
        <v>-9001</v>
      </c>
      <c r="CD36" s="542">
        <v>0</v>
      </c>
      <c r="CE36" s="542">
        <v>-9001</v>
      </c>
      <c r="CF36" s="542">
        <v>-232600</v>
      </c>
      <c r="CG36" s="542">
        <v>0</v>
      </c>
      <c r="CH36" s="542">
        <v>-232600</v>
      </c>
      <c r="CI36" s="542">
        <v>-1010</v>
      </c>
      <c r="CJ36" s="542">
        <v>0</v>
      </c>
      <c r="CK36" s="542">
        <v>-1010</v>
      </c>
      <c r="CL36" s="542">
        <v>0</v>
      </c>
      <c r="CM36" s="542">
        <v>0</v>
      </c>
      <c r="CN36" s="542">
        <v>0</v>
      </c>
      <c r="CO36" s="542">
        <v>-9658</v>
      </c>
      <c r="CP36" s="542">
        <v>0</v>
      </c>
      <c r="CQ36" s="542">
        <v>-9658</v>
      </c>
      <c r="CR36" s="542">
        <v>-18</v>
      </c>
      <c r="CS36" s="542">
        <v>0</v>
      </c>
      <c r="CT36" s="542">
        <v>-18</v>
      </c>
      <c r="CU36" s="542">
        <v>0</v>
      </c>
      <c r="CV36" s="542">
        <v>0</v>
      </c>
      <c r="CW36" s="542">
        <v>0</v>
      </c>
      <c r="CX36" s="542">
        <v>0</v>
      </c>
      <c r="CY36" s="542">
        <v>0</v>
      </c>
      <c r="CZ36" s="542">
        <v>0</v>
      </c>
      <c r="DA36" s="542">
        <v>0</v>
      </c>
      <c r="DB36" s="542">
        <v>0</v>
      </c>
      <c r="DC36" s="542">
        <v>0</v>
      </c>
      <c r="DD36" s="542">
        <v>0</v>
      </c>
      <c r="DE36" s="542">
        <v>0</v>
      </c>
      <c r="DF36" s="542">
        <v>0</v>
      </c>
      <c r="DG36" s="542"/>
      <c r="DH36" s="542">
        <v>0</v>
      </c>
      <c r="DI36" s="542"/>
      <c r="DJ36" s="542">
        <v>0</v>
      </c>
      <c r="DK36" s="542"/>
      <c r="DL36" s="542"/>
      <c r="DM36" s="542">
        <v>-436487</v>
      </c>
      <c r="DN36" s="542">
        <v>0</v>
      </c>
      <c r="DO36" s="542">
        <v>-436487</v>
      </c>
      <c r="DP36" s="542">
        <v>-327</v>
      </c>
      <c r="DQ36" s="542">
        <v>0</v>
      </c>
      <c r="DR36" s="542">
        <v>-327</v>
      </c>
      <c r="DS36" s="542">
        <v>-76</v>
      </c>
      <c r="DT36" s="542">
        <v>0</v>
      </c>
      <c r="DU36" s="542">
        <v>-76</v>
      </c>
      <c r="DV36" s="542">
        <v>-1350</v>
      </c>
      <c r="DW36" s="542">
        <v>0</v>
      </c>
      <c r="DX36" s="542">
        <v>-1350</v>
      </c>
      <c r="DY36" s="542">
        <v>-455809</v>
      </c>
      <c r="DZ36" s="542">
        <v>0</v>
      </c>
      <c r="EA36" s="542">
        <v>-455809</v>
      </c>
      <c r="EB36" s="542">
        <v>0</v>
      </c>
      <c r="EC36" s="542">
        <v>0</v>
      </c>
      <c r="ED36" s="542">
        <v>0</v>
      </c>
      <c r="EE36" s="542">
        <v>0</v>
      </c>
      <c r="EF36" s="542">
        <v>0</v>
      </c>
      <c r="EG36" s="542">
        <v>0</v>
      </c>
      <c r="EH36" s="542">
        <v>-457562</v>
      </c>
      <c r="EI36" s="542">
        <v>0</v>
      </c>
      <c r="EJ36" s="542">
        <v>-457562</v>
      </c>
      <c r="EK36" s="542">
        <v>-2000</v>
      </c>
      <c r="EL36" s="542">
        <v>0</v>
      </c>
      <c r="EM36" s="542">
        <v>-2000</v>
      </c>
      <c r="EN36" s="542">
        <v>0</v>
      </c>
      <c r="EO36" s="542">
        <v>0</v>
      </c>
      <c r="EP36" s="542">
        <v>0</v>
      </c>
      <c r="EQ36" s="542">
        <v>-2000</v>
      </c>
      <c r="ER36" s="542">
        <v>0</v>
      </c>
      <c r="ES36" s="542">
        <v>-2000</v>
      </c>
      <c r="ET36" s="542">
        <v>35966356</v>
      </c>
      <c r="EU36" s="542">
        <v>0</v>
      </c>
      <c r="EV36" s="542">
        <v>35966356</v>
      </c>
      <c r="EW36" s="542">
        <v>-232461</v>
      </c>
      <c r="EX36" s="542">
        <v>0</v>
      </c>
      <c r="EY36" s="542">
        <v>-232461</v>
      </c>
      <c r="EZ36" s="542">
        <v>-4755623</v>
      </c>
      <c r="FA36" s="542">
        <v>0</v>
      </c>
      <c r="FB36" s="542">
        <v>-4755623</v>
      </c>
      <c r="FC36" s="542">
        <v>-1001292</v>
      </c>
      <c r="FD36" s="542">
        <v>0</v>
      </c>
      <c r="FE36" s="542">
        <v>-1001292</v>
      </c>
      <c r="FF36" s="542">
        <v>-436487</v>
      </c>
      <c r="FG36" s="542">
        <v>0</v>
      </c>
      <c r="FH36" s="542">
        <v>-436487</v>
      </c>
      <c r="FI36" s="542">
        <v>-457562</v>
      </c>
      <c r="FJ36" s="542">
        <v>0</v>
      </c>
      <c r="FK36" s="542">
        <v>-457562</v>
      </c>
      <c r="FL36" s="542">
        <v>-2000</v>
      </c>
      <c r="FM36" s="542">
        <v>0</v>
      </c>
      <c r="FN36" s="542">
        <v>-2000</v>
      </c>
      <c r="FO36" s="542">
        <v>-6885425</v>
      </c>
      <c r="FP36" s="542">
        <v>0</v>
      </c>
      <c r="FQ36" s="542">
        <v>-6885425</v>
      </c>
      <c r="FR36" s="542">
        <v>29080931</v>
      </c>
      <c r="FS36" s="542">
        <v>0</v>
      </c>
      <c r="FT36" s="542">
        <v>29080931</v>
      </c>
    </row>
    <row r="37" spans="1:176" ht="12.75" x14ac:dyDescent="0.2">
      <c r="A37" s="93">
        <v>32</v>
      </c>
      <c r="B37" s="145" t="s">
        <v>623</v>
      </c>
      <c r="C37" s="604" t="s">
        <v>871</v>
      </c>
      <c r="D37" s="142" t="s">
        <v>872</v>
      </c>
      <c r="E37" s="149" t="s">
        <v>622</v>
      </c>
      <c r="F37" s="542">
        <v>-92316</v>
      </c>
      <c r="G37" s="542">
        <v>0</v>
      </c>
      <c r="H37" s="542">
        <v>-92316</v>
      </c>
      <c r="I37" s="542">
        <v>268806</v>
      </c>
      <c r="J37" s="542">
        <v>0</v>
      </c>
      <c r="K37" s="542">
        <v>268806</v>
      </c>
      <c r="L37" s="542">
        <v>86500</v>
      </c>
      <c r="M37" s="542">
        <v>0</v>
      </c>
      <c r="N37" s="542">
        <v>86500</v>
      </c>
      <c r="O37" s="542">
        <v>225134</v>
      </c>
      <c r="P37" s="542">
        <v>0</v>
      </c>
      <c r="Q37" s="542">
        <v>225134</v>
      </c>
      <c r="R37" s="542">
        <v>488124</v>
      </c>
      <c r="S37" s="542">
        <v>0</v>
      </c>
      <c r="T37" s="542">
        <v>488124</v>
      </c>
      <c r="U37" s="542">
        <v>-4377912</v>
      </c>
      <c r="V37" s="542">
        <v>0</v>
      </c>
      <c r="W37" s="542">
        <v>-4377912</v>
      </c>
      <c r="X37" s="542">
        <v>-2540</v>
      </c>
      <c r="Y37" s="542">
        <v>0</v>
      </c>
      <c r="Z37" s="542">
        <v>-2540</v>
      </c>
      <c r="AA37" s="542">
        <v>-328541</v>
      </c>
      <c r="AB37" s="542">
        <v>0</v>
      </c>
      <c r="AC37" s="542">
        <v>-328541</v>
      </c>
      <c r="AD37" s="542">
        <v>-154395</v>
      </c>
      <c r="AE37" s="542">
        <v>0</v>
      </c>
      <c r="AF37" s="542">
        <v>-154395</v>
      </c>
      <c r="AG37" s="542">
        <v>2452522</v>
      </c>
      <c r="AH37" s="542">
        <v>0</v>
      </c>
      <c r="AI37" s="542">
        <v>2452522</v>
      </c>
      <c r="AJ37" s="542">
        <v>-67146</v>
      </c>
      <c r="AK37" s="542">
        <v>0</v>
      </c>
      <c r="AL37" s="542">
        <v>-67146</v>
      </c>
      <c r="AM37" s="542">
        <v>-6724369</v>
      </c>
      <c r="AN37" s="542">
        <v>0</v>
      </c>
      <c r="AO37" s="542">
        <v>-6724369</v>
      </c>
      <c r="AP37" s="542">
        <v>54365</v>
      </c>
      <c r="AQ37" s="542">
        <v>0</v>
      </c>
      <c r="AR37" s="542">
        <v>54365</v>
      </c>
      <c r="AS37" s="542">
        <v>-29838</v>
      </c>
      <c r="AT37" s="542">
        <v>0</v>
      </c>
      <c r="AU37" s="542">
        <v>-29838</v>
      </c>
      <c r="AV37" s="542">
        <v>0</v>
      </c>
      <c r="AW37" s="542">
        <v>0</v>
      </c>
      <c r="AX37" s="542">
        <v>0</v>
      </c>
      <c r="AY37" s="542">
        <v>0</v>
      </c>
      <c r="AZ37" s="542">
        <v>0</v>
      </c>
      <c r="BA37" s="542">
        <v>0</v>
      </c>
      <c r="BB37" s="542">
        <v>0</v>
      </c>
      <c r="BC37" s="542">
        <v>0</v>
      </c>
      <c r="BD37" s="542">
        <v>0</v>
      </c>
      <c r="BE37" s="542">
        <v>-9020919</v>
      </c>
      <c r="BF37" s="542">
        <v>0</v>
      </c>
      <c r="BG37" s="542">
        <v>-9020919</v>
      </c>
      <c r="BH37" s="542">
        <v>-60765</v>
      </c>
      <c r="BI37" s="542">
        <v>0</v>
      </c>
      <c r="BJ37" s="542">
        <v>-60765</v>
      </c>
      <c r="BK37" s="542">
        <v>59263</v>
      </c>
      <c r="BL37" s="542">
        <v>0</v>
      </c>
      <c r="BM37" s="542">
        <v>59263</v>
      </c>
      <c r="BN37" s="542">
        <v>-3686161</v>
      </c>
      <c r="BO37" s="542">
        <v>0</v>
      </c>
      <c r="BP37" s="542">
        <v>-3686161</v>
      </c>
      <c r="BQ37" s="542">
        <v>640719</v>
      </c>
      <c r="BR37" s="542">
        <v>0</v>
      </c>
      <c r="BS37" s="542">
        <v>640719</v>
      </c>
      <c r="BT37" s="542">
        <v>-3046944</v>
      </c>
      <c r="BU37" s="542">
        <v>0</v>
      </c>
      <c r="BV37" s="542">
        <v>-3046944</v>
      </c>
      <c r="BW37" s="542">
        <v>-432950</v>
      </c>
      <c r="BX37" s="542">
        <v>0</v>
      </c>
      <c r="BY37" s="542">
        <v>-432950</v>
      </c>
      <c r="BZ37" s="542">
        <v>-51032</v>
      </c>
      <c r="CA37" s="542">
        <v>0</v>
      </c>
      <c r="CB37" s="542">
        <v>-51032</v>
      </c>
      <c r="CC37" s="542">
        <v>-91273</v>
      </c>
      <c r="CD37" s="542">
        <v>0</v>
      </c>
      <c r="CE37" s="542">
        <v>-91273</v>
      </c>
      <c r="CF37" s="542">
        <v>-5046</v>
      </c>
      <c r="CG37" s="542">
        <v>0</v>
      </c>
      <c r="CH37" s="542">
        <v>-5046</v>
      </c>
      <c r="CI37" s="542">
        <v>-2217</v>
      </c>
      <c r="CJ37" s="542">
        <v>0</v>
      </c>
      <c r="CK37" s="542">
        <v>-2217</v>
      </c>
      <c r="CL37" s="542">
        <v>0</v>
      </c>
      <c r="CM37" s="542">
        <v>0</v>
      </c>
      <c r="CN37" s="542">
        <v>0</v>
      </c>
      <c r="CO37" s="542">
        <v>0</v>
      </c>
      <c r="CP37" s="542">
        <v>0</v>
      </c>
      <c r="CQ37" s="542">
        <v>0</v>
      </c>
      <c r="CR37" s="542">
        <v>0</v>
      </c>
      <c r="CS37" s="542">
        <v>0</v>
      </c>
      <c r="CT37" s="542">
        <v>0</v>
      </c>
      <c r="CU37" s="542">
        <v>0</v>
      </c>
      <c r="CV37" s="542">
        <v>0</v>
      </c>
      <c r="CW37" s="542">
        <v>0</v>
      </c>
      <c r="CX37" s="542">
        <v>0</v>
      </c>
      <c r="CY37" s="542">
        <v>0</v>
      </c>
      <c r="CZ37" s="542">
        <v>0</v>
      </c>
      <c r="DA37" s="542">
        <v>0</v>
      </c>
      <c r="DB37" s="542">
        <v>0</v>
      </c>
      <c r="DC37" s="542">
        <v>0</v>
      </c>
      <c r="DD37" s="542">
        <v>0</v>
      </c>
      <c r="DE37" s="542">
        <v>0</v>
      </c>
      <c r="DF37" s="542">
        <v>0</v>
      </c>
      <c r="DG37" s="542"/>
      <c r="DH37" s="542">
        <v>0</v>
      </c>
      <c r="DI37" s="542"/>
      <c r="DJ37" s="542">
        <v>0</v>
      </c>
      <c r="DK37" s="542"/>
      <c r="DL37" s="542"/>
      <c r="DM37" s="542">
        <v>-582518</v>
      </c>
      <c r="DN37" s="542">
        <v>0</v>
      </c>
      <c r="DO37" s="542">
        <v>-582518</v>
      </c>
      <c r="DP37" s="542">
        <v>0</v>
      </c>
      <c r="DQ37" s="542">
        <v>0</v>
      </c>
      <c r="DR37" s="542">
        <v>0</v>
      </c>
      <c r="DS37" s="542">
        <v>0</v>
      </c>
      <c r="DT37" s="542">
        <v>0</v>
      </c>
      <c r="DU37" s="542">
        <v>0</v>
      </c>
      <c r="DV37" s="542">
        <v>-17148</v>
      </c>
      <c r="DW37" s="542">
        <v>0</v>
      </c>
      <c r="DX37" s="542">
        <v>-17148</v>
      </c>
      <c r="DY37" s="542">
        <v>-1462051</v>
      </c>
      <c r="DZ37" s="542">
        <v>0</v>
      </c>
      <c r="EA37" s="542">
        <v>-1462051</v>
      </c>
      <c r="EB37" s="542">
        <v>0</v>
      </c>
      <c r="EC37" s="542">
        <v>0</v>
      </c>
      <c r="ED37" s="542">
        <v>0</v>
      </c>
      <c r="EE37" s="542">
        <v>0</v>
      </c>
      <c r="EF37" s="542">
        <v>0</v>
      </c>
      <c r="EG37" s="542">
        <v>0</v>
      </c>
      <c r="EH37" s="542">
        <v>-1479199</v>
      </c>
      <c r="EI37" s="542">
        <v>0</v>
      </c>
      <c r="EJ37" s="542">
        <v>-1479199</v>
      </c>
      <c r="EK37" s="542">
        <v>0</v>
      </c>
      <c r="EL37" s="542">
        <v>0</v>
      </c>
      <c r="EM37" s="542">
        <v>0</v>
      </c>
      <c r="EN37" s="542">
        <v>0</v>
      </c>
      <c r="EO37" s="542">
        <v>0</v>
      </c>
      <c r="EP37" s="542">
        <v>0</v>
      </c>
      <c r="EQ37" s="542">
        <v>0</v>
      </c>
      <c r="ER37" s="542">
        <v>0</v>
      </c>
      <c r="ES37" s="542">
        <v>0</v>
      </c>
      <c r="ET37" s="542">
        <v>127239874</v>
      </c>
      <c r="EU37" s="542">
        <v>0</v>
      </c>
      <c r="EV37" s="542">
        <v>127239874</v>
      </c>
      <c r="EW37" s="542">
        <v>488124</v>
      </c>
      <c r="EX37" s="542">
        <v>0</v>
      </c>
      <c r="EY37" s="542">
        <v>488124</v>
      </c>
      <c r="EZ37" s="542">
        <v>-9020919</v>
      </c>
      <c r="FA37" s="542">
        <v>0</v>
      </c>
      <c r="FB37" s="542">
        <v>-9020919</v>
      </c>
      <c r="FC37" s="542">
        <v>-3046944</v>
      </c>
      <c r="FD37" s="542">
        <v>0</v>
      </c>
      <c r="FE37" s="542">
        <v>-3046944</v>
      </c>
      <c r="FF37" s="542">
        <v>-582518</v>
      </c>
      <c r="FG37" s="542">
        <v>0</v>
      </c>
      <c r="FH37" s="542">
        <v>-582518</v>
      </c>
      <c r="FI37" s="542">
        <v>-1479199</v>
      </c>
      <c r="FJ37" s="542">
        <v>0</v>
      </c>
      <c r="FK37" s="542">
        <v>-1479199</v>
      </c>
      <c r="FL37" s="542">
        <v>0</v>
      </c>
      <c r="FM37" s="542">
        <v>0</v>
      </c>
      <c r="FN37" s="542">
        <v>0</v>
      </c>
      <c r="FO37" s="542">
        <v>-13641456</v>
      </c>
      <c r="FP37" s="542">
        <v>0</v>
      </c>
      <c r="FQ37" s="542">
        <v>-13641456</v>
      </c>
      <c r="FR37" s="542">
        <v>113598418</v>
      </c>
      <c r="FS37" s="542">
        <v>0</v>
      </c>
      <c r="FT37" s="542">
        <v>113598418</v>
      </c>
    </row>
    <row r="38" spans="1:176" ht="12.75" x14ac:dyDescent="0.2">
      <c r="A38" s="93">
        <v>33</v>
      </c>
      <c r="B38" s="145" t="s">
        <v>625</v>
      </c>
      <c r="C38" s="604" t="s">
        <v>866</v>
      </c>
      <c r="D38" s="142" t="s">
        <v>870</v>
      </c>
      <c r="E38" s="149" t="s">
        <v>624</v>
      </c>
      <c r="F38" s="542">
        <v>-10651</v>
      </c>
      <c r="G38" s="542">
        <v>0</v>
      </c>
      <c r="H38" s="542">
        <v>-10651</v>
      </c>
      <c r="I38" s="542">
        <v>211920</v>
      </c>
      <c r="J38" s="542">
        <v>0</v>
      </c>
      <c r="K38" s="542">
        <v>211920</v>
      </c>
      <c r="L38" s="542">
        <v>2620</v>
      </c>
      <c r="M38" s="542">
        <v>0</v>
      </c>
      <c r="N38" s="542">
        <v>2620</v>
      </c>
      <c r="O38" s="542">
        <v>50839</v>
      </c>
      <c r="P38" s="542">
        <v>0</v>
      </c>
      <c r="Q38" s="542">
        <v>50839</v>
      </c>
      <c r="R38" s="542">
        <v>254728</v>
      </c>
      <c r="S38" s="542">
        <v>0</v>
      </c>
      <c r="T38" s="542">
        <v>254728</v>
      </c>
      <c r="U38" s="542">
        <v>-1136066</v>
      </c>
      <c r="V38" s="542">
        <v>0</v>
      </c>
      <c r="W38" s="542">
        <v>-1136066</v>
      </c>
      <c r="X38" s="542">
        <v>0</v>
      </c>
      <c r="Y38" s="542">
        <v>0</v>
      </c>
      <c r="Z38" s="542">
        <v>0</v>
      </c>
      <c r="AA38" s="542">
        <v>-62795</v>
      </c>
      <c r="AB38" s="542">
        <v>0</v>
      </c>
      <c r="AC38" s="542">
        <v>-62795</v>
      </c>
      <c r="AD38" s="542">
        <v>0</v>
      </c>
      <c r="AE38" s="542">
        <v>0</v>
      </c>
      <c r="AF38" s="542">
        <v>0</v>
      </c>
      <c r="AG38" s="542">
        <v>721715</v>
      </c>
      <c r="AH38" s="542">
        <v>0</v>
      </c>
      <c r="AI38" s="542">
        <v>721715</v>
      </c>
      <c r="AJ38" s="542">
        <v>-48</v>
      </c>
      <c r="AK38" s="542">
        <v>0</v>
      </c>
      <c r="AL38" s="542">
        <v>-48</v>
      </c>
      <c r="AM38" s="542">
        <v>-2197172</v>
      </c>
      <c r="AN38" s="542">
        <v>0</v>
      </c>
      <c r="AO38" s="542">
        <v>-2197172</v>
      </c>
      <c r="AP38" s="542">
        <v>19349</v>
      </c>
      <c r="AQ38" s="542">
        <v>0</v>
      </c>
      <c r="AR38" s="542">
        <v>19349</v>
      </c>
      <c r="AS38" s="542">
        <v>-51875</v>
      </c>
      <c r="AT38" s="542">
        <v>0</v>
      </c>
      <c r="AU38" s="542">
        <v>-51875</v>
      </c>
      <c r="AV38" s="542">
        <v>0</v>
      </c>
      <c r="AW38" s="542">
        <v>0</v>
      </c>
      <c r="AX38" s="542">
        <v>0</v>
      </c>
      <c r="AY38" s="542">
        <v>-4143</v>
      </c>
      <c r="AZ38" s="542">
        <v>0</v>
      </c>
      <c r="BA38" s="542">
        <v>-4143</v>
      </c>
      <c r="BB38" s="542">
        <v>0</v>
      </c>
      <c r="BC38" s="542">
        <v>0</v>
      </c>
      <c r="BD38" s="542">
        <v>0</v>
      </c>
      <c r="BE38" s="542">
        <v>-2711035</v>
      </c>
      <c r="BF38" s="542">
        <v>0</v>
      </c>
      <c r="BG38" s="542">
        <v>-2711035</v>
      </c>
      <c r="BH38" s="542">
        <v>-29681</v>
      </c>
      <c r="BI38" s="542">
        <v>0</v>
      </c>
      <c r="BJ38" s="542">
        <v>-29681</v>
      </c>
      <c r="BK38" s="542">
        <v>-398</v>
      </c>
      <c r="BL38" s="542">
        <v>0</v>
      </c>
      <c r="BM38" s="542">
        <v>-398</v>
      </c>
      <c r="BN38" s="542">
        <v>-1101670</v>
      </c>
      <c r="BO38" s="542">
        <v>0</v>
      </c>
      <c r="BP38" s="542">
        <v>-1101670</v>
      </c>
      <c r="BQ38" s="542">
        <v>1713</v>
      </c>
      <c r="BR38" s="542">
        <v>0</v>
      </c>
      <c r="BS38" s="542">
        <v>1713</v>
      </c>
      <c r="BT38" s="542">
        <v>-1130036</v>
      </c>
      <c r="BU38" s="542">
        <v>0</v>
      </c>
      <c r="BV38" s="542">
        <v>-1130036</v>
      </c>
      <c r="BW38" s="542">
        <v>-84414</v>
      </c>
      <c r="BX38" s="542">
        <v>0</v>
      </c>
      <c r="BY38" s="542">
        <v>-84414</v>
      </c>
      <c r="BZ38" s="542">
        <v>-90</v>
      </c>
      <c r="CA38" s="542">
        <v>0</v>
      </c>
      <c r="CB38" s="542">
        <v>-90</v>
      </c>
      <c r="CC38" s="542">
        <v>-33133</v>
      </c>
      <c r="CD38" s="542">
        <v>0</v>
      </c>
      <c r="CE38" s="542">
        <v>-33133</v>
      </c>
      <c r="CF38" s="542">
        <v>3652</v>
      </c>
      <c r="CG38" s="542">
        <v>0</v>
      </c>
      <c r="CH38" s="542">
        <v>3652</v>
      </c>
      <c r="CI38" s="542">
        <v>0</v>
      </c>
      <c r="CJ38" s="542">
        <v>0</v>
      </c>
      <c r="CK38" s="542">
        <v>0</v>
      </c>
      <c r="CL38" s="542">
        <v>0</v>
      </c>
      <c r="CM38" s="542">
        <v>0</v>
      </c>
      <c r="CN38" s="542">
        <v>0</v>
      </c>
      <c r="CO38" s="542">
        <v>-5479</v>
      </c>
      <c r="CP38" s="542">
        <v>0</v>
      </c>
      <c r="CQ38" s="542">
        <v>-5479</v>
      </c>
      <c r="CR38" s="542">
        <v>0</v>
      </c>
      <c r="CS38" s="542">
        <v>0</v>
      </c>
      <c r="CT38" s="542">
        <v>0</v>
      </c>
      <c r="CU38" s="542">
        <v>-10591</v>
      </c>
      <c r="CV38" s="542">
        <v>0</v>
      </c>
      <c r="CW38" s="542">
        <v>-10591</v>
      </c>
      <c r="CX38" s="542">
        <v>0</v>
      </c>
      <c r="CY38" s="542">
        <v>0</v>
      </c>
      <c r="CZ38" s="542">
        <v>0</v>
      </c>
      <c r="DA38" s="542">
        <v>0</v>
      </c>
      <c r="DB38" s="542">
        <v>0</v>
      </c>
      <c r="DC38" s="542">
        <v>0</v>
      </c>
      <c r="DD38" s="542">
        <v>0</v>
      </c>
      <c r="DE38" s="542">
        <v>0</v>
      </c>
      <c r="DF38" s="542">
        <v>0</v>
      </c>
      <c r="DG38" s="542"/>
      <c r="DH38" s="542">
        <v>0</v>
      </c>
      <c r="DI38" s="542"/>
      <c r="DJ38" s="542">
        <v>0</v>
      </c>
      <c r="DK38" s="542"/>
      <c r="DL38" s="542"/>
      <c r="DM38" s="542">
        <v>-130055</v>
      </c>
      <c r="DN38" s="542">
        <v>0</v>
      </c>
      <c r="DO38" s="542">
        <v>-130055</v>
      </c>
      <c r="DP38" s="542">
        <v>0</v>
      </c>
      <c r="DQ38" s="542">
        <v>0</v>
      </c>
      <c r="DR38" s="542">
        <v>0</v>
      </c>
      <c r="DS38" s="542">
        <v>0</v>
      </c>
      <c r="DT38" s="542">
        <v>0</v>
      </c>
      <c r="DU38" s="542">
        <v>0</v>
      </c>
      <c r="DV38" s="542">
        <v>-7032</v>
      </c>
      <c r="DW38" s="542">
        <v>0</v>
      </c>
      <c r="DX38" s="542">
        <v>-7032</v>
      </c>
      <c r="DY38" s="542">
        <v>-358535</v>
      </c>
      <c r="DZ38" s="542">
        <v>0</v>
      </c>
      <c r="EA38" s="542">
        <v>-358535</v>
      </c>
      <c r="EB38" s="542">
        <v>0</v>
      </c>
      <c r="EC38" s="542">
        <v>0</v>
      </c>
      <c r="ED38" s="542">
        <v>0</v>
      </c>
      <c r="EE38" s="542">
        <v>0</v>
      </c>
      <c r="EF38" s="542">
        <v>0</v>
      </c>
      <c r="EG38" s="542">
        <v>0</v>
      </c>
      <c r="EH38" s="542">
        <v>-365567</v>
      </c>
      <c r="EI38" s="542">
        <v>0</v>
      </c>
      <c r="EJ38" s="542">
        <v>-365567</v>
      </c>
      <c r="EK38" s="542">
        <v>0</v>
      </c>
      <c r="EL38" s="542">
        <v>0</v>
      </c>
      <c r="EM38" s="542">
        <v>0</v>
      </c>
      <c r="EN38" s="542">
        <v>0</v>
      </c>
      <c r="EO38" s="542">
        <v>0</v>
      </c>
      <c r="EP38" s="542">
        <v>0</v>
      </c>
      <c r="EQ38" s="542">
        <v>0</v>
      </c>
      <c r="ER38" s="542">
        <v>0</v>
      </c>
      <c r="ES38" s="542">
        <v>0</v>
      </c>
      <c r="ET38" s="542">
        <v>34857892</v>
      </c>
      <c r="EU38" s="542">
        <v>0</v>
      </c>
      <c r="EV38" s="542">
        <v>34857892</v>
      </c>
      <c r="EW38" s="542">
        <v>254728</v>
      </c>
      <c r="EX38" s="542">
        <v>0</v>
      </c>
      <c r="EY38" s="542">
        <v>254728</v>
      </c>
      <c r="EZ38" s="542">
        <v>-2711035</v>
      </c>
      <c r="FA38" s="542">
        <v>0</v>
      </c>
      <c r="FB38" s="542">
        <v>-2711035</v>
      </c>
      <c r="FC38" s="542">
        <v>-1130036</v>
      </c>
      <c r="FD38" s="542">
        <v>0</v>
      </c>
      <c r="FE38" s="542">
        <v>-1130036</v>
      </c>
      <c r="FF38" s="542">
        <v>-130055</v>
      </c>
      <c r="FG38" s="542">
        <v>0</v>
      </c>
      <c r="FH38" s="542">
        <v>-130055</v>
      </c>
      <c r="FI38" s="542">
        <v>-365567</v>
      </c>
      <c r="FJ38" s="542">
        <v>0</v>
      </c>
      <c r="FK38" s="542">
        <v>-365567</v>
      </c>
      <c r="FL38" s="542">
        <v>0</v>
      </c>
      <c r="FM38" s="542">
        <v>0</v>
      </c>
      <c r="FN38" s="542">
        <v>0</v>
      </c>
      <c r="FO38" s="542">
        <v>-4081965</v>
      </c>
      <c r="FP38" s="542">
        <v>0</v>
      </c>
      <c r="FQ38" s="542">
        <v>-4081965</v>
      </c>
      <c r="FR38" s="542">
        <v>30775927</v>
      </c>
      <c r="FS38" s="542">
        <v>0</v>
      </c>
      <c r="FT38" s="542">
        <v>30775927</v>
      </c>
    </row>
    <row r="39" spans="1:176" ht="12.75" x14ac:dyDescent="0.2">
      <c r="A39" s="93">
        <v>34</v>
      </c>
      <c r="B39" s="145" t="s">
        <v>627</v>
      </c>
      <c r="C39" s="604" t="s">
        <v>770</v>
      </c>
      <c r="D39" s="142" t="s">
        <v>867</v>
      </c>
      <c r="E39" s="149" t="s">
        <v>879</v>
      </c>
      <c r="F39" s="542">
        <v>-114581</v>
      </c>
      <c r="G39" s="542">
        <v>0</v>
      </c>
      <c r="H39" s="542">
        <v>-114581</v>
      </c>
      <c r="I39" s="542">
        <v>287881</v>
      </c>
      <c r="J39" s="542">
        <v>0</v>
      </c>
      <c r="K39" s="542">
        <v>287881</v>
      </c>
      <c r="L39" s="542">
        <v>43230</v>
      </c>
      <c r="M39" s="542">
        <v>0</v>
      </c>
      <c r="N39" s="542">
        <v>43230</v>
      </c>
      <c r="O39" s="542">
        <v>771423</v>
      </c>
      <c r="P39" s="542">
        <v>0</v>
      </c>
      <c r="Q39" s="542">
        <v>771423</v>
      </c>
      <c r="R39" s="542">
        <v>987953</v>
      </c>
      <c r="S39" s="542">
        <v>0</v>
      </c>
      <c r="T39" s="542">
        <v>987953</v>
      </c>
      <c r="U39" s="542">
        <v>-6233917</v>
      </c>
      <c r="V39" s="542">
        <v>0</v>
      </c>
      <c r="W39" s="542">
        <v>-6233917</v>
      </c>
      <c r="X39" s="542">
        <v>-22228</v>
      </c>
      <c r="Y39" s="542">
        <v>0</v>
      </c>
      <c r="Z39" s="542">
        <v>-22228</v>
      </c>
      <c r="AA39" s="542">
        <v>-385305</v>
      </c>
      <c r="AB39" s="542">
        <v>0</v>
      </c>
      <c r="AC39" s="542">
        <v>-385305</v>
      </c>
      <c r="AD39" s="542">
        <v>-190320</v>
      </c>
      <c r="AE39" s="542">
        <v>0</v>
      </c>
      <c r="AF39" s="542">
        <v>-190320</v>
      </c>
      <c r="AG39" s="542">
        <v>2475497</v>
      </c>
      <c r="AH39" s="542">
        <v>0</v>
      </c>
      <c r="AI39" s="542">
        <v>2475497</v>
      </c>
      <c r="AJ39" s="542">
        <v>15384</v>
      </c>
      <c r="AK39" s="542">
        <v>0</v>
      </c>
      <c r="AL39" s="542">
        <v>15384</v>
      </c>
      <c r="AM39" s="542">
        <v>-8332941</v>
      </c>
      <c r="AN39" s="542">
        <v>0</v>
      </c>
      <c r="AO39" s="542">
        <v>-8332941</v>
      </c>
      <c r="AP39" s="542">
        <v>76536</v>
      </c>
      <c r="AQ39" s="542">
        <v>0</v>
      </c>
      <c r="AR39" s="542">
        <v>76536</v>
      </c>
      <c r="AS39" s="542">
        <v>-55905</v>
      </c>
      <c r="AT39" s="542">
        <v>0</v>
      </c>
      <c r="AU39" s="542">
        <v>-55905</v>
      </c>
      <c r="AV39" s="542">
        <v>850</v>
      </c>
      <c r="AW39" s="542">
        <v>0</v>
      </c>
      <c r="AX39" s="542">
        <v>850</v>
      </c>
      <c r="AY39" s="542">
        <v>0</v>
      </c>
      <c r="AZ39" s="542">
        <v>0</v>
      </c>
      <c r="BA39" s="542">
        <v>0</v>
      </c>
      <c r="BB39" s="542">
        <v>0</v>
      </c>
      <c r="BC39" s="542">
        <v>0</v>
      </c>
      <c r="BD39" s="542">
        <v>0</v>
      </c>
      <c r="BE39" s="542">
        <v>-12439801</v>
      </c>
      <c r="BF39" s="542">
        <v>0</v>
      </c>
      <c r="BG39" s="542">
        <v>-12439801</v>
      </c>
      <c r="BH39" s="542">
        <v>-103068</v>
      </c>
      <c r="BI39" s="542">
        <v>0</v>
      </c>
      <c r="BJ39" s="542">
        <v>-103068</v>
      </c>
      <c r="BK39" s="542">
        <v>-8327</v>
      </c>
      <c r="BL39" s="542">
        <v>0</v>
      </c>
      <c r="BM39" s="542">
        <v>-8327</v>
      </c>
      <c r="BN39" s="542">
        <v>-3303038</v>
      </c>
      <c r="BO39" s="542">
        <v>0</v>
      </c>
      <c r="BP39" s="542">
        <v>-3303038</v>
      </c>
      <c r="BQ39" s="542">
        <v>-175178</v>
      </c>
      <c r="BR39" s="542">
        <v>0</v>
      </c>
      <c r="BS39" s="542">
        <v>-175178</v>
      </c>
      <c r="BT39" s="542">
        <v>-3589611</v>
      </c>
      <c r="BU39" s="542">
        <v>0</v>
      </c>
      <c r="BV39" s="542">
        <v>-3589611</v>
      </c>
      <c r="BW39" s="542">
        <v>-82021</v>
      </c>
      <c r="BX39" s="542">
        <v>0</v>
      </c>
      <c r="BY39" s="542">
        <v>-82021</v>
      </c>
      <c r="BZ39" s="542">
        <v>-809</v>
      </c>
      <c r="CA39" s="542">
        <v>0</v>
      </c>
      <c r="CB39" s="542">
        <v>-809</v>
      </c>
      <c r="CC39" s="542">
        <v>-48541</v>
      </c>
      <c r="CD39" s="542">
        <v>0</v>
      </c>
      <c r="CE39" s="542">
        <v>-48541</v>
      </c>
      <c r="CF39" s="542">
        <v>0</v>
      </c>
      <c r="CG39" s="542">
        <v>0</v>
      </c>
      <c r="CH39" s="542">
        <v>0</v>
      </c>
      <c r="CI39" s="542">
        <v>-1277</v>
      </c>
      <c r="CJ39" s="542">
        <v>0</v>
      </c>
      <c r="CK39" s="542">
        <v>-1277</v>
      </c>
      <c r="CL39" s="542">
        <v>0</v>
      </c>
      <c r="CM39" s="542">
        <v>0</v>
      </c>
      <c r="CN39" s="542">
        <v>0</v>
      </c>
      <c r="CO39" s="542">
        <v>0</v>
      </c>
      <c r="CP39" s="542">
        <v>0</v>
      </c>
      <c r="CQ39" s="542">
        <v>0</v>
      </c>
      <c r="CR39" s="542">
        <v>0</v>
      </c>
      <c r="CS39" s="542">
        <v>0</v>
      </c>
      <c r="CT39" s="542">
        <v>0</v>
      </c>
      <c r="CU39" s="542">
        <v>0</v>
      </c>
      <c r="CV39" s="542">
        <v>0</v>
      </c>
      <c r="CW39" s="542">
        <v>0</v>
      </c>
      <c r="CX39" s="542">
        <v>0</v>
      </c>
      <c r="CY39" s="542">
        <v>0</v>
      </c>
      <c r="CZ39" s="542">
        <v>0</v>
      </c>
      <c r="DA39" s="542">
        <v>-185967</v>
      </c>
      <c r="DB39" s="542">
        <v>0</v>
      </c>
      <c r="DC39" s="542">
        <v>-185967</v>
      </c>
      <c r="DD39" s="542">
        <v>-8551</v>
      </c>
      <c r="DE39" s="542">
        <v>0</v>
      </c>
      <c r="DF39" s="542">
        <v>-8551</v>
      </c>
      <c r="DG39" s="542"/>
      <c r="DH39" s="542">
        <v>0</v>
      </c>
      <c r="DI39" s="542"/>
      <c r="DJ39" s="542">
        <v>0</v>
      </c>
      <c r="DK39" s="542"/>
      <c r="DL39" s="542"/>
      <c r="DM39" s="542">
        <v>-327166</v>
      </c>
      <c r="DN39" s="542">
        <v>0</v>
      </c>
      <c r="DO39" s="542">
        <v>-327166</v>
      </c>
      <c r="DP39" s="542">
        <v>-90614</v>
      </c>
      <c r="DQ39" s="542">
        <v>0</v>
      </c>
      <c r="DR39" s="542">
        <v>-90614</v>
      </c>
      <c r="DS39" s="542">
        <v>0</v>
      </c>
      <c r="DT39" s="542">
        <v>0</v>
      </c>
      <c r="DU39" s="542">
        <v>0</v>
      </c>
      <c r="DV39" s="542">
        <v>-49682</v>
      </c>
      <c r="DW39" s="542">
        <v>0</v>
      </c>
      <c r="DX39" s="542">
        <v>-49682</v>
      </c>
      <c r="DY39" s="542">
        <v>-2181473</v>
      </c>
      <c r="DZ39" s="542">
        <v>0</v>
      </c>
      <c r="EA39" s="542">
        <v>-2181473</v>
      </c>
      <c r="EB39" s="542">
        <v>-7506</v>
      </c>
      <c r="EC39" s="542">
        <v>0</v>
      </c>
      <c r="ED39" s="542">
        <v>-7506</v>
      </c>
      <c r="EE39" s="542">
        <v>-8654</v>
      </c>
      <c r="EF39" s="542">
        <v>0</v>
      </c>
      <c r="EG39" s="542">
        <v>-8654</v>
      </c>
      <c r="EH39" s="542">
        <v>-2337929</v>
      </c>
      <c r="EI39" s="542">
        <v>0</v>
      </c>
      <c r="EJ39" s="542">
        <v>-2337929</v>
      </c>
      <c r="EK39" s="542">
        <v>0</v>
      </c>
      <c r="EL39" s="542">
        <v>0</v>
      </c>
      <c r="EM39" s="542">
        <v>0</v>
      </c>
      <c r="EN39" s="542">
        <v>0</v>
      </c>
      <c r="EO39" s="542">
        <v>0</v>
      </c>
      <c r="EP39" s="542">
        <v>0</v>
      </c>
      <c r="EQ39" s="542">
        <v>0</v>
      </c>
      <c r="ER39" s="542">
        <v>0</v>
      </c>
      <c r="ES39" s="542">
        <v>0</v>
      </c>
      <c r="ET39" s="542">
        <v>121512873</v>
      </c>
      <c r="EU39" s="542">
        <v>0</v>
      </c>
      <c r="EV39" s="542">
        <v>121512873</v>
      </c>
      <c r="EW39" s="542">
        <v>987953</v>
      </c>
      <c r="EX39" s="542">
        <v>0</v>
      </c>
      <c r="EY39" s="542">
        <v>987953</v>
      </c>
      <c r="EZ39" s="542">
        <v>-12439801</v>
      </c>
      <c r="FA39" s="542">
        <v>0</v>
      </c>
      <c r="FB39" s="542">
        <v>-12439801</v>
      </c>
      <c r="FC39" s="542">
        <v>-3589611</v>
      </c>
      <c r="FD39" s="542">
        <v>0</v>
      </c>
      <c r="FE39" s="542">
        <v>-3589611</v>
      </c>
      <c r="FF39" s="542">
        <v>-327166</v>
      </c>
      <c r="FG39" s="542">
        <v>0</v>
      </c>
      <c r="FH39" s="542">
        <v>-327166</v>
      </c>
      <c r="FI39" s="542">
        <v>-2337929</v>
      </c>
      <c r="FJ39" s="542">
        <v>0</v>
      </c>
      <c r="FK39" s="542">
        <v>-2337929</v>
      </c>
      <c r="FL39" s="542">
        <v>0</v>
      </c>
      <c r="FM39" s="542">
        <v>0</v>
      </c>
      <c r="FN39" s="542">
        <v>0</v>
      </c>
      <c r="FO39" s="542">
        <v>-17706554</v>
      </c>
      <c r="FP39" s="542">
        <v>0</v>
      </c>
      <c r="FQ39" s="542">
        <v>-17706554</v>
      </c>
      <c r="FR39" s="542">
        <v>103806319</v>
      </c>
      <c r="FS39" s="542">
        <v>0</v>
      </c>
      <c r="FT39" s="542">
        <v>103806319</v>
      </c>
    </row>
    <row r="40" spans="1:176" ht="12.75" x14ac:dyDescent="0.2">
      <c r="A40" s="93">
        <v>35</v>
      </c>
      <c r="B40" s="145" t="s">
        <v>629</v>
      </c>
      <c r="C40" s="604" t="s">
        <v>770</v>
      </c>
      <c r="D40" s="142" t="s">
        <v>875</v>
      </c>
      <c r="E40" s="149" t="s">
        <v>628</v>
      </c>
      <c r="F40" s="542">
        <v>-1706734</v>
      </c>
      <c r="G40" s="542">
        <v>-35301</v>
      </c>
      <c r="H40" s="542">
        <v>-1742035</v>
      </c>
      <c r="I40" s="542">
        <v>379262</v>
      </c>
      <c r="J40" s="542">
        <v>1368</v>
      </c>
      <c r="K40" s="542">
        <v>380630</v>
      </c>
      <c r="L40" s="542">
        <v>30394</v>
      </c>
      <c r="M40" s="542">
        <v>0</v>
      </c>
      <c r="N40" s="542">
        <v>30394</v>
      </c>
      <c r="O40" s="542">
        <v>1365745</v>
      </c>
      <c r="P40" s="542">
        <v>-2812</v>
      </c>
      <c r="Q40" s="542">
        <v>1362933</v>
      </c>
      <c r="R40" s="542">
        <v>68667</v>
      </c>
      <c r="S40" s="542">
        <v>-36745</v>
      </c>
      <c r="T40" s="542">
        <v>31922</v>
      </c>
      <c r="U40" s="542">
        <v>-7982405</v>
      </c>
      <c r="V40" s="542">
        <v>-89485</v>
      </c>
      <c r="W40" s="542">
        <v>-8071890</v>
      </c>
      <c r="X40" s="542">
        <v>12106</v>
      </c>
      <c r="Y40" s="542">
        <v>0</v>
      </c>
      <c r="Z40" s="542">
        <v>12106</v>
      </c>
      <c r="AA40" s="542">
        <v>-421376</v>
      </c>
      <c r="AB40" s="542">
        <v>-1541</v>
      </c>
      <c r="AC40" s="542">
        <v>-422917</v>
      </c>
      <c r="AD40" s="542">
        <v>-156363</v>
      </c>
      <c r="AE40" s="542">
        <v>-1600</v>
      </c>
      <c r="AF40" s="542">
        <v>-157963</v>
      </c>
      <c r="AG40" s="542">
        <v>4410147</v>
      </c>
      <c r="AH40" s="542">
        <v>586515</v>
      </c>
      <c r="AI40" s="542">
        <v>4996662</v>
      </c>
      <c r="AJ40" s="542">
        <v>191006</v>
      </c>
      <c r="AK40" s="542">
        <v>404</v>
      </c>
      <c r="AL40" s="542">
        <v>191410</v>
      </c>
      <c r="AM40" s="542">
        <v>-15697575</v>
      </c>
      <c r="AN40" s="542">
        <v>-35836</v>
      </c>
      <c r="AO40" s="542">
        <v>-15733411</v>
      </c>
      <c r="AP40" s="542">
        <v>1106487</v>
      </c>
      <c r="AQ40" s="542">
        <v>1651</v>
      </c>
      <c r="AR40" s="542">
        <v>1108138</v>
      </c>
      <c r="AS40" s="542">
        <v>-146597</v>
      </c>
      <c r="AT40" s="542">
        <v>0</v>
      </c>
      <c r="AU40" s="542">
        <v>-146597</v>
      </c>
      <c r="AV40" s="542">
        <v>526</v>
      </c>
      <c r="AW40" s="542">
        <v>0</v>
      </c>
      <c r="AX40" s="542">
        <v>526</v>
      </c>
      <c r="AY40" s="542">
        <v>0</v>
      </c>
      <c r="AZ40" s="542">
        <v>0</v>
      </c>
      <c r="BA40" s="542">
        <v>0</v>
      </c>
      <c r="BB40" s="542">
        <v>0</v>
      </c>
      <c r="BC40" s="542">
        <v>0</v>
      </c>
      <c r="BD40" s="542">
        <v>0</v>
      </c>
      <c r="BE40" s="542">
        <v>-18539787</v>
      </c>
      <c r="BF40" s="542">
        <v>461708</v>
      </c>
      <c r="BG40" s="542">
        <v>-18078079</v>
      </c>
      <c r="BH40" s="542">
        <v>-540119</v>
      </c>
      <c r="BI40" s="542">
        <v>-113066</v>
      </c>
      <c r="BJ40" s="542">
        <v>-653185</v>
      </c>
      <c r="BK40" s="542">
        <v>-168199</v>
      </c>
      <c r="BL40" s="542">
        <v>-217893</v>
      </c>
      <c r="BM40" s="542">
        <v>-386092</v>
      </c>
      <c r="BN40" s="542">
        <v>-11307703</v>
      </c>
      <c r="BO40" s="542">
        <v>-442749</v>
      </c>
      <c r="BP40" s="542">
        <v>-11750452</v>
      </c>
      <c r="BQ40" s="542">
        <v>-129728</v>
      </c>
      <c r="BR40" s="542">
        <v>-86744</v>
      </c>
      <c r="BS40" s="542">
        <v>-216472</v>
      </c>
      <c r="BT40" s="542">
        <v>-12145749</v>
      </c>
      <c r="BU40" s="542">
        <v>-860452</v>
      </c>
      <c r="BV40" s="542">
        <v>-13006201</v>
      </c>
      <c r="BW40" s="542">
        <v>-247900</v>
      </c>
      <c r="BX40" s="542">
        <v>0</v>
      </c>
      <c r="BY40" s="542">
        <v>-247900</v>
      </c>
      <c r="BZ40" s="542">
        <v>-1878</v>
      </c>
      <c r="CA40" s="542">
        <v>0</v>
      </c>
      <c r="CB40" s="542">
        <v>-1878</v>
      </c>
      <c r="CC40" s="542">
        <v>-246961</v>
      </c>
      <c r="CD40" s="542">
        <v>-4121</v>
      </c>
      <c r="CE40" s="542">
        <v>-251082</v>
      </c>
      <c r="CF40" s="542">
        <v>17115</v>
      </c>
      <c r="CG40" s="542">
        <v>0</v>
      </c>
      <c r="CH40" s="542">
        <v>17115</v>
      </c>
      <c r="CI40" s="542">
        <v>-2296</v>
      </c>
      <c r="CJ40" s="542">
        <v>0</v>
      </c>
      <c r="CK40" s="542">
        <v>-2296</v>
      </c>
      <c r="CL40" s="542">
        <v>0</v>
      </c>
      <c r="CM40" s="542">
        <v>0</v>
      </c>
      <c r="CN40" s="542">
        <v>0</v>
      </c>
      <c r="CO40" s="542">
        <v>0</v>
      </c>
      <c r="CP40" s="542">
        <v>0</v>
      </c>
      <c r="CQ40" s="542">
        <v>0</v>
      </c>
      <c r="CR40" s="542">
        <v>0</v>
      </c>
      <c r="CS40" s="542">
        <v>0</v>
      </c>
      <c r="CT40" s="542">
        <v>0</v>
      </c>
      <c r="CU40" s="542">
        <v>0</v>
      </c>
      <c r="CV40" s="542">
        <v>0</v>
      </c>
      <c r="CW40" s="542">
        <v>0</v>
      </c>
      <c r="CX40" s="542">
        <v>0</v>
      </c>
      <c r="CY40" s="542">
        <v>0</v>
      </c>
      <c r="CZ40" s="542">
        <v>0</v>
      </c>
      <c r="DA40" s="542">
        <v>0</v>
      </c>
      <c r="DB40" s="542">
        <v>-507767</v>
      </c>
      <c r="DC40" s="542">
        <v>-507767</v>
      </c>
      <c r="DD40" s="542">
        <v>0</v>
      </c>
      <c r="DE40" s="542">
        <v>-105212</v>
      </c>
      <c r="DF40" s="542">
        <v>-105212</v>
      </c>
      <c r="DG40" s="542"/>
      <c r="DH40" s="542">
        <v>-612979</v>
      </c>
      <c r="DI40" s="542"/>
      <c r="DJ40" s="542">
        <v>0</v>
      </c>
      <c r="DK40" s="542"/>
      <c r="DL40" s="542"/>
      <c r="DM40" s="542">
        <v>-481920</v>
      </c>
      <c r="DN40" s="542">
        <v>-617100</v>
      </c>
      <c r="DO40" s="542">
        <v>-1099020</v>
      </c>
      <c r="DP40" s="542">
        <v>0</v>
      </c>
      <c r="DQ40" s="542">
        <v>0</v>
      </c>
      <c r="DR40" s="542">
        <v>0</v>
      </c>
      <c r="DS40" s="542">
        <v>0</v>
      </c>
      <c r="DT40" s="542">
        <v>0</v>
      </c>
      <c r="DU40" s="542">
        <v>0</v>
      </c>
      <c r="DV40" s="542">
        <v>-68108</v>
      </c>
      <c r="DW40" s="542">
        <v>0</v>
      </c>
      <c r="DX40" s="542">
        <v>-68108</v>
      </c>
      <c r="DY40" s="542">
        <v>-713135</v>
      </c>
      <c r="DZ40" s="542">
        <v>-7897</v>
      </c>
      <c r="EA40" s="542">
        <v>-721032</v>
      </c>
      <c r="EB40" s="542">
        <v>0</v>
      </c>
      <c r="EC40" s="542">
        <v>0</v>
      </c>
      <c r="ED40" s="542">
        <v>0</v>
      </c>
      <c r="EE40" s="542">
        <v>0</v>
      </c>
      <c r="EF40" s="542">
        <v>0</v>
      </c>
      <c r="EG40" s="542">
        <v>0</v>
      </c>
      <c r="EH40" s="542">
        <v>-781243</v>
      </c>
      <c r="EI40" s="542">
        <v>-7897</v>
      </c>
      <c r="EJ40" s="542">
        <v>-789140</v>
      </c>
      <c r="EK40" s="542">
        <v>0</v>
      </c>
      <c r="EL40" s="542">
        <v>0</v>
      </c>
      <c r="EM40" s="542">
        <v>0</v>
      </c>
      <c r="EN40" s="542">
        <v>0</v>
      </c>
      <c r="EO40" s="542">
        <v>-15078</v>
      </c>
      <c r="EP40" s="542">
        <v>-15078</v>
      </c>
      <c r="EQ40" s="542">
        <v>0</v>
      </c>
      <c r="ER40" s="542">
        <v>-15078</v>
      </c>
      <c r="ES40" s="542">
        <v>-15078</v>
      </c>
      <c r="ET40" s="542">
        <v>215816087</v>
      </c>
      <c r="EU40" s="542">
        <v>26311314</v>
      </c>
      <c r="EV40" s="542">
        <v>242127401</v>
      </c>
      <c r="EW40" s="542">
        <v>68667</v>
      </c>
      <c r="EX40" s="542">
        <v>-36745</v>
      </c>
      <c r="EY40" s="542">
        <v>31922</v>
      </c>
      <c r="EZ40" s="542">
        <v>-18539787</v>
      </c>
      <c r="FA40" s="542">
        <v>461708</v>
      </c>
      <c r="FB40" s="542">
        <v>-18078079</v>
      </c>
      <c r="FC40" s="542">
        <v>-12145749</v>
      </c>
      <c r="FD40" s="542">
        <v>-860452</v>
      </c>
      <c r="FE40" s="542">
        <v>-13006201</v>
      </c>
      <c r="FF40" s="542">
        <v>-481920</v>
      </c>
      <c r="FG40" s="542">
        <v>-617100</v>
      </c>
      <c r="FH40" s="542">
        <v>-1099020</v>
      </c>
      <c r="FI40" s="542">
        <v>-781243</v>
      </c>
      <c r="FJ40" s="542">
        <v>-7897</v>
      </c>
      <c r="FK40" s="542">
        <v>-789140</v>
      </c>
      <c r="FL40" s="542">
        <v>0</v>
      </c>
      <c r="FM40" s="542">
        <v>-15078</v>
      </c>
      <c r="FN40" s="542">
        <v>-15078</v>
      </c>
      <c r="FO40" s="542">
        <v>-31880032</v>
      </c>
      <c r="FP40" s="542">
        <v>-1075564</v>
      </c>
      <c r="FQ40" s="542">
        <v>-32955596</v>
      </c>
      <c r="FR40" s="542">
        <v>183936055</v>
      </c>
      <c r="FS40" s="542">
        <v>25235750</v>
      </c>
      <c r="FT40" s="542">
        <v>209171805</v>
      </c>
    </row>
    <row r="41" spans="1:176" ht="12.75" x14ac:dyDescent="0.2">
      <c r="A41" s="93">
        <v>36</v>
      </c>
      <c r="B41" s="145" t="s">
        <v>631</v>
      </c>
      <c r="C41" s="604" t="s">
        <v>866</v>
      </c>
      <c r="D41" s="142" t="s">
        <v>870</v>
      </c>
      <c r="E41" s="149" t="s">
        <v>630</v>
      </c>
      <c r="F41" s="542">
        <v>-40298</v>
      </c>
      <c r="G41" s="542">
        <v>0</v>
      </c>
      <c r="H41" s="542">
        <v>-40298</v>
      </c>
      <c r="I41" s="542">
        <v>33385</v>
      </c>
      <c r="J41" s="542">
        <v>0</v>
      </c>
      <c r="K41" s="542">
        <v>33385</v>
      </c>
      <c r="L41" s="542">
        <v>47737</v>
      </c>
      <c r="M41" s="542">
        <v>0</v>
      </c>
      <c r="N41" s="542">
        <v>47737</v>
      </c>
      <c r="O41" s="542">
        <v>73266</v>
      </c>
      <c r="P41" s="542">
        <v>0</v>
      </c>
      <c r="Q41" s="542">
        <v>73266</v>
      </c>
      <c r="R41" s="542">
        <v>114090</v>
      </c>
      <c r="S41" s="542">
        <v>0</v>
      </c>
      <c r="T41" s="542">
        <v>114090</v>
      </c>
      <c r="U41" s="542">
        <v>-2549453</v>
      </c>
      <c r="V41" s="542">
        <v>0</v>
      </c>
      <c r="W41" s="542">
        <v>-2549453</v>
      </c>
      <c r="X41" s="542">
        <v>-580</v>
      </c>
      <c r="Y41" s="542">
        <v>0</v>
      </c>
      <c r="Z41" s="542">
        <v>-580</v>
      </c>
      <c r="AA41" s="542">
        <v>-32824</v>
      </c>
      <c r="AB41" s="542">
        <v>0</v>
      </c>
      <c r="AC41" s="542">
        <v>-32824</v>
      </c>
      <c r="AD41" s="542">
        <v>-20911</v>
      </c>
      <c r="AE41" s="542">
        <v>0</v>
      </c>
      <c r="AF41" s="542">
        <v>-20911</v>
      </c>
      <c r="AG41" s="542">
        <v>665358</v>
      </c>
      <c r="AH41" s="542">
        <v>0</v>
      </c>
      <c r="AI41" s="542">
        <v>665358</v>
      </c>
      <c r="AJ41" s="542">
        <v>-11696</v>
      </c>
      <c r="AK41" s="542">
        <v>0</v>
      </c>
      <c r="AL41" s="542">
        <v>-11696</v>
      </c>
      <c r="AM41" s="542">
        <v>-1340597</v>
      </c>
      <c r="AN41" s="542">
        <v>0</v>
      </c>
      <c r="AO41" s="542">
        <v>-1340597</v>
      </c>
      <c r="AP41" s="542">
        <v>1543</v>
      </c>
      <c r="AQ41" s="542">
        <v>0</v>
      </c>
      <c r="AR41" s="542">
        <v>1543</v>
      </c>
      <c r="AS41" s="542">
        <v>-40373</v>
      </c>
      <c r="AT41" s="542">
        <v>0</v>
      </c>
      <c r="AU41" s="542">
        <v>-40373</v>
      </c>
      <c r="AV41" s="542">
        <v>0</v>
      </c>
      <c r="AW41" s="542">
        <v>0</v>
      </c>
      <c r="AX41" s="542">
        <v>0</v>
      </c>
      <c r="AY41" s="542">
        <v>-57009</v>
      </c>
      <c r="AZ41" s="542">
        <v>0</v>
      </c>
      <c r="BA41" s="542">
        <v>-57009</v>
      </c>
      <c r="BB41" s="542">
        <v>-17</v>
      </c>
      <c r="BC41" s="542">
        <v>0</v>
      </c>
      <c r="BD41" s="542">
        <v>-17</v>
      </c>
      <c r="BE41" s="542">
        <v>-3365068</v>
      </c>
      <c r="BF41" s="542">
        <v>0</v>
      </c>
      <c r="BG41" s="542">
        <v>-3365068</v>
      </c>
      <c r="BH41" s="542">
        <v>-15197</v>
      </c>
      <c r="BI41" s="542">
        <v>0</v>
      </c>
      <c r="BJ41" s="542">
        <v>-15197</v>
      </c>
      <c r="BK41" s="542">
        <v>-8994</v>
      </c>
      <c r="BL41" s="542">
        <v>0</v>
      </c>
      <c r="BM41" s="542">
        <v>-8994</v>
      </c>
      <c r="BN41" s="542">
        <v>-866053</v>
      </c>
      <c r="BO41" s="542">
        <v>0</v>
      </c>
      <c r="BP41" s="542">
        <v>-866053</v>
      </c>
      <c r="BQ41" s="542">
        <v>-15001</v>
      </c>
      <c r="BR41" s="542">
        <v>0</v>
      </c>
      <c r="BS41" s="542">
        <v>-15001</v>
      </c>
      <c r="BT41" s="542">
        <v>-905245</v>
      </c>
      <c r="BU41" s="542">
        <v>0</v>
      </c>
      <c r="BV41" s="542">
        <v>-905245</v>
      </c>
      <c r="BW41" s="542">
        <v>-15406</v>
      </c>
      <c r="BX41" s="542">
        <v>0</v>
      </c>
      <c r="BY41" s="542">
        <v>-15406</v>
      </c>
      <c r="BZ41" s="542">
        <v>0</v>
      </c>
      <c r="CA41" s="542">
        <v>0</v>
      </c>
      <c r="CB41" s="542">
        <v>0</v>
      </c>
      <c r="CC41" s="542">
        <v>-57172</v>
      </c>
      <c r="CD41" s="542">
        <v>0</v>
      </c>
      <c r="CE41" s="542">
        <v>-57172</v>
      </c>
      <c r="CF41" s="542">
        <v>0</v>
      </c>
      <c r="CG41" s="542">
        <v>0</v>
      </c>
      <c r="CH41" s="542">
        <v>0</v>
      </c>
      <c r="CI41" s="542">
        <v>0</v>
      </c>
      <c r="CJ41" s="542">
        <v>0</v>
      </c>
      <c r="CK41" s="542">
        <v>0</v>
      </c>
      <c r="CL41" s="542">
        <v>0</v>
      </c>
      <c r="CM41" s="542">
        <v>0</v>
      </c>
      <c r="CN41" s="542">
        <v>0</v>
      </c>
      <c r="CO41" s="542">
        <v>-57009</v>
      </c>
      <c r="CP41" s="542">
        <v>0</v>
      </c>
      <c r="CQ41" s="542">
        <v>-57009</v>
      </c>
      <c r="CR41" s="542">
        <v>-17</v>
      </c>
      <c r="CS41" s="542">
        <v>0</v>
      </c>
      <c r="CT41" s="542">
        <v>-17</v>
      </c>
      <c r="CU41" s="542">
        <v>-9779</v>
      </c>
      <c r="CV41" s="542">
        <v>0</v>
      </c>
      <c r="CW41" s="542">
        <v>-9779</v>
      </c>
      <c r="CX41" s="542">
        <v>0</v>
      </c>
      <c r="CY41" s="542">
        <v>0</v>
      </c>
      <c r="CZ41" s="542">
        <v>0</v>
      </c>
      <c r="DA41" s="542">
        <v>0</v>
      </c>
      <c r="DB41" s="542">
        <v>0</v>
      </c>
      <c r="DC41" s="542">
        <v>0</v>
      </c>
      <c r="DD41" s="542">
        <v>0</v>
      </c>
      <c r="DE41" s="542">
        <v>0</v>
      </c>
      <c r="DF41" s="542">
        <v>0</v>
      </c>
      <c r="DG41" s="542"/>
      <c r="DH41" s="542">
        <v>0</v>
      </c>
      <c r="DI41" s="542"/>
      <c r="DJ41" s="542">
        <v>0</v>
      </c>
      <c r="DK41" s="542"/>
      <c r="DL41" s="542"/>
      <c r="DM41" s="542">
        <v>-139383</v>
      </c>
      <c r="DN41" s="542">
        <v>0</v>
      </c>
      <c r="DO41" s="542">
        <v>-139383</v>
      </c>
      <c r="DP41" s="542">
        <v>-1954</v>
      </c>
      <c r="DQ41" s="542">
        <v>0</v>
      </c>
      <c r="DR41" s="542">
        <v>-1954</v>
      </c>
      <c r="DS41" s="542">
        <v>0</v>
      </c>
      <c r="DT41" s="542">
        <v>0</v>
      </c>
      <c r="DU41" s="542">
        <v>0</v>
      </c>
      <c r="DV41" s="542">
        <v>0</v>
      </c>
      <c r="DW41" s="542">
        <v>0</v>
      </c>
      <c r="DX41" s="542">
        <v>0</v>
      </c>
      <c r="DY41" s="542">
        <v>-241609</v>
      </c>
      <c r="DZ41" s="542">
        <v>0</v>
      </c>
      <c r="EA41" s="542">
        <v>-241609</v>
      </c>
      <c r="EB41" s="542">
        <v>0</v>
      </c>
      <c r="EC41" s="542">
        <v>0</v>
      </c>
      <c r="ED41" s="542">
        <v>0</v>
      </c>
      <c r="EE41" s="542">
        <v>0</v>
      </c>
      <c r="EF41" s="542">
        <v>0</v>
      </c>
      <c r="EG41" s="542">
        <v>0</v>
      </c>
      <c r="EH41" s="542">
        <v>-243563</v>
      </c>
      <c r="EI41" s="542">
        <v>0</v>
      </c>
      <c r="EJ41" s="542">
        <v>-243563</v>
      </c>
      <c r="EK41" s="542">
        <v>0</v>
      </c>
      <c r="EL41" s="542">
        <v>0</v>
      </c>
      <c r="EM41" s="542">
        <v>0</v>
      </c>
      <c r="EN41" s="542">
        <v>0</v>
      </c>
      <c r="EO41" s="542">
        <v>0</v>
      </c>
      <c r="EP41" s="542">
        <v>0</v>
      </c>
      <c r="EQ41" s="542">
        <v>0</v>
      </c>
      <c r="ER41" s="542">
        <v>0</v>
      </c>
      <c r="ES41" s="542">
        <v>0</v>
      </c>
      <c r="ET41" s="542">
        <v>33978584</v>
      </c>
      <c r="EU41" s="542">
        <v>0</v>
      </c>
      <c r="EV41" s="542">
        <v>33978584</v>
      </c>
      <c r="EW41" s="542">
        <v>114090</v>
      </c>
      <c r="EX41" s="542">
        <v>0</v>
      </c>
      <c r="EY41" s="542">
        <v>114090</v>
      </c>
      <c r="EZ41" s="542">
        <v>-3365068</v>
      </c>
      <c r="FA41" s="542">
        <v>0</v>
      </c>
      <c r="FB41" s="542">
        <v>-3365068</v>
      </c>
      <c r="FC41" s="542">
        <v>-905245</v>
      </c>
      <c r="FD41" s="542">
        <v>0</v>
      </c>
      <c r="FE41" s="542">
        <v>-905245</v>
      </c>
      <c r="FF41" s="542">
        <v>-139383</v>
      </c>
      <c r="FG41" s="542">
        <v>0</v>
      </c>
      <c r="FH41" s="542">
        <v>-139383</v>
      </c>
      <c r="FI41" s="542">
        <v>-243563</v>
      </c>
      <c r="FJ41" s="542">
        <v>0</v>
      </c>
      <c r="FK41" s="542">
        <v>-243563</v>
      </c>
      <c r="FL41" s="542">
        <v>0</v>
      </c>
      <c r="FM41" s="542">
        <v>0</v>
      </c>
      <c r="FN41" s="542">
        <v>0</v>
      </c>
      <c r="FO41" s="542">
        <v>-4539169</v>
      </c>
      <c r="FP41" s="542">
        <v>0</v>
      </c>
      <c r="FQ41" s="542">
        <v>-4539169</v>
      </c>
      <c r="FR41" s="542">
        <v>29439415</v>
      </c>
      <c r="FS41" s="542">
        <v>0</v>
      </c>
      <c r="FT41" s="542">
        <v>29439415</v>
      </c>
    </row>
    <row r="42" spans="1:176" ht="12.75" x14ac:dyDescent="0.2">
      <c r="A42" s="93">
        <v>37</v>
      </c>
      <c r="B42" s="145" t="s">
        <v>633</v>
      </c>
      <c r="C42" s="604" t="s">
        <v>871</v>
      </c>
      <c r="D42" s="142" t="s">
        <v>872</v>
      </c>
      <c r="E42" s="149" t="s">
        <v>632</v>
      </c>
      <c r="F42" s="542">
        <v>-41174</v>
      </c>
      <c r="G42" s="542">
        <v>0</v>
      </c>
      <c r="H42" s="542">
        <v>-41174</v>
      </c>
      <c r="I42" s="542">
        <v>128249</v>
      </c>
      <c r="J42" s="542">
        <v>0</v>
      </c>
      <c r="K42" s="542">
        <v>128249</v>
      </c>
      <c r="L42" s="542">
        <v>34839</v>
      </c>
      <c r="M42" s="542">
        <v>0</v>
      </c>
      <c r="N42" s="542">
        <v>34839</v>
      </c>
      <c r="O42" s="542">
        <v>558584</v>
      </c>
      <c r="P42" s="542">
        <v>0</v>
      </c>
      <c r="Q42" s="542">
        <v>558584</v>
      </c>
      <c r="R42" s="542">
        <v>680498</v>
      </c>
      <c r="S42" s="542">
        <v>0</v>
      </c>
      <c r="T42" s="542">
        <v>680498</v>
      </c>
      <c r="U42" s="542">
        <v>-4358009</v>
      </c>
      <c r="V42" s="542">
        <v>0</v>
      </c>
      <c r="W42" s="542">
        <v>-4358009</v>
      </c>
      <c r="X42" s="542">
        <v>0</v>
      </c>
      <c r="Y42" s="542">
        <v>0</v>
      </c>
      <c r="Z42" s="542">
        <v>0</v>
      </c>
      <c r="AA42" s="542">
        <v>-138554</v>
      </c>
      <c r="AB42" s="542">
        <v>0</v>
      </c>
      <c r="AC42" s="542">
        <v>-138554</v>
      </c>
      <c r="AD42" s="542">
        <v>-50341</v>
      </c>
      <c r="AE42" s="542">
        <v>0</v>
      </c>
      <c r="AF42" s="542">
        <v>-50341</v>
      </c>
      <c r="AG42" s="542">
        <v>1891084</v>
      </c>
      <c r="AH42" s="542">
        <v>0</v>
      </c>
      <c r="AI42" s="542">
        <v>1891084</v>
      </c>
      <c r="AJ42" s="542">
        <v>-33574</v>
      </c>
      <c r="AK42" s="542">
        <v>0</v>
      </c>
      <c r="AL42" s="542">
        <v>-33574</v>
      </c>
      <c r="AM42" s="542">
        <v>-8043863</v>
      </c>
      <c r="AN42" s="542">
        <v>0</v>
      </c>
      <c r="AO42" s="542">
        <v>-8043863</v>
      </c>
      <c r="AP42" s="542">
        <v>6616</v>
      </c>
      <c r="AQ42" s="542">
        <v>0</v>
      </c>
      <c r="AR42" s="542">
        <v>6616</v>
      </c>
      <c r="AS42" s="542">
        <v>-172600</v>
      </c>
      <c r="AT42" s="542">
        <v>0</v>
      </c>
      <c r="AU42" s="542">
        <v>-172600</v>
      </c>
      <c r="AV42" s="542">
        <v>585</v>
      </c>
      <c r="AW42" s="542">
        <v>0</v>
      </c>
      <c r="AX42" s="542">
        <v>585</v>
      </c>
      <c r="AY42" s="542">
        <v>0</v>
      </c>
      <c r="AZ42" s="542">
        <v>0</v>
      </c>
      <c r="BA42" s="542">
        <v>0</v>
      </c>
      <c r="BB42" s="542">
        <v>0</v>
      </c>
      <c r="BC42" s="542">
        <v>0</v>
      </c>
      <c r="BD42" s="542">
        <v>0</v>
      </c>
      <c r="BE42" s="542">
        <v>-10848315</v>
      </c>
      <c r="BF42" s="542">
        <v>0</v>
      </c>
      <c r="BG42" s="542">
        <v>-10848315</v>
      </c>
      <c r="BH42" s="542">
        <v>-14311</v>
      </c>
      <c r="BI42" s="542">
        <v>0</v>
      </c>
      <c r="BJ42" s="542">
        <v>-14311</v>
      </c>
      <c r="BK42" s="542">
        <v>-6452</v>
      </c>
      <c r="BL42" s="542">
        <v>0</v>
      </c>
      <c r="BM42" s="542">
        <v>-6452</v>
      </c>
      <c r="BN42" s="542">
        <v>-2984140</v>
      </c>
      <c r="BO42" s="542">
        <v>0</v>
      </c>
      <c r="BP42" s="542">
        <v>-2984140</v>
      </c>
      <c r="BQ42" s="542">
        <v>139597</v>
      </c>
      <c r="BR42" s="542">
        <v>0</v>
      </c>
      <c r="BS42" s="542">
        <v>139597</v>
      </c>
      <c r="BT42" s="542">
        <v>-2865306</v>
      </c>
      <c r="BU42" s="542">
        <v>0</v>
      </c>
      <c r="BV42" s="542">
        <v>-2865306</v>
      </c>
      <c r="BW42" s="542">
        <v>-210376</v>
      </c>
      <c r="BX42" s="542">
        <v>0</v>
      </c>
      <c r="BY42" s="542">
        <v>-210376</v>
      </c>
      <c r="BZ42" s="542">
        <v>107</v>
      </c>
      <c r="CA42" s="542">
        <v>0</v>
      </c>
      <c r="CB42" s="542">
        <v>107</v>
      </c>
      <c r="CC42" s="542">
        <v>-185498</v>
      </c>
      <c r="CD42" s="542">
        <v>0</v>
      </c>
      <c r="CE42" s="542">
        <v>-185498</v>
      </c>
      <c r="CF42" s="542">
        <v>0</v>
      </c>
      <c r="CG42" s="542">
        <v>0</v>
      </c>
      <c r="CH42" s="542">
        <v>0</v>
      </c>
      <c r="CI42" s="542">
        <v>-43301</v>
      </c>
      <c r="CJ42" s="542">
        <v>0</v>
      </c>
      <c r="CK42" s="542">
        <v>-43301</v>
      </c>
      <c r="CL42" s="542">
        <v>146</v>
      </c>
      <c r="CM42" s="542">
        <v>0</v>
      </c>
      <c r="CN42" s="542">
        <v>146</v>
      </c>
      <c r="CO42" s="542">
        <v>0</v>
      </c>
      <c r="CP42" s="542">
        <v>0</v>
      </c>
      <c r="CQ42" s="542">
        <v>0</v>
      </c>
      <c r="CR42" s="542">
        <v>0</v>
      </c>
      <c r="CS42" s="542">
        <v>0</v>
      </c>
      <c r="CT42" s="542">
        <v>0</v>
      </c>
      <c r="CU42" s="542">
        <v>0</v>
      </c>
      <c r="CV42" s="542">
        <v>0</v>
      </c>
      <c r="CW42" s="542">
        <v>0</v>
      </c>
      <c r="CX42" s="542">
        <v>0</v>
      </c>
      <c r="CY42" s="542">
        <v>0</v>
      </c>
      <c r="CZ42" s="542">
        <v>0</v>
      </c>
      <c r="DA42" s="542">
        <v>0</v>
      </c>
      <c r="DB42" s="542">
        <v>0</v>
      </c>
      <c r="DC42" s="542">
        <v>0</v>
      </c>
      <c r="DD42" s="542">
        <v>0</v>
      </c>
      <c r="DE42" s="542">
        <v>0</v>
      </c>
      <c r="DF42" s="542">
        <v>0</v>
      </c>
      <c r="DG42" s="542"/>
      <c r="DH42" s="542">
        <v>0</v>
      </c>
      <c r="DI42" s="542"/>
      <c r="DJ42" s="542">
        <v>0</v>
      </c>
      <c r="DK42" s="542"/>
      <c r="DL42" s="542"/>
      <c r="DM42" s="542">
        <v>-438922</v>
      </c>
      <c r="DN42" s="542">
        <v>0</v>
      </c>
      <c r="DO42" s="542">
        <v>-438922</v>
      </c>
      <c r="DP42" s="542">
        <v>0</v>
      </c>
      <c r="DQ42" s="542">
        <v>0</v>
      </c>
      <c r="DR42" s="542">
        <v>0</v>
      </c>
      <c r="DS42" s="542">
        <v>0</v>
      </c>
      <c r="DT42" s="542">
        <v>0</v>
      </c>
      <c r="DU42" s="542">
        <v>0</v>
      </c>
      <c r="DV42" s="542">
        <v>-16298</v>
      </c>
      <c r="DW42" s="542">
        <v>0</v>
      </c>
      <c r="DX42" s="542">
        <v>-16298</v>
      </c>
      <c r="DY42" s="542">
        <v>-947689</v>
      </c>
      <c r="DZ42" s="542">
        <v>0</v>
      </c>
      <c r="EA42" s="542">
        <v>-947689</v>
      </c>
      <c r="EB42" s="542">
        <v>0</v>
      </c>
      <c r="EC42" s="542">
        <v>0</v>
      </c>
      <c r="ED42" s="542">
        <v>0</v>
      </c>
      <c r="EE42" s="542">
        <v>-33703</v>
      </c>
      <c r="EF42" s="542">
        <v>0</v>
      </c>
      <c r="EG42" s="542">
        <v>-33703</v>
      </c>
      <c r="EH42" s="542">
        <v>-997690</v>
      </c>
      <c r="EI42" s="542">
        <v>0</v>
      </c>
      <c r="EJ42" s="542">
        <v>-997690</v>
      </c>
      <c r="EK42" s="542">
        <v>0</v>
      </c>
      <c r="EL42" s="542">
        <v>0</v>
      </c>
      <c r="EM42" s="542">
        <v>0</v>
      </c>
      <c r="EN42" s="542">
        <v>0</v>
      </c>
      <c r="EO42" s="542">
        <v>0</v>
      </c>
      <c r="EP42" s="542">
        <v>0</v>
      </c>
      <c r="EQ42" s="542">
        <v>0</v>
      </c>
      <c r="ER42" s="542">
        <v>0</v>
      </c>
      <c r="ES42" s="542">
        <v>0</v>
      </c>
      <c r="ET42" s="542">
        <v>98939149</v>
      </c>
      <c r="EU42" s="542">
        <v>0</v>
      </c>
      <c r="EV42" s="542">
        <v>98939149</v>
      </c>
      <c r="EW42" s="542">
        <v>680498</v>
      </c>
      <c r="EX42" s="542">
        <v>0</v>
      </c>
      <c r="EY42" s="542">
        <v>680498</v>
      </c>
      <c r="EZ42" s="542">
        <v>-10848315</v>
      </c>
      <c r="FA42" s="542">
        <v>0</v>
      </c>
      <c r="FB42" s="542">
        <v>-10848315</v>
      </c>
      <c r="FC42" s="542">
        <v>-2865306</v>
      </c>
      <c r="FD42" s="542">
        <v>0</v>
      </c>
      <c r="FE42" s="542">
        <v>-2865306</v>
      </c>
      <c r="FF42" s="542">
        <v>-438922</v>
      </c>
      <c r="FG42" s="542">
        <v>0</v>
      </c>
      <c r="FH42" s="542">
        <v>-438922</v>
      </c>
      <c r="FI42" s="542">
        <v>-997690</v>
      </c>
      <c r="FJ42" s="542">
        <v>0</v>
      </c>
      <c r="FK42" s="542">
        <v>-997690</v>
      </c>
      <c r="FL42" s="542">
        <v>0</v>
      </c>
      <c r="FM42" s="542">
        <v>0</v>
      </c>
      <c r="FN42" s="542">
        <v>0</v>
      </c>
      <c r="FO42" s="542">
        <v>-14469735</v>
      </c>
      <c r="FP42" s="542">
        <v>0</v>
      </c>
      <c r="FQ42" s="542">
        <v>-14469735</v>
      </c>
      <c r="FR42" s="542">
        <v>84469414</v>
      </c>
      <c r="FS42" s="542">
        <v>0</v>
      </c>
      <c r="FT42" s="542">
        <v>84469414</v>
      </c>
    </row>
    <row r="43" spans="1:176" ht="12.75" x14ac:dyDescent="0.2">
      <c r="A43" s="93">
        <v>38</v>
      </c>
      <c r="B43" s="145" t="s">
        <v>635</v>
      </c>
      <c r="C43" s="604" t="s">
        <v>866</v>
      </c>
      <c r="D43" s="142" t="s">
        <v>876</v>
      </c>
      <c r="E43" s="149" t="s">
        <v>634</v>
      </c>
      <c r="F43" s="542">
        <v>-76353</v>
      </c>
      <c r="G43" s="542">
        <v>0</v>
      </c>
      <c r="H43" s="542">
        <v>-76353</v>
      </c>
      <c r="I43" s="542">
        <v>21761</v>
      </c>
      <c r="J43" s="542">
        <v>0</v>
      </c>
      <c r="K43" s="542">
        <v>21761</v>
      </c>
      <c r="L43" s="542">
        <v>1087</v>
      </c>
      <c r="M43" s="542">
        <v>0</v>
      </c>
      <c r="N43" s="542">
        <v>1087</v>
      </c>
      <c r="O43" s="542">
        <v>234762</v>
      </c>
      <c r="P43" s="542">
        <v>0</v>
      </c>
      <c r="Q43" s="542">
        <v>234762</v>
      </c>
      <c r="R43" s="542">
        <v>181257</v>
      </c>
      <c r="S43" s="542">
        <v>0</v>
      </c>
      <c r="T43" s="542">
        <v>181257</v>
      </c>
      <c r="U43" s="542">
        <v>-2041947</v>
      </c>
      <c r="V43" s="542">
        <v>0</v>
      </c>
      <c r="W43" s="542">
        <v>-2041947</v>
      </c>
      <c r="X43" s="542">
        <v>0</v>
      </c>
      <c r="Y43" s="542">
        <v>0</v>
      </c>
      <c r="Z43" s="542">
        <v>0</v>
      </c>
      <c r="AA43" s="542">
        <v>-191279</v>
      </c>
      <c r="AB43" s="542">
        <v>0</v>
      </c>
      <c r="AC43" s="542">
        <v>-191279</v>
      </c>
      <c r="AD43" s="542">
        <v>0</v>
      </c>
      <c r="AE43" s="542">
        <v>0</v>
      </c>
      <c r="AF43" s="542">
        <v>0</v>
      </c>
      <c r="AG43" s="542">
        <v>614490</v>
      </c>
      <c r="AH43" s="542">
        <v>0</v>
      </c>
      <c r="AI43" s="542">
        <v>614490</v>
      </c>
      <c r="AJ43" s="542">
        <v>-14966</v>
      </c>
      <c r="AK43" s="542">
        <v>0</v>
      </c>
      <c r="AL43" s="542">
        <v>-14966</v>
      </c>
      <c r="AM43" s="542">
        <v>-1987430</v>
      </c>
      <c r="AN43" s="542">
        <v>0</v>
      </c>
      <c r="AO43" s="542">
        <v>-1987430</v>
      </c>
      <c r="AP43" s="542">
        <v>41455</v>
      </c>
      <c r="AQ43" s="542">
        <v>0</v>
      </c>
      <c r="AR43" s="542">
        <v>41455</v>
      </c>
      <c r="AS43" s="542">
        <v>-15501</v>
      </c>
      <c r="AT43" s="542">
        <v>0</v>
      </c>
      <c r="AU43" s="542">
        <v>-15501</v>
      </c>
      <c r="AV43" s="542">
        <v>0</v>
      </c>
      <c r="AW43" s="542">
        <v>0</v>
      </c>
      <c r="AX43" s="542">
        <v>0</v>
      </c>
      <c r="AY43" s="542">
        <v>-2157</v>
      </c>
      <c r="AZ43" s="542">
        <v>0</v>
      </c>
      <c r="BA43" s="542">
        <v>-2157</v>
      </c>
      <c r="BB43" s="542">
        <v>0</v>
      </c>
      <c r="BC43" s="542">
        <v>0</v>
      </c>
      <c r="BD43" s="542">
        <v>0</v>
      </c>
      <c r="BE43" s="542">
        <v>-3597335</v>
      </c>
      <c r="BF43" s="542">
        <v>0</v>
      </c>
      <c r="BG43" s="542">
        <v>-3597335</v>
      </c>
      <c r="BH43" s="542">
        <v>0</v>
      </c>
      <c r="BI43" s="542">
        <v>0</v>
      </c>
      <c r="BJ43" s="542">
        <v>0</v>
      </c>
      <c r="BK43" s="542">
        <v>154</v>
      </c>
      <c r="BL43" s="542">
        <v>0</v>
      </c>
      <c r="BM43" s="542">
        <v>154</v>
      </c>
      <c r="BN43" s="542">
        <v>-738772</v>
      </c>
      <c r="BO43" s="542">
        <v>0</v>
      </c>
      <c r="BP43" s="542">
        <v>-738772</v>
      </c>
      <c r="BQ43" s="542">
        <v>66462</v>
      </c>
      <c r="BR43" s="542">
        <v>0</v>
      </c>
      <c r="BS43" s="542">
        <v>66462</v>
      </c>
      <c r="BT43" s="542">
        <v>-672156</v>
      </c>
      <c r="BU43" s="542">
        <v>0</v>
      </c>
      <c r="BV43" s="542">
        <v>-672156</v>
      </c>
      <c r="BW43" s="542">
        <v>-109023</v>
      </c>
      <c r="BX43" s="542">
        <v>0</v>
      </c>
      <c r="BY43" s="542">
        <v>-109023</v>
      </c>
      <c r="BZ43" s="542">
        <v>9346</v>
      </c>
      <c r="CA43" s="542">
        <v>0</v>
      </c>
      <c r="CB43" s="542">
        <v>9346</v>
      </c>
      <c r="CC43" s="542">
        <v>-84231</v>
      </c>
      <c r="CD43" s="542">
        <v>0</v>
      </c>
      <c r="CE43" s="542">
        <v>-84231</v>
      </c>
      <c r="CF43" s="542">
        <v>2015</v>
      </c>
      <c r="CG43" s="542">
        <v>0</v>
      </c>
      <c r="CH43" s="542">
        <v>2015</v>
      </c>
      <c r="CI43" s="542">
        <v>-3504</v>
      </c>
      <c r="CJ43" s="542">
        <v>0</v>
      </c>
      <c r="CK43" s="542">
        <v>-3504</v>
      </c>
      <c r="CL43" s="542">
        <v>0</v>
      </c>
      <c r="CM43" s="542">
        <v>0</v>
      </c>
      <c r="CN43" s="542">
        <v>0</v>
      </c>
      <c r="CO43" s="542">
        <v>-1542</v>
      </c>
      <c r="CP43" s="542">
        <v>0</v>
      </c>
      <c r="CQ43" s="542">
        <v>-1542</v>
      </c>
      <c r="CR43" s="542">
        <v>0</v>
      </c>
      <c r="CS43" s="542">
        <v>0</v>
      </c>
      <c r="CT43" s="542">
        <v>0</v>
      </c>
      <c r="CU43" s="542">
        <v>0</v>
      </c>
      <c r="CV43" s="542">
        <v>0</v>
      </c>
      <c r="CW43" s="542">
        <v>0</v>
      </c>
      <c r="CX43" s="542">
        <v>0</v>
      </c>
      <c r="CY43" s="542">
        <v>0</v>
      </c>
      <c r="CZ43" s="542">
        <v>0</v>
      </c>
      <c r="DA43" s="542">
        <v>0</v>
      </c>
      <c r="DB43" s="542">
        <v>0</v>
      </c>
      <c r="DC43" s="542">
        <v>0</v>
      </c>
      <c r="DD43" s="542">
        <v>0</v>
      </c>
      <c r="DE43" s="542">
        <v>0</v>
      </c>
      <c r="DF43" s="542">
        <v>0</v>
      </c>
      <c r="DG43" s="542"/>
      <c r="DH43" s="542">
        <v>0</v>
      </c>
      <c r="DI43" s="542"/>
      <c r="DJ43" s="542">
        <v>0</v>
      </c>
      <c r="DK43" s="542"/>
      <c r="DL43" s="542"/>
      <c r="DM43" s="542">
        <v>-186939</v>
      </c>
      <c r="DN43" s="542">
        <v>0</v>
      </c>
      <c r="DO43" s="542">
        <v>-186939</v>
      </c>
      <c r="DP43" s="542">
        <v>0</v>
      </c>
      <c r="DQ43" s="542">
        <v>0</v>
      </c>
      <c r="DR43" s="542">
        <v>0</v>
      </c>
      <c r="DS43" s="542">
        <v>0</v>
      </c>
      <c r="DT43" s="542">
        <v>0</v>
      </c>
      <c r="DU43" s="542">
        <v>0</v>
      </c>
      <c r="DV43" s="542">
        <v>-4651</v>
      </c>
      <c r="DW43" s="542">
        <v>0</v>
      </c>
      <c r="DX43" s="542">
        <v>-4651</v>
      </c>
      <c r="DY43" s="542">
        <v>-398323</v>
      </c>
      <c r="DZ43" s="542">
        <v>0</v>
      </c>
      <c r="EA43" s="542">
        <v>-398323</v>
      </c>
      <c r="EB43" s="542">
        <v>0</v>
      </c>
      <c r="EC43" s="542">
        <v>0</v>
      </c>
      <c r="ED43" s="542">
        <v>0</v>
      </c>
      <c r="EE43" s="542">
        <v>0</v>
      </c>
      <c r="EF43" s="542">
        <v>0</v>
      </c>
      <c r="EG43" s="542">
        <v>0</v>
      </c>
      <c r="EH43" s="542">
        <v>-402974</v>
      </c>
      <c r="EI43" s="542">
        <v>0</v>
      </c>
      <c r="EJ43" s="542">
        <v>-402974</v>
      </c>
      <c r="EK43" s="542">
        <v>0</v>
      </c>
      <c r="EL43" s="542">
        <v>0</v>
      </c>
      <c r="EM43" s="542">
        <v>0</v>
      </c>
      <c r="EN43" s="542">
        <v>0</v>
      </c>
      <c r="EO43" s="542">
        <v>0</v>
      </c>
      <c r="EP43" s="542">
        <v>0</v>
      </c>
      <c r="EQ43" s="542">
        <v>0</v>
      </c>
      <c r="ER43" s="542">
        <v>0</v>
      </c>
      <c r="ES43" s="542">
        <v>0</v>
      </c>
      <c r="ET43" s="542">
        <v>31732566</v>
      </c>
      <c r="EU43" s="542">
        <v>0</v>
      </c>
      <c r="EV43" s="542">
        <v>31732566</v>
      </c>
      <c r="EW43" s="542">
        <v>181257</v>
      </c>
      <c r="EX43" s="542">
        <v>0</v>
      </c>
      <c r="EY43" s="542">
        <v>181257</v>
      </c>
      <c r="EZ43" s="542">
        <v>-3597335</v>
      </c>
      <c r="FA43" s="542">
        <v>0</v>
      </c>
      <c r="FB43" s="542">
        <v>-3597335</v>
      </c>
      <c r="FC43" s="542">
        <v>-672156</v>
      </c>
      <c r="FD43" s="542">
        <v>0</v>
      </c>
      <c r="FE43" s="542">
        <v>-672156</v>
      </c>
      <c r="FF43" s="542">
        <v>-186939</v>
      </c>
      <c r="FG43" s="542">
        <v>0</v>
      </c>
      <c r="FH43" s="542">
        <v>-186939</v>
      </c>
      <c r="FI43" s="542">
        <v>-402974</v>
      </c>
      <c r="FJ43" s="542">
        <v>0</v>
      </c>
      <c r="FK43" s="542">
        <v>-402974</v>
      </c>
      <c r="FL43" s="542">
        <v>0</v>
      </c>
      <c r="FM43" s="542">
        <v>0</v>
      </c>
      <c r="FN43" s="542">
        <v>0</v>
      </c>
      <c r="FO43" s="542">
        <v>-4678147</v>
      </c>
      <c r="FP43" s="542">
        <v>0</v>
      </c>
      <c r="FQ43" s="542">
        <v>-4678147</v>
      </c>
      <c r="FR43" s="542">
        <v>27054419</v>
      </c>
      <c r="FS43" s="542">
        <v>0</v>
      </c>
      <c r="FT43" s="542">
        <v>27054419</v>
      </c>
    </row>
    <row r="44" spans="1:176" ht="12.75" x14ac:dyDescent="0.2">
      <c r="A44" s="93">
        <v>39</v>
      </c>
      <c r="B44" s="145" t="s">
        <v>637</v>
      </c>
      <c r="C44" s="604" t="s">
        <v>866</v>
      </c>
      <c r="D44" s="142" t="s">
        <v>870</v>
      </c>
      <c r="E44" s="149" t="s">
        <v>636</v>
      </c>
      <c r="F44" s="542">
        <v>-526498</v>
      </c>
      <c r="G44" s="542">
        <v>0</v>
      </c>
      <c r="H44" s="542">
        <v>-526498</v>
      </c>
      <c r="I44" s="542">
        <v>1513</v>
      </c>
      <c r="J44" s="542">
        <v>0</v>
      </c>
      <c r="K44" s="542">
        <v>1513</v>
      </c>
      <c r="L44" s="542">
        <v>15304</v>
      </c>
      <c r="M44" s="542">
        <v>0</v>
      </c>
      <c r="N44" s="542">
        <v>15304</v>
      </c>
      <c r="O44" s="542">
        <v>-19231</v>
      </c>
      <c r="P44" s="542">
        <v>0</v>
      </c>
      <c r="Q44" s="542">
        <v>-19231</v>
      </c>
      <c r="R44" s="542">
        <v>-528912</v>
      </c>
      <c r="S44" s="542">
        <v>0</v>
      </c>
      <c r="T44" s="542">
        <v>-528912</v>
      </c>
      <c r="U44" s="542">
        <v>-1393670</v>
      </c>
      <c r="V44" s="542">
        <v>0</v>
      </c>
      <c r="W44" s="542">
        <v>-1393670</v>
      </c>
      <c r="X44" s="542">
        <v>0</v>
      </c>
      <c r="Y44" s="542">
        <v>0</v>
      </c>
      <c r="Z44" s="542">
        <v>0</v>
      </c>
      <c r="AA44" s="542">
        <v>-124143</v>
      </c>
      <c r="AB44" s="542">
        <v>0</v>
      </c>
      <c r="AC44" s="542">
        <v>-124143</v>
      </c>
      <c r="AD44" s="542">
        <v>0</v>
      </c>
      <c r="AE44" s="542">
        <v>0</v>
      </c>
      <c r="AF44" s="542">
        <v>0</v>
      </c>
      <c r="AG44" s="542">
        <v>950928</v>
      </c>
      <c r="AH44" s="542">
        <v>0</v>
      </c>
      <c r="AI44" s="542">
        <v>950928</v>
      </c>
      <c r="AJ44" s="542">
        <v>108882</v>
      </c>
      <c r="AK44" s="542">
        <v>0</v>
      </c>
      <c r="AL44" s="542">
        <v>108882</v>
      </c>
      <c r="AM44" s="542">
        <v>-1772884</v>
      </c>
      <c r="AN44" s="542">
        <v>0</v>
      </c>
      <c r="AO44" s="542">
        <v>-1772884</v>
      </c>
      <c r="AP44" s="542">
        <v>-50440</v>
      </c>
      <c r="AQ44" s="542">
        <v>0</v>
      </c>
      <c r="AR44" s="542">
        <v>-50440</v>
      </c>
      <c r="AS44" s="542">
        <v>-72165</v>
      </c>
      <c r="AT44" s="542">
        <v>0</v>
      </c>
      <c r="AU44" s="542">
        <v>-72165</v>
      </c>
      <c r="AV44" s="542">
        <v>0</v>
      </c>
      <c r="AW44" s="542">
        <v>0</v>
      </c>
      <c r="AX44" s="542">
        <v>0</v>
      </c>
      <c r="AY44" s="542">
        <v>0</v>
      </c>
      <c r="AZ44" s="542">
        <v>0</v>
      </c>
      <c r="BA44" s="542">
        <v>0</v>
      </c>
      <c r="BB44" s="542">
        <v>0</v>
      </c>
      <c r="BC44" s="542">
        <v>0</v>
      </c>
      <c r="BD44" s="542">
        <v>0</v>
      </c>
      <c r="BE44" s="542">
        <v>-2353492</v>
      </c>
      <c r="BF44" s="542">
        <v>0</v>
      </c>
      <c r="BG44" s="542">
        <v>-2353492</v>
      </c>
      <c r="BH44" s="542">
        <v>-106343</v>
      </c>
      <c r="BI44" s="542">
        <v>0</v>
      </c>
      <c r="BJ44" s="542">
        <v>-106343</v>
      </c>
      <c r="BK44" s="542">
        <v>1401</v>
      </c>
      <c r="BL44" s="542">
        <v>0</v>
      </c>
      <c r="BM44" s="542">
        <v>1401</v>
      </c>
      <c r="BN44" s="542">
        <v>-636921</v>
      </c>
      <c r="BO44" s="542">
        <v>0</v>
      </c>
      <c r="BP44" s="542">
        <v>-636921</v>
      </c>
      <c r="BQ44" s="542">
        <v>-19991</v>
      </c>
      <c r="BR44" s="542">
        <v>0</v>
      </c>
      <c r="BS44" s="542">
        <v>-19991</v>
      </c>
      <c r="BT44" s="542">
        <v>-761854</v>
      </c>
      <c r="BU44" s="542">
        <v>0</v>
      </c>
      <c r="BV44" s="542">
        <v>-761854</v>
      </c>
      <c r="BW44" s="542">
        <v>-98377</v>
      </c>
      <c r="BX44" s="542">
        <v>0</v>
      </c>
      <c r="BY44" s="542">
        <v>-98377</v>
      </c>
      <c r="BZ44" s="542">
        <v>0</v>
      </c>
      <c r="CA44" s="542">
        <v>0</v>
      </c>
      <c r="CB44" s="542">
        <v>0</v>
      </c>
      <c r="CC44" s="542">
        <v>-9492</v>
      </c>
      <c r="CD44" s="542">
        <v>0</v>
      </c>
      <c r="CE44" s="542">
        <v>-9492</v>
      </c>
      <c r="CF44" s="542">
        <v>0</v>
      </c>
      <c r="CG44" s="542">
        <v>0</v>
      </c>
      <c r="CH44" s="542">
        <v>0</v>
      </c>
      <c r="CI44" s="542">
        <v>0</v>
      </c>
      <c r="CJ44" s="542">
        <v>0</v>
      </c>
      <c r="CK44" s="542">
        <v>0</v>
      </c>
      <c r="CL44" s="542">
        <v>0</v>
      </c>
      <c r="CM44" s="542">
        <v>0</v>
      </c>
      <c r="CN44" s="542">
        <v>0</v>
      </c>
      <c r="CO44" s="542">
        <v>0</v>
      </c>
      <c r="CP44" s="542">
        <v>0</v>
      </c>
      <c r="CQ44" s="542">
        <v>0</v>
      </c>
      <c r="CR44" s="542">
        <v>0</v>
      </c>
      <c r="CS44" s="542">
        <v>0</v>
      </c>
      <c r="CT44" s="542">
        <v>0</v>
      </c>
      <c r="CU44" s="542">
        <v>0</v>
      </c>
      <c r="CV44" s="542">
        <v>0</v>
      </c>
      <c r="CW44" s="542">
        <v>0</v>
      </c>
      <c r="CX44" s="542">
        <v>0</v>
      </c>
      <c r="CY44" s="542">
        <v>0</v>
      </c>
      <c r="CZ44" s="542">
        <v>0</v>
      </c>
      <c r="DA44" s="542">
        <v>0</v>
      </c>
      <c r="DB44" s="542">
        <v>0</v>
      </c>
      <c r="DC44" s="542">
        <v>0</v>
      </c>
      <c r="DD44" s="542">
        <v>0</v>
      </c>
      <c r="DE44" s="542">
        <v>0</v>
      </c>
      <c r="DF44" s="542">
        <v>0</v>
      </c>
      <c r="DG44" s="542"/>
      <c r="DH44" s="542">
        <v>0</v>
      </c>
      <c r="DI44" s="542"/>
      <c r="DJ44" s="542">
        <v>0</v>
      </c>
      <c r="DK44" s="542"/>
      <c r="DL44" s="542"/>
      <c r="DM44" s="542">
        <v>-107869</v>
      </c>
      <c r="DN44" s="542">
        <v>0</v>
      </c>
      <c r="DO44" s="542">
        <v>-107869</v>
      </c>
      <c r="DP44" s="542">
        <v>-2386</v>
      </c>
      <c r="DQ44" s="542">
        <v>0</v>
      </c>
      <c r="DR44" s="542">
        <v>-2386</v>
      </c>
      <c r="DS44" s="542">
        <v>0</v>
      </c>
      <c r="DT44" s="542">
        <v>0</v>
      </c>
      <c r="DU44" s="542">
        <v>0</v>
      </c>
      <c r="DV44" s="542">
        <v>-1229</v>
      </c>
      <c r="DW44" s="542">
        <v>0</v>
      </c>
      <c r="DX44" s="542">
        <v>-1229</v>
      </c>
      <c r="DY44" s="542">
        <v>-397963</v>
      </c>
      <c r="DZ44" s="542">
        <v>0</v>
      </c>
      <c r="EA44" s="542">
        <v>-397963</v>
      </c>
      <c r="EB44" s="542">
        <v>0</v>
      </c>
      <c r="EC44" s="542">
        <v>0</v>
      </c>
      <c r="ED44" s="542">
        <v>0</v>
      </c>
      <c r="EE44" s="542">
        <v>0</v>
      </c>
      <c r="EF44" s="542">
        <v>0</v>
      </c>
      <c r="EG44" s="542">
        <v>0</v>
      </c>
      <c r="EH44" s="542">
        <v>-401578</v>
      </c>
      <c r="EI44" s="542">
        <v>0</v>
      </c>
      <c r="EJ44" s="542">
        <v>-401578</v>
      </c>
      <c r="EK44" s="542">
        <v>-3934</v>
      </c>
      <c r="EL44" s="542">
        <v>0</v>
      </c>
      <c r="EM44" s="542">
        <v>-3934</v>
      </c>
      <c r="EN44" s="542">
        <v>-2481</v>
      </c>
      <c r="EO44" s="542">
        <v>0</v>
      </c>
      <c r="EP44" s="542">
        <v>-2481</v>
      </c>
      <c r="EQ44" s="542">
        <v>-6415</v>
      </c>
      <c r="ER44" s="542">
        <v>0</v>
      </c>
      <c r="ES44" s="542">
        <v>-6415</v>
      </c>
      <c r="ET44" s="542">
        <v>45379129</v>
      </c>
      <c r="EU44" s="542">
        <v>0</v>
      </c>
      <c r="EV44" s="542">
        <v>45379129</v>
      </c>
      <c r="EW44" s="542">
        <v>-528912</v>
      </c>
      <c r="EX44" s="542">
        <v>0</v>
      </c>
      <c r="EY44" s="542">
        <v>-528912</v>
      </c>
      <c r="EZ44" s="542">
        <v>-2353492</v>
      </c>
      <c r="FA44" s="542">
        <v>0</v>
      </c>
      <c r="FB44" s="542">
        <v>-2353492</v>
      </c>
      <c r="FC44" s="542">
        <v>-761854</v>
      </c>
      <c r="FD44" s="542">
        <v>0</v>
      </c>
      <c r="FE44" s="542">
        <v>-761854</v>
      </c>
      <c r="FF44" s="542">
        <v>-107869</v>
      </c>
      <c r="FG44" s="542">
        <v>0</v>
      </c>
      <c r="FH44" s="542">
        <v>-107869</v>
      </c>
      <c r="FI44" s="542">
        <v>-401578</v>
      </c>
      <c r="FJ44" s="542">
        <v>0</v>
      </c>
      <c r="FK44" s="542">
        <v>-401578</v>
      </c>
      <c r="FL44" s="542">
        <v>-6415</v>
      </c>
      <c r="FM44" s="542">
        <v>0</v>
      </c>
      <c r="FN44" s="542">
        <v>-6415</v>
      </c>
      <c r="FO44" s="542">
        <v>-4160120</v>
      </c>
      <c r="FP44" s="542">
        <v>0</v>
      </c>
      <c r="FQ44" s="542">
        <v>-4160120</v>
      </c>
      <c r="FR44" s="542">
        <v>41219009</v>
      </c>
      <c r="FS44" s="542">
        <v>0</v>
      </c>
      <c r="FT44" s="542">
        <v>41219009</v>
      </c>
    </row>
    <row r="45" spans="1:176" ht="12.75" x14ac:dyDescent="0.2">
      <c r="A45" s="93">
        <v>40</v>
      </c>
      <c r="B45" s="145" t="s">
        <v>639</v>
      </c>
      <c r="C45" s="604" t="s">
        <v>866</v>
      </c>
      <c r="D45" s="142" t="s">
        <v>869</v>
      </c>
      <c r="E45" s="149" t="s">
        <v>638</v>
      </c>
      <c r="F45" s="542">
        <v>-4896</v>
      </c>
      <c r="G45" s="542">
        <v>-26</v>
      </c>
      <c r="H45" s="542">
        <v>-4922</v>
      </c>
      <c r="I45" s="542">
        <v>48152</v>
      </c>
      <c r="J45" s="542">
        <v>0</v>
      </c>
      <c r="K45" s="542">
        <v>48152</v>
      </c>
      <c r="L45" s="542">
        <v>16993</v>
      </c>
      <c r="M45" s="542">
        <v>0</v>
      </c>
      <c r="N45" s="542">
        <v>16993</v>
      </c>
      <c r="O45" s="542">
        <v>51439</v>
      </c>
      <c r="P45" s="542">
        <v>0</v>
      </c>
      <c r="Q45" s="542">
        <v>51439</v>
      </c>
      <c r="R45" s="542">
        <v>111688</v>
      </c>
      <c r="S45" s="542">
        <v>-26</v>
      </c>
      <c r="T45" s="542">
        <v>111662</v>
      </c>
      <c r="U45" s="542">
        <v>-1599589</v>
      </c>
      <c r="V45" s="542">
        <v>-5246</v>
      </c>
      <c r="W45" s="542">
        <v>-1604835</v>
      </c>
      <c r="X45" s="542">
        <v>-4309</v>
      </c>
      <c r="Y45" s="542">
        <v>0</v>
      </c>
      <c r="Z45" s="542">
        <v>-4309</v>
      </c>
      <c r="AA45" s="542">
        <v>-120204</v>
      </c>
      <c r="AB45" s="542">
        <v>0</v>
      </c>
      <c r="AC45" s="542">
        <v>-120204</v>
      </c>
      <c r="AD45" s="542">
        <v>-46636</v>
      </c>
      <c r="AE45" s="542">
        <v>0</v>
      </c>
      <c r="AF45" s="542">
        <v>-46636</v>
      </c>
      <c r="AG45" s="542">
        <v>524103</v>
      </c>
      <c r="AH45" s="542">
        <v>20863</v>
      </c>
      <c r="AI45" s="542">
        <v>544966</v>
      </c>
      <c r="AJ45" s="542">
        <v>-28500</v>
      </c>
      <c r="AK45" s="542">
        <v>-88</v>
      </c>
      <c r="AL45" s="542">
        <v>-28588</v>
      </c>
      <c r="AM45" s="542">
        <v>-1008453</v>
      </c>
      <c r="AN45" s="542">
        <v>0</v>
      </c>
      <c r="AO45" s="542">
        <v>-1008453</v>
      </c>
      <c r="AP45" s="542">
        <v>97442</v>
      </c>
      <c r="AQ45" s="542">
        <v>0</v>
      </c>
      <c r="AR45" s="542">
        <v>97442</v>
      </c>
      <c r="AS45" s="542">
        <v>0</v>
      </c>
      <c r="AT45" s="542">
        <v>0</v>
      </c>
      <c r="AU45" s="542">
        <v>0</v>
      </c>
      <c r="AV45" s="542">
        <v>0</v>
      </c>
      <c r="AW45" s="542">
        <v>0</v>
      </c>
      <c r="AX45" s="542">
        <v>0</v>
      </c>
      <c r="AY45" s="542">
        <v>-2122</v>
      </c>
      <c r="AZ45" s="542">
        <v>0</v>
      </c>
      <c r="BA45" s="542">
        <v>-2122</v>
      </c>
      <c r="BB45" s="542">
        <v>0</v>
      </c>
      <c r="BC45" s="542">
        <v>0</v>
      </c>
      <c r="BD45" s="542">
        <v>0</v>
      </c>
      <c r="BE45" s="542">
        <v>-2137323</v>
      </c>
      <c r="BF45" s="542">
        <v>15529</v>
      </c>
      <c r="BG45" s="542">
        <v>-2121794</v>
      </c>
      <c r="BH45" s="542">
        <v>0</v>
      </c>
      <c r="BI45" s="542">
        <v>0</v>
      </c>
      <c r="BJ45" s="542">
        <v>0</v>
      </c>
      <c r="BK45" s="542">
        <v>0</v>
      </c>
      <c r="BL45" s="542">
        <v>0</v>
      </c>
      <c r="BM45" s="542">
        <v>0</v>
      </c>
      <c r="BN45" s="542">
        <v>-429661</v>
      </c>
      <c r="BO45" s="542">
        <v>-217552</v>
      </c>
      <c r="BP45" s="542">
        <v>-647213</v>
      </c>
      <c r="BQ45" s="542">
        <v>17919</v>
      </c>
      <c r="BR45" s="542">
        <v>-64966</v>
      </c>
      <c r="BS45" s="542">
        <v>-47047</v>
      </c>
      <c r="BT45" s="542">
        <v>-411742</v>
      </c>
      <c r="BU45" s="542">
        <v>-282518</v>
      </c>
      <c r="BV45" s="542">
        <v>-694260</v>
      </c>
      <c r="BW45" s="542">
        <v>-36667</v>
      </c>
      <c r="BX45" s="542">
        <v>0</v>
      </c>
      <c r="BY45" s="542">
        <v>-36667</v>
      </c>
      <c r="BZ45" s="542">
        <v>-1622</v>
      </c>
      <c r="CA45" s="542">
        <v>0</v>
      </c>
      <c r="CB45" s="542">
        <v>-1622</v>
      </c>
      <c r="CC45" s="542">
        <v>-61881</v>
      </c>
      <c r="CD45" s="542">
        <v>0</v>
      </c>
      <c r="CE45" s="542">
        <v>-61881</v>
      </c>
      <c r="CF45" s="542">
        <v>0</v>
      </c>
      <c r="CG45" s="542">
        <v>0</v>
      </c>
      <c r="CH45" s="542">
        <v>0</v>
      </c>
      <c r="CI45" s="542">
        <v>0</v>
      </c>
      <c r="CJ45" s="542">
        <v>0</v>
      </c>
      <c r="CK45" s="542">
        <v>0</v>
      </c>
      <c r="CL45" s="542">
        <v>0</v>
      </c>
      <c r="CM45" s="542">
        <v>0</v>
      </c>
      <c r="CN45" s="542">
        <v>0</v>
      </c>
      <c r="CO45" s="542">
        <v>-2122</v>
      </c>
      <c r="CP45" s="542">
        <v>0</v>
      </c>
      <c r="CQ45" s="542">
        <v>-2122</v>
      </c>
      <c r="CR45" s="542">
        <v>0</v>
      </c>
      <c r="CS45" s="542">
        <v>0</v>
      </c>
      <c r="CT45" s="542">
        <v>0</v>
      </c>
      <c r="CU45" s="542">
        <v>0</v>
      </c>
      <c r="CV45" s="542">
        <v>0</v>
      </c>
      <c r="CW45" s="542">
        <v>0</v>
      </c>
      <c r="CX45" s="542">
        <v>0</v>
      </c>
      <c r="CY45" s="542">
        <v>0</v>
      </c>
      <c r="CZ45" s="542">
        <v>0</v>
      </c>
      <c r="DA45" s="542">
        <v>0</v>
      </c>
      <c r="DB45" s="542">
        <v>-61627</v>
      </c>
      <c r="DC45" s="542">
        <v>-61627</v>
      </c>
      <c r="DD45" s="542">
        <v>0</v>
      </c>
      <c r="DE45" s="542">
        <v>-62172</v>
      </c>
      <c r="DF45" s="542">
        <v>-62172</v>
      </c>
      <c r="DG45" s="542"/>
      <c r="DH45" s="542">
        <v>0</v>
      </c>
      <c r="DI45" s="542"/>
      <c r="DJ45" s="542">
        <v>0</v>
      </c>
      <c r="DK45" s="542"/>
      <c r="DL45" s="542"/>
      <c r="DM45" s="542">
        <v>-102292</v>
      </c>
      <c r="DN45" s="542">
        <v>-123799</v>
      </c>
      <c r="DO45" s="542">
        <v>-226091</v>
      </c>
      <c r="DP45" s="542">
        <v>-41211</v>
      </c>
      <c r="DQ45" s="542">
        <v>0</v>
      </c>
      <c r="DR45" s="542">
        <v>-41211</v>
      </c>
      <c r="DS45" s="542">
        <v>-6951</v>
      </c>
      <c r="DT45" s="542">
        <v>0</v>
      </c>
      <c r="DU45" s="542">
        <v>-6951</v>
      </c>
      <c r="DV45" s="542">
        <v>0</v>
      </c>
      <c r="DW45" s="542">
        <v>0</v>
      </c>
      <c r="DX45" s="542">
        <v>0</v>
      </c>
      <c r="DY45" s="542">
        <v>-113051</v>
      </c>
      <c r="DZ45" s="542">
        <v>0</v>
      </c>
      <c r="EA45" s="542">
        <v>-113051</v>
      </c>
      <c r="EB45" s="542">
        <v>0</v>
      </c>
      <c r="EC45" s="542">
        <v>0</v>
      </c>
      <c r="ED45" s="542">
        <v>0</v>
      </c>
      <c r="EE45" s="542">
        <v>0</v>
      </c>
      <c r="EF45" s="542">
        <v>0</v>
      </c>
      <c r="EG45" s="542">
        <v>0</v>
      </c>
      <c r="EH45" s="542">
        <v>-161213</v>
      </c>
      <c r="EI45" s="542">
        <v>0</v>
      </c>
      <c r="EJ45" s="542">
        <v>-161213</v>
      </c>
      <c r="EK45" s="542">
        <v>0</v>
      </c>
      <c r="EL45" s="542">
        <v>0</v>
      </c>
      <c r="EM45" s="542">
        <v>0</v>
      </c>
      <c r="EN45" s="542">
        <v>425</v>
      </c>
      <c r="EO45" s="542">
        <v>0</v>
      </c>
      <c r="EP45" s="542">
        <v>425</v>
      </c>
      <c r="EQ45" s="542">
        <v>425</v>
      </c>
      <c r="ER45" s="542">
        <v>0</v>
      </c>
      <c r="ES45" s="542">
        <v>425</v>
      </c>
      <c r="ET45" s="542">
        <v>25813015</v>
      </c>
      <c r="EU45" s="542">
        <v>961577</v>
      </c>
      <c r="EV45" s="542">
        <v>26774592</v>
      </c>
      <c r="EW45" s="542">
        <v>111688</v>
      </c>
      <c r="EX45" s="542">
        <v>-26</v>
      </c>
      <c r="EY45" s="542">
        <v>111662</v>
      </c>
      <c r="EZ45" s="542">
        <v>-2137323</v>
      </c>
      <c r="FA45" s="542">
        <v>15529</v>
      </c>
      <c r="FB45" s="542">
        <v>-2121794</v>
      </c>
      <c r="FC45" s="542">
        <v>-411742</v>
      </c>
      <c r="FD45" s="542">
        <v>-282518</v>
      </c>
      <c r="FE45" s="542">
        <v>-694260</v>
      </c>
      <c r="FF45" s="542">
        <v>-102292</v>
      </c>
      <c r="FG45" s="542">
        <v>-123799</v>
      </c>
      <c r="FH45" s="542">
        <v>-226091</v>
      </c>
      <c r="FI45" s="542">
        <v>-161213</v>
      </c>
      <c r="FJ45" s="542">
        <v>0</v>
      </c>
      <c r="FK45" s="542">
        <v>-161213</v>
      </c>
      <c r="FL45" s="542">
        <v>425</v>
      </c>
      <c r="FM45" s="542">
        <v>0</v>
      </c>
      <c r="FN45" s="542">
        <v>425</v>
      </c>
      <c r="FO45" s="542">
        <v>-2700457</v>
      </c>
      <c r="FP45" s="542">
        <v>-390814</v>
      </c>
      <c r="FQ45" s="542">
        <v>-3091271</v>
      </c>
      <c r="FR45" s="542">
        <v>23112558</v>
      </c>
      <c r="FS45" s="542">
        <v>570763</v>
      </c>
      <c r="FT45" s="542">
        <v>23683321</v>
      </c>
    </row>
    <row r="46" spans="1:176" ht="12.75" x14ac:dyDescent="0.2">
      <c r="A46" s="93">
        <v>41</v>
      </c>
      <c r="B46" s="145" t="s">
        <v>641</v>
      </c>
      <c r="C46" s="604" t="s">
        <v>866</v>
      </c>
      <c r="D46" s="142" t="s">
        <v>868</v>
      </c>
      <c r="E46" s="149" t="s">
        <v>640</v>
      </c>
      <c r="F46" s="542">
        <v>-34409</v>
      </c>
      <c r="G46" s="542">
        <v>0</v>
      </c>
      <c r="H46" s="542">
        <v>-34409</v>
      </c>
      <c r="I46" s="542">
        <v>162061</v>
      </c>
      <c r="J46" s="542">
        <v>0</v>
      </c>
      <c r="K46" s="542">
        <v>162061</v>
      </c>
      <c r="L46" s="542">
        <v>723</v>
      </c>
      <c r="M46" s="542">
        <v>0</v>
      </c>
      <c r="N46" s="542">
        <v>723</v>
      </c>
      <c r="O46" s="542">
        <v>64982</v>
      </c>
      <c r="P46" s="542">
        <v>0</v>
      </c>
      <c r="Q46" s="542">
        <v>64982</v>
      </c>
      <c r="R46" s="542">
        <v>193357</v>
      </c>
      <c r="S46" s="542">
        <v>0</v>
      </c>
      <c r="T46" s="542">
        <v>193357</v>
      </c>
      <c r="U46" s="542">
        <v>-2579170</v>
      </c>
      <c r="V46" s="542">
        <v>0</v>
      </c>
      <c r="W46" s="542">
        <v>-2579170</v>
      </c>
      <c r="X46" s="542">
        <v>-10185</v>
      </c>
      <c r="Y46" s="542">
        <v>0</v>
      </c>
      <c r="Z46" s="542">
        <v>-10185</v>
      </c>
      <c r="AA46" s="542">
        <v>-97681</v>
      </c>
      <c r="AB46" s="542">
        <v>0</v>
      </c>
      <c r="AC46" s="542">
        <v>-97681</v>
      </c>
      <c r="AD46" s="542">
        <v>-50201</v>
      </c>
      <c r="AE46" s="542">
        <v>0</v>
      </c>
      <c r="AF46" s="542">
        <v>-50201</v>
      </c>
      <c r="AG46" s="542">
        <v>575783</v>
      </c>
      <c r="AH46" s="542">
        <v>0</v>
      </c>
      <c r="AI46" s="542">
        <v>575783</v>
      </c>
      <c r="AJ46" s="542">
        <v>80364</v>
      </c>
      <c r="AK46" s="542">
        <v>0</v>
      </c>
      <c r="AL46" s="542">
        <v>80364</v>
      </c>
      <c r="AM46" s="542">
        <v>-2208810</v>
      </c>
      <c r="AN46" s="542">
        <v>0</v>
      </c>
      <c r="AO46" s="542">
        <v>-2208810</v>
      </c>
      <c r="AP46" s="542">
        <v>-79910</v>
      </c>
      <c r="AQ46" s="542">
        <v>0</v>
      </c>
      <c r="AR46" s="542">
        <v>-79910</v>
      </c>
      <c r="AS46" s="542">
        <v>-27031</v>
      </c>
      <c r="AT46" s="542">
        <v>0</v>
      </c>
      <c r="AU46" s="542">
        <v>-27031</v>
      </c>
      <c r="AV46" s="542">
        <v>-26451</v>
      </c>
      <c r="AW46" s="542">
        <v>0</v>
      </c>
      <c r="AX46" s="542">
        <v>-26451</v>
      </c>
      <c r="AY46" s="542">
        <v>-4226</v>
      </c>
      <c r="AZ46" s="542">
        <v>0</v>
      </c>
      <c r="BA46" s="542">
        <v>-4226</v>
      </c>
      <c r="BB46" s="542">
        <v>0</v>
      </c>
      <c r="BC46" s="542">
        <v>0</v>
      </c>
      <c r="BD46" s="542">
        <v>0</v>
      </c>
      <c r="BE46" s="542">
        <v>-4367132</v>
      </c>
      <c r="BF46" s="542">
        <v>0</v>
      </c>
      <c r="BG46" s="542">
        <v>-4367132</v>
      </c>
      <c r="BH46" s="542">
        <v>-4104</v>
      </c>
      <c r="BI46" s="542">
        <v>0</v>
      </c>
      <c r="BJ46" s="542">
        <v>-4104</v>
      </c>
      <c r="BK46" s="542">
        <v>4</v>
      </c>
      <c r="BL46" s="542">
        <v>0</v>
      </c>
      <c r="BM46" s="542">
        <v>4</v>
      </c>
      <c r="BN46" s="542">
        <v>-1268078</v>
      </c>
      <c r="BO46" s="542">
        <v>0</v>
      </c>
      <c r="BP46" s="542">
        <v>-1268078</v>
      </c>
      <c r="BQ46" s="542">
        <v>231190</v>
      </c>
      <c r="BR46" s="542">
        <v>0</v>
      </c>
      <c r="BS46" s="542">
        <v>231190</v>
      </c>
      <c r="BT46" s="542">
        <v>-1040988</v>
      </c>
      <c r="BU46" s="542">
        <v>0</v>
      </c>
      <c r="BV46" s="542">
        <v>-1040988</v>
      </c>
      <c r="BW46" s="542">
        <v>-86075</v>
      </c>
      <c r="BX46" s="542">
        <v>0</v>
      </c>
      <c r="BY46" s="542">
        <v>-86075</v>
      </c>
      <c r="BZ46" s="542">
        <v>-1249</v>
      </c>
      <c r="CA46" s="542">
        <v>0</v>
      </c>
      <c r="CB46" s="542">
        <v>-1249</v>
      </c>
      <c r="CC46" s="542">
        <v>-75027</v>
      </c>
      <c r="CD46" s="542">
        <v>0</v>
      </c>
      <c r="CE46" s="542">
        <v>-75027</v>
      </c>
      <c r="CF46" s="542">
        <v>17970</v>
      </c>
      <c r="CG46" s="542">
        <v>0</v>
      </c>
      <c r="CH46" s="542">
        <v>17970</v>
      </c>
      <c r="CI46" s="542">
        <v>0</v>
      </c>
      <c r="CJ46" s="542">
        <v>0</v>
      </c>
      <c r="CK46" s="542">
        <v>0</v>
      </c>
      <c r="CL46" s="542">
        <v>0</v>
      </c>
      <c r="CM46" s="542">
        <v>0</v>
      </c>
      <c r="CN46" s="542">
        <v>0</v>
      </c>
      <c r="CO46" s="542">
        <v>0</v>
      </c>
      <c r="CP46" s="542">
        <v>0</v>
      </c>
      <c r="CQ46" s="542">
        <v>0</v>
      </c>
      <c r="CR46" s="542">
        <v>0</v>
      </c>
      <c r="CS46" s="542">
        <v>0</v>
      </c>
      <c r="CT46" s="542">
        <v>0</v>
      </c>
      <c r="CU46" s="542">
        <v>0</v>
      </c>
      <c r="CV46" s="542">
        <v>0</v>
      </c>
      <c r="CW46" s="542">
        <v>0</v>
      </c>
      <c r="CX46" s="542">
        <v>0</v>
      </c>
      <c r="CY46" s="542">
        <v>0</v>
      </c>
      <c r="CZ46" s="542">
        <v>0</v>
      </c>
      <c r="DA46" s="542">
        <v>-259502</v>
      </c>
      <c r="DB46" s="542">
        <v>0</v>
      </c>
      <c r="DC46" s="542">
        <v>-259502</v>
      </c>
      <c r="DD46" s="542">
        <v>-67067</v>
      </c>
      <c r="DE46" s="542">
        <v>0</v>
      </c>
      <c r="DF46" s="542">
        <v>-67067</v>
      </c>
      <c r="DG46" s="542"/>
      <c r="DH46" s="542">
        <v>0</v>
      </c>
      <c r="DI46" s="542"/>
      <c r="DJ46" s="542">
        <v>0</v>
      </c>
      <c r="DK46" s="542"/>
      <c r="DL46" s="542"/>
      <c r="DM46" s="542">
        <v>-470950</v>
      </c>
      <c r="DN46" s="542">
        <v>0</v>
      </c>
      <c r="DO46" s="542">
        <v>-470950</v>
      </c>
      <c r="DP46" s="542">
        <v>0</v>
      </c>
      <c r="DQ46" s="542">
        <v>0</v>
      </c>
      <c r="DR46" s="542">
        <v>0</v>
      </c>
      <c r="DS46" s="542">
        <v>0</v>
      </c>
      <c r="DT46" s="542">
        <v>0</v>
      </c>
      <c r="DU46" s="542">
        <v>0</v>
      </c>
      <c r="DV46" s="542">
        <v>-11609</v>
      </c>
      <c r="DW46" s="542">
        <v>0</v>
      </c>
      <c r="DX46" s="542">
        <v>-11609</v>
      </c>
      <c r="DY46" s="542">
        <v>-324846</v>
      </c>
      <c r="DZ46" s="542">
        <v>0</v>
      </c>
      <c r="EA46" s="542">
        <v>-324846</v>
      </c>
      <c r="EB46" s="542">
        <v>0</v>
      </c>
      <c r="EC46" s="542">
        <v>0</v>
      </c>
      <c r="ED46" s="542">
        <v>0</v>
      </c>
      <c r="EE46" s="542">
        <v>0</v>
      </c>
      <c r="EF46" s="542">
        <v>0</v>
      </c>
      <c r="EG46" s="542">
        <v>0</v>
      </c>
      <c r="EH46" s="542">
        <v>-336455</v>
      </c>
      <c r="EI46" s="542">
        <v>0</v>
      </c>
      <c r="EJ46" s="542">
        <v>-336455</v>
      </c>
      <c r="EK46" s="542">
        <v>0</v>
      </c>
      <c r="EL46" s="542">
        <v>0</v>
      </c>
      <c r="EM46" s="542">
        <v>0</v>
      </c>
      <c r="EN46" s="542">
        <v>0</v>
      </c>
      <c r="EO46" s="542">
        <v>0</v>
      </c>
      <c r="EP46" s="542">
        <v>0</v>
      </c>
      <c r="EQ46" s="542">
        <v>0</v>
      </c>
      <c r="ER46" s="542">
        <v>0</v>
      </c>
      <c r="ES46" s="542">
        <v>0</v>
      </c>
      <c r="ET46" s="542">
        <v>32688912</v>
      </c>
      <c r="EU46" s="542">
        <v>0</v>
      </c>
      <c r="EV46" s="542">
        <v>32688912</v>
      </c>
      <c r="EW46" s="542">
        <v>193357</v>
      </c>
      <c r="EX46" s="542">
        <v>0</v>
      </c>
      <c r="EY46" s="542">
        <v>193357</v>
      </c>
      <c r="EZ46" s="542">
        <v>-4367132</v>
      </c>
      <c r="FA46" s="542">
        <v>0</v>
      </c>
      <c r="FB46" s="542">
        <v>-4367132</v>
      </c>
      <c r="FC46" s="542">
        <v>-1040988</v>
      </c>
      <c r="FD46" s="542">
        <v>0</v>
      </c>
      <c r="FE46" s="542">
        <v>-1040988</v>
      </c>
      <c r="FF46" s="542">
        <v>-470950</v>
      </c>
      <c r="FG46" s="542">
        <v>0</v>
      </c>
      <c r="FH46" s="542">
        <v>-470950</v>
      </c>
      <c r="FI46" s="542">
        <v>-336455</v>
      </c>
      <c r="FJ46" s="542">
        <v>0</v>
      </c>
      <c r="FK46" s="542">
        <v>-336455</v>
      </c>
      <c r="FL46" s="542">
        <v>0</v>
      </c>
      <c r="FM46" s="542">
        <v>0</v>
      </c>
      <c r="FN46" s="542">
        <v>0</v>
      </c>
      <c r="FO46" s="542">
        <v>-6022168</v>
      </c>
      <c r="FP46" s="542">
        <v>0</v>
      </c>
      <c r="FQ46" s="542">
        <v>-6022168</v>
      </c>
      <c r="FR46" s="542">
        <v>26666744</v>
      </c>
      <c r="FS46" s="542">
        <v>0</v>
      </c>
      <c r="FT46" s="542">
        <v>26666744</v>
      </c>
    </row>
    <row r="47" spans="1:176" ht="12.75" x14ac:dyDescent="0.2">
      <c r="A47" s="93">
        <v>42</v>
      </c>
      <c r="B47" s="145" t="s">
        <v>643</v>
      </c>
      <c r="C47" s="604" t="s">
        <v>873</v>
      </c>
      <c r="D47" s="142" t="s">
        <v>868</v>
      </c>
      <c r="E47" s="149" t="s">
        <v>642</v>
      </c>
      <c r="F47" s="542">
        <v>-83952</v>
      </c>
      <c r="G47" s="542">
        <v>0</v>
      </c>
      <c r="H47" s="542">
        <v>-83952</v>
      </c>
      <c r="I47" s="542">
        <v>44269</v>
      </c>
      <c r="J47" s="542">
        <v>0</v>
      </c>
      <c r="K47" s="542">
        <v>44269</v>
      </c>
      <c r="L47" s="542">
        <v>22865</v>
      </c>
      <c r="M47" s="542">
        <v>0</v>
      </c>
      <c r="N47" s="542">
        <v>22865</v>
      </c>
      <c r="O47" s="542">
        <v>-266403</v>
      </c>
      <c r="P47" s="542">
        <v>0</v>
      </c>
      <c r="Q47" s="542">
        <v>-266403</v>
      </c>
      <c r="R47" s="542">
        <v>-283221</v>
      </c>
      <c r="S47" s="542">
        <v>0</v>
      </c>
      <c r="T47" s="542">
        <v>-283221</v>
      </c>
      <c r="U47" s="542">
        <v>-4635360</v>
      </c>
      <c r="V47" s="542">
        <v>0</v>
      </c>
      <c r="W47" s="542">
        <v>-4635360</v>
      </c>
      <c r="X47" s="542">
        <v>-38094</v>
      </c>
      <c r="Y47" s="542">
        <v>0</v>
      </c>
      <c r="Z47" s="542">
        <v>-38094</v>
      </c>
      <c r="AA47" s="542">
        <v>-297000</v>
      </c>
      <c r="AB47" s="542">
        <v>0</v>
      </c>
      <c r="AC47" s="542">
        <v>-297000</v>
      </c>
      <c r="AD47" s="542">
        <v>-147974</v>
      </c>
      <c r="AE47" s="542">
        <v>0</v>
      </c>
      <c r="AF47" s="542">
        <v>-147974</v>
      </c>
      <c r="AG47" s="542">
        <v>1141544</v>
      </c>
      <c r="AH47" s="542">
        <v>0</v>
      </c>
      <c r="AI47" s="542">
        <v>1141544</v>
      </c>
      <c r="AJ47" s="542">
        <v>-48486</v>
      </c>
      <c r="AK47" s="542">
        <v>0</v>
      </c>
      <c r="AL47" s="542">
        <v>-48486</v>
      </c>
      <c r="AM47" s="542">
        <v>-2185234</v>
      </c>
      <c r="AN47" s="542">
        <v>0</v>
      </c>
      <c r="AO47" s="542">
        <v>-2185234</v>
      </c>
      <c r="AP47" s="542">
        <v>-53208</v>
      </c>
      <c r="AQ47" s="542">
        <v>0</v>
      </c>
      <c r="AR47" s="542">
        <v>-53208</v>
      </c>
      <c r="AS47" s="542">
        <v>-89764</v>
      </c>
      <c r="AT47" s="542">
        <v>0</v>
      </c>
      <c r="AU47" s="542">
        <v>-89764</v>
      </c>
      <c r="AV47" s="542">
        <v>0</v>
      </c>
      <c r="AW47" s="542">
        <v>0</v>
      </c>
      <c r="AX47" s="542">
        <v>0</v>
      </c>
      <c r="AY47" s="542">
        <v>-1518</v>
      </c>
      <c r="AZ47" s="542">
        <v>0</v>
      </c>
      <c r="BA47" s="542">
        <v>-1518</v>
      </c>
      <c r="BB47" s="542">
        <v>0</v>
      </c>
      <c r="BC47" s="542">
        <v>0</v>
      </c>
      <c r="BD47" s="542">
        <v>0</v>
      </c>
      <c r="BE47" s="542">
        <v>-6169026</v>
      </c>
      <c r="BF47" s="542">
        <v>0</v>
      </c>
      <c r="BG47" s="542">
        <v>-6169026</v>
      </c>
      <c r="BH47" s="542">
        <v>-2862</v>
      </c>
      <c r="BI47" s="542">
        <v>0</v>
      </c>
      <c r="BJ47" s="542">
        <v>-2862</v>
      </c>
      <c r="BK47" s="542">
        <v>-8185</v>
      </c>
      <c r="BL47" s="542">
        <v>0</v>
      </c>
      <c r="BM47" s="542">
        <v>-8185</v>
      </c>
      <c r="BN47" s="542">
        <v>-1772951</v>
      </c>
      <c r="BO47" s="542">
        <v>0</v>
      </c>
      <c r="BP47" s="542">
        <v>-1772951</v>
      </c>
      <c r="BQ47" s="542">
        <v>-137661</v>
      </c>
      <c r="BR47" s="542">
        <v>0</v>
      </c>
      <c r="BS47" s="542">
        <v>-137661</v>
      </c>
      <c r="BT47" s="542">
        <v>-1921659</v>
      </c>
      <c r="BU47" s="542">
        <v>0</v>
      </c>
      <c r="BV47" s="542">
        <v>-1921659</v>
      </c>
      <c r="BW47" s="542">
        <v>-308071</v>
      </c>
      <c r="BX47" s="542">
        <v>0</v>
      </c>
      <c r="BY47" s="542">
        <v>-308071</v>
      </c>
      <c r="BZ47" s="542">
        <v>-11762</v>
      </c>
      <c r="CA47" s="542">
        <v>0</v>
      </c>
      <c r="CB47" s="542">
        <v>-11762</v>
      </c>
      <c r="CC47" s="542">
        <v>-55195</v>
      </c>
      <c r="CD47" s="542">
        <v>0</v>
      </c>
      <c r="CE47" s="542">
        <v>-55195</v>
      </c>
      <c r="CF47" s="542">
        <v>-4240</v>
      </c>
      <c r="CG47" s="542">
        <v>0</v>
      </c>
      <c r="CH47" s="542">
        <v>-4240</v>
      </c>
      <c r="CI47" s="542">
        <v>-22441</v>
      </c>
      <c r="CJ47" s="542">
        <v>0</v>
      </c>
      <c r="CK47" s="542">
        <v>-22441</v>
      </c>
      <c r="CL47" s="542">
        <v>0</v>
      </c>
      <c r="CM47" s="542">
        <v>0</v>
      </c>
      <c r="CN47" s="542">
        <v>0</v>
      </c>
      <c r="CO47" s="542">
        <v>-1518</v>
      </c>
      <c r="CP47" s="542">
        <v>0</v>
      </c>
      <c r="CQ47" s="542">
        <v>-1518</v>
      </c>
      <c r="CR47" s="542">
        <v>0</v>
      </c>
      <c r="CS47" s="542">
        <v>0</v>
      </c>
      <c r="CT47" s="542">
        <v>0</v>
      </c>
      <c r="CU47" s="542">
        <v>0</v>
      </c>
      <c r="CV47" s="542">
        <v>0</v>
      </c>
      <c r="CW47" s="542">
        <v>0</v>
      </c>
      <c r="CX47" s="542">
        <v>0</v>
      </c>
      <c r="CY47" s="542">
        <v>0</v>
      </c>
      <c r="CZ47" s="542">
        <v>0</v>
      </c>
      <c r="DA47" s="542">
        <v>0</v>
      </c>
      <c r="DB47" s="542">
        <v>0</v>
      </c>
      <c r="DC47" s="542">
        <v>0</v>
      </c>
      <c r="DD47" s="542">
        <v>0</v>
      </c>
      <c r="DE47" s="542">
        <v>0</v>
      </c>
      <c r="DF47" s="542">
        <v>0</v>
      </c>
      <c r="DG47" s="542"/>
      <c r="DH47" s="542">
        <v>0</v>
      </c>
      <c r="DI47" s="542"/>
      <c r="DJ47" s="542">
        <v>0</v>
      </c>
      <c r="DK47" s="542"/>
      <c r="DL47" s="542"/>
      <c r="DM47" s="542">
        <v>-403227</v>
      </c>
      <c r="DN47" s="542">
        <v>0</v>
      </c>
      <c r="DO47" s="542">
        <v>-403227</v>
      </c>
      <c r="DP47" s="542">
        <v>0</v>
      </c>
      <c r="DQ47" s="542">
        <v>0</v>
      </c>
      <c r="DR47" s="542">
        <v>0</v>
      </c>
      <c r="DS47" s="542">
        <v>0</v>
      </c>
      <c r="DT47" s="542">
        <v>0</v>
      </c>
      <c r="DU47" s="542">
        <v>0</v>
      </c>
      <c r="DV47" s="542">
        <v>-2394</v>
      </c>
      <c r="DW47" s="542">
        <v>0</v>
      </c>
      <c r="DX47" s="542">
        <v>-2394</v>
      </c>
      <c r="DY47" s="542">
        <v>-809924</v>
      </c>
      <c r="DZ47" s="542">
        <v>0</v>
      </c>
      <c r="EA47" s="542">
        <v>-809924</v>
      </c>
      <c r="EB47" s="542">
        <v>0</v>
      </c>
      <c r="EC47" s="542">
        <v>0</v>
      </c>
      <c r="ED47" s="542">
        <v>0</v>
      </c>
      <c r="EE47" s="542">
        <v>0</v>
      </c>
      <c r="EF47" s="542">
        <v>0</v>
      </c>
      <c r="EG47" s="542">
        <v>0</v>
      </c>
      <c r="EH47" s="542">
        <v>-812318</v>
      </c>
      <c r="EI47" s="542">
        <v>0</v>
      </c>
      <c r="EJ47" s="542">
        <v>-812318</v>
      </c>
      <c r="EK47" s="542">
        <v>0</v>
      </c>
      <c r="EL47" s="542">
        <v>0</v>
      </c>
      <c r="EM47" s="542">
        <v>0</v>
      </c>
      <c r="EN47" s="542">
        <v>0</v>
      </c>
      <c r="EO47" s="542">
        <v>0</v>
      </c>
      <c r="EP47" s="542">
        <v>0</v>
      </c>
      <c r="EQ47" s="542">
        <v>0</v>
      </c>
      <c r="ER47" s="542">
        <v>0</v>
      </c>
      <c r="ES47" s="542">
        <v>0</v>
      </c>
      <c r="ET47" s="542">
        <v>58337667</v>
      </c>
      <c r="EU47" s="542">
        <v>0</v>
      </c>
      <c r="EV47" s="542">
        <v>58337667</v>
      </c>
      <c r="EW47" s="542">
        <v>-283221</v>
      </c>
      <c r="EX47" s="542">
        <v>0</v>
      </c>
      <c r="EY47" s="542">
        <v>-283221</v>
      </c>
      <c r="EZ47" s="542">
        <v>-6169026</v>
      </c>
      <c r="FA47" s="542">
        <v>0</v>
      </c>
      <c r="FB47" s="542">
        <v>-6169026</v>
      </c>
      <c r="FC47" s="542">
        <v>-1921659</v>
      </c>
      <c r="FD47" s="542">
        <v>0</v>
      </c>
      <c r="FE47" s="542">
        <v>-1921659</v>
      </c>
      <c r="FF47" s="542">
        <v>-403227</v>
      </c>
      <c r="FG47" s="542">
        <v>0</v>
      </c>
      <c r="FH47" s="542">
        <v>-403227</v>
      </c>
      <c r="FI47" s="542">
        <v>-812318</v>
      </c>
      <c r="FJ47" s="542">
        <v>0</v>
      </c>
      <c r="FK47" s="542">
        <v>-812318</v>
      </c>
      <c r="FL47" s="542">
        <v>0</v>
      </c>
      <c r="FM47" s="542">
        <v>0</v>
      </c>
      <c r="FN47" s="542">
        <v>0</v>
      </c>
      <c r="FO47" s="542">
        <v>-9589451</v>
      </c>
      <c r="FP47" s="542">
        <v>0</v>
      </c>
      <c r="FQ47" s="542">
        <v>-9589451</v>
      </c>
      <c r="FR47" s="542">
        <v>48748216</v>
      </c>
      <c r="FS47" s="542">
        <v>0</v>
      </c>
      <c r="FT47" s="542">
        <v>48748216</v>
      </c>
    </row>
    <row r="48" spans="1:176" ht="12.75" x14ac:dyDescent="0.2">
      <c r="A48" s="93">
        <v>43</v>
      </c>
      <c r="B48" s="145" t="s">
        <v>645</v>
      </c>
      <c r="C48" s="604" t="s">
        <v>873</v>
      </c>
      <c r="D48" s="142" t="s">
        <v>874</v>
      </c>
      <c r="E48" s="149" t="s">
        <v>644</v>
      </c>
      <c r="F48" s="542">
        <v>-48438</v>
      </c>
      <c r="G48" s="542">
        <v>0</v>
      </c>
      <c r="H48" s="542">
        <v>-48438</v>
      </c>
      <c r="I48" s="542">
        <v>104104</v>
      </c>
      <c r="J48" s="542">
        <v>0</v>
      </c>
      <c r="K48" s="542">
        <v>104104</v>
      </c>
      <c r="L48" s="542">
        <v>38764</v>
      </c>
      <c r="M48" s="542">
        <v>0</v>
      </c>
      <c r="N48" s="542">
        <v>38764</v>
      </c>
      <c r="O48" s="542">
        <v>25702</v>
      </c>
      <c r="P48" s="542">
        <v>0</v>
      </c>
      <c r="Q48" s="542">
        <v>25702</v>
      </c>
      <c r="R48" s="542">
        <v>120132</v>
      </c>
      <c r="S48" s="542">
        <v>0</v>
      </c>
      <c r="T48" s="542">
        <v>120132</v>
      </c>
      <c r="U48" s="542">
        <v>-6287265</v>
      </c>
      <c r="V48" s="542">
        <v>0</v>
      </c>
      <c r="W48" s="542">
        <v>-6287265</v>
      </c>
      <c r="X48" s="542">
        <v>-22866</v>
      </c>
      <c r="Y48" s="542">
        <v>0</v>
      </c>
      <c r="Z48" s="542">
        <v>-22866</v>
      </c>
      <c r="AA48" s="542">
        <v>-193980</v>
      </c>
      <c r="AB48" s="542">
        <v>0</v>
      </c>
      <c r="AC48" s="542">
        <v>-193980</v>
      </c>
      <c r="AD48" s="542">
        <v>-87449</v>
      </c>
      <c r="AE48" s="542">
        <v>0</v>
      </c>
      <c r="AF48" s="542">
        <v>-87449</v>
      </c>
      <c r="AG48" s="542">
        <v>1309664</v>
      </c>
      <c r="AH48" s="542">
        <v>0</v>
      </c>
      <c r="AI48" s="542">
        <v>1309664</v>
      </c>
      <c r="AJ48" s="542">
        <v>-8402</v>
      </c>
      <c r="AK48" s="542">
        <v>0</v>
      </c>
      <c r="AL48" s="542">
        <v>-8402</v>
      </c>
      <c r="AM48" s="542">
        <v>-3737747</v>
      </c>
      <c r="AN48" s="542">
        <v>0</v>
      </c>
      <c r="AO48" s="542">
        <v>-3737747</v>
      </c>
      <c r="AP48" s="542">
        <v>-25752</v>
      </c>
      <c r="AQ48" s="542">
        <v>0</v>
      </c>
      <c r="AR48" s="542">
        <v>-25752</v>
      </c>
      <c r="AS48" s="542">
        <v>-176110</v>
      </c>
      <c r="AT48" s="542">
        <v>0</v>
      </c>
      <c r="AU48" s="542">
        <v>-176110</v>
      </c>
      <c r="AV48" s="542">
        <v>0</v>
      </c>
      <c r="AW48" s="542">
        <v>0</v>
      </c>
      <c r="AX48" s="542">
        <v>0</v>
      </c>
      <c r="AY48" s="542">
        <v>-9416</v>
      </c>
      <c r="AZ48" s="542">
        <v>0</v>
      </c>
      <c r="BA48" s="542">
        <v>-9416</v>
      </c>
      <c r="BB48" s="542">
        <v>0</v>
      </c>
      <c r="BC48" s="542">
        <v>0</v>
      </c>
      <c r="BD48" s="542">
        <v>0</v>
      </c>
      <c r="BE48" s="542">
        <v>-9129008</v>
      </c>
      <c r="BF48" s="542">
        <v>0</v>
      </c>
      <c r="BG48" s="542">
        <v>-9129008</v>
      </c>
      <c r="BH48" s="542">
        <v>-20967</v>
      </c>
      <c r="BI48" s="542">
        <v>0</v>
      </c>
      <c r="BJ48" s="542">
        <v>-20967</v>
      </c>
      <c r="BK48" s="542">
        <v>-26333</v>
      </c>
      <c r="BL48" s="542">
        <v>0</v>
      </c>
      <c r="BM48" s="542">
        <v>-26333</v>
      </c>
      <c r="BN48" s="542">
        <v>-3263906</v>
      </c>
      <c r="BO48" s="542">
        <v>0</v>
      </c>
      <c r="BP48" s="542">
        <v>-3263906</v>
      </c>
      <c r="BQ48" s="542">
        <v>-12213</v>
      </c>
      <c r="BR48" s="542">
        <v>0</v>
      </c>
      <c r="BS48" s="542">
        <v>-12213</v>
      </c>
      <c r="BT48" s="542">
        <v>-3323419</v>
      </c>
      <c r="BU48" s="542">
        <v>0</v>
      </c>
      <c r="BV48" s="542">
        <v>-3323419</v>
      </c>
      <c r="BW48" s="542">
        <v>-265908</v>
      </c>
      <c r="BX48" s="542">
        <v>0</v>
      </c>
      <c r="BY48" s="542">
        <v>-265908</v>
      </c>
      <c r="BZ48" s="542">
        <v>-8372</v>
      </c>
      <c r="CA48" s="542">
        <v>0</v>
      </c>
      <c r="CB48" s="542">
        <v>-8372</v>
      </c>
      <c r="CC48" s="542">
        <v>-272242</v>
      </c>
      <c r="CD48" s="542">
        <v>0</v>
      </c>
      <c r="CE48" s="542">
        <v>-272242</v>
      </c>
      <c r="CF48" s="542">
        <v>16532</v>
      </c>
      <c r="CG48" s="542">
        <v>0</v>
      </c>
      <c r="CH48" s="542">
        <v>16532</v>
      </c>
      <c r="CI48" s="542">
        <v>0</v>
      </c>
      <c r="CJ48" s="542">
        <v>0</v>
      </c>
      <c r="CK48" s="542">
        <v>0</v>
      </c>
      <c r="CL48" s="542">
        <v>0</v>
      </c>
      <c r="CM48" s="542">
        <v>0</v>
      </c>
      <c r="CN48" s="542">
        <v>0</v>
      </c>
      <c r="CO48" s="542">
        <v>-2832</v>
      </c>
      <c r="CP48" s="542">
        <v>0</v>
      </c>
      <c r="CQ48" s="542">
        <v>-2832</v>
      </c>
      <c r="CR48" s="542">
        <v>0</v>
      </c>
      <c r="CS48" s="542">
        <v>0</v>
      </c>
      <c r="CT48" s="542">
        <v>0</v>
      </c>
      <c r="CU48" s="542">
        <v>0</v>
      </c>
      <c r="CV48" s="542">
        <v>0</v>
      </c>
      <c r="CW48" s="542">
        <v>0</v>
      </c>
      <c r="CX48" s="542">
        <v>0</v>
      </c>
      <c r="CY48" s="542">
        <v>0</v>
      </c>
      <c r="CZ48" s="542">
        <v>0</v>
      </c>
      <c r="DA48" s="542">
        <v>0</v>
      </c>
      <c r="DB48" s="542">
        <v>0</v>
      </c>
      <c r="DC48" s="542">
        <v>0</v>
      </c>
      <c r="DD48" s="542">
        <v>0</v>
      </c>
      <c r="DE48" s="542">
        <v>0</v>
      </c>
      <c r="DF48" s="542">
        <v>0</v>
      </c>
      <c r="DG48" s="542"/>
      <c r="DH48" s="542">
        <v>0</v>
      </c>
      <c r="DI48" s="542"/>
      <c r="DJ48" s="542">
        <v>0</v>
      </c>
      <c r="DK48" s="542"/>
      <c r="DL48" s="542"/>
      <c r="DM48" s="542">
        <v>-532822</v>
      </c>
      <c r="DN48" s="542">
        <v>0</v>
      </c>
      <c r="DO48" s="542">
        <v>-532822</v>
      </c>
      <c r="DP48" s="542">
        <v>0</v>
      </c>
      <c r="DQ48" s="542">
        <v>0</v>
      </c>
      <c r="DR48" s="542">
        <v>0</v>
      </c>
      <c r="DS48" s="542">
        <v>0</v>
      </c>
      <c r="DT48" s="542">
        <v>0</v>
      </c>
      <c r="DU48" s="542">
        <v>0</v>
      </c>
      <c r="DV48" s="542">
        <v>-3677</v>
      </c>
      <c r="DW48" s="542">
        <v>0</v>
      </c>
      <c r="DX48" s="542">
        <v>-3677</v>
      </c>
      <c r="DY48" s="542">
        <v>-644151</v>
      </c>
      <c r="DZ48" s="542">
        <v>0</v>
      </c>
      <c r="EA48" s="542">
        <v>-644151</v>
      </c>
      <c r="EB48" s="542">
        <v>0</v>
      </c>
      <c r="EC48" s="542">
        <v>0</v>
      </c>
      <c r="ED48" s="542">
        <v>0</v>
      </c>
      <c r="EE48" s="542">
        <v>0</v>
      </c>
      <c r="EF48" s="542">
        <v>0</v>
      </c>
      <c r="EG48" s="542">
        <v>0</v>
      </c>
      <c r="EH48" s="542">
        <v>-647828</v>
      </c>
      <c r="EI48" s="542">
        <v>0</v>
      </c>
      <c r="EJ48" s="542">
        <v>-647828</v>
      </c>
      <c r="EK48" s="542">
        <v>0</v>
      </c>
      <c r="EL48" s="542">
        <v>0</v>
      </c>
      <c r="EM48" s="542">
        <v>0</v>
      </c>
      <c r="EN48" s="542">
        <v>0</v>
      </c>
      <c r="EO48" s="542">
        <v>0</v>
      </c>
      <c r="EP48" s="542">
        <v>0</v>
      </c>
      <c r="EQ48" s="542">
        <v>0</v>
      </c>
      <c r="ER48" s="542">
        <v>0</v>
      </c>
      <c r="ES48" s="542">
        <v>0</v>
      </c>
      <c r="ET48" s="542">
        <v>73991033</v>
      </c>
      <c r="EU48" s="542">
        <v>0</v>
      </c>
      <c r="EV48" s="542">
        <v>73991033</v>
      </c>
      <c r="EW48" s="542">
        <v>120132</v>
      </c>
      <c r="EX48" s="542">
        <v>0</v>
      </c>
      <c r="EY48" s="542">
        <v>120132</v>
      </c>
      <c r="EZ48" s="542">
        <v>-9129008</v>
      </c>
      <c r="FA48" s="542">
        <v>0</v>
      </c>
      <c r="FB48" s="542">
        <v>-9129008</v>
      </c>
      <c r="FC48" s="542">
        <v>-3323419</v>
      </c>
      <c r="FD48" s="542">
        <v>0</v>
      </c>
      <c r="FE48" s="542">
        <v>-3323419</v>
      </c>
      <c r="FF48" s="542">
        <v>-532822</v>
      </c>
      <c r="FG48" s="542">
        <v>0</v>
      </c>
      <c r="FH48" s="542">
        <v>-532822</v>
      </c>
      <c r="FI48" s="542">
        <v>-647828</v>
      </c>
      <c r="FJ48" s="542">
        <v>0</v>
      </c>
      <c r="FK48" s="542">
        <v>-647828</v>
      </c>
      <c r="FL48" s="542">
        <v>0</v>
      </c>
      <c r="FM48" s="542">
        <v>0</v>
      </c>
      <c r="FN48" s="542">
        <v>0</v>
      </c>
      <c r="FO48" s="542">
        <v>-13512945</v>
      </c>
      <c r="FP48" s="542">
        <v>0</v>
      </c>
      <c r="FQ48" s="542">
        <v>-13512945</v>
      </c>
      <c r="FR48" s="542">
        <v>60478088</v>
      </c>
      <c r="FS48" s="542">
        <v>0</v>
      </c>
      <c r="FT48" s="542">
        <v>60478088</v>
      </c>
    </row>
    <row r="49" spans="1:176" ht="12.75" x14ac:dyDescent="0.2">
      <c r="A49" s="93">
        <v>44</v>
      </c>
      <c r="B49" s="145" t="s">
        <v>647</v>
      </c>
      <c r="C49" s="604" t="s">
        <v>866</v>
      </c>
      <c r="D49" s="142" t="s">
        <v>870</v>
      </c>
      <c r="E49" s="149" t="s">
        <v>646</v>
      </c>
      <c r="F49" s="542">
        <v>-110672</v>
      </c>
      <c r="G49" s="542">
        <v>0</v>
      </c>
      <c r="H49" s="542">
        <v>-110672</v>
      </c>
      <c r="I49" s="542">
        <v>251933</v>
      </c>
      <c r="J49" s="542">
        <v>0</v>
      </c>
      <c r="K49" s="542">
        <v>251933</v>
      </c>
      <c r="L49" s="542">
        <v>12623</v>
      </c>
      <c r="M49" s="542">
        <v>0</v>
      </c>
      <c r="N49" s="542">
        <v>12623</v>
      </c>
      <c r="O49" s="542">
        <v>920202</v>
      </c>
      <c r="P49" s="542">
        <v>0</v>
      </c>
      <c r="Q49" s="542">
        <v>920202</v>
      </c>
      <c r="R49" s="542">
        <v>1074086</v>
      </c>
      <c r="S49" s="542">
        <v>0</v>
      </c>
      <c r="T49" s="542">
        <v>1074086</v>
      </c>
      <c r="U49" s="542">
        <v>-1376755</v>
      </c>
      <c r="V49" s="542">
        <v>0</v>
      </c>
      <c r="W49" s="542">
        <v>-1376755</v>
      </c>
      <c r="X49" s="542">
        <v>-9783</v>
      </c>
      <c r="Y49" s="542">
        <v>0</v>
      </c>
      <c r="Z49" s="542">
        <v>-9783</v>
      </c>
      <c r="AA49" s="542">
        <v>-39573</v>
      </c>
      <c r="AB49" s="542">
        <v>0</v>
      </c>
      <c r="AC49" s="542">
        <v>-39573</v>
      </c>
      <c r="AD49" s="542">
        <v>-12515</v>
      </c>
      <c r="AE49" s="542">
        <v>0</v>
      </c>
      <c r="AF49" s="542">
        <v>-12515</v>
      </c>
      <c r="AG49" s="542">
        <v>2740464</v>
      </c>
      <c r="AH49" s="542">
        <v>0</v>
      </c>
      <c r="AI49" s="542">
        <v>2740464</v>
      </c>
      <c r="AJ49" s="542">
        <v>-80307</v>
      </c>
      <c r="AK49" s="542">
        <v>0</v>
      </c>
      <c r="AL49" s="542">
        <v>-80307</v>
      </c>
      <c r="AM49" s="542">
        <v>-21504904</v>
      </c>
      <c r="AN49" s="542">
        <v>0</v>
      </c>
      <c r="AO49" s="542">
        <v>-21504904</v>
      </c>
      <c r="AP49" s="542">
        <v>684331</v>
      </c>
      <c r="AQ49" s="542">
        <v>0</v>
      </c>
      <c r="AR49" s="542">
        <v>684331</v>
      </c>
      <c r="AS49" s="542">
        <v>-14730</v>
      </c>
      <c r="AT49" s="542">
        <v>0</v>
      </c>
      <c r="AU49" s="542">
        <v>-14730</v>
      </c>
      <c r="AV49" s="542">
        <v>0</v>
      </c>
      <c r="AW49" s="542">
        <v>0</v>
      </c>
      <c r="AX49" s="542">
        <v>0</v>
      </c>
      <c r="AY49" s="542">
        <v>0</v>
      </c>
      <c r="AZ49" s="542">
        <v>0</v>
      </c>
      <c r="BA49" s="542">
        <v>0</v>
      </c>
      <c r="BB49" s="542">
        <v>0</v>
      </c>
      <c r="BC49" s="542">
        <v>0</v>
      </c>
      <c r="BD49" s="542">
        <v>0</v>
      </c>
      <c r="BE49" s="542">
        <v>-19591474</v>
      </c>
      <c r="BF49" s="542">
        <v>0</v>
      </c>
      <c r="BG49" s="542">
        <v>-19591474</v>
      </c>
      <c r="BH49" s="542">
        <v>-17308</v>
      </c>
      <c r="BI49" s="542">
        <v>0</v>
      </c>
      <c r="BJ49" s="542">
        <v>-17308</v>
      </c>
      <c r="BK49" s="542">
        <v>11895</v>
      </c>
      <c r="BL49" s="542">
        <v>0</v>
      </c>
      <c r="BM49" s="542">
        <v>11895</v>
      </c>
      <c r="BN49" s="542">
        <v>-2443567</v>
      </c>
      <c r="BO49" s="542">
        <v>0</v>
      </c>
      <c r="BP49" s="542">
        <v>-2443567</v>
      </c>
      <c r="BQ49" s="542">
        <v>298239</v>
      </c>
      <c r="BR49" s="542">
        <v>0</v>
      </c>
      <c r="BS49" s="542">
        <v>298239</v>
      </c>
      <c r="BT49" s="542">
        <v>-2150741</v>
      </c>
      <c r="BU49" s="542">
        <v>0</v>
      </c>
      <c r="BV49" s="542">
        <v>-2150741</v>
      </c>
      <c r="BW49" s="542">
        <v>-161530</v>
      </c>
      <c r="BX49" s="542">
        <v>0</v>
      </c>
      <c r="BY49" s="542">
        <v>-161530</v>
      </c>
      <c r="BZ49" s="542">
        <v>309</v>
      </c>
      <c r="CA49" s="542">
        <v>0</v>
      </c>
      <c r="CB49" s="542">
        <v>309</v>
      </c>
      <c r="CC49" s="542">
        <v>-6384</v>
      </c>
      <c r="CD49" s="542">
        <v>0</v>
      </c>
      <c r="CE49" s="542">
        <v>-6384</v>
      </c>
      <c r="CF49" s="542">
        <v>0</v>
      </c>
      <c r="CG49" s="542">
        <v>0</v>
      </c>
      <c r="CH49" s="542">
        <v>0</v>
      </c>
      <c r="CI49" s="542">
        <v>-1494</v>
      </c>
      <c r="CJ49" s="542">
        <v>0</v>
      </c>
      <c r="CK49" s="542">
        <v>-1494</v>
      </c>
      <c r="CL49" s="542">
        <v>0</v>
      </c>
      <c r="CM49" s="542">
        <v>0</v>
      </c>
      <c r="CN49" s="542">
        <v>0</v>
      </c>
      <c r="CO49" s="542">
        <v>0</v>
      </c>
      <c r="CP49" s="542">
        <v>0</v>
      </c>
      <c r="CQ49" s="542">
        <v>0</v>
      </c>
      <c r="CR49" s="542">
        <v>0</v>
      </c>
      <c r="CS49" s="542">
        <v>0</v>
      </c>
      <c r="CT49" s="542">
        <v>0</v>
      </c>
      <c r="CU49" s="542">
        <v>0</v>
      </c>
      <c r="CV49" s="542">
        <v>0</v>
      </c>
      <c r="CW49" s="542">
        <v>0</v>
      </c>
      <c r="CX49" s="542">
        <v>0</v>
      </c>
      <c r="CY49" s="542">
        <v>0</v>
      </c>
      <c r="CZ49" s="542">
        <v>0</v>
      </c>
      <c r="DA49" s="542">
        <v>0</v>
      </c>
      <c r="DB49" s="542">
        <v>0</v>
      </c>
      <c r="DC49" s="542">
        <v>0</v>
      </c>
      <c r="DD49" s="542">
        <v>0</v>
      </c>
      <c r="DE49" s="542">
        <v>0</v>
      </c>
      <c r="DF49" s="542">
        <v>0</v>
      </c>
      <c r="DG49" s="542"/>
      <c r="DH49" s="542">
        <v>0</v>
      </c>
      <c r="DI49" s="542"/>
      <c r="DJ49" s="542">
        <v>0</v>
      </c>
      <c r="DK49" s="542"/>
      <c r="DL49" s="542"/>
      <c r="DM49" s="542">
        <v>-169099</v>
      </c>
      <c r="DN49" s="542">
        <v>0</v>
      </c>
      <c r="DO49" s="542">
        <v>-169099</v>
      </c>
      <c r="DP49" s="542">
        <v>-113650</v>
      </c>
      <c r="DQ49" s="542">
        <v>0</v>
      </c>
      <c r="DR49" s="542">
        <v>-113650</v>
      </c>
      <c r="DS49" s="542">
        <v>0</v>
      </c>
      <c r="DT49" s="542">
        <v>0</v>
      </c>
      <c r="DU49" s="542">
        <v>0</v>
      </c>
      <c r="DV49" s="542">
        <v>-29394</v>
      </c>
      <c r="DW49" s="542">
        <v>0</v>
      </c>
      <c r="DX49" s="542">
        <v>-29394</v>
      </c>
      <c r="DY49" s="542">
        <v>-721411</v>
      </c>
      <c r="DZ49" s="542">
        <v>0</v>
      </c>
      <c r="EA49" s="542">
        <v>-721411</v>
      </c>
      <c r="EB49" s="542">
        <v>0</v>
      </c>
      <c r="EC49" s="542">
        <v>0</v>
      </c>
      <c r="ED49" s="542">
        <v>0</v>
      </c>
      <c r="EE49" s="542">
        <v>0</v>
      </c>
      <c r="EF49" s="542">
        <v>0</v>
      </c>
      <c r="EG49" s="542">
        <v>0</v>
      </c>
      <c r="EH49" s="542">
        <v>-864455</v>
      </c>
      <c r="EI49" s="542">
        <v>0</v>
      </c>
      <c r="EJ49" s="542">
        <v>-864455</v>
      </c>
      <c r="EK49" s="542">
        <v>0</v>
      </c>
      <c r="EL49" s="542">
        <v>0</v>
      </c>
      <c r="EM49" s="542">
        <v>0</v>
      </c>
      <c r="EN49" s="542">
        <v>0</v>
      </c>
      <c r="EO49" s="542">
        <v>0</v>
      </c>
      <c r="EP49" s="542">
        <v>0</v>
      </c>
      <c r="EQ49" s="542">
        <v>0</v>
      </c>
      <c r="ER49" s="542">
        <v>0</v>
      </c>
      <c r="ES49" s="542">
        <v>0</v>
      </c>
      <c r="ET49" s="542">
        <v>114690335</v>
      </c>
      <c r="EU49" s="542">
        <v>0</v>
      </c>
      <c r="EV49" s="542">
        <v>114690335</v>
      </c>
      <c r="EW49" s="542">
        <v>1074086</v>
      </c>
      <c r="EX49" s="542">
        <v>0</v>
      </c>
      <c r="EY49" s="542">
        <v>1074086</v>
      </c>
      <c r="EZ49" s="542">
        <v>-19591474</v>
      </c>
      <c r="FA49" s="542">
        <v>0</v>
      </c>
      <c r="FB49" s="542">
        <v>-19591474</v>
      </c>
      <c r="FC49" s="542">
        <v>-2150741</v>
      </c>
      <c r="FD49" s="542">
        <v>0</v>
      </c>
      <c r="FE49" s="542">
        <v>-2150741</v>
      </c>
      <c r="FF49" s="542">
        <v>-169099</v>
      </c>
      <c r="FG49" s="542">
        <v>0</v>
      </c>
      <c r="FH49" s="542">
        <v>-169099</v>
      </c>
      <c r="FI49" s="542">
        <v>-864455</v>
      </c>
      <c r="FJ49" s="542">
        <v>0</v>
      </c>
      <c r="FK49" s="542">
        <v>-864455</v>
      </c>
      <c r="FL49" s="542">
        <v>0</v>
      </c>
      <c r="FM49" s="542">
        <v>0</v>
      </c>
      <c r="FN49" s="542">
        <v>0</v>
      </c>
      <c r="FO49" s="542">
        <v>-21701683</v>
      </c>
      <c r="FP49" s="542">
        <v>0</v>
      </c>
      <c r="FQ49" s="542">
        <v>-21701683</v>
      </c>
      <c r="FR49" s="542">
        <v>92988652</v>
      </c>
      <c r="FS49" s="542">
        <v>0</v>
      </c>
      <c r="FT49" s="542">
        <v>92988652</v>
      </c>
    </row>
    <row r="50" spans="1:176" ht="12.75" x14ac:dyDescent="0.2">
      <c r="A50" s="93">
        <v>45</v>
      </c>
      <c r="B50" s="145" t="s">
        <v>649</v>
      </c>
      <c r="C50" s="604" t="s">
        <v>877</v>
      </c>
      <c r="D50" s="142" t="s">
        <v>872</v>
      </c>
      <c r="E50" s="149" t="s">
        <v>648</v>
      </c>
      <c r="F50" s="542">
        <v>-803717</v>
      </c>
      <c r="G50" s="542">
        <v>0</v>
      </c>
      <c r="H50" s="542">
        <v>-803717</v>
      </c>
      <c r="I50" s="542">
        <v>8022046.3499999996</v>
      </c>
      <c r="J50" s="542">
        <v>0</v>
      </c>
      <c r="K50" s="542">
        <v>8022046.3499999996</v>
      </c>
      <c r="L50" s="542">
        <v>11791.24</v>
      </c>
      <c r="M50" s="542">
        <v>0</v>
      </c>
      <c r="N50" s="542">
        <v>11791.24</v>
      </c>
      <c r="O50" s="542">
        <v>709051</v>
      </c>
      <c r="P50" s="542">
        <v>0</v>
      </c>
      <c r="Q50" s="542">
        <v>709051</v>
      </c>
      <c r="R50" s="542">
        <v>7939172</v>
      </c>
      <c r="S50" s="542">
        <v>0</v>
      </c>
      <c r="T50" s="542">
        <v>7939172</v>
      </c>
      <c r="U50" s="542">
        <v>-2928418</v>
      </c>
      <c r="V50" s="542">
        <v>0</v>
      </c>
      <c r="W50" s="542">
        <v>-2928418</v>
      </c>
      <c r="X50" s="542">
        <v>0</v>
      </c>
      <c r="Y50" s="542">
        <v>0</v>
      </c>
      <c r="Z50" s="542">
        <v>0</v>
      </c>
      <c r="AA50" s="542">
        <v>-186156</v>
      </c>
      <c r="AB50" s="542">
        <v>0</v>
      </c>
      <c r="AC50" s="542">
        <v>-186156</v>
      </c>
      <c r="AD50" s="542">
        <v>-87340</v>
      </c>
      <c r="AE50" s="542">
        <v>0</v>
      </c>
      <c r="AF50" s="542">
        <v>-87340</v>
      </c>
      <c r="AG50" s="542">
        <v>12715749</v>
      </c>
      <c r="AH50" s="542">
        <v>0</v>
      </c>
      <c r="AI50" s="542">
        <v>12715749</v>
      </c>
      <c r="AJ50" s="542">
        <v>-646794.87</v>
      </c>
      <c r="AK50" s="542">
        <v>0</v>
      </c>
      <c r="AL50" s="542">
        <v>-646794.87</v>
      </c>
      <c r="AM50" s="542">
        <v>-56409657</v>
      </c>
      <c r="AN50" s="542">
        <v>0</v>
      </c>
      <c r="AO50" s="542">
        <v>-56409657</v>
      </c>
      <c r="AP50" s="542">
        <v>498564</v>
      </c>
      <c r="AQ50" s="542">
        <v>0</v>
      </c>
      <c r="AR50" s="542">
        <v>498564</v>
      </c>
      <c r="AS50" s="542">
        <v>-13785</v>
      </c>
      <c r="AT50" s="542">
        <v>0</v>
      </c>
      <c r="AU50" s="542">
        <v>-13785</v>
      </c>
      <c r="AV50" s="542">
        <v>0</v>
      </c>
      <c r="AW50" s="542">
        <v>0</v>
      </c>
      <c r="AX50" s="542">
        <v>0</v>
      </c>
      <c r="AY50" s="542">
        <v>0</v>
      </c>
      <c r="AZ50" s="542">
        <v>0</v>
      </c>
      <c r="BA50" s="542">
        <v>0</v>
      </c>
      <c r="BB50" s="542">
        <v>0</v>
      </c>
      <c r="BC50" s="542">
        <v>0</v>
      </c>
      <c r="BD50" s="542">
        <v>0</v>
      </c>
      <c r="BE50" s="542">
        <v>-46970498</v>
      </c>
      <c r="BF50" s="542">
        <v>0</v>
      </c>
      <c r="BG50" s="542">
        <v>-46970498</v>
      </c>
      <c r="BH50" s="542">
        <v>-598280</v>
      </c>
      <c r="BI50" s="542">
        <v>0</v>
      </c>
      <c r="BJ50" s="542">
        <v>-598280</v>
      </c>
      <c r="BK50" s="542">
        <v>71021</v>
      </c>
      <c r="BL50" s="542">
        <v>0</v>
      </c>
      <c r="BM50" s="542">
        <v>71021</v>
      </c>
      <c r="BN50" s="542">
        <v>-24580213</v>
      </c>
      <c r="BO50" s="542">
        <v>0</v>
      </c>
      <c r="BP50" s="542">
        <v>-24580213</v>
      </c>
      <c r="BQ50" s="542">
        <v>1186895</v>
      </c>
      <c r="BR50" s="542">
        <v>0</v>
      </c>
      <c r="BS50" s="542">
        <v>1186895</v>
      </c>
      <c r="BT50" s="542">
        <v>-23920577</v>
      </c>
      <c r="BU50" s="542">
        <v>0</v>
      </c>
      <c r="BV50" s="542">
        <v>-23920577</v>
      </c>
      <c r="BW50" s="542">
        <v>-195854</v>
      </c>
      <c r="BX50" s="542">
        <v>0</v>
      </c>
      <c r="BY50" s="542">
        <v>-195854</v>
      </c>
      <c r="BZ50" s="542">
        <v>1093</v>
      </c>
      <c r="CA50" s="542">
        <v>0</v>
      </c>
      <c r="CB50" s="542">
        <v>1093</v>
      </c>
      <c r="CC50" s="542">
        <v>-2000</v>
      </c>
      <c r="CD50" s="542">
        <v>0</v>
      </c>
      <c r="CE50" s="542">
        <v>-2000</v>
      </c>
      <c r="CF50" s="542">
        <v>-14535</v>
      </c>
      <c r="CG50" s="542">
        <v>0</v>
      </c>
      <c r="CH50" s="542">
        <v>-14535</v>
      </c>
      <c r="CI50" s="542">
        <v>0</v>
      </c>
      <c r="CJ50" s="542">
        <v>0</v>
      </c>
      <c r="CK50" s="542">
        <v>0</v>
      </c>
      <c r="CL50" s="542">
        <v>0</v>
      </c>
      <c r="CM50" s="542">
        <v>0</v>
      </c>
      <c r="CN50" s="542">
        <v>0</v>
      </c>
      <c r="CO50" s="542">
        <v>0</v>
      </c>
      <c r="CP50" s="542">
        <v>0</v>
      </c>
      <c r="CQ50" s="542">
        <v>0</v>
      </c>
      <c r="CR50" s="542">
        <v>0</v>
      </c>
      <c r="CS50" s="542">
        <v>0</v>
      </c>
      <c r="CT50" s="542">
        <v>0</v>
      </c>
      <c r="CU50" s="542">
        <v>0</v>
      </c>
      <c r="CV50" s="542">
        <v>0</v>
      </c>
      <c r="CW50" s="542">
        <v>0</v>
      </c>
      <c r="CX50" s="542">
        <v>0</v>
      </c>
      <c r="CY50" s="542">
        <v>0</v>
      </c>
      <c r="CZ50" s="542">
        <v>0</v>
      </c>
      <c r="DA50" s="542">
        <v>0</v>
      </c>
      <c r="DB50" s="542">
        <v>0</v>
      </c>
      <c r="DC50" s="542">
        <v>0</v>
      </c>
      <c r="DD50" s="542">
        <v>0</v>
      </c>
      <c r="DE50" s="542">
        <v>0</v>
      </c>
      <c r="DF50" s="542">
        <v>0</v>
      </c>
      <c r="DG50" s="542"/>
      <c r="DH50" s="542">
        <v>0</v>
      </c>
      <c r="DI50" s="542"/>
      <c r="DJ50" s="542">
        <v>0</v>
      </c>
      <c r="DK50" s="542"/>
      <c r="DL50" s="542"/>
      <c r="DM50" s="542">
        <v>-211296</v>
      </c>
      <c r="DN50" s="542">
        <v>0</v>
      </c>
      <c r="DO50" s="542">
        <v>-211296</v>
      </c>
      <c r="DP50" s="542">
        <v>0</v>
      </c>
      <c r="DQ50" s="542">
        <v>0</v>
      </c>
      <c r="DR50" s="542">
        <v>0</v>
      </c>
      <c r="DS50" s="542">
        <v>0</v>
      </c>
      <c r="DT50" s="542">
        <v>0</v>
      </c>
      <c r="DU50" s="542">
        <v>0</v>
      </c>
      <c r="DV50" s="542">
        <v>-36361</v>
      </c>
      <c r="DW50" s="542">
        <v>0</v>
      </c>
      <c r="DX50" s="542">
        <v>-36361</v>
      </c>
      <c r="DY50" s="542">
        <v>-2527009</v>
      </c>
      <c r="DZ50" s="542">
        <v>0</v>
      </c>
      <c r="EA50" s="542">
        <v>-2527009</v>
      </c>
      <c r="EB50" s="542">
        <v>0</v>
      </c>
      <c r="EC50" s="542">
        <v>0</v>
      </c>
      <c r="ED50" s="542">
        <v>0</v>
      </c>
      <c r="EE50" s="542">
        <v>0</v>
      </c>
      <c r="EF50" s="542">
        <v>0</v>
      </c>
      <c r="EG50" s="542">
        <v>0</v>
      </c>
      <c r="EH50" s="542">
        <v>-2563370</v>
      </c>
      <c r="EI50" s="542">
        <v>0</v>
      </c>
      <c r="EJ50" s="542">
        <v>-2563370</v>
      </c>
      <c r="EK50" s="542">
        <v>0</v>
      </c>
      <c r="EL50" s="542">
        <v>0</v>
      </c>
      <c r="EM50" s="542">
        <v>0</v>
      </c>
      <c r="EN50" s="542">
        <v>0</v>
      </c>
      <c r="EO50" s="542">
        <v>0</v>
      </c>
      <c r="EP50" s="542">
        <v>0</v>
      </c>
      <c r="EQ50" s="542">
        <v>0</v>
      </c>
      <c r="ER50" s="542">
        <v>0</v>
      </c>
      <c r="ES50" s="542">
        <v>0</v>
      </c>
      <c r="ET50" s="542">
        <v>548179906</v>
      </c>
      <c r="EU50" s="542">
        <v>0</v>
      </c>
      <c r="EV50" s="542">
        <v>548179906</v>
      </c>
      <c r="EW50" s="542">
        <v>7939172</v>
      </c>
      <c r="EX50" s="542">
        <v>0</v>
      </c>
      <c r="EY50" s="542">
        <v>7939172</v>
      </c>
      <c r="EZ50" s="542">
        <v>-46970498</v>
      </c>
      <c r="FA50" s="542">
        <v>0</v>
      </c>
      <c r="FB50" s="542">
        <v>-46970498</v>
      </c>
      <c r="FC50" s="542">
        <v>-23920577</v>
      </c>
      <c r="FD50" s="542">
        <v>0</v>
      </c>
      <c r="FE50" s="542">
        <v>-23920577</v>
      </c>
      <c r="FF50" s="542">
        <v>-211296</v>
      </c>
      <c r="FG50" s="542">
        <v>0</v>
      </c>
      <c r="FH50" s="542">
        <v>-211296</v>
      </c>
      <c r="FI50" s="542">
        <v>-2563370</v>
      </c>
      <c r="FJ50" s="542">
        <v>0</v>
      </c>
      <c r="FK50" s="542">
        <v>-2563370</v>
      </c>
      <c r="FL50" s="542">
        <v>0</v>
      </c>
      <c r="FM50" s="542">
        <v>0</v>
      </c>
      <c r="FN50" s="542">
        <v>0</v>
      </c>
      <c r="FO50" s="542">
        <v>-65726569</v>
      </c>
      <c r="FP50" s="542">
        <v>0</v>
      </c>
      <c r="FQ50" s="542">
        <v>-65726569</v>
      </c>
      <c r="FR50" s="542">
        <v>482453337</v>
      </c>
      <c r="FS50" s="542">
        <v>0</v>
      </c>
      <c r="FT50" s="542">
        <v>482453337</v>
      </c>
    </row>
    <row r="51" spans="1:176" ht="12.75" x14ac:dyDescent="0.2">
      <c r="A51" s="93">
        <v>46</v>
      </c>
      <c r="B51" s="145" t="s">
        <v>651</v>
      </c>
      <c r="C51" s="604" t="s">
        <v>866</v>
      </c>
      <c r="D51" s="142" t="s">
        <v>876</v>
      </c>
      <c r="E51" s="149" t="s">
        <v>650</v>
      </c>
      <c r="F51" s="542">
        <v>-292866</v>
      </c>
      <c r="G51" s="542">
        <v>0</v>
      </c>
      <c r="H51" s="542">
        <v>-292866</v>
      </c>
      <c r="I51" s="542">
        <v>41353</v>
      </c>
      <c r="J51" s="542">
        <v>0</v>
      </c>
      <c r="K51" s="542">
        <v>41353</v>
      </c>
      <c r="L51" s="542">
        <v>0</v>
      </c>
      <c r="M51" s="542">
        <v>0</v>
      </c>
      <c r="N51" s="542">
        <v>0</v>
      </c>
      <c r="O51" s="542">
        <v>27212</v>
      </c>
      <c r="P51" s="542">
        <v>0</v>
      </c>
      <c r="Q51" s="542">
        <v>27212</v>
      </c>
      <c r="R51" s="542">
        <v>-224301</v>
      </c>
      <c r="S51" s="542">
        <v>0</v>
      </c>
      <c r="T51" s="542">
        <v>-224301</v>
      </c>
      <c r="U51" s="542">
        <v>-2418361</v>
      </c>
      <c r="V51" s="542">
        <v>0</v>
      </c>
      <c r="W51" s="542">
        <v>-2418361</v>
      </c>
      <c r="X51" s="542">
        <v>0</v>
      </c>
      <c r="Y51" s="542">
        <v>0</v>
      </c>
      <c r="Z51" s="542">
        <v>0</v>
      </c>
      <c r="AA51" s="542">
        <v>-187256</v>
      </c>
      <c r="AB51" s="542">
        <v>0</v>
      </c>
      <c r="AC51" s="542">
        <v>-187256</v>
      </c>
      <c r="AD51" s="542">
        <v>-87003</v>
      </c>
      <c r="AE51" s="542">
        <v>0</v>
      </c>
      <c r="AF51" s="542">
        <v>-87003</v>
      </c>
      <c r="AG51" s="542">
        <v>810924</v>
      </c>
      <c r="AH51" s="542">
        <v>0</v>
      </c>
      <c r="AI51" s="542">
        <v>810924</v>
      </c>
      <c r="AJ51" s="542">
        <v>-7511</v>
      </c>
      <c r="AK51" s="542">
        <v>0</v>
      </c>
      <c r="AL51" s="542">
        <v>-7511</v>
      </c>
      <c r="AM51" s="542">
        <v>-1713084</v>
      </c>
      <c r="AN51" s="542">
        <v>0</v>
      </c>
      <c r="AO51" s="542">
        <v>-1713084</v>
      </c>
      <c r="AP51" s="542">
        <v>-308000</v>
      </c>
      <c r="AQ51" s="542">
        <v>0</v>
      </c>
      <c r="AR51" s="542">
        <v>-308000</v>
      </c>
      <c r="AS51" s="542">
        <v>-17545</v>
      </c>
      <c r="AT51" s="542">
        <v>0</v>
      </c>
      <c r="AU51" s="542">
        <v>-17545</v>
      </c>
      <c r="AV51" s="542">
        <v>0</v>
      </c>
      <c r="AW51" s="542">
        <v>0</v>
      </c>
      <c r="AX51" s="542">
        <v>0</v>
      </c>
      <c r="AY51" s="542">
        <v>0</v>
      </c>
      <c r="AZ51" s="542">
        <v>0</v>
      </c>
      <c r="BA51" s="542">
        <v>0</v>
      </c>
      <c r="BB51" s="542">
        <v>0</v>
      </c>
      <c r="BC51" s="542">
        <v>0</v>
      </c>
      <c r="BD51" s="542">
        <v>0</v>
      </c>
      <c r="BE51" s="542">
        <v>-3840833</v>
      </c>
      <c r="BF51" s="542">
        <v>0</v>
      </c>
      <c r="BG51" s="542">
        <v>-3840833</v>
      </c>
      <c r="BH51" s="542">
        <v>0</v>
      </c>
      <c r="BI51" s="542">
        <v>0</v>
      </c>
      <c r="BJ51" s="542">
        <v>0</v>
      </c>
      <c r="BK51" s="542">
        <v>-32663</v>
      </c>
      <c r="BL51" s="542">
        <v>0</v>
      </c>
      <c r="BM51" s="542">
        <v>-32663</v>
      </c>
      <c r="BN51" s="542">
        <v>-818559</v>
      </c>
      <c r="BO51" s="542">
        <v>0</v>
      </c>
      <c r="BP51" s="542">
        <v>-818559</v>
      </c>
      <c r="BQ51" s="542">
        <v>-25691</v>
      </c>
      <c r="BR51" s="542">
        <v>0</v>
      </c>
      <c r="BS51" s="542">
        <v>-25691</v>
      </c>
      <c r="BT51" s="542">
        <v>-876913</v>
      </c>
      <c r="BU51" s="542">
        <v>0</v>
      </c>
      <c r="BV51" s="542">
        <v>-876913</v>
      </c>
      <c r="BW51" s="542">
        <v>-64062</v>
      </c>
      <c r="BX51" s="542">
        <v>0</v>
      </c>
      <c r="BY51" s="542">
        <v>-64062</v>
      </c>
      <c r="BZ51" s="542">
        <v>-27582</v>
      </c>
      <c r="CA51" s="542">
        <v>0</v>
      </c>
      <c r="CB51" s="542">
        <v>-27582</v>
      </c>
      <c r="CC51" s="542">
        <v>-9154</v>
      </c>
      <c r="CD51" s="542">
        <v>0</v>
      </c>
      <c r="CE51" s="542">
        <v>-9154</v>
      </c>
      <c r="CF51" s="542">
        <v>461</v>
      </c>
      <c r="CG51" s="542">
        <v>0</v>
      </c>
      <c r="CH51" s="542">
        <v>461</v>
      </c>
      <c r="CI51" s="542">
        <v>-1097</v>
      </c>
      <c r="CJ51" s="542">
        <v>0</v>
      </c>
      <c r="CK51" s="542">
        <v>-1097</v>
      </c>
      <c r="CL51" s="542">
        <v>0</v>
      </c>
      <c r="CM51" s="542">
        <v>0</v>
      </c>
      <c r="CN51" s="542">
        <v>0</v>
      </c>
      <c r="CO51" s="542">
        <v>0</v>
      </c>
      <c r="CP51" s="542">
        <v>0</v>
      </c>
      <c r="CQ51" s="542">
        <v>0</v>
      </c>
      <c r="CR51" s="542">
        <v>0</v>
      </c>
      <c r="CS51" s="542">
        <v>0</v>
      </c>
      <c r="CT51" s="542">
        <v>0</v>
      </c>
      <c r="CU51" s="542">
        <v>0</v>
      </c>
      <c r="CV51" s="542">
        <v>0</v>
      </c>
      <c r="CW51" s="542">
        <v>0</v>
      </c>
      <c r="CX51" s="542">
        <v>0</v>
      </c>
      <c r="CY51" s="542">
        <v>0</v>
      </c>
      <c r="CZ51" s="542">
        <v>0</v>
      </c>
      <c r="DA51" s="542">
        <v>0</v>
      </c>
      <c r="DB51" s="542">
        <v>0</v>
      </c>
      <c r="DC51" s="542">
        <v>0</v>
      </c>
      <c r="DD51" s="542">
        <v>0</v>
      </c>
      <c r="DE51" s="542">
        <v>0</v>
      </c>
      <c r="DF51" s="542">
        <v>0</v>
      </c>
      <c r="DG51" s="542"/>
      <c r="DH51" s="542">
        <v>0</v>
      </c>
      <c r="DI51" s="542"/>
      <c r="DJ51" s="542">
        <v>0</v>
      </c>
      <c r="DK51" s="542"/>
      <c r="DL51" s="542"/>
      <c r="DM51" s="542">
        <v>-101434</v>
      </c>
      <c r="DN51" s="542">
        <v>0</v>
      </c>
      <c r="DO51" s="542">
        <v>-101434</v>
      </c>
      <c r="DP51" s="542">
        <v>0</v>
      </c>
      <c r="DQ51" s="542">
        <v>0</v>
      </c>
      <c r="DR51" s="542">
        <v>0</v>
      </c>
      <c r="DS51" s="542">
        <v>0</v>
      </c>
      <c r="DT51" s="542">
        <v>0</v>
      </c>
      <c r="DU51" s="542">
        <v>0</v>
      </c>
      <c r="DV51" s="542">
        <v>0</v>
      </c>
      <c r="DW51" s="542">
        <v>0</v>
      </c>
      <c r="DX51" s="542">
        <v>0</v>
      </c>
      <c r="DY51" s="542">
        <v>-206753</v>
      </c>
      <c r="DZ51" s="542">
        <v>0</v>
      </c>
      <c r="EA51" s="542">
        <v>-206753</v>
      </c>
      <c r="EB51" s="542">
        <v>0</v>
      </c>
      <c r="EC51" s="542">
        <v>0</v>
      </c>
      <c r="ED51" s="542">
        <v>0</v>
      </c>
      <c r="EE51" s="542">
        <v>0</v>
      </c>
      <c r="EF51" s="542">
        <v>0</v>
      </c>
      <c r="EG51" s="542">
        <v>0</v>
      </c>
      <c r="EH51" s="542">
        <v>-206753</v>
      </c>
      <c r="EI51" s="542">
        <v>0</v>
      </c>
      <c r="EJ51" s="542">
        <v>-206753</v>
      </c>
      <c r="EK51" s="542">
        <v>0</v>
      </c>
      <c r="EL51" s="542">
        <v>0</v>
      </c>
      <c r="EM51" s="542">
        <v>0</v>
      </c>
      <c r="EN51" s="542">
        <v>0</v>
      </c>
      <c r="EO51" s="542">
        <v>0</v>
      </c>
      <c r="EP51" s="542">
        <v>0</v>
      </c>
      <c r="EQ51" s="542">
        <v>0</v>
      </c>
      <c r="ER51" s="542">
        <v>0</v>
      </c>
      <c r="ES51" s="542">
        <v>0</v>
      </c>
      <c r="ET51" s="542">
        <v>40947810</v>
      </c>
      <c r="EU51" s="542">
        <v>0</v>
      </c>
      <c r="EV51" s="542">
        <v>40947810</v>
      </c>
      <c r="EW51" s="542">
        <v>-224301</v>
      </c>
      <c r="EX51" s="542">
        <v>0</v>
      </c>
      <c r="EY51" s="542">
        <v>-224301</v>
      </c>
      <c r="EZ51" s="542">
        <v>-3840833</v>
      </c>
      <c r="FA51" s="542">
        <v>0</v>
      </c>
      <c r="FB51" s="542">
        <v>-3840833</v>
      </c>
      <c r="FC51" s="542">
        <v>-876913</v>
      </c>
      <c r="FD51" s="542">
        <v>0</v>
      </c>
      <c r="FE51" s="542">
        <v>-876913</v>
      </c>
      <c r="FF51" s="542">
        <v>-101434</v>
      </c>
      <c r="FG51" s="542">
        <v>0</v>
      </c>
      <c r="FH51" s="542">
        <v>-101434</v>
      </c>
      <c r="FI51" s="542">
        <v>-206753</v>
      </c>
      <c r="FJ51" s="542">
        <v>0</v>
      </c>
      <c r="FK51" s="542">
        <v>-206753</v>
      </c>
      <c r="FL51" s="542">
        <v>0</v>
      </c>
      <c r="FM51" s="542">
        <v>0</v>
      </c>
      <c r="FN51" s="542">
        <v>0</v>
      </c>
      <c r="FO51" s="542">
        <v>-5250234</v>
      </c>
      <c r="FP51" s="542">
        <v>0</v>
      </c>
      <c r="FQ51" s="542">
        <v>-5250234</v>
      </c>
      <c r="FR51" s="542">
        <v>35697576</v>
      </c>
      <c r="FS51" s="542">
        <v>0</v>
      </c>
      <c r="FT51" s="542">
        <v>35697576</v>
      </c>
    </row>
    <row r="52" spans="1:176" ht="12.75" x14ac:dyDescent="0.2">
      <c r="A52" s="93">
        <v>47</v>
      </c>
      <c r="B52" s="145" t="s">
        <v>653</v>
      </c>
      <c r="C52" s="604" t="s">
        <v>866</v>
      </c>
      <c r="D52" s="142" t="s">
        <v>867</v>
      </c>
      <c r="E52" s="149" t="s">
        <v>652</v>
      </c>
      <c r="F52" s="542">
        <v>0</v>
      </c>
      <c r="G52" s="542">
        <v>0</v>
      </c>
      <c r="H52" s="542">
        <v>0</v>
      </c>
      <c r="I52" s="542">
        <v>0</v>
      </c>
      <c r="J52" s="542">
        <v>0</v>
      </c>
      <c r="K52" s="542">
        <v>0</v>
      </c>
      <c r="L52" s="542">
        <v>48342</v>
      </c>
      <c r="M52" s="542">
        <v>0</v>
      </c>
      <c r="N52" s="542">
        <v>48342</v>
      </c>
      <c r="O52" s="542">
        <v>0</v>
      </c>
      <c r="P52" s="542">
        <v>0</v>
      </c>
      <c r="Q52" s="542">
        <v>0</v>
      </c>
      <c r="R52" s="542">
        <v>48342</v>
      </c>
      <c r="S52" s="542">
        <v>0</v>
      </c>
      <c r="T52" s="542">
        <v>48342</v>
      </c>
      <c r="U52" s="542">
        <v>-3303111</v>
      </c>
      <c r="V52" s="542">
        <v>0</v>
      </c>
      <c r="W52" s="542">
        <v>-3303111</v>
      </c>
      <c r="X52" s="542">
        <v>-11952</v>
      </c>
      <c r="Y52" s="542">
        <v>0</v>
      </c>
      <c r="Z52" s="542">
        <v>-11952</v>
      </c>
      <c r="AA52" s="542">
        <v>-181065</v>
      </c>
      <c r="AB52" s="542">
        <v>0</v>
      </c>
      <c r="AC52" s="542">
        <v>-181065</v>
      </c>
      <c r="AD52" s="542">
        <v>-67877</v>
      </c>
      <c r="AE52" s="542">
        <v>0</v>
      </c>
      <c r="AF52" s="542">
        <v>-67877</v>
      </c>
      <c r="AG52" s="542">
        <v>1279330</v>
      </c>
      <c r="AH52" s="542">
        <v>0</v>
      </c>
      <c r="AI52" s="542">
        <v>1279330</v>
      </c>
      <c r="AJ52" s="542">
        <v>-58724</v>
      </c>
      <c r="AK52" s="542">
        <v>0</v>
      </c>
      <c r="AL52" s="542">
        <v>-58724</v>
      </c>
      <c r="AM52" s="542">
        <v>-6840138</v>
      </c>
      <c r="AN52" s="542">
        <v>0</v>
      </c>
      <c r="AO52" s="542">
        <v>-6840138</v>
      </c>
      <c r="AP52" s="542">
        <v>94664</v>
      </c>
      <c r="AQ52" s="542">
        <v>0</v>
      </c>
      <c r="AR52" s="542">
        <v>94664</v>
      </c>
      <c r="AS52" s="542">
        <v>-100398</v>
      </c>
      <c r="AT52" s="542">
        <v>0</v>
      </c>
      <c r="AU52" s="542">
        <v>-100398</v>
      </c>
      <c r="AV52" s="542">
        <v>0</v>
      </c>
      <c r="AW52" s="542">
        <v>0</v>
      </c>
      <c r="AX52" s="542">
        <v>0</v>
      </c>
      <c r="AY52" s="542">
        <v>-25049</v>
      </c>
      <c r="AZ52" s="542">
        <v>0</v>
      </c>
      <c r="BA52" s="542">
        <v>-25049</v>
      </c>
      <c r="BB52" s="542">
        <v>-22481</v>
      </c>
      <c r="BC52" s="542">
        <v>0</v>
      </c>
      <c r="BD52" s="542">
        <v>-22481</v>
      </c>
      <c r="BE52" s="542">
        <v>-9156972</v>
      </c>
      <c r="BF52" s="542">
        <v>0</v>
      </c>
      <c r="BG52" s="542">
        <v>-9156972</v>
      </c>
      <c r="BH52" s="542">
        <v>0</v>
      </c>
      <c r="BI52" s="542">
        <v>0</v>
      </c>
      <c r="BJ52" s="542">
        <v>0</v>
      </c>
      <c r="BK52" s="542">
        <v>367</v>
      </c>
      <c r="BL52" s="542">
        <v>0</v>
      </c>
      <c r="BM52" s="542">
        <v>367</v>
      </c>
      <c r="BN52" s="542">
        <v>-1237257</v>
      </c>
      <c r="BO52" s="542">
        <v>0</v>
      </c>
      <c r="BP52" s="542">
        <v>-1237257</v>
      </c>
      <c r="BQ52" s="542">
        <v>-134065</v>
      </c>
      <c r="BR52" s="542">
        <v>0</v>
      </c>
      <c r="BS52" s="542">
        <v>-134065</v>
      </c>
      <c r="BT52" s="542">
        <v>-1370955</v>
      </c>
      <c r="BU52" s="542">
        <v>0</v>
      </c>
      <c r="BV52" s="542">
        <v>-1370955</v>
      </c>
      <c r="BW52" s="542">
        <v>-245585</v>
      </c>
      <c r="BX52" s="542">
        <v>0</v>
      </c>
      <c r="BY52" s="542">
        <v>-245585</v>
      </c>
      <c r="BZ52" s="542">
        <v>1761</v>
      </c>
      <c r="CA52" s="542">
        <v>0</v>
      </c>
      <c r="CB52" s="542">
        <v>1761</v>
      </c>
      <c r="CC52" s="542">
        <v>-59745</v>
      </c>
      <c r="CD52" s="542">
        <v>0</v>
      </c>
      <c r="CE52" s="542">
        <v>-59745</v>
      </c>
      <c r="CF52" s="542">
        <v>5500</v>
      </c>
      <c r="CG52" s="542">
        <v>0</v>
      </c>
      <c r="CH52" s="542">
        <v>5500</v>
      </c>
      <c r="CI52" s="542">
        <v>-4545</v>
      </c>
      <c r="CJ52" s="542">
        <v>0</v>
      </c>
      <c r="CK52" s="542">
        <v>-4545</v>
      </c>
      <c r="CL52" s="542">
        <v>0</v>
      </c>
      <c r="CM52" s="542">
        <v>0</v>
      </c>
      <c r="CN52" s="542">
        <v>0</v>
      </c>
      <c r="CO52" s="542">
        <v>0</v>
      </c>
      <c r="CP52" s="542">
        <v>0</v>
      </c>
      <c r="CQ52" s="542">
        <v>0</v>
      </c>
      <c r="CR52" s="542">
        <v>0</v>
      </c>
      <c r="CS52" s="542">
        <v>0</v>
      </c>
      <c r="CT52" s="542">
        <v>0</v>
      </c>
      <c r="CU52" s="542">
        <v>-8621</v>
      </c>
      <c r="CV52" s="542">
        <v>0</v>
      </c>
      <c r="CW52" s="542">
        <v>-8621</v>
      </c>
      <c r="CX52" s="542">
        <v>320</v>
      </c>
      <c r="CY52" s="542">
        <v>0</v>
      </c>
      <c r="CZ52" s="542">
        <v>320</v>
      </c>
      <c r="DA52" s="542">
        <v>0</v>
      </c>
      <c r="DB52" s="542">
        <v>0</v>
      </c>
      <c r="DC52" s="542">
        <v>0</v>
      </c>
      <c r="DD52" s="542">
        <v>0</v>
      </c>
      <c r="DE52" s="542">
        <v>0</v>
      </c>
      <c r="DF52" s="542">
        <v>0</v>
      </c>
      <c r="DG52" s="542"/>
      <c r="DH52" s="542">
        <v>0</v>
      </c>
      <c r="DI52" s="542"/>
      <c r="DJ52" s="542">
        <v>0</v>
      </c>
      <c r="DK52" s="542"/>
      <c r="DL52" s="542"/>
      <c r="DM52" s="542">
        <v>-310915</v>
      </c>
      <c r="DN52" s="542">
        <v>0</v>
      </c>
      <c r="DO52" s="542">
        <v>-310915</v>
      </c>
      <c r="DP52" s="542">
        <v>0</v>
      </c>
      <c r="DQ52" s="542">
        <v>0</v>
      </c>
      <c r="DR52" s="542">
        <v>0</v>
      </c>
      <c r="DS52" s="542">
        <v>0</v>
      </c>
      <c r="DT52" s="542">
        <v>0</v>
      </c>
      <c r="DU52" s="542">
        <v>0</v>
      </c>
      <c r="DV52" s="542">
        <v>0</v>
      </c>
      <c r="DW52" s="542">
        <v>0</v>
      </c>
      <c r="DX52" s="542">
        <v>0</v>
      </c>
      <c r="DY52" s="542">
        <v>-760620</v>
      </c>
      <c r="DZ52" s="542">
        <v>0</v>
      </c>
      <c r="EA52" s="542">
        <v>-760620</v>
      </c>
      <c r="EB52" s="542">
        <v>0</v>
      </c>
      <c r="EC52" s="542">
        <v>0</v>
      </c>
      <c r="ED52" s="542">
        <v>0</v>
      </c>
      <c r="EE52" s="542">
        <v>0</v>
      </c>
      <c r="EF52" s="542">
        <v>0</v>
      </c>
      <c r="EG52" s="542">
        <v>0</v>
      </c>
      <c r="EH52" s="542">
        <v>-760620</v>
      </c>
      <c r="EI52" s="542">
        <v>0</v>
      </c>
      <c r="EJ52" s="542">
        <v>-760620</v>
      </c>
      <c r="EK52" s="542">
        <v>0</v>
      </c>
      <c r="EL52" s="542">
        <v>0</v>
      </c>
      <c r="EM52" s="542">
        <v>0</v>
      </c>
      <c r="EN52" s="542">
        <v>1374</v>
      </c>
      <c r="EO52" s="542">
        <v>0</v>
      </c>
      <c r="EP52" s="542">
        <v>1374</v>
      </c>
      <c r="EQ52" s="542">
        <v>1374</v>
      </c>
      <c r="ER52" s="542">
        <v>0</v>
      </c>
      <c r="ES52" s="542">
        <v>1374</v>
      </c>
      <c r="ET52" s="542">
        <v>62931581</v>
      </c>
      <c r="EU52" s="542">
        <v>0</v>
      </c>
      <c r="EV52" s="542">
        <v>62931581</v>
      </c>
      <c r="EW52" s="542">
        <v>48342</v>
      </c>
      <c r="EX52" s="542">
        <v>0</v>
      </c>
      <c r="EY52" s="542">
        <v>48342</v>
      </c>
      <c r="EZ52" s="542">
        <v>-9156972</v>
      </c>
      <c r="FA52" s="542">
        <v>0</v>
      </c>
      <c r="FB52" s="542">
        <v>-9156972</v>
      </c>
      <c r="FC52" s="542">
        <v>-1370955</v>
      </c>
      <c r="FD52" s="542">
        <v>0</v>
      </c>
      <c r="FE52" s="542">
        <v>-1370955</v>
      </c>
      <c r="FF52" s="542">
        <v>-310915</v>
      </c>
      <c r="FG52" s="542">
        <v>0</v>
      </c>
      <c r="FH52" s="542">
        <v>-310915</v>
      </c>
      <c r="FI52" s="542">
        <v>-760620</v>
      </c>
      <c r="FJ52" s="542">
        <v>0</v>
      </c>
      <c r="FK52" s="542">
        <v>-760620</v>
      </c>
      <c r="FL52" s="542">
        <v>1374</v>
      </c>
      <c r="FM52" s="542">
        <v>0</v>
      </c>
      <c r="FN52" s="542">
        <v>1374</v>
      </c>
      <c r="FO52" s="542">
        <v>-11549746</v>
      </c>
      <c r="FP52" s="542">
        <v>0</v>
      </c>
      <c r="FQ52" s="542">
        <v>-11549746</v>
      </c>
      <c r="FR52" s="542">
        <v>51381835</v>
      </c>
      <c r="FS52" s="542">
        <v>0</v>
      </c>
      <c r="FT52" s="542">
        <v>51381835</v>
      </c>
    </row>
    <row r="53" spans="1:176" ht="12.75" x14ac:dyDescent="0.2">
      <c r="A53" s="93">
        <v>48</v>
      </c>
      <c r="B53" s="145" t="s">
        <v>655</v>
      </c>
      <c r="C53" s="604" t="s">
        <v>866</v>
      </c>
      <c r="D53" s="142" t="s">
        <v>868</v>
      </c>
      <c r="E53" s="149" t="s">
        <v>654</v>
      </c>
      <c r="F53" s="542">
        <v>-31048</v>
      </c>
      <c r="G53" s="542">
        <v>0</v>
      </c>
      <c r="H53" s="542">
        <v>-31048</v>
      </c>
      <c r="I53" s="542">
        <v>278899</v>
      </c>
      <c r="J53" s="542">
        <v>0</v>
      </c>
      <c r="K53" s="542">
        <v>278899</v>
      </c>
      <c r="L53" s="542">
        <v>5593</v>
      </c>
      <c r="M53" s="542">
        <v>0</v>
      </c>
      <c r="N53" s="542">
        <v>5593</v>
      </c>
      <c r="O53" s="542">
        <v>22700</v>
      </c>
      <c r="P53" s="542">
        <v>0</v>
      </c>
      <c r="Q53" s="542">
        <v>22700</v>
      </c>
      <c r="R53" s="542">
        <v>276144</v>
      </c>
      <c r="S53" s="542">
        <v>0</v>
      </c>
      <c r="T53" s="542">
        <v>276144</v>
      </c>
      <c r="U53" s="542">
        <v>-2475302</v>
      </c>
      <c r="V53" s="542">
        <v>0</v>
      </c>
      <c r="W53" s="542">
        <v>-2475302</v>
      </c>
      <c r="X53" s="542">
        <v>-1847</v>
      </c>
      <c r="Y53" s="542">
        <v>0</v>
      </c>
      <c r="Z53" s="542">
        <v>-1847</v>
      </c>
      <c r="AA53" s="542">
        <v>-106059</v>
      </c>
      <c r="AB53" s="542">
        <v>0</v>
      </c>
      <c r="AC53" s="542">
        <v>-106059</v>
      </c>
      <c r="AD53" s="542">
        <v>-41228</v>
      </c>
      <c r="AE53" s="542">
        <v>0</v>
      </c>
      <c r="AF53" s="542">
        <v>-41228</v>
      </c>
      <c r="AG53" s="542">
        <v>989407</v>
      </c>
      <c r="AH53" s="542">
        <v>0</v>
      </c>
      <c r="AI53" s="542">
        <v>989407</v>
      </c>
      <c r="AJ53" s="542">
        <v>-32865</v>
      </c>
      <c r="AK53" s="542">
        <v>0</v>
      </c>
      <c r="AL53" s="542">
        <v>-32865</v>
      </c>
      <c r="AM53" s="542">
        <v>-3078893</v>
      </c>
      <c r="AN53" s="542">
        <v>0</v>
      </c>
      <c r="AO53" s="542">
        <v>-3078893</v>
      </c>
      <c r="AP53" s="542">
        <v>144245</v>
      </c>
      <c r="AQ53" s="542">
        <v>0</v>
      </c>
      <c r="AR53" s="542">
        <v>144245</v>
      </c>
      <c r="AS53" s="542">
        <v>-87329</v>
      </c>
      <c r="AT53" s="542">
        <v>0</v>
      </c>
      <c r="AU53" s="542">
        <v>-87329</v>
      </c>
      <c r="AV53" s="542">
        <v>0</v>
      </c>
      <c r="AW53" s="542">
        <v>0</v>
      </c>
      <c r="AX53" s="542">
        <v>0</v>
      </c>
      <c r="AY53" s="542">
        <v>-32897</v>
      </c>
      <c r="AZ53" s="542">
        <v>0</v>
      </c>
      <c r="BA53" s="542">
        <v>-32897</v>
      </c>
      <c r="BB53" s="542">
        <v>0</v>
      </c>
      <c r="BC53" s="542">
        <v>0</v>
      </c>
      <c r="BD53" s="542">
        <v>0</v>
      </c>
      <c r="BE53" s="542">
        <v>-4679693</v>
      </c>
      <c r="BF53" s="542">
        <v>0</v>
      </c>
      <c r="BG53" s="542">
        <v>-4679693</v>
      </c>
      <c r="BH53" s="542">
        <v>-6826</v>
      </c>
      <c r="BI53" s="542">
        <v>0</v>
      </c>
      <c r="BJ53" s="542">
        <v>-6826</v>
      </c>
      <c r="BK53" s="542">
        <v>-4065</v>
      </c>
      <c r="BL53" s="542">
        <v>0</v>
      </c>
      <c r="BM53" s="542">
        <v>-4065</v>
      </c>
      <c r="BN53" s="542">
        <v>-1894166</v>
      </c>
      <c r="BO53" s="542">
        <v>0</v>
      </c>
      <c r="BP53" s="542">
        <v>-1894166</v>
      </c>
      <c r="BQ53" s="542">
        <v>5918</v>
      </c>
      <c r="BR53" s="542">
        <v>0</v>
      </c>
      <c r="BS53" s="542">
        <v>5918</v>
      </c>
      <c r="BT53" s="542">
        <v>-1899139</v>
      </c>
      <c r="BU53" s="542">
        <v>0</v>
      </c>
      <c r="BV53" s="542">
        <v>-1899139</v>
      </c>
      <c r="BW53" s="542">
        <v>-56887</v>
      </c>
      <c r="BX53" s="542">
        <v>0</v>
      </c>
      <c r="BY53" s="542">
        <v>-56887</v>
      </c>
      <c r="BZ53" s="542">
        <v>1986</v>
      </c>
      <c r="CA53" s="542">
        <v>0</v>
      </c>
      <c r="CB53" s="542">
        <v>1986</v>
      </c>
      <c r="CC53" s="542">
        <v>-43135</v>
      </c>
      <c r="CD53" s="542">
        <v>0</v>
      </c>
      <c r="CE53" s="542">
        <v>-43135</v>
      </c>
      <c r="CF53" s="542">
        <v>986</v>
      </c>
      <c r="CG53" s="542">
        <v>0</v>
      </c>
      <c r="CH53" s="542">
        <v>986</v>
      </c>
      <c r="CI53" s="542">
        <v>-2817</v>
      </c>
      <c r="CJ53" s="542">
        <v>0</v>
      </c>
      <c r="CK53" s="542">
        <v>-2817</v>
      </c>
      <c r="CL53" s="542">
        <v>0</v>
      </c>
      <c r="CM53" s="542">
        <v>0</v>
      </c>
      <c r="CN53" s="542">
        <v>0</v>
      </c>
      <c r="CO53" s="542">
        <v>0</v>
      </c>
      <c r="CP53" s="542">
        <v>0</v>
      </c>
      <c r="CQ53" s="542">
        <v>0</v>
      </c>
      <c r="CR53" s="542">
        <v>0</v>
      </c>
      <c r="CS53" s="542">
        <v>0</v>
      </c>
      <c r="CT53" s="542">
        <v>0</v>
      </c>
      <c r="CU53" s="542">
        <v>-2395</v>
      </c>
      <c r="CV53" s="542">
        <v>0</v>
      </c>
      <c r="CW53" s="542">
        <v>-2395</v>
      </c>
      <c r="CX53" s="542">
        <v>2683</v>
      </c>
      <c r="CY53" s="542">
        <v>0</v>
      </c>
      <c r="CZ53" s="542">
        <v>2683</v>
      </c>
      <c r="DA53" s="542">
        <v>0</v>
      </c>
      <c r="DB53" s="542">
        <v>0</v>
      </c>
      <c r="DC53" s="542">
        <v>0</v>
      </c>
      <c r="DD53" s="542">
        <v>0</v>
      </c>
      <c r="DE53" s="542">
        <v>0</v>
      </c>
      <c r="DF53" s="542">
        <v>0</v>
      </c>
      <c r="DG53" s="542"/>
      <c r="DH53" s="542">
        <v>0</v>
      </c>
      <c r="DI53" s="542"/>
      <c r="DJ53" s="542">
        <v>0</v>
      </c>
      <c r="DK53" s="542"/>
      <c r="DL53" s="542"/>
      <c r="DM53" s="542">
        <v>-99579</v>
      </c>
      <c r="DN53" s="542">
        <v>0</v>
      </c>
      <c r="DO53" s="542">
        <v>-99579</v>
      </c>
      <c r="DP53" s="542">
        <v>-3122</v>
      </c>
      <c r="DQ53" s="542">
        <v>0</v>
      </c>
      <c r="DR53" s="542">
        <v>-3122</v>
      </c>
      <c r="DS53" s="542">
        <v>0</v>
      </c>
      <c r="DT53" s="542">
        <v>0</v>
      </c>
      <c r="DU53" s="542">
        <v>0</v>
      </c>
      <c r="DV53" s="542">
        <v>-11187</v>
      </c>
      <c r="DW53" s="542">
        <v>0</v>
      </c>
      <c r="DX53" s="542">
        <v>-11187</v>
      </c>
      <c r="DY53" s="542">
        <v>-503912</v>
      </c>
      <c r="DZ53" s="542">
        <v>0</v>
      </c>
      <c r="EA53" s="542">
        <v>-503912</v>
      </c>
      <c r="EB53" s="542">
        <v>0</v>
      </c>
      <c r="EC53" s="542">
        <v>0</v>
      </c>
      <c r="ED53" s="542">
        <v>0</v>
      </c>
      <c r="EE53" s="542">
        <v>0</v>
      </c>
      <c r="EF53" s="542">
        <v>0</v>
      </c>
      <c r="EG53" s="542">
        <v>0</v>
      </c>
      <c r="EH53" s="542">
        <v>-518221</v>
      </c>
      <c r="EI53" s="542">
        <v>0</v>
      </c>
      <c r="EJ53" s="542">
        <v>-518221</v>
      </c>
      <c r="EK53" s="542">
        <v>0</v>
      </c>
      <c r="EL53" s="542">
        <v>0</v>
      </c>
      <c r="EM53" s="542">
        <v>0</v>
      </c>
      <c r="EN53" s="542">
        <v>0</v>
      </c>
      <c r="EO53" s="542">
        <v>0</v>
      </c>
      <c r="EP53" s="542">
        <v>0</v>
      </c>
      <c r="EQ53" s="542">
        <v>0</v>
      </c>
      <c r="ER53" s="542">
        <v>0</v>
      </c>
      <c r="ES53" s="542">
        <v>0</v>
      </c>
      <c r="ET53" s="542">
        <v>47865481</v>
      </c>
      <c r="EU53" s="542">
        <v>0</v>
      </c>
      <c r="EV53" s="542">
        <v>47865481</v>
      </c>
      <c r="EW53" s="542">
        <v>276144</v>
      </c>
      <c r="EX53" s="542">
        <v>0</v>
      </c>
      <c r="EY53" s="542">
        <v>276144</v>
      </c>
      <c r="EZ53" s="542">
        <v>-4679693</v>
      </c>
      <c r="FA53" s="542">
        <v>0</v>
      </c>
      <c r="FB53" s="542">
        <v>-4679693</v>
      </c>
      <c r="FC53" s="542">
        <v>-1899139</v>
      </c>
      <c r="FD53" s="542">
        <v>0</v>
      </c>
      <c r="FE53" s="542">
        <v>-1899139</v>
      </c>
      <c r="FF53" s="542">
        <v>-99579</v>
      </c>
      <c r="FG53" s="542">
        <v>0</v>
      </c>
      <c r="FH53" s="542">
        <v>-99579</v>
      </c>
      <c r="FI53" s="542">
        <v>-518221</v>
      </c>
      <c r="FJ53" s="542">
        <v>0</v>
      </c>
      <c r="FK53" s="542">
        <v>-518221</v>
      </c>
      <c r="FL53" s="542">
        <v>0</v>
      </c>
      <c r="FM53" s="542">
        <v>0</v>
      </c>
      <c r="FN53" s="542">
        <v>0</v>
      </c>
      <c r="FO53" s="542">
        <v>-6920488</v>
      </c>
      <c r="FP53" s="542">
        <v>0</v>
      </c>
      <c r="FQ53" s="542">
        <v>-6920488</v>
      </c>
      <c r="FR53" s="542">
        <v>40944993</v>
      </c>
      <c r="FS53" s="542">
        <v>0</v>
      </c>
      <c r="FT53" s="542">
        <v>40944993</v>
      </c>
    </row>
    <row r="54" spans="1:176" ht="12.75" x14ac:dyDescent="0.2">
      <c r="A54" s="93">
        <v>49</v>
      </c>
      <c r="B54" s="145" t="s">
        <v>657</v>
      </c>
      <c r="C54" s="604" t="s">
        <v>866</v>
      </c>
      <c r="D54" s="142" t="s">
        <v>870</v>
      </c>
      <c r="E54" s="149" t="s">
        <v>656</v>
      </c>
      <c r="F54" s="542">
        <v>-119939</v>
      </c>
      <c r="G54" s="542">
        <v>0</v>
      </c>
      <c r="H54" s="542">
        <v>-119939</v>
      </c>
      <c r="I54" s="542">
        <v>2480</v>
      </c>
      <c r="J54" s="542">
        <v>0</v>
      </c>
      <c r="K54" s="542">
        <v>2480</v>
      </c>
      <c r="L54" s="542">
        <v>12154</v>
      </c>
      <c r="M54" s="542">
        <v>0</v>
      </c>
      <c r="N54" s="542">
        <v>12154</v>
      </c>
      <c r="O54" s="542">
        <v>3562</v>
      </c>
      <c r="P54" s="542">
        <v>0</v>
      </c>
      <c r="Q54" s="542">
        <v>3562</v>
      </c>
      <c r="R54" s="542">
        <v>-101743</v>
      </c>
      <c r="S54" s="542">
        <v>0</v>
      </c>
      <c r="T54" s="542">
        <v>-101743</v>
      </c>
      <c r="U54" s="542">
        <v>-1765721</v>
      </c>
      <c r="V54" s="542">
        <v>0</v>
      </c>
      <c r="W54" s="542">
        <v>-1765721</v>
      </c>
      <c r="X54" s="542">
        <v>-4661</v>
      </c>
      <c r="Y54" s="542">
        <v>0</v>
      </c>
      <c r="Z54" s="542">
        <v>-4661</v>
      </c>
      <c r="AA54" s="542">
        <v>-133581</v>
      </c>
      <c r="AB54" s="542">
        <v>0</v>
      </c>
      <c r="AC54" s="542">
        <v>-133581</v>
      </c>
      <c r="AD54" s="542">
        <v>-45425</v>
      </c>
      <c r="AE54" s="542">
        <v>0</v>
      </c>
      <c r="AF54" s="542">
        <v>-45425</v>
      </c>
      <c r="AG54" s="542">
        <v>332192</v>
      </c>
      <c r="AH54" s="542">
        <v>0</v>
      </c>
      <c r="AI54" s="542">
        <v>332192</v>
      </c>
      <c r="AJ54" s="542">
        <v>1882</v>
      </c>
      <c r="AK54" s="542">
        <v>0</v>
      </c>
      <c r="AL54" s="542">
        <v>1882</v>
      </c>
      <c r="AM54" s="542">
        <v>-1439249</v>
      </c>
      <c r="AN54" s="542">
        <v>0</v>
      </c>
      <c r="AO54" s="542">
        <v>-1439249</v>
      </c>
      <c r="AP54" s="542">
        <v>-229178</v>
      </c>
      <c r="AQ54" s="542">
        <v>0</v>
      </c>
      <c r="AR54" s="542">
        <v>-229178</v>
      </c>
      <c r="AS54" s="542">
        <v>-9139</v>
      </c>
      <c r="AT54" s="542">
        <v>0</v>
      </c>
      <c r="AU54" s="542">
        <v>-9139</v>
      </c>
      <c r="AV54" s="542">
        <v>0</v>
      </c>
      <c r="AW54" s="542">
        <v>0</v>
      </c>
      <c r="AX54" s="542">
        <v>0</v>
      </c>
      <c r="AY54" s="542">
        <v>0</v>
      </c>
      <c r="AZ54" s="542">
        <v>0</v>
      </c>
      <c r="BA54" s="542">
        <v>0</v>
      </c>
      <c r="BB54" s="542">
        <v>0</v>
      </c>
      <c r="BC54" s="542">
        <v>0</v>
      </c>
      <c r="BD54" s="542">
        <v>0</v>
      </c>
      <c r="BE54" s="542">
        <v>-3242794</v>
      </c>
      <c r="BF54" s="542">
        <v>0</v>
      </c>
      <c r="BG54" s="542">
        <v>-3242794</v>
      </c>
      <c r="BH54" s="542">
        <v>-4995</v>
      </c>
      <c r="BI54" s="542">
        <v>0</v>
      </c>
      <c r="BJ54" s="542">
        <v>-4995</v>
      </c>
      <c r="BK54" s="542">
        <v>-447</v>
      </c>
      <c r="BL54" s="542">
        <v>0</v>
      </c>
      <c r="BM54" s="542">
        <v>-447</v>
      </c>
      <c r="BN54" s="542">
        <v>-274927</v>
      </c>
      <c r="BO54" s="542">
        <v>0</v>
      </c>
      <c r="BP54" s="542">
        <v>-274927</v>
      </c>
      <c r="BQ54" s="542">
        <v>-48092</v>
      </c>
      <c r="BR54" s="542">
        <v>0</v>
      </c>
      <c r="BS54" s="542">
        <v>-48092</v>
      </c>
      <c r="BT54" s="542">
        <v>-328461</v>
      </c>
      <c r="BU54" s="542">
        <v>0</v>
      </c>
      <c r="BV54" s="542">
        <v>-328461</v>
      </c>
      <c r="BW54" s="542">
        <v>-56761</v>
      </c>
      <c r="BX54" s="542">
        <v>0</v>
      </c>
      <c r="BY54" s="542">
        <v>-56761</v>
      </c>
      <c r="BZ54" s="542">
        <v>-149</v>
      </c>
      <c r="CA54" s="542">
        <v>0</v>
      </c>
      <c r="CB54" s="542">
        <v>-149</v>
      </c>
      <c r="CC54" s="542">
        <v>-36926</v>
      </c>
      <c r="CD54" s="542">
        <v>0</v>
      </c>
      <c r="CE54" s="542">
        <v>-36926</v>
      </c>
      <c r="CF54" s="542">
        <v>-3926</v>
      </c>
      <c r="CG54" s="542">
        <v>0</v>
      </c>
      <c r="CH54" s="542">
        <v>-3926</v>
      </c>
      <c r="CI54" s="542">
        <v>-2285</v>
      </c>
      <c r="CJ54" s="542">
        <v>0</v>
      </c>
      <c r="CK54" s="542">
        <v>-2285</v>
      </c>
      <c r="CL54" s="542">
        <v>0</v>
      </c>
      <c r="CM54" s="542">
        <v>0</v>
      </c>
      <c r="CN54" s="542">
        <v>0</v>
      </c>
      <c r="CO54" s="542">
        <v>0</v>
      </c>
      <c r="CP54" s="542">
        <v>0</v>
      </c>
      <c r="CQ54" s="542">
        <v>0</v>
      </c>
      <c r="CR54" s="542">
        <v>0</v>
      </c>
      <c r="CS54" s="542">
        <v>0</v>
      </c>
      <c r="CT54" s="542">
        <v>0</v>
      </c>
      <c r="CU54" s="542">
        <v>0</v>
      </c>
      <c r="CV54" s="542">
        <v>0</v>
      </c>
      <c r="CW54" s="542">
        <v>0</v>
      </c>
      <c r="CX54" s="542">
        <v>0</v>
      </c>
      <c r="CY54" s="542">
        <v>0</v>
      </c>
      <c r="CZ54" s="542">
        <v>0</v>
      </c>
      <c r="DA54" s="542">
        <v>0</v>
      </c>
      <c r="DB54" s="542">
        <v>0</v>
      </c>
      <c r="DC54" s="542">
        <v>0</v>
      </c>
      <c r="DD54" s="542">
        <v>0</v>
      </c>
      <c r="DE54" s="542">
        <v>0</v>
      </c>
      <c r="DF54" s="542">
        <v>0</v>
      </c>
      <c r="DG54" s="542"/>
      <c r="DH54" s="542">
        <v>0</v>
      </c>
      <c r="DI54" s="542"/>
      <c r="DJ54" s="542">
        <v>0</v>
      </c>
      <c r="DK54" s="542"/>
      <c r="DL54" s="542"/>
      <c r="DM54" s="542">
        <v>-100047</v>
      </c>
      <c r="DN54" s="542">
        <v>0</v>
      </c>
      <c r="DO54" s="542">
        <v>-100047</v>
      </c>
      <c r="DP54" s="542">
        <v>-2326</v>
      </c>
      <c r="DQ54" s="542">
        <v>0</v>
      </c>
      <c r="DR54" s="542">
        <v>-2326</v>
      </c>
      <c r="DS54" s="542">
        <v>0</v>
      </c>
      <c r="DT54" s="542">
        <v>0</v>
      </c>
      <c r="DU54" s="542">
        <v>0</v>
      </c>
      <c r="DV54" s="542">
        <v>-4397</v>
      </c>
      <c r="DW54" s="542">
        <v>0</v>
      </c>
      <c r="DX54" s="542">
        <v>-4397</v>
      </c>
      <c r="DY54" s="542">
        <v>-335034</v>
      </c>
      <c r="DZ54" s="542">
        <v>0</v>
      </c>
      <c r="EA54" s="542">
        <v>-335034</v>
      </c>
      <c r="EB54" s="542">
        <v>0</v>
      </c>
      <c r="EC54" s="542">
        <v>0</v>
      </c>
      <c r="ED54" s="542">
        <v>0</v>
      </c>
      <c r="EE54" s="542">
        <v>0</v>
      </c>
      <c r="EF54" s="542">
        <v>0</v>
      </c>
      <c r="EG54" s="542">
        <v>0</v>
      </c>
      <c r="EH54" s="542">
        <v>-341757</v>
      </c>
      <c r="EI54" s="542">
        <v>0</v>
      </c>
      <c r="EJ54" s="542">
        <v>-341757</v>
      </c>
      <c r="EK54" s="542">
        <v>0</v>
      </c>
      <c r="EL54" s="542">
        <v>0</v>
      </c>
      <c r="EM54" s="542">
        <v>0</v>
      </c>
      <c r="EN54" s="542">
        <v>0</v>
      </c>
      <c r="EO54" s="542">
        <v>0</v>
      </c>
      <c r="EP54" s="542">
        <v>0</v>
      </c>
      <c r="EQ54" s="542">
        <v>0</v>
      </c>
      <c r="ER54" s="542">
        <v>0</v>
      </c>
      <c r="ES54" s="542">
        <v>0</v>
      </c>
      <c r="ET54" s="542">
        <v>18936988</v>
      </c>
      <c r="EU54" s="542">
        <v>0</v>
      </c>
      <c r="EV54" s="542">
        <v>18936988</v>
      </c>
      <c r="EW54" s="542">
        <v>-101743</v>
      </c>
      <c r="EX54" s="542">
        <v>0</v>
      </c>
      <c r="EY54" s="542">
        <v>-101743</v>
      </c>
      <c r="EZ54" s="542">
        <v>-3242794</v>
      </c>
      <c r="FA54" s="542">
        <v>0</v>
      </c>
      <c r="FB54" s="542">
        <v>-3242794</v>
      </c>
      <c r="FC54" s="542">
        <v>-328461</v>
      </c>
      <c r="FD54" s="542">
        <v>0</v>
      </c>
      <c r="FE54" s="542">
        <v>-328461</v>
      </c>
      <c r="FF54" s="542">
        <v>-100047</v>
      </c>
      <c r="FG54" s="542">
        <v>0</v>
      </c>
      <c r="FH54" s="542">
        <v>-100047</v>
      </c>
      <c r="FI54" s="542">
        <v>-341757</v>
      </c>
      <c r="FJ54" s="542">
        <v>0</v>
      </c>
      <c r="FK54" s="542">
        <v>-341757</v>
      </c>
      <c r="FL54" s="542">
        <v>0</v>
      </c>
      <c r="FM54" s="542">
        <v>0</v>
      </c>
      <c r="FN54" s="542">
        <v>0</v>
      </c>
      <c r="FO54" s="542">
        <v>-4114802</v>
      </c>
      <c r="FP54" s="542">
        <v>0</v>
      </c>
      <c r="FQ54" s="542">
        <v>-4114802</v>
      </c>
      <c r="FR54" s="542">
        <v>14822186</v>
      </c>
      <c r="FS54" s="542">
        <v>0</v>
      </c>
      <c r="FT54" s="542">
        <v>14822186</v>
      </c>
    </row>
    <row r="55" spans="1:176" ht="12.75" x14ac:dyDescent="0.2">
      <c r="A55" s="93">
        <v>50</v>
      </c>
      <c r="B55" s="145" t="s">
        <v>659</v>
      </c>
      <c r="C55" s="604" t="s">
        <v>770</v>
      </c>
      <c r="D55" s="142" t="s">
        <v>870</v>
      </c>
      <c r="E55" s="149" t="s">
        <v>658</v>
      </c>
      <c r="F55" s="542">
        <v>-188155</v>
      </c>
      <c r="G55" s="542">
        <v>0</v>
      </c>
      <c r="H55" s="542">
        <v>-188155</v>
      </c>
      <c r="I55" s="542">
        <v>55550</v>
      </c>
      <c r="J55" s="542">
        <v>0</v>
      </c>
      <c r="K55" s="542">
        <v>55550</v>
      </c>
      <c r="L55" s="542">
        <v>28406</v>
      </c>
      <c r="M55" s="542">
        <v>0</v>
      </c>
      <c r="N55" s="542">
        <v>28406</v>
      </c>
      <c r="O55" s="542">
        <v>244693</v>
      </c>
      <c r="P55" s="542">
        <v>0</v>
      </c>
      <c r="Q55" s="542">
        <v>244693</v>
      </c>
      <c r="R55" s="542">
        <v>140494</v>
      </c>
      <c r="S55" s="542">
        <v>0</v>
      </c>
      <c r="T55" s="542">
        <v>140494</v>
      </c>
      <c r="U55" s="542">
        <v>-4470458</v>
      </c>
      <c r="V55" s="542">
        <v>0</v>
      </c>
      <c r="W55" s="542">
        <v>-4470458</v>
      </c>
      <c r="X55" s="542">
        <v>0</v>
      </c>
      <c r="Y55" s="542">
        <v>0</v>
      </c>
      <c r="Z55" s="542">
        <v>0</v>
      </c>
      <c r="AA55" s="542">
        <v>-184844</v>
      </c>
      <c r="AB55" s="542">
        <v>0</v>
      </c>
      <c r="AC55" s="542">
        <v>-184844</v>
      </c>
      <c r="AD55" s="542">
        <v>-73292</v>
      </c>
      <c r="AE55" s="542">
        <v>0</v>
      </c>
      <c r="AF55" s="542">
        <v>-73292</v>
      </c>
      <c r="AG55" s="542">
        <v>1874937</v>
      </c>
      <c r="AH55" s="542">
        <v>0</v>
      </c>
      <c r="AI55" s="542">
        <v>1874937</v>
      </c>
      <c r="AJ55" s="542">
        <v>-32566</v>
      </c>
      <c r="AK55" s="542">
        <v>0</v>
      </c>
      <c r="AL55" s="542">
        <v>-32566</v>
      </c>
      <c r="AM55" s="542">
        <v>-5810019</v>
      </c>
      <c r="AN55" s="542">
        <v>0</v>
      </c>
      <c r="AO55" s="542">
        <v>-5810019</v>
      </c>
      <c r="AP55" s="542">
        <v>119681</v>
      </c>
      <c r="AQ55" s="542">
        <v>0</v>
      </c>
      <c r="AR55" s="542">
        <v>119681</v>
      </c>
      <c r="AS55" s="542">
        <v>-111882</v>
      </c>
      <c r="AT55" s="542">
        <v>0</v>
      </c>
      <c r="AU55" s="542">
        <v>-111882</v>
      </c>
      <c r="AV55" s="542">
        <v>0</v>
      </c>
      <c r="AW55" s="542">
        <v>0</v>
      </c>
      <c r="AX55" s="542">
        <v>0</v>
      </c>
      <c r="AY55" s="542">
        <v>-41101</v>
      </c>
      <c r="AZ55" s="542">
        <v>0</v>
      </c>
      <c r="BA55" s="542">
        <v>-41101</v>
      </c>
      <c r="BB55" s="542">
        <v>2840</v>
      </c>
      <c r="BC55" s="542">
        <v>0</v>
      </c>
      <c r="BD55" s="542">
        <v>2840</v>
      </c>
      <c r="BE55" s="542">
        <v>-8653412</v>
      </c>
      <c r="BF55" s="542">
        <v>0</v>
      </c>
      <c r="BG55" s="542">
        <v>-8653412</v>
      </c>
      <c r="BH55" s="542">
        <v>-240097</v>
      </c>
      <c r="BI55" s="542">
        <v>0</v>
      </c>
      <c r="BJ55" s="542">
        <v>-240097</v>
      </c>
      <c r="BK55" s="542">
        <v>-45032</v>
      </c>
      <c r="BL55" s="542">
        <v>0</v>
      </c>
      <c r="BM55" s="542">
        <v>-45032</v>
      </c>
      <c r="BN55" s="542">
        <v>-3188427</v>
      </c>
      <c r="BO55" s="542">
        <v>0</v>
      </c>
      <c r="BP55" s="542">
        <v>-3188427</v>
      </c>
      <c r="BQ55" s="542">
        <v>-361977</v>
      </c>
      <c r="BR55" s="542">
        <v>0</v>
      </c>
      <c r="BS55" s="542">
        <v>-361977</v>
      </c>
      <c r="BT55" s="542">
        <v>-3835533</v>
      </c>
      <c r="BU55" s="542">
        <v>0</v>
      </c>
      <c r="BV55" s="542">
        <v>-3835533</v>
      </c>
      <c r="BW55" s="542">
        <v>-340122</v>
      </c>
      <c r="BX55" s="542">
        <v>0</v>
      </c>
      <c r="BY55" s="542">
        <v>-340122</v>
      </c>
      <c r="BZ55" s="542">
        <v>1989</v>
      </c>
      <c r="CA55" s="542">
        <v>0</v>
      </c>
      <c r="CB55" s="542">
        <v>1989</v>
      </c>
      <c r="CC55" s="542">
        <v>-471491</v>
      </c>
      <c r="CD55" s="542">
        <v>0</v>
      </c>
      <c r="CE55" s="542">
        <v>-471491</v>
      </c>
      <c r="CF55" s="542">
        <v>6503</v>
      </c>
      <c r="CG55" s="542">
        <v>0</v>
      </c>
      <c r="CH55" s="542">
        <v>6503</v>
      </c>
      <c r="CI55" s="542">
        <v>0</v>
      </c>
      <c r="CJ55" s="542">
        <v>0</v>
      </c>
      <c r="CK55" s="542">
        <v>0</v>
      </c>
      <c r="CL55" s="542">
        <v>0</v>
      </c>
      <c r="CM55" s="542">
        <v>0</v>
      </c>
      <c r="CN55" s="542">
        <v>0</v>
      </c>
      <c r="CO55" s="542">
        <v>-25723</v>
      </c>
      <c r="CP55" s="542">
        <v>0</v>
      </c>
      <c r="CQ55" s="542">
        <v>-25723</v>
      </c>
      <c r="CR55" s="542">
        <v>2841</v>
      </c>
      <c r="CS55" s="542">
        <v>0</v>
      </c>
      <c r="CT55" s="542">
        <v>2841</v>
      </c>
      <c r="CU55" s="542">
        <v>-13188</v>
      </c>
      <c r="CV55" s="542">
        <v>0</v>
      </c>
      <c r="CW55" s="542">
        <v>-13188</v>
      </c>
      <c r="CX55" s="542">
        <v>0</v>
      </c>
      <c r="CY55" s="542">
        <v>0</v>
      </c>
      <c r="CZ55" s="542">
        <v>0</v>
      </c>
      <c r="DA55" s="542">
        <v>0</v>
      </c>
      <c r="DB55" s="542">
        <v>0</v>
      </c>
      <c r="DC55" s="542">
        <v>0</v>
      </c>
      <c r="DD55" s="542">
        <v>0</v>
      </c>
      <c r="DE55" s="542">
        <v>0</v>
      </c>
      <c r="DF55" s="542">
        <v>0</v>
      </c>
      <c r="DG55" s="542"/>
      <c r="DH55" s="542">
        <v>0</v>
      </c>
      <c r="DI55" s="542"/>
      <c r="DJ55" s="542">
        <v>0</v>
      </c>
      <c r="DK55" s="542"/>
      <c r="DL55" s="542"/>
      <c r="DM55" s="542">
        <v>-839191</v>
      </c>
      <c r="DN55" s="542">
        <v>0</v>
      </c>
      <c r="DO55" s="542">
        <v>-839191</v>
      </c>
      <c r="DP55" s="542">
        <v>-10920</v>
      </c>
      <c r="DQ55" s="542">
        <v>0</v>
      </c>
      <c r="DR55" s="542">
        <v>-10920</v>
      </c>
      <c r="DS55" s="542">
        <v>-6189</v>
      </c>
      <c r="DT55" s="542">
        <v>0</v>
      </c>
      <c r="DU55" s="542">
        <v>-6189</v>
      </c>
      <c r="DV55" s="542">
        <v>-10364</v>
      </c>
      <c r="DW55" s="542">
        <v>0</v>
      </c>
      <c r="DX55" s="542">
        <v>-10364</v>
      </c>
      <c r="DY55" s="542">
        <v>-1046334</v>
      </c>
      <c r="DZ55" s="542">
        <v>0</v>
      </c>
      <c r="EA55" s="542">
        <v>-1046334</v>
      </c>
      <c r="EB55" s="542">
        <v>0</v>
      </c>
      <c r="EC55" s="542">
        <v>0</v>
      </c>
      <c r="ED55" s="542">
        <v>0</v>
      </c>
      <c r="EE55" s="542">
        <v>0</v>
      </c>
      <c r="EF55" s="542">
        <v>0</v>
      </c>
      <c r="EG55" s="542">
        <v>0</v>
      </c>
      <c r="EH55" s="542">
        <v>-1073807</v>
      </c>
      <c r="EI55" s="542">
        <v>0</v>
      </c>
      <c r="EJ55" s="542">
        <v>-1073807</v>
      </c>
      <c r="EK55" s="542">
        <v>0</v>
      </c>
      <c r="EL55" s="542">
        <v>0</v>
      </c>
      <c r="EM55" s="542">
        <v>0</v>
      </c>
      <c r="EN55" s="542">
        <v>0</v>
      </c>
      <c r="EO55" s="542">
        <v>0</v>
      </c>
      <c r="EP55" s="542">
        <v>0</v>
      </c>
      <c r="EQ55" s="542">
        <v>0</v>
      </c>
      <c r="ER55" s="542">
        <v>0</v>
      </c>
      <c r="ES55" s="542">
        <v>0</v>
      </c>
      <c r="ET55" s="542">
        <v>93039931</v>
      </c>
      <c r="EU55" s="542">
        <v>0</v>
      </c>
      <c r="EV55" s="542">
        <v>93039931</v>
      </c>
      <c r="EW55" s="542">
        <v>140494</v>
      </c>
      <c r="EX55" s="542">
        <v>0</v>
      </c>
      <c r="EY55" s="542">
        <v>140494</v>
      </c>
      <c r="EZ55" s="542">
        <v>-8653412</v>
      </c>
      <c r="FA55" s="542">
        <v>0</v>
      </c>
      <c r="FB55" s="542">
        <v>-8653412</v>
      </c>
      <c r="FC55" s="542">
        <v>-3835533</v>
      </c>
      <c r="FD55" s="542">
        <v>0</v>
      </c>
      <c r="FE55" s="542">
        <v>-3835533</v>
      </c>
      <c r="FF55" s="542">
        <v>-839191</v>
      </c>
      <c r="FG55" s="542">
        <v>0</v>
      </c>
      <c r="FH55" s="542">
        <v>-839191</v>
      </c>
      <c r="FI55" s="542">
        <v>-1073807</v>
      </c>
      <c r="FJ55" s="542">
        <v>0</v>
      </c>
      <c r="FK55" s="542">
        <v>-1073807</v>
      </c>
      <c r="FL55" s="542">
        <v>0</v>
      </c>
      <c r="FM55" s="542">
        <v>0</v>
      </c>
      <c r="FN55" s="542">
        <v>0</v>
      </c>
      <c r="FO55" s="542">
        <v>-14261449</v>
      </c>
      <c r="FP55" s="542">
        <v>0</v>
      </c>
      <c r="FQ55" s="542">
        <v>-14261449</v>
      </c>
      <c r="FR55" s="542">
        <v>78778482</v>
      </c>
      <c r="FS55" s="542">
        <v>0</v>
      </c>
      <c r="FT55" s="542">
        <v>78778482</v>
      </c>
    </row>
    <row r="56" spans="1:176" ht="12.75" x14ac:dyDescent="0.2">
      <c r="A56" s="93">
        <v>51</v>
      </c>
      <c r="B56" s="145" t="s">
        <v>661</v>
      </c>
      <c r="C56" s="604" t="s">
        <v>866</v>
      </c>
      <c r="D56" s="142" t="s">
        <v>869</v>
      </c>
      <c r="E56" s="149" t="s">
        <v>660</v>
      </c>
      <c r="F56" s="542">
        <v>-58832</v>
      </c>
      <c r="G56" s="542">
        <v>0</v>
      </c>
      <c r="H56" s="542">
        <v>-58832</v>
      </c>
      <c r="I56" s="542">
        <v>72831</v>
      </c>
      <c r="J56" s="542">
        <v>0</v>
      </c>
      <c r="K56" s="542">
        <v>72831</v>
      </c>
      <c r="L56" s="542">
        <v>4634</v>
      </c>
      <c r="M56" s="542">
        <v>0</v>
      </c>
      <c r="N56" s="542">
        <v>4634</v>
      </c>
      <c r="O56" s="542">
        <v>12122</v>
      </c>
      <c r="P56" s="542">
        <v>0</v>
      </c>
      <c r="Q56" s="542">
        <v>12122</v>
      </c>
      <c r="R56" s="542">
        <v>30755</v>
      </c>
      <c r="S56" s="542">
        <v>0</v>
      </c>
      <c r="T56" s="542">
        <v>30755</v>
      </c>
      <c r="U56" s="542">
        <v>-3157795</v>
      </c>
      <c r="V56" s="542">
        <v>0</v>
      </c>
      <c r="W56" s="542">
        <v>-3157795</v>
      </c>
      <c r="X56" s="542">
        <v>-2736</v>
      </c>
      <c r="Y56" s="542">
        <v>0</v>
      </c>
      <c r="Z56" s="542">
        <v>-2736</v>
      </c>
      <c r="AA56" s="542">
        <v>-249303</v>
      </c>
      <c r="AB56" s="542">
        <v>0</v>
      </c>
      <c r="AC56" s="542">
        <v>-249303</v>
      </c>
      <c r="AD56" s="542">
        <v>-99561</v>
      </c>
      <c r="AE56" s="542">
        <v>0</v>
      </c>
      <c r="AF56" s="542">
        <v>-99561</v>
      </c>
      <c r="AG56" s="542">
        <v>1039575</v>
      </c>
      <c r="AH56" s="542">
        <v>0</v>
      </c>
      <c r="AI56" s="542">
        <v>1039575</v>
      </c>
      <c r="AJ56" s="542">
        <v>-31763</v>
      </c>
      <c r="AK56" s="542">
        <v>0</v>
      </c>
      <c r="AL56" s="542">
        <v>-31763</v>
      </c>
      <c r="AM56" s="542">
        <v>-5475223</v>
      </c>
      <c r="AN56" s="542">
        <v>0</v>
      </c>
      <c r="AO56" s="542">
        <v>-5475223</v>
      </c>
      <c r="AP56" s="542">
        <v>564423</v>
      </c>
      <c r="AQ56" s="542">
        <v>0</v>
      </c>
      <c r="AR56" s="542">
        <v>564423</v>
      </c>
      <c r="AS56" s="542">
        <v>-16282</v>
      </c>
      <c r="AT56" s="542">
        <v>0</v>
      </c>
      <c r="AU56" s="542">
        <v>-16282</v>
      </c>
      <c r="AV56" s="542">
        <v>0</v>
      </c>
      <c r="AW56" s="542">
        <v>0</v>
      </c>
      <c r="AX56" s="542">
        <v>0</v>
      </c>
      <c r="AY56" s="542">
        <v>-1535</v>
      </c>
      <c r="AZ56" s="542">
        <v>0</v>
      </c>
      <c r="BA56" s="542">
        <v>-1535</v>
      </c>
      <c r="BB56" s="542">
        <v>0</v>
      </c>
      <c r="BC56" s="542">
        <v>0</v>
      </c>
      <c r="BD56" s="542">
        <v>0</v>
      </c>
      <c r="BE56" s="542">
        <v>-7327903</v>
      </c>
      <c r="BF56" s="542">
        <v>0</v>
      </c>
      <c r="BG56" s="542">
        <v>-7327903</v>
      </c>
      <c r="BH56" s="542">
        <v>-38489</v>
      </c>
      <c r="BI56" s="542">
        <v>0</v>
      </c>
      <c r="BJ56" s="542">
        <v>-38489</v>
      </c>
      <c r="BK56" s="542">
        <v>-58120</v>
      </c>
      <c r="BL56" s="542">
        <v>0</v>
      </c>
      <c r="BM56" s="542">
        <v>-58120</v>
      </c>
      <c r="BN56" s="542">
        <v>-1202130</v>
      </c>
      <c r="BO56" s="542">
        <v>0</v>
      </c>
      <c r="BP56" s="542">
        <v>-1202130</v>
      </c>
      <c r="BQ56" s="542">
        <v>18640</v>
      </c>
      <c r="BR56" s="542">
        <v>0</v>
      </c>
      <c r="BS56" s="542">
        <v>18640</v>
      </c>
      <c r="BT56" s="542">
        <v>-1280099</v>
      </c>
      <c r="BU56" s="542">
        <v>0</v>
      </c>
      <c r="BV56" s="542">
        <v>-1280099</v>
      </c>
      <c r="BW56" s="542">
        <v>-63824</v>
      </c>
      <c r="BX56" s="542">
        <v>0</v>
      </c>
      <c r="BY56" s="542">
        <v>-63824</v>
      </c>
      <c r="BZ56" s="542">
        <v>-802</v>
      </c>
      <c r="CA56" s="542">
        <v>0</v>
      </c>
      <c r="CB56" s="542">
        <v>-802</v>
      </c>
      <c r="CC56" s="542">
        <v>-183480</v>
      </c>
      <c r="CD56" s="542">
        <v>0</v>
      </c>
      <c r="CE56" s="542">
        <v>-183480</v>
      </c>
      <c r="CF56" s="542">
        <v>0</v>
      </c>
      <c r="CG56" s="542">
        <v>0</v>
      </c>
      <c r="CH56" s="542">
        <v>0</v>
      </c>
      <c r="CI56" s="542">
        <v>-412</v>
      </c>
      <c r="CJ56" s="542">
        <v>0</v>
      </c>
      <c r="CK56" s="542">
        <v>-412</v>
      </c>
      <c r="CL56" s="542">
        <v>0</v>
      </c>
      <c r="CM56" s="542">
        <v>0</v>
      </c>
      <c r="CN56" s="542">
        <v>0</v>
      </c>
      <c r="CO56" s="542">
        <v>-292</v>
      </c>
      <c r="CP56" s="542">
        <v>0</v>
      </c>
      <c r="CQ56" s="542">
        <v>-292</v>
      </c>
      <c r="CR56" s="542">
        <v>0</v>
      </c>
      <c r="CS56" s="542">
        <v>0</v>
      </c>
      <c r="CT56" s="542">
        <v>0</v>
      </c>
      <c r="CU56" s="542">
        <v>0</v>
      </c>
      <c r="CV56" s="542">
        <v>0</v>
      </c>
      <c r="CW56" s="542">
        <v>0</v>
      </c>
      <c r="CX56" s="542">
        <v>0</v>
      </c>
      <c r="CY56" s="542">
        <v>0</v>
      </c>
      <c r="CZ56" s="542">
        <v>0</v>
      </c>
      <c r="DA56" s="542">
        <v>-21770</v>
      </c>
      <c r="DB56" s="542">
        <v>0</v>
      </c>
      <c r="DC56" s="542">
        <v>-21770</v>
      </c>
      <c r="DD56" s="542">
        <v>-2652</v>
      </c>
      <c r="DE56" s="542">
        <v>0</v>
      </c>
      <c r="DF56" s="542">
        <v>-2652</v>
      </c>
      <c r="DG56" s="542"/>
      <c r="DH56" s="542">
        <v>0</v>
      </c>
      <c r="DI56" s="542"/>
      <c r="DJ56" s="542">
        <v>0</v>
      </c>
      <c r="DK56" s="542"/>
      <c r="DL56" s="542"/>
      <c r="DM56" s="542">
        <v>-273232</v>
      </c>
      <c r="DN56" s="542">
        <v>0</v>
      </c>
      <c r="DO56" s="542">
        <v>-273232</v>
      </c>
      <c r="DP56" s="542">
        <v>-22965</v>
      </c>
      <c r="DQ56" s="542">
        <v>0</v>
      </c>
      <c r="DR56" s="542">
        <v>-22965</v>
      </c>
      <c r="DS56" s="542">
        <v>0</v>
      </c>
      <c r="DT56" s="542">
        <v>0</v>
      </c>
      <c r="DU56" s="542">
        <v>0</v>
      </c>
      <c r="DV56" s="542">
        <v>-8317</v>
      </c>
      <c r="DW56" s="542">
        <v>0</v>
      </c>
      <c r="DX56" s="542">
        <v>-8317</v>
      </c>
      <c r="DY56" s="542">
        <v>-490467</v>
      </c>
      <c r="DZ56" s="542">
        <v>0</v>
      </c>
      <c r="EA56" s="542">
        <v>-490467</v>
      </c>
      <c r="EB56" s="542">
        <v>0</v>
      </c>
      <c r="EC56" s="542">
        <v>0</v>
      </c>
      <c r="ED56" s="542">
        <v>0</v>
      </c>
      <c r="EE56" s="542">
        <v>0</v>
      </c>
      <c r="EF56" s="542">
        <v>0</v>
      </c>
      <c r="EG56" s="542">
        <v>0</v>
      </c>
      <c r="EH56" s="542">
        <v>-521749</v>
      </c>
      <c r="EI56" s="542">
        <v>0</v>
      </c>
      <c r="EJ56" s="542">
        <v>-521749</v>
      </c>
      <c r="EK56" s="542">
        <v>-4868</v>
      </c>
      <c r="EL56" s="542">
        <v>0</v>
      </c>
      <c r="EM56" s="542">
        <v>-4868</v>
      </c>
      <c r="EN56" s="542">
        <v>0</v>
      </c>
      <c r="EO56" s="542">
        <v>0</v>
      </c>
      <c r="EP56" s="542">
        <v>0</v>
      </c>
      <c r="EQ56" s="542">
        <v>-4868</v>
      </c>
      <c r="ER56" s="542">
        <v>0</v>
      </c>
      <c r="ES56" s="542">
        <v>-4868</v>
      </c>
      <c r="ET56" s="542">
        <v>52222506</v>
      </c>
      <c r="EU56" s="542">
        <v>0</v>
      </c>
      <c r="EV56" s="542">
        <v>52222506</v>
      </c>
      <c r="EW56" s="542">
        <v>30755</v>
      </c>
      <c r="EX56" s="542">
        <v>0</v>
      </c>
      <c r="EY56" s="542">
        <v>30755</v>
      </c>
      <c r="EZ56" s="542">
        <v>-7327903</v>
      </c>
      <c r="FA56" s="542">
        <v>0</v>
      </c>
      <c r="FB56" s="542">
        <v>-7327903</v>
      </c>
      <c r="FC56" s="542">
        <v>-1280099</v>
      </c>
      <c r="FD56" s="542">
        <v>0</v>
      </c>
      <c r="FE56" s="542">
        <v>-1280099</v>
      </c>
      <c r="FF56" s="542">
        <v>-273232</v>
      </c>
      <c r="FG56" s="542">
        <v>0</v>
      </c>
      <c r="FH56" s="542">
        <v>-273232</v>
      </c>
      <c r="FI56" s="542">
        <v>-521749</v>
      </c>
      <c r="FJ56" s="542">
        <v>0</v>
      </c>
      <c r="FK56" s="542">
        <v>-521749</v>
      </c>
      <c r="FL56" s="542">
        <v>-4868</v>
      </c>
      <c r="FM56" s="542">
        <v>0</v>
      </c>
      <c r="FN56" s="542">
        <v>-4868</v>
      </c>
      <c r="FO56" s="542">
        <v>-9377096</v>
      </c>
      <c r="FP56" s="542">
        <v>0</v>
      </c>
      <c r="FQ56" s="542">
        <v>-9377096</v>
      </c>
      <c r="FR56" s="542">
        <v>42845410</v>
      </c>
      <c r="FS56" s="542">
        <v>0</v>
      </c>
      <c r="FT56" s="542">
        <v>42845410</v>
      </c>
    </row>
    <row r="57" spans="1:176" ht="12.75" x14ac:dyDescent="0.2">
      <c r="A57" s="93">
        <v>52</v>
      </c>
      <c r="B57" s="145" t="s">
        <v>663</v>
      </c>
      <c r="C57" s="604" t="s">
        <v>866</v>
      </c>
      <c r="D57" s="142" t="s">
        <v>870</v>
      </c>
      <c r="E57" s="149" t="s">
        <v>662</v>
      </c>
      <c r="F57" s="542">
        <v>-74139</v>
      </c>
      <c r="G57" s="542">
        <v>0</v>
      </c>
      <c r="H57" s="542">
        <v>-74139</v>
      </c>
      <c r="I57" s="542">
        <v>297921</v>
      </c>
      <c r="J57" s="542">
        <v>0</v>
      </c>
      <c r="K57" s="542">
        <v>297921</v>
      </c>
      <c r="L57" s="542">
        <v>28097</v>
      </c>
      <c r="M57" s="542">
        <v>0</v>
      </c>
      <c r="N57" s="542">
        <v>28097</v>
      </c>
      <c r="O57" s="542">
        <v>179541</v>
      </c>
      <c r="P57" s="542">
        <v>0</v>
      </c>
      <c r="Q57" s="542">
        <v>179541</v>
      </c>
      <c r="R57" s="542">
        <v>431420</v>
      </c>
      <c r="S57" s="542">
        <v>0</v>
      </c>
      <c r="T57" s="542">
        <v>431420</v>
      </c>
      <c r="U57" s="542">
        <v>-2603709</v>
      </c>
      <c r="V57" s="542">
        <v>0</v>
      </c>
      <c r="W57" s="542">
        <v>-2603709</v>
      </c>
      <c r="X57" s="542">
        <v>0</v>
      </c>
      <c r="Y57" s="542">
        <v>0</v>
      </c>
      <c r="Z57" s="542">
        <v>0</v>
      </c>
      <c r="AA57" s="542">
        <v>-239706</v>
      </c>
      <c r="AB57" s="542">
        <v>0</v>
      </c>
      <c r="AC57" s="542">
        <v>-239706</v>
      </c>
      <c r="AD57" s="542">
        <v>-99698</v>
      </c>
      <c r="AE57" s="542">
        <v>0</v>
      </c>
      <c r="AF57" s="542">
        <v>-99698</v>
      </c>
      <c r="AG57" s="542">
        <v>1833929</v>
      </c>
      <c r="AH57" s="542">
        <v>0</v>
      </c>
      <c r="AI57" s="542">
        <v>1833929</v>
      </c>
      <c r="AJ57" s="542">
        <v>-54555</v>
      </c>
      <c r="AK57" s="542">
        <v>0</v>
      </c>
      <c r="AL57" s="542">
        <v>-54555</v>
      </c>
      <c r="AM57" s="542">
        <v>-3964937</v>
      </c>
      <c r="AN57" s="542">
        <v>0</v>
      </c>
      <c r="AO57" s="542">
        <v>-3964937</v>
      </c>
      <c r="AP57" s="542">
        <v>225789</v>
      </c>
      <c r="AQ57" s="542">
        <v>0</v>
      </c>
      <c r="AR57" s="542">
        <v>225789</v>
      </c>
      <c r="AS57" s="542">
        <v>-32776</v>
      </c>
      <c r="AT57" s="542">
        <v>0</v>
      </c>
      <c r="AU57" s="542">
        <v>-32776</v>
      </c>
      <c r="AV57" s="542">
        <v>0</v>
      </c>
      <c r="AW57" s="542">
        <v>0</v>
      </c>
      <c r="AX57" s="542">
        <v>0</v>
      </c>
      <c r="AY57" s="542">
        <v>-8447</v>
      </c>
      <c r="AZ57" s="542">
        <v>0</v>
      </c>
      <c r="BA57" s="542">
        <v>-8447</v>
      </c>
      <c r="BB57" s="542">
        <v>-116</v>
      </c>
      <c r="BC57" s="542">
        <v>0</v>
      </c>
      <c r="BD57" s="542">
        <v>-116</v>
      </c>
      <c r="BE57" s="542">
        <v>-4844528</v>
      </c>
      <c r="BF57" s="542">
        <v>0</v>
      </c>
      <c r="BG57" s="542">
        <v>-4844528</v>
      </c>
      <c r="BH57" s="542">
        <v>0</v>
      </c>
      <c r="BI57" s="542">
        <v>0</v>
      </c>
      <c r="BJ57" s="542">
        <v>0</v>
      </c>
      <c r="BK57" s="542">
        <v>2747</v>
      </c>
      <c r="BL57" s="542">
        <v>0</v>
      </c>
      <c r="BM57" s="542">
        <v>2747</v>
      </c>
      <c r="BN57" s="542">
        <v>-3323841</v>
      </c>
      <c r="BO57" s="542">
        <v>0</v>
      </c>
      <c r="BP57" s="542">
        <v>-3323841</v>
      </c>
      <c r="BQ57" s="542">
        <v>-73180</v>
      </c>
      <c r="BR57" s="542">
        <v>0</v>
      </c>
      <c r="BS57" s="542">
        <v>-73180</v>
      </c>
      <c r="BT57" s="542">
        <v>-3394274</v>
      </c>
      <c r="BU57" s="542">
        <v>0</v>
      </c>
      <c r="BV57" s="542">
        <v>-3394274</v>
      </c>
      <c r="BW57" s="542">
        <v>-7798</v>
      </c>
      <c r="BX57" s="542">
        <v>0</v>
      </c>
      <c r="BY57" s="542">
        <v>-7798</v>
      </c>
      <c r="BZ57" s="542">
        <v>457</v>
      </c>
      <c r="CA57" s="542">
        <v>0</v>
      </c>
      <c r="CB57" s="542">
        <v>457</v>
      </c>
      <c r="CC57" s="542">
        <v>-99940</v>
      </c>
      <c r="CD57" s="542">
        <v>0</v>
      </c>
      <c r="CE57" s="542">
        <v>-99940</v>
      </c>
      <c r="CF57" s="542">
        <v>12244</v>
      </c>
      <c r="CG57" s="542">
        <v>0</v>
      </c>
      <c r="CH57" s="542">
        <v>12244</v>
      </c>
      <c r="CI57" s="542">
        <v>0</v>
      </c>
      <c r="CJ57" s="542">
        <v>0</v>
      </c>
      <c r="CK57" s="542">
        <v>0</v>
      </c>
      <c r="CL57" s="542">
        <v>0</v>
      </c>
      <c r="CM57" s="542">
        <v>0</v>
      </c>
      <c r="CN57" s="542">
        <v>0</v>
      </c>
      <c r="CO57" s="542">
        <v>-1540</v>
      </c>
      <c r="CP57" s="542">
        <v>0</v>
      </c>
      <c r="CQ57" s="542">
        <v>-1540</v>
      </c>
      <c r="CR57" s="542">
        <v>0</v>
      </c>
      <c r="CS57" s="542">
        <v>0</v>
      </c>
      <c r="CT57" s="542">
        <v>0</v>
      </c>
      <c r="CU57" s="542">
        <v>-8085</v>
      </c>
      <c r="CV57" s="542">
        <v>0</v>
      </c>
      <c r="CW57" s="542">
        <v>-8085</v>
      </c>
      <c r="CX57" s="542">
        <v>0</v>
      </c>
      <c r="CY57" s="542">
        <v>0</v>
      </c>
      <c r="CZ57" s="542">
        <v>0</v>
      </c>
      <c r="DA57" s="542">
        <v>0</v>
      </c>
      <c r="DB57" s="542">
        <v>0</v>
      </c>
      <c r="DC57" s="542">
        <v>0</v>
      </c>
      <c r="DD57" s="542">
        <v>0</v>
      </c>
      <c r="DE57" s="542">
        <v>0</v>
      </c>
      <c r="DF57" s="542">
        <v>0</v>
      </c>
      <c r="DG57" s="542"/>
      <c r="DH57" s="542">
        <v>0</v>
      </c>
      <c r="DI57" s="542"/>
      <c r="DJ57" s="542">
        <v>0</v>
      </c>
      <c r="DK57" s="542"/>
      <c r="DL57" s="542"/>
      <c r="DM57" s="542">
        <v>-104662</v>
      </c>
      <c r="DN57" s="542">
        <v>0</v>
      </c>
      <c r="DO57" s="542">
        <v>-104662</v>
      </c>
      <c r="DP57" s="542">
        <v>0</v>
      </c>
      <c r="DQ57" s="542">
        <v>0</v>
      </c>
      <c r="DR57" s="542">
        <v>0</v>
      </c>
      <c r="DS57" s="542">
        <v>0</v>
      </c>
      <c r="DT57" s="542">
        <v>0</v>
      </c>
      <c r="DU57" s="542">
        <v>0</v>
      </c>
      <c r="DV57" s="542">
        <v>-4547</v>
      </c>
      <c r="DW57" s="542">
        <v>0</v>
      </c>
      <c r="DX57" s="542">
        <v>-4547</v>
      </c>
      <c r="DY57" s="542">
        <v>-684512</v>
      </c>
      <c r="DZ57" s="542">
        <v>0</v>
      </c>
      <c r="EA57" s="542">
        <v>-684512</v>
      </c>
      <c r="EB57" s="542">
        <v>0</v>
      </c>
      <c r="EC57" s="542">
        <v>0</v>
      </c>
      <c r="ED57" s="542">
        <v>0</v>
      </c>
      <c r="EE57" s="542">
        <v>0</v>
      </c>
      <c r="EF57" s="542">
        <v>0</v>
      </c>
      <c r="EG57" s="542">
        <v>0</v>
      </c>
      <c r="EH57" s="542">
        <v>-689059</v>
      </c>
      <c r="EI57" s="542">
        <v>0</v>
      </c>
      <c r="EJ57" s="542">
        <v>-689059</v>
      </c>
      <c r="EK57" s="542">
        <v>0</v>
      </c>
      <c r="EL57" s="542">
        <v>0</v>
      </c>
      <c r="EM57" s="542">
        <v>0</v>
      </c>
      <c r="EN57" s="542">
        <v>32000</v>
      </c>
      <c r="EO57" s="542">
        <v>0</v>
      </c>
      <c r="EP57" s="542">
        <v>32000</v>
      </c>
      <c r="EQ57" s="542">
        <v>32000</v>
      </c>
      <c r="ER57" s="542">
        <v>0</v>
      </c>
      <c r="ES57" s="542">
        <v>32000</v>
      </c>
      <c r="ET57" s="542">
        <v>84799456</v>
      </c>
      <c r="EU57" s="542">
        <v>0</v>
      </c>
      <c r="EV57" s="542">
        <v>84799456</v>
      </c>
      <c r="EW57" s="542">
        <v>431420</v>
      </c>
      <c r="EX57" s="542">
        <v>0</v>
      </c>
      <c r="EY57" s="542">
        <v>431420</v>
      </c>
      <c r="EZ57" s="542">
        <v>-4844528</v>
      </c>
      <c r="FA57" s="542">
        <v>0</v>
      </c>
      <c r="FB57" s="542">
        <v>-4844528</v>
      </c>
      <c r="FC57" s="542">
        <v>-3394274</v>
      </c>
      <c r="FD57" s="542">
        <v>0</v>
      </c>
      <c r="FE57" s="542">
        <v>-3394274</v>
      </c>
      <c r="FF57" s="542">
        <v>-104662</v>
      </c>
      <c r="FG57" s="542">
        <v>0</v>
      </c>
      <c r="FH57" s="542">
        <v>-104662</v>
      </c>
      <c r="FI57" s="542">
        <v>-689059</v>
      </c>
      <c r="FJ57" s="542">
        <v>0</v>
      </c>
      <c r="FK57" s="542">
        <v>-689059</v>
      </c>
      <c r="FL57" s="542">
        <v>32000</v>
      </c>
      <c r="FM57" s="542">
        <v>0</v>
      </c>
      <c r="FN57" s="542">
        <v>32000</v>
      </c>
      <c r="FO57" s="542">
        <v>-8569103</v>
      </c>
      <c r="FP57" s="542">
        <v>0</v>
      </c>
      <c r="FQ57" s="542">
        <v>-8569103</v>
      </c>
      <c r="FR57" s="542">
        <v>76230353</v>
      </c>
      <c r="FS57" s="542">
        <v>0</v>
      </c>
      <c r="FT57" s="542">
        <v>76230353</v>
      </c>
    </row>
    <row r="58" spans="1:176" ht="12.75" x14ac:dyDescent="0.2">
      <c r="A58" s="93">
        <v>53</v>
      </c>
      <c r="B58" s="145" t="s">
        <v>665</v>
      </c>
      <c r="C58" s="604" t="s">
        <v>866</v>
      </c>
      <c r="D58" s="142" t="s">
        <v>875</v>
      </c>
      <c r="E58" s="149" t="s">
        <v>664</v>
      </c>
      <c r="F58" s="542">
        <v>-18849</v>
      </c>
      <c r="G58" s="542">
        <v>0</v>
      </c>
      <c r="H58" s="542">
        <v>-18849</v>
      </c>
      <c r="I58" s="542">
        <v>45848</v>
      </c>
      <c r="J58" s="542">
        <v>0</v>
      </c>
      <c r="K58" s="542">
        <v>45848</v>
      </c>
      <c r="L58" s="542">
        <v>15531</v>
      </c>
      <c r="M58" s="542">
        <v>0</v>
      </c>
      <c r="N58" s="542">
        <v>15531</v>
      </c>
      <c r="O58" s="542">
        <v>38180</v>
      </c>
      <c r="P58" s="542">
        <v>0</v>
      </c>
      <c r="Q58" s="542">
        <v>38180</v>
      </c>
      <c r="R58" s="542">
        <v>80710</v>
      </c>
      <c r="S58" s="542">
        <v>0</v>
      </c>
      <c r="T58" s="542">
        <v>80710</v>
      </c>
      <c r="U58" s="542">
        <v>-2245931</v>
      </c>
      <c r="V58" s="542">
        <v>0</v>
      </c>
      <c r="W58" s="542">
        <v>-2245931</v>
      </c>
      <c r="X58" s="542">
        <v>0</v>
      </c>
      <c r="Y58" s="542">
        <v>0</v>
      </c>
      <c r="Z58" s="542">
        <v>0</v>
      </c>
      <c r="AA58" s="542">
        <v>-133195</v>
      </c>
      <c r="AB58" s="542">
        <v>0</v>
      </c>
      <c r="AC58" s="542">
        <v>-133195</v>
      </c>
      <c r="AD58" s="542">
        <v>-55569</v>
      </c>
      <c r="AE58" s="542">
        <v>0</v>
      </c>
      <c r="AF58" s="542">
        <v>-55569</v>
      </c>
      <c r="AG58" s="542">
        <v>1312791</v>
      </c>
      <c r="AH58" s="542">
        <v>0</v>
      </c>
      <c r="AI58" s="542">
        <v>1312791</v>
      </c>
      <c r="AJ58" s="542">
        <v>-2923</v>
      </c>
      <c r="AK58" s="542">
        <v>0</v>
      </c>
      <c r="AL58" s="542">
        <v>-2923</v>
      </c>
      <c r="AM58" s="542">
        <v>-3949279</v>
      </c>
      <c r="AN58" s="542">
        <v>0</v>
      </c>
      <c r="AO58" s="542">
        <v>-3949279</v>
      </c>
      <c r="AP58" s="542">
        <v>-61920</v>
      </c>
      <c r="AQ58" s="542">
        <v>0</v>
      </c>
      <c r="AR58" s="542">
        <v>-61920</v>
      </c>
      <c r="AS58" s="542">
        <v>-28171</v>
      </c>
      <c r="AT58" s="542">
        <v>0</v>
      </c>
      <c r="AU58" s="542">
        <v>-28171</v>
      </c>
      <c r="AV58" s="542">
        <v>0</v>
      </c>
      <c r="AW58" s="542">
        <v>0</v>
      </c>
      <c r="AX58" s="542">
        <v>0</v>
      </c>
      <c r="AY58" s="542">
        <v>0</v>
      </c>
      <c r="AZ58" s="542">
        <v>0</v>
      </c>
      <c r="BA58" s="542">
        <v>0</v>
      </c>
      <c r="BB58" s="542">
        <v>0</v>
      </c>
      <c r="BC58" s="542">
        <v>0</v>
      </c>
      <c r="BD58" s="542">
        <v>0</v>
      </c>
      <c r="BE58" s="542">
        <v>-5108628</v>
      </c>
      <c r="BF58" s="542">
        <v>0</v>
      </c>
      <c r="BG58" s="542">
        <v>-5108628</v>
      </c>
      <c r="BH58" s="542">
        <v>-4227</v>
      </c>
      <c r="BI58" s="542">
        <v>0</v>
      </c>
      <c r="BJ58" s="542">
        <v>-4227</v>
      </c>
      <c r="BK58" s="542">
        <v>6290</v>
      </c>
      <c r="BL58" s="542">
        <v>0</v>
      </c>
      <c r="BM58" s="542">
        <v>6290</v>
      </c>
      <c r="BN58" s="542">
        <v>-2195653</v>
      </c>
      <c r="BO58" s="542">
        <v>0</v>
      </c>
      <c r="BP58" s="542">
        <v>-2195653</v>
      </c>
      <c r="BQ58" s="542">
        <v>-185493</v>
      </c>
      <c r="BR58" s="542">
        <v>0</v>
      </c>
      <c r="BS58" s="542">
        <v>-185493</v>
      </c>
      <c r="BT58" s="542">
        <v>-2379083</v>
      </c>
      <c r="BU58" s="542">
        <v>0</v>
      </c>
      <c r="BV58" s="542">
        <v>-2379083</v>
      </c>
      <c r="BW58" s="542">
        <v>-13508</v>
      </c>
      <c r="BX58" s="542">
        <v>0</v>
      </c>
      <c r="BY58" s="542">
        <v>-13508</v>
      </c>
      <c r="BZ58" s="542">
        <v>0</v>
      </c>
      <c r="CA58" s="542">
        <v>0</v>
      </c>
      <c r="CB58" s="542">
        <v>0</v>
      </c>
      <c r="CC58" s="542">
        <v>-13746</v>
      </c>
      <c r="CD58" s="542">
        <v>0</v>
      </c>
      <c r="CE58" s="542">
        <v>-13746</v>
      </c>
      <c r="CF58" s="542">
        <v>0</v>
      </c>
      <c r="CG58" s="542">
        <v>0</v>
      </c>
      <c r="CH58" s="542">
        <v>0</v>
      </c>
      <c r="CI58" s="542">
        <v>0</v>
      </c>
      <c r="CJ58" s="542">
        <v>0</v>
      </c>
      <c r="CK58" s="542">
        <v>0</v>
      </c>
      <c r="CL58" s="542">
        <v>0</v>
      </c>
      <c r="CM58" s="542">
        <v>0</v>
      </c>
      <c r="CN58" s="542">
        <v>0</v>
      </c>
      <c r="CO58" s="542">
        <v>0</v>
      </c>
      <c r="CP58" s="542">
        <v>0</v>
      </c>
      <c r="CQ58" s="542">
        <v>0</v>
      </c>
      <c r="CR58" s="542">
        <v>0</v>
      </c>
      <c r="CS58" s="542">
        <v>0</v>
      </c>
      <c r="CT58" s="542">
        <v>0</v>
      </c>
      <c r="CU58" s="542">
        <v>0</v>
      </c>
      <c r="CV58" s="542">
        <v>0</v>
      </c>
      <c r="CW58" s="542">
        <v>0</v>
      </c>
      <c r="CX58" s="542">
        <v>0</v>
      </c>
      <c r="CY58" s="542">
        <v>0</v>
      </c>
      <c r="CZ58" s="542">
        <v>0</v>
      </c>
      <c r="DA58" s="542">
        <v>0</v>
      </c>
      <c r="DB58" s="542">
        <v>0</v>
      </c>
      <c r="DC58" s="542">
        <v>0</v>
      </c>
      <c r="DD58" s="542">
        <v>0</v>
      </c>
      <c r="DE58" s="542">
        <v>0</v>
      </c>
      <c r="DF58" s="542">
        <v>0</v>
      </c>
      <c r="DG58" s="542"/>
      <c r="DH58" s="542">
        <v>0</v>
      </c>
      <c r="DI58" s="542"/>
      <c r="DJ58" s="542">
        <v>0</v>
      </c>
      <c r="DK58" s="542"/>
      <c r="DL58" s="542"/>
      <c r="DM58" s="542">
        <v>-27254</v>
      </c>
      <c r="DN58" s="542">
        <v>0</v>
      </c>
      <c r="DO58" s="542">
        <v>-27254</v>
      </c>
      <c r="DP58" s="542">
        <v>0</v>
      </c>
      <c r="DQ58" s="542">
        <v>0</v>
      </c>
      <c r="DR58" s="542">
        <v>0</v>
      </c>
      <c r="DS58" s="542">
        <v>0</v>
      </c>
      <c r="DT58" s="542">
        <v>0</v>
      </c>
      <c r="DU58" s="542">
        <v>0</v>
      </c>
      <c r="DV58" s="542">
        <v>-8526</v>
      </c>
      <c r="DW58" s="542">
        <v>0</v>
      </c>
      <c r="DX58" s="542">
        <v>-8526</v>
      </c>
      <c r="DY58" s="542">
        <v>-426294</v>
      </c>
      <c r="DZ58" s="542">
        <v>0</v>
      </c>
      <c r="EA58" s="542">
        <v>-426294</v>
      </c>
      <c r="EB58" s="542">
        <v>0</v>
      </c>
      <c r="EC58" s="542">
        <v>0</v>
      </c>
      <c r="ED58" s="542">
        <v>0</v>
      </c>
      <c r="EE58" s="542">
        <v>0</v>
      </c>
      <c r="EF58" s="542">
        <v>0</v>
      </c>
      <c r="EG58" s="542">
        <v>0</v>
      </c>
      <c r="EH58" s="542">
        <v>-434820</v>
      </c>
      <c r="EI58" s="542">
        <v>0</v>
      </c>
      <c r="EJ58" s="542">
        <v>-434820</v>
      </c>
      <c r="EK58" s="542">
        <v>0</v>
      </c>
      <c r="EL58" s="542">
        <v>0</v>
      </c>
      <c r="EM58" s="542">
        <v>0</v>
      </c>
      <c r="EN58" s="542">
        <v>0</v>
      </c>
      <c r="EO58" s="542">
        <v>0</v>
      </c>
      <c r="EP58" s="542">
        <v>0</v>
      </c>
      <c r="EQ58" s="542">
        <v>0</v>
      </c>
      <c r="ER58" s="542">
        <v>0</v>
      </c>
      <c r="ES58" s="542">
        <v>0</v>
      </c>
      <c r="ET58" s="542">
        <v>63031350</v>
      </c>
      <c r="EU58" s="542">
        <v>0</v>
      </c>
      <c r="EV58" s="542">
        <v>63031350</v>
      </c>
      <c r="EW58" s="542">
        <v>80710</v>
      </c>
      <c r="EX58" s="542">
        <v>0</v>
      </c>
      <c r="EY58" s="542">
        <v>80710</v>
      </c>
      <c r="EZ58" s="542">
        <v>-5108628</v>
      </c>
      <c r="FA58" s="542">
        <v>0</v>
      </c>
      <c r="FB58" s="542">
        <v>-5108628</v>
      </c>
      <c r="FC58" s="542">
        <v>-2379083</v>
      </c>
      <c r="FD58" s="542">
        <v>0</v>
      </c>
      <c r="FE58" s="542">
        <v>-2379083</v>
      </c>
      <c r="FF58" s="542">
        <v>-27254</v>
      </c>
      <c r="FG58" s="542">
        <v>0</v>
      </c>
      <c r="FH58" s="542">
        <v>-27254</v>
      </c>
      <c r="FI58" s="542">
        <v>-434820</v>
      </c>
      <c r="FJ58" s="542">
        <v>0</v>
      </c>
      <c r="FK58" s="542">
        <v>-434820</v>
      </c>
      <c r="FL58" s="542">
        <v>0</v>
      </c>
      <c r="FM58" s="542">
        <v>0</v>
      </c>
      <c r="FN58" s="542">
        <v>0</v>
      </c>
      <c r="FO58" s="542">
        <v>-7869075</v>
      </c>
      <c r="FP58" s="542">
        <v>0</v>
      </c>
      <c r="FQ58" s="542">
        <v>-7869075</v>
      </c>
      <c r="FR58" s="542">
        <v>55162275</v>
      </c>
      <c r="FS58" s="542">
        <v>0</v>
      </c>
      <c r="FT58" s="542">
        <v>55162275</v>
      </c>
    </row>
    <row r="59" spans="1:176" ht="12.75" x14ac:dyDescent="0.2">
      <c r="A59" s="93">
        <v>54</v>
      </c>
      <c r="B59" s="145" t="s">
        <v>667</v>
      </c>
      <c r="C59" s="604" t="s">
        <v>866</v>
      </c>
      <c r="D59" s="142" t="s">
        <v>867</v>
      </c>
      <c r="E59" s="149" t="s">
        <v>666</v>
      </c>
      <c r="F59" s="542">
        <v>-82542</v>
      </c>
      <c r="G59" s="542">
        <v>0</v>
      </c>
      <c r="H59" s="542">
        <v>-82542</v>
      </c>
      <c r="I59" s="542">
        <v>120111</v>
      </c>
      <c r="J59" s="542">
        <v>0</v>
      </c>
      <c r="K59" s="542">
        <v>120111</v>
      </c>
      <c r="L59" s="542">
        <v>4851</v>
      </c>
      <c r="M59" s="542">
        <v>0</v>
      </c>
      <c r="N59" s="542">
        <v>4851</v>
      </c>
      <c r="O59" s="542">
        <v>334816</v>
      </c>
      <c r="P59" s="542">
        <v>0</v>
      </c>
      <c r="Q59" s="542">
        <v>334816</v>
      </c>
      <c r="R59" s="542">
        <v>377236</v>
      </c>
      <c r="S59" s="542">
        <v>0</v>
      </c>
      <c r="T59" s="542">
        <v>377236</v>
      </c>
      <c r="U59" s="542">
        <v>-2107384</v>
      </c>
      <c r="V59" s="542">
        <v>0</v>
      </c>
      <c r="W59" s="542">
        <v>-2107384</v>
      </c>
      <c r="X59" s="542">
        <v>0</v>
      </c>
      <c r="Y59" s="542">
        <v>0</v>
      </c>
      <c r="Z59" s="542">
        <v>0</v>
      </c>
      <c r="AA59" s="542">
        <v>-201271</v>
      </c>
      <c r="AB59" s="542">
        <v>0</v>
      </c>
      <c r="AC59" s="542">
        <v>-201271</v>
      </c>
      <c r="AD59" s="542">
        <v>-78620</v>
      </c>
      <c r="AE59" s="542">
        <v>0</v>
      </c>
      <c r="AF59" s="542">
        <v>-78620</v>
      </c>
      <c r="AG59" s="542">
        <v>1657070</v>
      </c>
      <c r="AH59" s="542">
        <v>0</v>
      </c>
      <c r="AI59" s="542">
        <v>1657070</v>
      </c>
      <c r="AJ59" s="542">
        <v>98165</v>
      </c>
      <c r="AK59" s="542">
        <v>0</v>
      </c>
      <c r="AL59" s="542">
        <v>98165</v>
      </c>
      <c r="AM59" s="542">
        <v>-2602688</v>
      </c>
      <c r="AN59" s="542">
        <v>0</v>
      </c>
      <c r="AO59" s="542">
        <v>-2602688</v>
      </c>
      <c r="AP59" s="542">
        <v>-57128</v>
      </c>
      <c r="AQ59" s="542">
        <v>0</v>
      </c>
      <c r="AR59" s="542">
        <v>-57128</v>
      </c>
      <c r="AS59" s="542">
        <v>-57950</v>
      </c>
      <c r="AT59" s="542">
        <v>0</v>
      </c>
      <c r="AU59" s="542">
        <v>-57950</v>
      </c>
      <c r="AV59" s="542">
        <v>0</v>
      </c>
      <c r="AW59" s="542">
        <v>0</v>
      </c>
      <c r="AX59" s="542">
        <v>0</v>
      </c>
      <c r="AY59" s="542">
        <v>-47665</v>
      </c>
      <c r="AZ59" s="542">
        <v>0</v>
      </c>
      <c r="BA59" s="542">
        <v>-47665</v>
      </c>
      <c r="BB59" s="542">
        <v>10905</v>
      </c>
      <c r="BC59" s="542">
        <v>0</v>
      </c>
      <c r="BD59" s="542">
        <v>10905</v>
      </c>
      <c r="BE59" s="542">
        <v>-3307946</v>
      </c>
      <c r="BF59" s="542">
        <v>0</v>
      </c>
      <c r="BG59" s="542">
        <v>-3307946</v>
      </c>
      <c r="BH59" s="542">
        <v>-223254</v>
      </c>
      <c r="BI59" s="542">
        <v>0</v>
      </c>
      <c r="BJ59" s="542">
        <v>-223254</v>
      </c>
      <c r="BK59" s="542">
        <v>-15504</v>
      </c>
      <c r="BL59" s="542">
        <v>0</v>
      </c>
      <c r="BM59" s="542">
        <v>-15504</v>
      </c>
      <c r="BN59" s="542">
        <v>-2170450</v>
      </c>
      <c r="BO59" s="542">
        <v>0</v>
      </c>
      <c r="BP59" s="542">
        <v>-2170450</v>
      </c>
      <c r="BQ59" s="542">
        <v>208378</v>
      </c>
      <c r="BR59" s="542">
        <v>0</v>
      </c>
      <c r="BS59" s="542">
        <v>208378</v>
      </c>
      <c r="BT59" s="542">
        <v>-2200830</v>
      </c>
      <c r="BU59" s="542">
        <v>0</v>
      </c>
      <c r="BV59" s="542">
        <v>-2200830</v>
      </c>
      <c r="BW59" s="542">
        <v>-54597</v>
      </c>
      <c r="BX59" s="542">
        <v>0</v>
      </c>
      <c r="BY59" s="542">
        <v>-54597</v>
      </c>
      <c r="BZ59" s="542">
        <v>3512</v>
      </c>
      <c r="CA59" s="542">
        <v>0</v>
      </c>
      <c r="CB59" s="542">
        <v>3512</v>
      </c>
      <c r="CC59" s="542">
        <v>-316891</v>
      </c>
      <c r="CD59" s="542">
        <v>0</v>
      </c>
      <c r="CE59" s="542">
        <v>-316891</v>
      </c>
      <c r="CF59" s="542">
        <v>274</v>
      </c>
      <c r="CG59" s="542">
        <v>0</v>
      </c>
      <c r="CH59" s="542">
        <v>274</v>
      </c>
      <c r="CI59" s="542">
        <v>0</v>
      </c>
      <c r="CJ59" s="542">
        <v>0</v>
      </c>
      <c r="CK59" s="542">
        <v>0</v>
      </c>
      <c r="CL59" s="542">
        <v>0</v>
      </c>
      <c r="CM59" s="542">
        <v>0</v>
      </c>
      <c r="CN59" s="542">
        <v>0</v>
      </c>
      <c r="CO59" s="542">
        <v>-39073</v>
      </c>
      <c r="CP59" s="542">
        <v>0</v>
      </c>
      <c r="CQ59" s="542">
        <v>-39073</v>
      </c>
      <c r="CR59" s="542">
        <v>9902</v>
      </c>
      <c r="CS59" s="542">
        <v>0</v>
      </c>
      <c r="CT59" s="542">
        <v>9902</v>
      </c>
      <c r="CU59" s="542">
        <v>-27795</v>
      </c>
      <c r="CV59" s="542">
        <v>0</v>
      </c>
      <c r="CW59" s="542">
        <v>-27795</v>
      </c>
      <c r="CX59" s="542">
        <v>-52039</v>
      </c>
      <c r="CY59" s="542">
        <v>0</v>
      </c>
      <c r="CZ59" s="542">
        <v>-52039</v>
      </c>
      <c r="DA59" s="542">
        <v>0</v>
      </c>
      <c r="DB59" s="542">
        <v>0</v>
      </c>
      <c r="DC59" s="542">
        <v>0</v>
      </c>
      <c r="DD59" s="542">
        <v>0</v>
      </c>
      <c r="DE59" s="542">
        <v>0</v>
      </c>
      <c r="DF59" s="542">
        <v>0</v>
      </c>
      <c r="DG59" s="542"/>
      <c r="DH59" s="542">
        <v>0</v>
      </c>
      <c r="DI59" s="542"/>
      <c r="DJ59" s="542">
        <v>0</v>
      </c>
      <c r="DK59" s="542"/>
      <c r="DL59" s="542"/>
      <c r="DM59" s="542">
        <v>-476707</v>
      </c>
      <c r="DN59" s="542">
        <v>0</v>
      </c>
      <c r="DO59" s="542">
        <v>-476707</v>
      </c>
      <c r="DP59" s="542">
        <v>0</v>
      </c>
      <c r="DQ59" s="542">
        <v>0</v>
      </c>
      <c r="DR59" s="542">
        <v>0</v>
      </c>
      <c r="DS59" s="542">
        <v>0</v>
      </c>
      <c r="DT59" s="542">
        <v>0</v>
      </c>
      <c r="DU59" s="542">
        <v>0</v>
      </c>
      <c r="DV59" s="542">
        <v>-7534</v>
      </c>
      <c r="DW59" s="542">
        <v>0</v>
      </c>
      <c r="DX59" s="542">
        <v>-7534</v>
      </c>
      <c r="DY59" s="542">
        <v>-557668</v>
      </c>
      <c r="DZ59" s="542">
        <v>0</v>
      </c>
      <c r="EA59" s="542">
        <v>-557668</v>
      </c>
      <c r="EB59" s="542">
        <v>0</v>
      </c>
      <c r="EC59" s="542">
        <v>0</v>
      </c>
      <c r="ED59" s="542">
        <v>0</v>
      </c>
      <c r="EE59" s="542">
        <v>0</v>
      </c>
      <c r="EF59" s="542">
        <v>0</v>
      </c>
      <c r="EG59" s="542">
        <v>0</v>
      </c>
      <c r="EH59" s="542">
        <v>-565202</v>
      </c>
      <c r="EI59" s="542">
        <v>0</v>
      </c>
      <c r="EJ59" s="542">
        <v>-565202</v>
      </c>
      <c r="EK59" s="542">
        <v>0</v>
      </c>
      <c r="EL59" s="542">
        <v>0</v>
      </c>
      <c r="EM59" s="542">
        <v>0</v>
      </c>
      <c r="EN59" s="542">
        <v>0</v>
      </c>
      <c r="EO59" s="542">
        <v>0</v>
      </c>
      <c r="EP59" s="542">
        <v>0</v>
      </c>
      <c r="EQ59" s="542">
        <v>0</v>
      </c>
      <c r="ER59" s="542">
        <v>0</v>
      </c>
      <c r="ES59" s="542">
        <v>0</v>
      </c>
      <c r="ET59" s="542">
        <v>76440667</v>
      </c>
      <c r="EU59" s="542">
        <v>0</v>
      </c>
      <c r="EV59" s="542">
        <v>76440667</v>
      </c>
      <c r="EW59" s="542">
        <v>377236</v>
      </c>
      <c r="EX59" s="542">
        <v>0</v>
      </c>
      <c r="EY59" s="542">
        <v>377236</v>
      </c>
      <c r="EZ59" s="542">
        <v>-3307946</v>
      </c>
      <c r="FA59" s="542">
        <v>0</v>
      </c>
      <c r="FB59" s="542">
        <v>-3307946</v>
      </c>
      <c r="FC59" s="542">
        <v>-2200830</v>
      </c>
      <c r="FD59" s="542">
        <v>0</v>
      </c>
      <c r="FE59" s="542">
        <v>-2200830</v>
      </c>
      <c r="FF59" s="542">
        <v>-476707</v>
      </c>
      <c r="FG59" s="542">
        <v>0</v>
      </c>
      <c r="FH59" s="542">
        <v>-476707</v>
      </c>
      <c r="FI59" s="542">
        <v>-565202</v>
      </c>
      <c r="FJ59" s="542">
        <v>0</v>
      </c>
      <c r="FK59" s="542">
        <v>-565202</v>
      </c>
      <c r="FL59" s="542">
        <v>0</v>
      </c>
      <c r="FM59" s="542">
        <v>0</v>
      </c>
      <c r="FN59" s="542">
        <v>0</v>
      </c>
      <c r="FO59" s="542">
        <v>-6173449</v>
      </c>
      <c r="FP59" s="542">
        <v>0</v>
      </c>
      <c r="FQ59" s="542">
        <v>-6173449</v>
      </c>
      <c r="FR59" s="542">
        <v>70267218</v>
      </c>
      <c r="FS59" s="542">
        <v>0</v>
      </c>
      <c r="FT59" s="542">
        <v>70267218</v>
      </c>
    </row>
    <row r="60" spans="1:176" ht="12.75" x14ac:dyDescent="0.2">
      <c r="A60" s="93">
        <v>55</v>
      </c>
      <c r="B60" s="145" t="s">
        <v>669</v>
      </c>
      <c r="C60" s="604" t="s">
        <v>770</v>
      </c>
      <c r="D60" s="142" t="s">
        <v>868</v>
      </c>
      <c r="E60" s="149" t="s">
        <v>668</v>
      </c>
      <c r="F60" s="542">
        <v>-134415</v>
      </c>
      <c r="G60" s="542">
        <v>0</v>
      </c>
      <c r="H60" s="542">
        <v>-134415</v>
      </c>
      <c r="I60" s="542">
        <v>42785</v>
      </c>
      <c r="J60" s="542">
        <v>0</v>
      </c>
      <c r="K60" s="542">
        <v>42785</v>
      </c>
      <c r="L60" s="542">
        <v>56188</v>
      </c>
      <c r="M60" s="542">
        <v>0</v>
      </c>
      <c r="N60" s="542">
        <v>56188</v>
      </c>
      <c r="O60" s="542">
        <v>636243</v>
      </c>
      <c r="P60" s="542">
        <v>0</v>
      </c>
      <c r="Q60" s="542">
        <v>636243</v>
      </c>
      <c r="R60" s="542">
        <v>600801</v>
      </c>
      <c r="S60" s="542">
        <v>0</v>
      </c>
      <c r="T60" s="542">
        <v>600801</v>
      </c>
      <c r="U60" s="542">
        <v>-8189247</v>
      </c>
      <c r="V60" s="542">
        <v>0</v>
      </c>
      <c r="W60" s="542">
        <v>-8189247</v>
      </c>
      <c r="X60" s="542">
        <v>-25094</v>
      </c>
      <c r="Y60" s="542">
        <v>0</v>
      </c>
      <c r="Z60" s="542">
        <v>-25094</v>
      </c>
      <c r="AA60" s="542">
        <v>-645678</v>
      </c>
      <c r="AB60" s="542">
        <v>0</v>
      </c>
      <c r="AC60" s="542">
        <v>-645678</v>
      </c>
      <c r="AD60" s="542">
        <v>0</v>
      </c>
      <c r="AE60" s="542">
        <v>0</v>
      </c>
      <c r="AF60" s="542">
        <v>0</v>
      </c>
      <c r="AG60" s="542">
        <v>3179685</v>
      </c>
      <c r="AH60" s="542">
        <v>0</v>
      </c>
      <c r="AI60" s="542">
        <v>3179685</v>
      </c>
      <c r="AJ60" s="542">
        <v>285802</v>
      </c>
      <c r="AK60" s="542">
        <v>0</v>
      </c>
      <c r="AL60" s="542">
        <v>285802</v>
      </c>
      <c r="AM60" s="542">
        <v>-6815656</v>
      </c>
      <c r="AN60" s="542">
        <v>0</v>
      </c>
      <c r="AO60" s="542">
        <v>-6815656</v>
      </c>
      <c r="AP60" s="542">
        <v>-19110</v>
      </c>
      <c r="AQ60" s="542">
        <v>0</v>
      </c>
      <c r="AR60" s="542">
        <v>-19110</v>
      </c>
      <c r="AS60" s="542">
        <v>-90428</v>
      </c>
      <c r="AT60" s="542">
        <v>0</v>
      </c>
      <c r="AU60" s="542">
        <v>-90428</v>
      </c>
      <c r="AV60" s="542">
        <v>-1846</v>
      </c>
      <c r="AW60" s="542">
        <v>0</v>
      </c>
      <c r="AX60" s="542">
        <v>-1846</v>
      </c>
      <c r="AY60" s="542">
        <v>-24987</v>
      </c>
      <c r="AZ60" s="542">
        <v>0</v>
      </c>
      <c r="BA60" s="542">
        <v>-24987</v>
      </c>
      <c r="BB60" s="542">
        <v>-8247</v>
      </c>
      <c r="BC60" s="542">
        <v>0</v>
      </c>
      <c r="BD60" s="542">
        <v>-8247</v>
      </c>
      <c r="BE60" s="542">
        <v>-12329712</v>
      </c>
      <c r="BF60" s="542">
        <v>0</v>
      </c>
      <c r="BG60" s="542">
        <v>-12329712</v>
      </c>
      <c r="BH60" s="542">
        <v>-49986</v>
      </c>
      <c r="BI60" s="542">
        <v>0</v>
      </c>
      <c r="BJ60" s="542">
        <v>-49986</v>
      </c>
      <c r="BK60" s="542">
        <v>284096</v>
      </c>
      <c r="BL60" s="542">
        <v>0</v>
      </c>
      <c r="BM60" s="542">
        <v>284096</v>
      </c>
      <c r="BN60" s="542">
        <v>-4824659</v>
      </c>
      <c r="BO60" s="542">
        <v>0</v>
      </c>
      <c r="BP60" s="542">
        <v>-4824659</v>
      </c>
      <c r="BQ60" s="542">
        <v>105847</v>
      </c>
      <c r="BR60" s="542">
        <v>0</v>
      </c>
      <c r="BS60" s="542">
        <v>105847</v>
      </c>
      <c r="BT60" s="542">
        <v>-4484702</v>
      </c>
      <c r="BU60" s="542">
        <v>0</v>
      </c>
      <c r="BV60" s="542">
        <v>-4484702</v>
      </c>
      <c r="BW60" s="542">
        <v>-199186</v>
      </c>
      <c r="BX60" s="542">
        <v>0</v>
      </c>
      <c r="BY60" s="542">
        <v>-199186</v>
      </c>
      <c r="BZ60" s="542">
        <v>-5522</v>
      </c>
      <c r="CA60" s="542">
        <v>0</v>
      </c>
      <c r="CB60" s="542">
        <v>-5522</v>
      </c>
      <c r="CC60" s="542">
        <v>-66629</v>
      </c>
      <c r="CD60" s="542">
        <v>0</v>
      </c>
      <c r="CE60" s="542">
        <v>-66629</v>
      </c>
      <c r="CF60" s="542">
        <v>-15738</v>
      </c>
      <c r="CG60" s="542">
        <v>0</v>
      </c>
      <c r="CH60" s="542">
        <v>-15738</v>
      </c>
      <c r="CI60" s="542">
        <v>-8335</v>
      </c>
      <c r="CJ60" s="542">
        <v>0</v>
      </c>
      <c r="CK60" s="542">
        <v>-8335</v>
      </c>
      <c r="CL60" s="542">
        <v>-5</v>
      </c>
      <c r="CM60" s="542">
        <v>0</v>
      </c>
      <c r="CN60" s="542">
        <v>-5</v>
      </c>
      <c r="CO60" s="542">
        <v>-24987</v>
      </c>
      <c r="CP60" s="542">
        <v>0</v>
      </c>
      <c r="CQ60" s="542">
        <v>-24987</v>
      </c>
      <c r="CR60" s="542">
        <v>-3898</v>
      </c>
      <c r="CS60" s="542">
        <v>0</v>
      </c>
      <c r="CT60" s="542">
        <v>-3898</v>
      </c>
      <c r="CU60" s="542">
        <v>-10691</v>
      </c>
      <c r="CV60" s="542">
        <v>0</v>
      </c>
      <c r="CW60" s="542">
        <v>-10691</v>
      </c>
      <c r="CX60" s="542">
        <v>46</v>
      </c>
      <c r="CY60" s="542">
        <v>0</v>
      </c>
      <c r="CZ60" s="542">
        <v>46</v>
      </c>
      <c r="DA60" s="542">
        <v>0</v>
      </c>
      <c r="DB60" s="542">
        <v>0</v>
      </c>
      <c r="DC60" s="542">
        <v>0</v>
      </c>
      <c r="DD60" s="542">
        <v>0</v>
      </c>
      <c r="DE60" s="542">
        <v>0</v>
      </c>
      <c r="DF60" s="542">
        <v>0</v>
      </c>
      <c r="DG60" s="542"/>
      <c r="DH60" s="542">
        <v>0</v>
      </c>
      <c r="DI60" s="542"/>
      <c r="DJ60" s="542">
        <v>0</v>
      </c>
      <c r="DK60" s="542"/>
      <c r="DL60" s="542"/>
      <c r="DM60" s="542">
        <v>-334945</v>
      </c>
      <c r="DN60" s="542">
        <v>0</v>
      </c>
      <c r="DO60" s="542">
        <v>-334945</v>
      </c>
      <c r="DP60" s="542">
        <v>0</v>
      </c>
      <c r="DQ60" s="542">
        <v>0</v>
      </c>
      <c r="DR60" s="542">
        <v>0</v>
      </c>
      <c r="DS60" s="542">
        <v>0</v>
      </c>
      <c r="DT60" s="542">
        <v>0</v>
      </c>
      <c r="DU60" s="542">
        <v>0</v>
      </c>
      <c r="DV60" s="542">
        <v>-13331</v>
      </c>
      <c r="DW60" s="542">
        <v>0</v>
      </c>
      <c r="DX60" s="542">
        <v>-13331</v>
      </c>
      <c r="DY60" s="542">
        <v>-1526883</v>
      </c>
      <c r="DZ60" s="542">
        <v>0</v>
      </c>
      <c r="EA60" s="542">
        <v>-1526883</v>
      </c>
      <c r="EB60" s="542">
        <v>0</v>
      </c>
      <c r="EC60" s="542">
        <v>0</v>
      </c>
      <c r="ED60" s="542">
        <v>0</v>
      </c>
      <c r="EE60" s="542">
        <v>0</v>
      </c>
      <c r="EF60" s="542">
        <v>0</v>
      </c>
      <c r="EG60" s="542">
        <v>0</v>
      </c>
      <c r="EH60" s="542">
        <v>-1540214</v>
      </c>
      <c r="EI60" s="542">
        <v>0</v>
      </c>
      <c r="EJ60" s="542">
        <v>-1540214</v>
      </c>
      <c r="EK60" s="542">
        <v>-13948</v>
      </c>
      <c r="EL60" s="542">
        <v>0</v>
      </c>
      <c r="EM60" s="542">
        <v>-13948</v>
      </c>
      <c r="EN60" s="542">
        <v>1844</v>
      </c>
      <c r="EO60" s="542">
        <v>0</v>
      </c>
      <c r="EP60" s="542">
        <v>1844</v>
      </c>
      <c r="EQ60" s="542">
        <v>-12104</v>
      </c>
      <c r="ER60" s="542">
        <v>0</v>
      </c>
      <c r="ES60" s="542">
        <v>-12104</v>
      </c>
      <c r="ET60" s="542">
        <v>156186328</v>
      </c>
      <c r="EU60" s="542">
        <v>0</v>
      </c>
      <c r="EV60" s="542">
        <v>156186328</v>
      </c>
      <c r="EW60" s="542">
        <v>600801</v>
      </c>
      <c r="EX60" s="542">
        <v>0</v>
      </c>
      <c r="EY60" s="542">
        <v>600801</v>
      </c>
      <c r="EZ60" s="542">
        <v>-12329712</v>
      </c>
      <c r="FA60" s="542">
        <v>0</v>
      </c>
      <c r="FB60" s="542">
        <v>-12329712</v>
      </c>
      <c r="FC60" s="542">
        <v>-4484702</v>
      </c>
      <c r="FD60" s="542">
        <v>0</v>
      </c>
      <c r="FE60" s="542">
        <v>-4484702</v>
      </c>
      <c r="FF60" s="542">
        <v>-334945</v>
      </c>
      <c r="FG60" s="542">
        <v>0</v>
      </c>
      <c r="FH60" s="542">
        <v>-334945</v>
      </c>
      <c r="FI60" s="542">
        <v>-1540214</v>
      </c>
      <c r="FJ60" s="542">
        <v>0</v>
      </c>
      <c r="FK60" s="542">
        <v>-1540214</v>
      </c>
      <c r="FL60" s="542">
        <v>-12104</v>
      </c>
      <c r="FM60" s="542">
        <v>0</v>
      </c>
      <c r="FN60" s="542">
        <v>-12104</v>
      </c>
      <c r="FO60" s="542">
        <v>-18100876</v>
      </c>
      <c r="FP60" s="542">
        <v>0</v>
      </c>
      <c r="FQ60" s="542">
        <v>-18100876</v>
      </c>
      <c r="FR60" s="542">
        <v>138085452</v>
      </c>
      <c r="FS60" s="542">
        <v>0</v>
      </c>
      <c r="FT60" s="542">
        <v>138085452</v>
      </c>
    </row>
    <row r="61" spans="1:176" ht="12.75" x14ac:dyDescent="0.2">
      <c r="A61" s="93">
        <v>56</v>
      </c>
      <c r="B61" s="145" t="s">
        <v>671</v>
      </c>
      <c r="C61" s="604" t="s">
        <v>770</v>
      </c>
      <c r="D61" s="142" t="s">
        <v>868</v>
      </c>
      <c r="E61" s="149" t="s">
        <v>693</v>
      </c>
      <c r="F61" s="542">
        <v>-104786</v>
      </c>
      <c r="G61" s="542">
        <v>0</v>
      </c>
      <c r="H61" s="542">
        <v>-104786</v>
      </c>
      <c r="I61" s="542">
        <v>789504</v>
      </c>
      <c r="J61" s="542">
        <v>0</v>
      </c>
      <c r="K61" s="542">
        <v>789504</v>
      </c>
      <c r="L61" s="542">
        <v>63437</v>
      </c>
      <c r="M61" s="542">
        <v>0</v>
      </c>
      <c r="N61" s="542">
        <v>63437</v>
      </c>
      <c r="O61" s="542">
        <v>2028147</v>
      </c>
      <c r="P61" s="542">
        <v>0</v>
      </c>
      <c r="Q61" s="542">
        <v>2028147</v>
      </c>
      <c r="R61" s="542">
        <v>2776302</v>
      </c>
      <c r="S61" s="542">
        <v>0</v>
      </c>
      <c r="T61" s="542">
        <v>2776302</v>
      </c>
      <c r="U61" s="542">
        <v>-6186101</v>
      </c>
      <c r="V61" s="542">
        <v>0</v>
      </c>
      <c r="W61" s="542">
        <v>-6186101</v>
      </c>
      <c r="X61" s="542">
        <v>-22335</v>
      </c>
      <c r="Y61" s="542">
        <v>0</v>
      </c>
      <c r="Z61" s="542">
        <v>-22335</v>
      </c>
      <c r="AA61" s="542">
        <v>-141502</v>
      </c>
      <c r="AB61" s="542">
        <v>0</v>
      </c>
      <c r="AC61" s="542">
        <v>-141502</v>
      </c>
      <c r="AD61" s="542">
        <v>0</v>
      </c>
      <c r="AE61" s="542">
        <v>0</v>
      </c>
      <c r="AF61" s="542">
        <v>0</v>
      </c>
      <c r="AG61" s="542">
        <v>3772500</v>
      </c>
      <c r="AH61" s="542">
        <v>0</v>
      </c>
      <c r="AI61" s="542">
        <v>3772500</v>
      </c>
      <c r="AJ61" s="542">
        <v>-20974</v>
      </c>
      <c r="AK61" s="542">
        <v>0</v>
      </c>
      <c r="AL61" s="542">
        <v>-20974</v>
      </c>
      <c r="AM61" s="542">
        <v>-7645097</v>
      </c>
      <c r="AN61" s="542">
        <v>0</v>
      </c>
      <c r="AO61" s="542">
        <v>-7645097</v>
      </c>
      <c r="AP61" s="542">
        <v>41119</v>
      </c>
      <c r="AQ61" s="542">
        <v>0</v>
      </c>
      <c r="AR61" s="542">
        <v>41119</v>
      </c>
      <c r="AS61" s="542">
        <v>-63405</v>
      </c>
      <c r="AT61" s="542">
        <v>0</v>
      </c>
      <c r="AU61" s="542">
        <v>-63405</v>
      </c>
      <c r="AV61" s="542">
        <v>-7195</v>
      </c>
      <c r="AW61" s="542">
        <v>0</v>
      </c>
      <c r="AX61" s="542">
        <v>-7195</v>
      </c>
      <c r="AY61" s="542">
        <v>-61830</v>
      </c>
      <c r="AZ61" s="542">
        <v>0</v>
      </c>
      <c r="BA61" s="542">
        <v>-61830</v>
      </c>
      <c r="BB61" s="542">
        <v>0</v>
      </c>
      <c r="BC61" s="542">
        <v>0</v>
      </c>
      <c r="BD61" s="542">
        <v>0</v>
      </c>
      <c r="BE61" s="542">
        <v>-10312485</v>
      </c>
      <c r="BF61" s="542">
        <v>0</v>
      </c>
      <c r="BG61" s="542">
        <v>-10312485</v>
      </c>
      <c r="BH61" s="542">
        <v>-227201</v>
      </c>
      <c r="BI61" s="542">
        <v>0</v>
      </c>
      <c r="BJ61" s="542">
        <v>-227201</v>
      </c>
      <c r="BK61" s="542">
        <v>-331040</v>
      </c>
      <c r="BL61" s="542">
        <v>0</v>
      </c>
      <c r="BM61" s="542">
        <v>-331040</v>
      </c>
      <c r="BN61" s="542">
        <v>-6735324</v>
      </c>
      <c r="BO61" s="542">
        <v>0</v>
      </c>
      <c r="BP61" s="542">
        <v>-6735324</v>
      </c>
      <c r="BQ61" s="542">
        <v>282974</v>
      </c>
      <c r="BR61" s="542">
        <v>0</v>
      </c>
      <c r="BS61" s="542">
        <v>282974</v>
      </c>
      <c r="BT61" s="542">
        <v>-7010591</v>
      </c>
      <c r="BU61" s="542">
        <v>0</v>
      </c>
      <c r="BV61" s="542">
        <v>-7010591</v>
      </c>
      <c r="BW61" s="542">
        <v>-757917</v>
      </c>
      <c r="BX61" s="542">
        <v>0</v>
      </c>
      <c r="BY61" s="542">
        <v>-757917</v>
      </c>
      <c r="BZ61" s="542">
        <v>16420</v>
      </c>
      <c r="CA61" s="542">
        <v>0</v>
      </c>
      <c r="CB61" s="542">
        <v>16420</v>
      </c>
      <c r="CC61" s="542">
        <v>-880255</v>
      </c>
      <c r="CD61" s="542">
        <v>0</v>
      </c>
      <c r="CE61" s="542">
        <v>-880255</v>
      </c>
      <c r="CF61" s="542">
        <v>76</v>
      </c>
      <c r="CG61" s="542">
        <v>0</v>
      </c>
      <c r="CH61" s="542">
        <v>76</v>
      </c>
      <c r="CI61" s="542">
        <v>-13594</v>
      </c>
      <c r="CJ61" s="542">
        <v>0</v>
      </c>
      <c r="CK61" s="542">
        <v>-13594</v>
      </c>
      <c r="CL61" s="542">
        <v>-2047</v>
      </c>
      <c r="CM61" s="542">
        <v>0</v>
      </c>
      <c r="CN61" s="542">
        <v>-2047</v>
      </c>
      <c r="CO61" s="542">
        <v>-61830</v>
      </c>
      <c r="CP61" s="542">
        <v>0</v>
      </c>
      <c r="CQ61" s="542">
        <v>-61830</v>
      </c>
      <c r="CR61" s="542">
        <v>0</v>
      </c>
      <c r="CS61" s="542">
        <v>0</v>
      </c>
      <c r="CT61" s="542">
        <v>0</v>
      </c>
      <c r="CU61" s="542">
        <v>-24449</v>
      </c>
      <c r="CV61" s="542">
        <v>0</v>
      </c>
      <c r="CW61" s="542">
        <v>-24449</v>
      </c>
      <c r="CX61" s="542">
        <v>0</v>
      </c>
      <c r="CY61" s="542">
        <v>0</v>
      </c>
      <c r="CZ61" s="542">
        <v>0</v>
      </c>
      <c r="DA61" s="542">
        <v>-43050</v>
      </c>
      <c r="DB61" s="542">
        <v>0</v>
      </c>
      <c r="DC61" s="542">
        <v>-43050</v>
      </c>
      <c r="DD61" s="542">
        <v>0</v>
      </c>
      <c r="DE61" s="542">
        <v>0</v>
      </c>
      <c r="DF61" s="542">
        <v>0</v>
      </c>
      <c r="DG61" s="542"/>
      <c r="DH61" s="542">
        <v>0</v>
      </c>
      <c r="DI61" s="542"/>
      <c r="DJ61" s="542">
        <v>0</v>
      </c>
      <c r="DK61" s="542"/>
      <c r="DL61" s="542"/>
      <c r="DM61" s="542">
        <v>-1766646</v>
      </c>
      <c r="DN61" s="542">
        <v>0</v>
      </c>
      <c r="DO61" s="542">
        <v>-1766646</v>
      </c>
      <c r="DP61" s="542">
        <v>-31252</v>
      </c>
      <c r="DQ61" s="542">
        <v>0</v>
      </c>
      <c r="DR61" s="542">
        <v>-31252</v>
      </c>
      <c r="DS61" s="542">
        <v>0</v>
      </c>
      <c r="DT61" s="542">
        <v>0</v>
      </c>
      <c r="DU61" s="542">
        <v>0</v>
      </c>
      <c r="DV61" s="542">
        <v>-26451</v>
      </c>
      <c r="DW61" s="542">
        <v>0</v>
      </c>
      <c r="DX61" s="542">
        <v>-26451</v>
      </c>
      <c r="DY61" s="542">
        <v>-1388175</v>
      </c>
      <c r="DZ61" s="542">
        <v>0</v>
      </c>
      <c r="EA61" s="542">
        <v>-1388175</v>
      </c>
      <c r="EB61" s="542">
        <v>0</v>
      </c>
      <c r="EC61" s="542">
        <v>0</v>
      </c>
      <c r="ED61" s="542">
        <v>0</v>
      </c>
      <c r="EE61" s="542">
        <v>0</v>
      </c>
      <c r="EF61" s="542">
        <v>0</v>
      </c>
      <c r="EG61" s="542">
        <v>0</v>
      </c>
      <c r="EH61" s="542">
        <v>-1445878</v>
      </c>
      <c r="EI61" s="542">
        <v>0</v>
      </c>
      <c r="EJ61" s="542">
        <v>-1445878</v>
      </c>
      <c r="EK61" s="542">
        <v>-156460</v>
      </c>
      <c r="EL61" s="542">
        <v>0</v>
      </c>
      <c r="EM61" s="542">
        <v>-156460</v>
      </c>
      <c r="EN61" s="542">
        <v>0</v>
      </c>
      <c r="EO61" s="542">
        <v>0</v>
      </c>
      <c r="EP61" s="542">
        <v>0</v>
      </c>
      <c r="EQ61" s="542">
        <v>-156460</v>
      </c>
      <c r="ER61" s="542">
        <v>0</v>
      </c>
      <c r="ES61" s="542">
        <v>-156460</v>
      </c>
      <c r="ET61" s="542">
        <v>179149421</v>
      </c>
      <c r="EU61" s="542">
        <v>0</v>
      </c>
      <c r="EV61" s="542">
        <v>179149421</v>
      </c>
      <c r="EW61" s="542">
        <v>2776302</v>
      </c>
      <c r="EX61" s="542">
        <v>0</v>
      </c>
      <c r="EY61" s="542">
        <v>2776302</v>
      </c>
      <c r="EZ61" s="542">
        <v>-10312485</v>
      </c>
      <c r="FA61" s="542">
        <v>0</v>
      </c>
      <c r="FB61" s="542">
        <v>-10312485</v>
      </c>
      <c r="FC61" s="542">
        <v>-7010591</v>
      </c>
      <c r="FD61" s="542">
        <v>0</v>
      </c>
      <c r="FE61" s="542">
        <v>-7010591</v>
      </c>
      <c r="FF61" s="542">
        <v>-1766646</v>
      </c>
      <c r="FG61" s="542">
        <v>0</v>
      </c>
      <c r="FH61" s="542">
        <v>-1766646</v>
      </c>
      <c r="FI61" s="542">
        <v>-1445878</v>
      </c>
      <c r="FJ61" s="542">
        <v>0</v>
      </c>
      <c r="FK61" s="542">
        <v>-1445878</v>
      </c>
      <c r="FL61" s="542">
        <v>-156460</v>
      </c>
      <c r="FM61" s="542">
        <v>0</v>
      </c>
      <c r="FN61" s="542">
        <v>-156460</v>
      </c>
      <c r="FO61" s="542">
        <v>-17915758</v>
      </c>
      <c r="FP61" s="542">
        <v>0</v>
      </c>
      <c r="FQ61" s="542">
        <v>-17915758</v>
      </c>
      <c r="FR61" s="542">
        <v>161233663</v>
      </c>
      <c r="FS61" s="542">
        <v>0</v>
      </c>
      <c r="FT61" s="542">
        <v>161233663</v>
      </c>
    </row>
    <row r="62" spans="1:176" ht="12.75" x14ac:dyDescent="0.2">
      <c r="A62" s="93">
        <v>57</v>
      </c>
      <c r="B62" s="145" t="s">
        <v>673</v>
      </c>
      <c r="C62" s="604" t="s">
        <v>866</v>
      </c>
      <c r="D62" s="142" t="s">
        <v>869</v>
      </c>
      <c r="E62" s="149" t="s">
        <v>672</v>
      </c>
      <c r="F62" s="542">
        <v>-30647</v>
      </c>
      <c r="G62" s="542">
        <v>0</v>
      </c>
      <c r="H62" s="542">
        <v>-30647</v>
      </c>
      <c r="I62" s="542">
        <v>-302958</v>
      </c>
      <c r="J62" s="542">
        <v>0</v>
      </c>
      <c r="K62" s="542">
        <v>-302958</v>
      </c>
      <c r="L62" s="542">
        <v>46210</v>
      </c>
      <c r="M62" s="542">
        <v>0</v>
      </c>
      <c r="N62" s="542">
        <v>46210</v>
      </c>
      <c r="O62" s="542">
        <v>80126</v>
      </c>
      <c r="P62" s="542">
        <v>0</v>
      </c>
      <c r="Q62" s="542">
        <v>80126</v>
      </c>
      <c r="R62" s="542">
        <v>-207269</v>
      </c>
      <c r="S62" s="542">
        <v>0</v>
      </c>
      <c r="T62" s="542">
        <v>-207269</v>
      </c>
      <c r="U62" s="542">
        <v>-2709139</v>
      </c>
      <c r="V62" s="542">
        <v>0</v>
      </c>
      <c r="W62" s="542">
        <v>-2709139</v>
      </c>
      <c r="X62" s="542">
        <v>-2898</v>
      </c>
      <c r="Y62" s="542">
        <v>0</v>
      </c>
      <c r="Z62" s="542">
        <v>-2898</v>
      </c>
      <c r="AA62" s="542">
        <v>-178779</v>
      </c>
      <c r="AB62" s="542">
        <v>0</v>
      </c>
      <c r="AC62" s="542">
        <v>-178779</v>
      </c>
      <c r="AD62" s="542">
        <v>-78750</v>
      </c>
      <c r="AE62" s="542">
        <v>0</v>
      </c>
      <c r="AF62" s="542">
        <v>-78750</v>
      </c>
      <c r="AG62" s="542">
        <v>801569</v>
      </c>
      <c r="AH62" s="542">
        <v>0</v>
      </c>
      <c r="AI62" s="542">
        <v>801569</v>
      </c>
      <c r="AJ62" s="542">
        <v>-18054</v>
      </c>
      <c r="AK62" s="542">
        <v>0</v>
      </c>
      <c r="AL62" s="542">
        <v>-18054</v>
      </c>
      <c r="AM62" s="542">
        <v>-1359286</v>
      </c>
      <c r="AN62" s="542">
        <v>0</v>
      </c>
      <c r="AO62" s="542">
        <v>-1359286</v>
      </c>
      <c r="AP62" s="542">
        <v>-20553</v>
      </c>
      <c r="AQ62" s="542">
        <v>0</v>
      </c>
      <c r="AR62" s="542">
        <v>-20553</v>
      </c>
      <c r="AS62" s="542">
        <v>-29534</v>
      </c>
      <c r="AT62" s="542">
        <v>0</v>
      </c>
      <c r="AU62" s="542">
        <v>-29534</v>
      </c>
      <c r="AV62" s="542">
        <v>0</v>
      </c>
      <c r="AW62" s="542">
        <v>0</v>
      </c>
      <c r="AX62" s="542">
        <v>0</v>
      </c>
      <c r="AY62" s="542">
        <v>-3229</v>
      </c>
      <c r="AZ62" s="542">
        <v>0</v>
      </c>
      <c r="BA62" s="542">
        <v>-3229</v>
      </c>
      <c r="BB62" s="542">
        <v>0</v>
      </c>
      <c r="BC62" s="542">
        <v>0</v>
      </c>
      <c r="BD62" s="542">
        <v>0</v>
      </c>
      <c r="BE62" s="542">
        <v>-3517005</v>
      </c>
      <c r="BF62" s="542">
        <v>0</v>
      </c>
      <c r="BG62" s="542">
        <v>-3517005</v>
      </c>
      <c r="BH62" s="542">
        <v>0</v>
      </c>
      <c r="BI62" s="542">
        <v>0</v>
      </c>
      <c r="BJ62" s="542">
        <v>0</v>
      </c>
      <c r="BK62" s="542">
        <v>0</v>
      </c>
      <c r="BL62" s="542">
        <v>0</v>
      </c>
      <c r="BM62" s="542">
        <v>0</v>
      </c>
      <c r="BN62" s="542">
        <v>-1291574</v>
      </c>
      <c r="BO62" s="542">
        <v>0</v>
      </c>
      <c r="BP62" s="542">
        <v>-1291574</v>
      </c>
      <c r="BQ62" s="542">
        <v>-3860</v>
      </c>
      <c r="BR62" s="542">
        <v>0</v>
      </c>
      <c r="BS62" s="542">
        <v>-3860</v>
      </c>
      <c r="BT62" s="542">
        <v>-1295434</v>
      </c>
      <c r="BU62" s="542">
        <v>0</v>
      </c>
      <c r="BV62" s="542">
        <v>-1295434</v>
      </c>
      <c r="BW62" s="542">
        <v>-37801</v>
      </c>
      <c r="BX62" s="542">
        <v>0</v>
      </c>
      <c r="BY62" s="542">
        <v>-37801</v>
      </c>
      <c r="BZ62" s="542">
        <v>-5772</v>
      </c>
      <c r="CA62" s="542">
        <v>0</v>
      </c>
      <c r="CB62" s="542">
        <v>-5772</v>
      </c>
      <c r="CC62" s="542">
        <v>-40346</v>
      </c>
      <c r="CD62" s="542">
        <v>0</v>
      </c>
      <c r="CE62" s="542">
        <v>-40346</v>
      </c>
      <c r="CF62" s="542">
        <v>-21559</v>
      </c>
      <c r="CG62" s="542">
        <v>0</v>
      </c>
      <c r="CH62" s="542">
        <v>-21559</v>
      </c>
      <c r="CI62" s="542">
        <v>-1184</v>
      </c>
      <c r="CJ62" s="542">
        <v>0</v>
      </c>
      <c r="CK62" s="542">
        <v>-1184</v>
      </c>
      <c r="CL62" s="542">
        <v>0</v>
      </c>
      <c r="CM62" s="542">
        <v>0</v>
      </c>
      <c r="CN62" s="542">
        <v>0</v>
      </c>
      <c r="CO62" s="542">
        <v>0</v>
      </c>
      <c r="CP62" s="542">
        <v>0</v>
      </c>
      <c r="CQ62" s="542">
        <v>0</v>
      </c>
      <c r="CR62" s="542">
        <v>0</v>
      </c>
      <c r="CS62" s="542">
        <v>0</v>
      </c>
      <c r="CT62" s="542">
        <v>0</v>
      </c>
      <c r="CU62" s="542">
        <v>0</v>
      </c>
      <c r="CV62" s="542">
        <v>0</v>
      </c>
      <c r="CW62" s="542">
        <v>0</v>
      </c>
      <c r="CX62" s="542">
        <v>0</v>
      </c>
      <c r="CY62" s="542">
        <v>0</v>
      </c>
      <c r="CZ62" s="542">
        <v>0</v>
      </c>
      <c r="DA62" s="542">
        <v>0</v>
      </c>
      <c r="DB62" s="542">
        <v>0</v>
      </c>
      <c r="DC62" s="542">
        <v>0</v>
      </c>
      <c r="DD62" s="542">
        <v>0</v>
      </c>
      <c r="DE62" s="542">
        <v>0</v>
      </c>
      <c r="DF62" s="542">
        <v>0</v>
      </c>
      <c r="DG62" s="542"/>
      <c r="DH62" s="542">
        <v>0</v>
      </c>
      <c r="DI62" s="542"/>
      <c r="DJ62" s="542">
        <v>0</v>
      </c>
      <c r="DK62" s="542"/>
      <c r="DL62" s="542"/>
      <c r="DM62" s="542">
        <v>-106662</v>
      </c>
      <c r="DN62" s="542">
        <v>0</v>
      </c>
      <c r="DO62" s="542">
        <v>-106662</v>
      </c>
      <c r="DP62" s="542">
        <v>0</v>
      </c>
      <c r="DQ62" s="542">
        <v>0</v>
      </c>
      <c r="DR62" s="542">
        <v>0</v>
      </c>
      <c r="DS62" s="542">
        <v>0</v>
      </c>
      <c r="DT62" s="542">
        <v>0</v>
      </c>
      <c r="DU62" s="542">
        <v>0</v>
      </c>
      <c r="DV62" s="542">
        <v>0</v>
      </c>
      <c r="DW62" s="542">
        <v>0</v>
      </c>
      <c r="DX62" s="542">
        <v>0</v>
      </c>
      <c r="DY62" s="542">
        <v>-516960</v>
      </c>
      <c r="DZ62" s="542">
        <v>0</v>
      </c>
      <c r="EA62" s="542">
        <v>-516960</v>
      </c>
      <c r="EB62" s="542">
        <v>0</v>
      </c>
      <c r="EC62" s="542">
        <v>0</v>
      </c>
      <c r="ED62" s="542">
        <v>0</v>
      </c>
      <c r="EE62" s="542">
        <v>0</v>
      </c>
      <c r="EF62" s="542">
        <v>0</v>
      </c>
      <c r="EG62" s="542">
        <v>0</v>
      </c>
      <c r="EH62" s="542">
        <v>-516960</v>
      </c>
      <c r="EI62" s="542">
        <v>0</v>
      </c>
      <c r="EJ62" s="542">
        <v>-516960</v>
      </c>
      <c r="EK62" s="542">
        <v>0</v>
      </c>
      <c r="EL62" s="542">
        <v>0</v>
      </c>
      <c r="EM62" s="542">
        <v>0</v>
      </c>
      <c r="EN62" s="542">
        <v>0</v>
      </c>
      <c r="EO62" s="542">
        <v>0</v>
      </c>
      <c r="EP62" s="542">
        <v>0</v>
      </c>
      <c r="EQ62" s="542">
        <v>0</v>
      </c>
      <c r="ER62" s="542">
        <v>0</v>
      </c>
      <c r="ES62" s="542">
        <v>0</v>
      </c>
      <c r="ET62" s="542">
        <v>40859941</v>
      </c>
      <c r="EU62" s="542">
        <v>125218</v>
      </c>
      <c r="EV62" s="542">
        <v>40985159</v>
      </c>
      <c r="EW62" s="542">
        <v>-207269</v>
      </c>
      <c r="EX62" s="542">
        <v>0</v>
      </c>
      <c r="EY62" s="542">
        <v>-207269</v>
      </c>
      <c r="EZ62" s="542">
        <v>-3517005</v>
      </c>
      <c r="FA62" s="542">
        <v>0</v>
      </c>
      <c r="FB62" s="542">
        <v>-3517005</v>
      </c>
      <c r="FC62" s="542">
        <v>-1295434</v>
      </c>
      <c r="FD62" s="542">
        <v>0</v>
      </c>
      <c r="FE62" s="542">
        <v>-1295434</v>
      </c>
      <c r="FF62" s="542">
        <v>-106662</v>
      </c>
      <c r="FG62" s="542">
        <v>0</v>
      </c>
      <c r="FH62" s="542">
        <v>-106662</v>
      </c>
      <c r="FI62" s="542">
        <v>-516960</v>
      </c>
      <c r="FJ62" s="542">
        <v>0</v>
      </c>
      <c r="FK62" s="542">
        <v>-516960</v>
      </c>
      <c r="FL62" s="542">
        <v>0</v>
      </c>
      <c r="FM62" s="542">
        <v>0</v>
      </c>
      <c r="FN62" s="542">
        <v>0</v>
      </c>
      <c r="FO62" s="542">
        <v>-5643330</v>
      </c>
      <c r="FP62" s="542">
        <v>0</v>
      </c>
      <c r="FQ62" s="542">
        <v>-5643330</v>
      </c>
      <c r="FR62" s="542">
        <v>35216611</v>
      </c>
      <c r="FS62" s="542">
        <v>125218</v>
      </c>
      <c r="FT62" s="542">
        <v>35341829</v>
      </c>
    </row>
    <row r="63" spans="1:176" ht="12.75" x14ac:dyDescent="0.2">
      <c r="A63" s="93">
        <v>58</v>
      </c>
      <c r="B63" s="145" t="s">
        <v>675</v>
      </c>
      <c r="C63" s="604" t="s">
        <v>866</v>
      </c>
      <c r="D63" s="142" t="s">
        <v>867</v>
      </c>
      <c r="E63" s="149" t="s">
        <v>674</v>
      </c>
      <c r="F63" s="542">
        <v>-24408</v>
      </c>
      <c r="G63" s="542">
        <v>0</v>
      </c>
      <c r="H63" s="542">
        <v>-24408</v>
      </c>
      <c r="I63" s="542">
        <v>84911</v>
      </c>
      <c r="J63" s="542">
        <v>0</v>
      </c>
      <c r="K63" s="542">
        <v>84911</v>
      </c>
      <c r="L63" s="542">
        <v>4270</v>
      </c>
      <c r="M63" s="542">
        <v>0</v>
      </c>
      <c r="N63" s="542">
        <v>4270</v>
      </c>
      <c r="O63" s="542">
        <v>56602</v>
      </c>
      <c r="P63" s="542">
        <v>0</v>
      </c>
      <c r="Q63" s="542">
        <v>56602</v>
      </c>
      <c r="R63" s="542">
        <v>121375</v>
      </c>
      <c r="S63" s="542">
        <v>0</v>
      </c>
      <c r="T63" s="542">
        <v>121375</v>
      </c>
      <c r="U63" s="542">
        <v>-3106171</v>
      </c>
      <c r="V63" s="542">
        <v>0</v>
      </c>
      <c r="W63" s="542">
        <v>-3106171</v>
      </c>
      <c r="X63" s="542">
        <v>-16584</v>
      </c>
      <c r="Y63" s="542">
        <v>0</v>
      </c>
      <c r="Z63" s="542">
        <v>-16584</v>
      </c>
      <c r="AA63" s="542">
        <v>-264887</v>
      </c>
      <c r="AB63" s="542">
        <v>0</v>
      </c>
      <c r="AC63" s="542">
        <v>-264887</v>
      </c>
      <c r="AD63" s="542">
        <v>-116642</v>
      </c>
      <c r="AE63" s="542">
        <v>0</v>
      </c>
      <c r="AF63" s="542">
        <v>-116642</v>
      </c>
      <c r="AG63" s="542">
        <v>1003470</v>
      </c>
      <c r="AH63" s="542">
        <v>0</v>
      </c>
      <c r="AI63" s="542">
        <v>1003470</v>
      </c>
      <c r="AJ63" s="542">
        <v>99018</v>
      </c>
      <c r="AK63" s="542">
        <v>0</v>
      </c>
      <c r="AL63" s="542">
        <v>99018</v>
      </c>
      <c r="AM63" s="542">
        <v>-3424313</v>
      </c>
      <c r="AN63" s="542">
        <v>0</v>
      </c>
      <c r="AO63" s="542">
        <v>-3424313</v>
      </c>
      <c r="AP63" s="542">
        <v>12310</v>
      </c>
      <c r="AQ63" s="542">
        <v>0</v>
      </c>
      <c r="AR63" s="542">
        <v>12310</v>
      </c>
      <c r="AS63" s="542">
        <v>-33557</v>
      </c>
      <c r="AT63" s="542">
        <v>0</v>
      </c>
      <c r="AU63" s="542">
        <v>-33557</v>
      </c>
      <c r="AV63" s="542">
        <v>-116</v>
      </c>
      <c r="AW63" s="542">
        <v>0</v>
      </c>
      <c r="AX63" s="542">
        <v>-116</v>
      </c>
      <c r="AY63" s="542">
        <v>-43027</v>
      </c>
      <c r="AZ63" s="542">
        <v>0</v>
      </c>
      <c r="BA63" s="542">
        <v>-43027</v>
      </c>
      <c r="BB63" s="542">
        <v>-603</v>
      </c>
      <c r="BC63" s="542">
        <v>0</v>
      </c>
      <c r="BD63" s="542">
        <v>-603</v>
      </c>
      <c r="BE63" s="542">
        <v>-5757876</v>
      </c>
      <c r="BF63" s="542">
        <v>0</v>
      </c>
      <c r="BG63" s="542">
        <v>-5757876</v>
      </c>
      <c r="BH63" s="542">
        <v>-12726</v>
      </c>
      <c r="BI63" s="542">
        <v>0</v>
      </c>
      <c r="BJ63" s="542">
        <v>-12726</v>
      </c>
      <c r="BK63" s="542">
        <v>-16008</v>
      </c>
      <c r="BL63" s="542">
        <v>0</v>
      </c>
      <c r="BM63" s="542">
        <v>-16008</v>
      </c>
      <c r="BN63" s="542">
        <v>-1249370</v>
      </c>
      <c r="BO63" s="542">
        <v>0</v>
      </c>
      <c r="BP63" s="542">
        <v>-1249370</v>
      </c>
      <c r="BQ63" s="542">
        <v>-96591</v>
      </c>
      <c r="BR63" s="542">
        <v>0</v>
      </c>
      <c r="BS63" s="542">
        <v>-96591</v>
      </c>
      <c r="BT63" s="542">
        <v>-1374695</v>
      </c>
      <c r="BU63" s="542">
        <v>0</v>
      </c>
      <c r="BV63" s="542">
        <v>-1374695</v>
      </c>
      <c r="BW63" s="542">
        <v>-636</v>
      </c>
      <c r="BX63" s="542">
        <v>0</v>
      </c>
      <c r="BY63" s="542">
        <v>-636</v>
      </c>
      <c r="BZ63" s="542">
        <v>0</v>
      </c>
      <c r="CA63" s="542">
        <v>0</v>
      </c>
      <c r="CB63" s="542">
        <v>0</v>
      </c>
      <c r="CC63" s="542">
        <v>-9806</v>
      </c>
      <c r="CD63" s="542">
        <v>0</v>
      </c>
      <c r="CE63" s="542">
        <v>-9806</v>
      </c>
      <c r="CF63" s="542">
        <v>0</v>
      </c>
      <c r="CG63" s="542">
        <v>0</v>
      </c>
      <c r="CH63" s="542">
        <v>0</v>
      </c>
      <c r="CI63" s="542">
        <v>0</v>
      </c>
      <c r="CJ63" s="542">
        <v>0</v>
      </c>
      <c r="CK63" s="542">
        <v>0</v>
      </c>
      <c r="CL63" s="542">
        <v>0</v>
      </c>
      <c r="CM63" s="542">
        <v>0</v>
      </c>
      <c r="CN63" s="542">
        <v>0</v>
      </c>
      <c r="CO63" s="542">
        <v>-42155</v>
      </c>
      <c r="CP63" s="542">
        <v>0</v>
      </c>
      <c r="CQ63" s="542">
        <v>-42155</v>
      </c>
      <c r="CR63" s="542">
        <v>-1699</v>
      </c>
      <c r="CS63" s="542">
        <v>0</v>
      </c>
      <c r="CT63" s="542">
        <v>-1699</v>
      </c>
      <c r="CU63" s="542">
        <v>-8271</v>
      </c>
      <c r="CV63" s="542">
        <v>0</v>
      </c>
      <c r="CW63" s="542">
        <v>-8271</v>
      </c>
      <c r="CX63" s="542">
        <v>0</v>
      </c>
      <c r="CY63" s="542">
        <v>0</v>
      </c>
      <c r="CZ63" s="542">
        <v>0</v>
      </c>
      <c r="DA63" s="542">
        <v>0</v>
      </c>
      <c r="DB63" s="542">
        <v>0</v>
      </c>
      <c r="DC63" s="542">
        <v>0</v>
      </c>
      <c r="DD63" s="542">
        <v>0</v>
      </c>
      <c r="DE63" s="542">
        <v>0</v>
      </c>
      <c r="DF63" s="542">
        <v>0</v>
      </c>
      <c r="DG63" s="542"/>
      <c r="DH63" s="542">
        <v>0</v>
      </c>
      <c r="DI63" s="542"/>
      <c r="DJ63" s="542">
        <v>0</v>
      </c>
      <c r="DK63" s="542"/>
      <c r="DL63" s="542"/>
      <c r="DM63" s="542">
        <v>-62567</v>
      </c>
      <c r="DN63" s="542">
        <v>0</v>
      </c>
      <c r="DO63" s="542">
        <v>-62567</v>
      </c>
      <c r="DP63" s="542">
        <v>0</v>
      </c>
      <c r="DQ63" s="542">
        <v>0</v>
      </c>
      <c r="DR63" s="542">
        <v>0</v>
      </c>
      <c r="DS63" s="542">
        <v>0</v>
      </c>
      <c r="DT63" s="542">
        <v>0</v>
      </c>
      <c r="DU63" s="542">
        <v>0</v>
      </c>
      <c r="DV63" s="542">
        <v>-1077</v>
      </c>
      <c r="DW63" s="542">
        <v>0</v>
      </c>
      <c r="DX63" s="542">
        <v>-1077</v>
      </c>
      <c r="DY63" s="542">
        <v>-539033</v>
      </c>
      <c r="DZ63" s="542">
        <v>0</v>
      </c>
      <c r="EA63" s="542">
        <v>-539033</v>
      </c>
      <c r="EB63" s="542">
        <v>-1063</v>
      </c>
      <c r="EC63" s="542">
        <v>0</v>
      </c>
      <c r="ED63" s="542">
        <v>-1063</v>
      </c>
      <c r="EE63" s="542">
        <v>-17995</v>
      </c>
      <c r="EF63" s="542">
        <v>0</v>
      </c>
      <c r="EG63" s="542">
        <v>-17995</v>
      </c>
      <c r="EH63" s="542">
        <v>-559168</v>
      </c>
      <c r="EI63" s="542">
        <v>0</v>
      </c>
      <c r="EJ63" s="542">
        <v>-559168</v>
      </c>
      <c r="EK63" s="542">
        <v>0</v>
      </c>
      <c r="EL63" s="542">
        <v>0</v>
      </c>
      <c r="EM63" s="542">
        <v>0</v>
      </c>
      <c r="EN63" s="542">
        <v>0</v>
      </c>
      <c r="EO63" s="542">
        <v>0</v>
      </c>
      <c r="EP63" s="542">
        <v>0</v>
      </c>
      <c r="EQ63" s="542">
        <v>0</v>
      </c>
      <c r="ER63" s="542">
        <v>0</v>
      </c>
      <c r="ES63" s="542">
        <v>0</v>
      </c>
      <c r="ET63" s="542">
        <v>50684333</v>
      </c>
      <c r="EU63" s="542">
        <v>0</v>
      </c>
      <c r="EV63" s="542">
        <v>50684333</v>
      </c>
      <c r="EW63" s="542">
        <v>121375</v>
      </c>
      <c r="EX63" s="542">
        <v>0</v>
      </c>
      <c r="EY63" s="542">
        <v>121375</v>
      </c>
      <c r="EZ63" s="542">
        <v>-5757876</v>
      </c>
      <c r="FA63" s="542">
        <v>0</v>
      </c>
      <c r="FB63" s="542">
        <v>-5757876</v>
      </c>
      <c r="FC63" s="542">
        <v>-1374695</v>
      </c>
      <c r="FD63" s="542">
        <v>0</v>
      </c>
      <c r="FE63" s="542">
        <v>-1374695</v>
      </c>
      <c r="FF63" s="542">
        <v>-62567</v>
      </c>
      <c r="FG63" s="542">
        <v>0</v>
      </c>
      <c r="FH63" s="542">
        <v>-62567</v>
      </c>
      <c r="FI63" s="542">
        <v>-559168</v>
      </c>
      <c r="FJ63" s="542">
        <v>0</v>
      </c>
      <c r="FK63" s="542">
        <v>-559168</v>
      </c>
      <c r="FL63" s="542">
        <v>0</v>
      </c>
      <c r="FM63" s="542">
        <v>0</v>
      </c>
      <c r="FN63" s="542">
        <v>0</v>
      </c>
      <c r="FO63" s="542">
        <v>-7632931</v>
      </c>
      <c r="FP63" s="542">
        <v>0</v>
      </c>
      <c r="FQ63" s="542">
        <v>-7632931</v>
      </c>
      <c r="FR63" s="542">
        <v>43051402</v>
      </c>
      <c r="FS63" s="542">
        <v>0</v>
      </c>
      <c r="FT63" s="542">
        <v>43051402</v>
      </c>
    </row>
    <row r="64" spans="1:176" ht="12.75" x14ac:dyDescent="0.2">
      <c r="A64" s="93">
        <v>59</v>
      </c>
      <c r="B64" s="145" t="s">
        <v>677</v>
      </c>
      <c r="C64" s="604" t="s">
        <v>866</v>
      </c>
      <c r="D64" s="142" t="s">
        <v>867</v>
      </c>
      <c r="E64" s="149" t="s">
        <v>676</v>
      </c>
      <c r="F64" s="542">
        <v>-44409</v>
      </c>
      <c r="G64" s="542">
        <v>0</v>
      </c>
      <c r="H64" s="542">
        <v>-44409</v>
      </c>
      <c r="I64" s="542">
        <v>-10635</v>
      </c>
      <c r="J64" s="542">
        <v>0</v>
      </c>
      <c r="K64" s="542">
        <v>-10635</v>
      </c>
      <c r="L64" s="542">
        <v>15986</v>
      </c>
      <c r="M64" s="542">
        <v>0</v>
      </c>
      <c r="N64" s="542">
        <v>15986</v>
      </c>
      <c r="O64" s="542">
        <v>51392</v>
      </c>
      <c r="P64" s="542">
        <v>0</v>
      </c>
      <c r="Q64" s="542">
        <v>51392</v>
      </c>
      <c r="R64" s="542">
        <v>12334</v>
      </c>
      <c r="S64" s="542">
        <v>0</v>
      </c>
      <c r="T64" s="542">
        <v>12334</v>
      </c>
      <c r="U64" s="542">
        <v>-1439528</v>
      </c>
      <c r="V64" s="542">
        <v>0</v>
      </c>
      <c r="W64" s="542">
        <v>-1439528</v>
      </c>
      <c r="X64" s="542">
        <v>0</v>
      </c>
      <c r="Y64" s="542">
        <v>0</v>
      </c>
      <c r="Z64" s="542">
        <v>0</v>
      </c>
      <c r="AA64" s="542">
        <v>-148772</v>
      </c>
      <c r="AB64" s="542">
        <v>0</v>
      </c>
      <c r="AC64" s="542">
        <v>-148772</v>
      </c>
      <c r="AD64" s="542">
        <v>-59788</v>
      </c>
      <c r="AE64" s="542">
        <v>0</v>
      </c>
      <c r="AF64" s="542">
        <v>-59788</v>
      </c>
      <c r="AG64" s="542">
        <v>464080</v>
      </c>
      <c r="AH64" s="542">
        <v>0</v>
      </c>
      <c r="AI64" s="542">
        <v>464080</v>
      </c>
      <c r="AJ64" s="542">
        <v>13412</v>
      </c>
      <c r="AK64" s="542">
        <v>0</v>
      </c>
      <c r="AL64" s="542">
        <v>13412</v>
      </c>
      <c r="AM64" s="542">
        <v>-2239835</v>
      </c>
      <c r="AN64" s="542">
        <v>0</v>
      </c>
      <c r="AO64" s="542">
        <v>-2239835</v>
      </c>
      <c r="AP64" s="542">
        <v>47675</v>
      </c>
      <c r="AQ64" s="542">
        <v>0</v>
      </c>
      <c r="AR64" s="542">
        <v>47675</v>
      </c>
      <c r="AS64" s="542">
        <v>-33692</v>
      </c>
      <c r="AT64" s="542">
        <v>0</v>
      </c>
      <c r="AU64" s="542">
        <v>-33692</v>
      </c>
      <c r="AV64" s="542">
        <v>0</v>
      </c>
      <c r="AW64" s="542">
        <v>0</v>
      </c>
      <c r="AX64" s="542">
        <v>0</v>
      </c>
      <c r="AY64" s="542">
        <v>-17991</v>
      </c>
      <c r="AZ64" s="542">
        <v>0</v>
      </c>
      <c r="BA64" s="542">
        <v>-17991</v>
      </c>
      <c r="BB64" s="542">
        <v>112</v>
      </c>
      <c r="BC64" s="542">
        <v>0</v>
      </c>
      <c r="BD64" s="542">
        <v>112</v>
      </c>
      <c r="BE64" s="542">
        <v>-3354539</v>
      </c>
      <c r="BF64" s="542">
        <v>0</v>
      </c>
      <c r="BG64" s="542">
        <v>-3354539</v>
      </c>
      <c r="BH64" s="542">
        <v>-776</v>
      </c>
      <c r="BI64" s="542">
        <v>0</v>
      </c>
      <c r="BJ64" s="542">
        <v>-776</v>
      </c>
      <c r="BK64" s="542">
        <v>2835</v>
      </c>
      <c r="BL64" s="542">
        <v>0</v>
      </c>
      <c r="BM64" s="542">
        <v>2835</v>
      </c>
      <c r="BN64" s="542">
        <v>-558830</v>
      </c>
      <c r="BO64" s="542">
        <v>0</v>
      </c>
      <c r="BP64" s="542">
        <v>-558830</v>
      </c>
      <c r="BQ64" s="542">
        <v>35168</v>
      </c>
      <c r="BR64" s="542">
        <v>0</v>
      </c>
      <c r="BS64" s="542">
        <v>35168</v>
      </c>
      <c r="BT64" s="542">
        <v>-521603</v>
      </c>
      <c r="BU64" s="542">
        <v>0</v>
      </c>
      <c r="BV64" s="542">
        <v>-521603</v>
      </c>
      <c r="BW64" s="542">
        <v>-108496</v>
      </c>
      <c r="BX64" s="542">
        <v>0</v>
      </c>
      <c r="BY64" s="542">
        <v>-108496</v>
      </c>
      <c r="BZ64" s="542">
        <v>-819</v>
      </c>
      <c r="CA64" s="542">
        <v>0</v>
      </c>
      <c r="CB64" s="542">
        <v>-819</v>
      </c>
      <c r="CC64" s="542">
        <v>-45037</v>
      </c>
      <c r="CD64" s="542">
        <v>0</v>
      </c>
      <c r="CE64" s="542">
        <v>-45037</v>
      </c>
      <c r="CF64" s="542">
        <v>-40</v>
      </c>
      <c r="CG64" s="542">
        <v>0</v>
      </c>
      <c r="CH64" s="542">
        <v>-40</v>
      </c>
      <c r="CI64" s="542">
        <v>-4847</v>
      </c>
      <c r="CJ64" s="542">
        <v>0</v>
      </c>
      <c r="CK64" s="542">
        <v>-4847</v>
      </c>
      <c r="CL64" s="542">
        <v>0</v>
      </c>
      <c r="CM64" s="542">
        <v>0</v>
      </c>
      <c r="CN64" s="542">
        <v>0</v>
      </c>
      <c r="CO64" s="542">
        <v>-5352</v>
      </c>
      <c r="CP64" s="542">
        <v>0</v>
      </c>
      <c r="CQ64" s="542">
        <v>-5352</v>
      </c>
      <c r="CR64" s="542">
        <v>0</v>
      </c>
      <c r="CS64" s="542">
        <v>0</v>
      </c>
      <c r="CT64" s="542">
        <v>0</v>
      </c>
      <c r="CU64" s="542">
        <v>0</v>
      </c>
      <c r="CV64" s="542">
        <v>0</v>
      </c>
      <c r="CW64" s="542">
        <v>0</v>
      </c>
      <c r="CX64" s="542">
        <v>0</v>
      </c>
      <c r="CY64" s="542">
        <v>0</v>
      </c>
      <c r="CZ64" s="542">
        <v>0</v>
      </c>
      <c r="DA64" s="542">
        <v>0</v>
      </c>
      <c r="DB64" s="542">
        <v>0</v>
      </c>
      <c r="DC64" s="542">
        <v>0</v>
      </c>
      <c r="DD64" s="542">
        <v>0</v>
      </c>
      <c r="DE64" s="542">
        <v>0</v>
      </c>
      <c r="DF64" s="542">
        <v>0</v>
      </c>
      <c r="DG64" s="542"/>
      <c r="DH64" s="542">
        <v>0</v>
      </c>
      <c r="DI64" s="542"/>
      <c r="DJ64" s="542">
        <v>0</v>
      </c>
      <c r="DK64" s="542"/>
      <c r="DL64" s="542"/>
      <c r="DM64" s="542">
        <v>-164591</v>
      </c>
      <c r="DN64" s="542">
        <v>0</v>
      </c>
      <c r="DO64" s="542">
        <v>-164591</v>
      </c>
      <c r="DP64" s="542">
        <v>0</v>
      </c>
      <c r="DQ64" s="542">
        <v>0</v>
      </c>
      <c r="DR64" s="542">
        <v>0</v>
      </c>
      <c r="DS64" s="542">
        <v>0</v>
      </c>
      <c r="DT64" s="542">
        <v>0</v>
      </c>
      <c r="DU64" s="542">
        <v>0</v>
      </c>
      <c r="DV64" s="542">
        <v>0</v>
      </c>
      <c r="DW64" s="542">
        <v>0</v>
      </c>
      <c r="DX64" s="542">
        <v>0</v>
      </c>
      <c r="DY64" s="542">
        <v>-369085</v>
      </c>
      <c r="DZ64" s="542">
        <v>0</v>
      </c>
      <c r="EA64" s="542">
        <v>-369085</v>
      </c>
      <c r="EB64" s="542">
        <v>-26937</v>
      </c>
      <c r="EC64" s="542">
        <v>0</v>
      </c>
      <c r="ED64" s="542">
        <v>-26937</v>
      </c>
      <c r="EE64" s="542">
        <v>-24532</v>
      </c>
      <c r="EF64" s="542">
        <v>0</v>
      </c>
      <c r="EG64" s="542">
        <v>-24532</v>
      </c>
      <c r="EH64" s="542">
        <v>-420554</v>
      </c>
      <c r="EI64" s="542">
        <v>0</v>
      </c>
      <c r="EJ64" s="542">
        <v>-420554</v>
      </c>
      <c r="EK64" s="542">
        <v>0</v>
      </c>
      <c r="EL64" s="542">
        <v>0</v>
      </c>
      <c r="EM64" s="542">
        <v>0</v>
      </c>
      <c r="EN64" s="542">
        <v>0</v>
      </c>
      <c r="EO64" s="542">
        <v>0</v>
      </c>
      <c r="EP64" s="542">
        <v>0</v>
      </c>
      <c r="EQ64" s="542">
        <v>0</v>
      </c>
      <c r="ER64" s="542">
        <v>0</v>
      </c>
      <c r="ES64" s="542">
        <v>0</v>
      </c>
      <c r="ET64" s="542">
        <v>24777616</v>
      </c>
      <c r="EU64" s="542">
        <v>0</v>
      </c>
      <c r="EV64" s="542">
        <v>24777616</v>
      </c>
      <c r="EW64" s="542">
        <v>12334</v>
      </c>
      <c r="EX64" s="542">
        <v>0</v>
      </c>
      <c r="EY64" s="542">
        <v>12334</v>
      </c>
      <c r="EZ64" s="542">
        <v>-3354539</v>
      </c>
      <c r="FA64" s="542">
        <v>0</v>
      </c>
      <c r="FB64" s="542">
        <v>-3354539</v>
      </c>
      <c r="FC64" s="542">
        <v>-521603</v>
      </c>
      <c r="FD64" s="542">
        <v>0</v>
      </c>
      <c r="FE64" s="542">
        <v>-521603</v>
      </c>
      <c r="FF64" s="542">
        <v>-164591</v>
      </c>
      <c r="FG64" s="542">
        <v>0</v>
      </c>
      <c r="FH64" s="542">
        <v>-164591</v>
      </c>
      <c r="FI64" s="542">
        <v>-420554</v>
      </c>
      <c r="FJ64" s="542">
        <v>0</v>
      </c>
      <c r="FK64" s="542">
        <v>-420554</v>
      </c>
      <c r="FL64" s="542">
        <v>0</v>
      </c>
      <c r="FM64" s="542">
        <v>0</v>
      </c>
      <c r="FN64" s="542">
        <v>0</v>
      </c>
      <c r="FO64" s="542">
        <v>-4448953</v>
      </c>
      <c r="FP64" s="542">
        <v>0</v>
      </c>
      <c r="FQ64" s="542">
        <v>-4448953</v>
      </c>
      <c r="FR64" s="542">
        <v>20328663</v>
      </c>
      <c r="FS64" s="542">
        <v>0</v>
      </c>
      <c r="FT64" s="542">
        <v>20328663</v>
      </c>
    </row>
    <row r="65" spans="1:176" ht="12.75" x14ac:dyDescent="0.2">
      <c r="A65" s="93">
        <v>60</v>
      </c>
      <c r="B65" s="145" t="s">
        <v>679</v>
      </c>
      <c r="C65" s="604" t="s">
        <v>866</v>
      </c>
      <c r="D65" s="142" t="s">
        <v>868</v>
      </c>
      <c r="E65" s="149" t="s">
        <v>678</v>
      </c>
      <c r="F65" s="542">
        <v>-49971</v>
      </c>
      <c r="G65" s="542">
        <v>0</v>
      </c>
      <c r="H65" s="542">
        <v>-49971</v>
      </c>
      <c r="I65" s="542">
        <v>84150</v>
      </c>
      <c r="J65" s="542">
        <v>0</v>
      </c>
      <c r="K65" s="542">
        <v>84150</v>
      </c>
      <c r="L65" s="542">
        <v>10058</v>
      </c>
      <c r="M65" s="542">
        <v>0</v>
      </c>
      <c r="N65" s="542">
        <v>10058</v>
      </c>
      <c r="O65" s="542">
        <v>30791</v>
      </c>
      <c r="P65" s="542">
        <v>0</v>
      </c>
      <c r="Q65" s="542">
        <v>30791</v>
      </c>
      <c r="R65" s="542">
        <v>75028</v>
      </c>
      <c r="S65" s="542">
        <v>0</v>
      </c>
      <c r="T65" s="542">
        <v>75028</v>
      </c>
      <c r="U65" s="542">
        <v>-2439212</v>
      </c>
      <c r="V65" s="542">
        <v>0</v>
      </c>
      <c r="W65" s="542">
        <v>-2439212</v>
      </c>
      <c r="X65" s="542">
        <v>-2796.97</v>
      </c>
      <c r="Y65" s="542">
        <v>0</v>
      </c>
      <c r="Z65" s="542">
        <v>-2796.97</v>
      </c>
      <c r="AA65" s="542">
        <v>-79013</v>
      </c>
      <c r="AB65" s="542">
        <v>0</v>
      </c>
      <c r="AC65" s="542">
        <v>-79013</v>
      </c>
      <c r="AD65" s="542">
        <v>-47077</v>
      </c>
      <c r="AE65" s="542">
        <v>0</v>
      </c>
      <c r="AF65" s="542">
        <v>-47077</v>
      </c>
      <c r="AG65" s="542">
        <v>629282</v>
      </c>
      <c r="AH65" s="542">
        <v>0</v>
      </c>
      <c r="AI65" s="542">
        <v>629282</v>
      </c>
      <c r="AJ65" s="542">
        <v>-7422</v>
      </c>
      <c r="AK65" s="542">
        <v>0</v>
      </c>
      <c r="AL65" s="542">
        <v>-7422</v>
      </c>
      <c r="AM65" s="542">
        <v>-1904206</v>
      </c>
      <c r="AN65" s="542">
        <v>0</v>
      </c>
      <c r="AO65" s="542">
        <v>-1904206</v>
      </c>
      <c r="AP65" s="542">
        <v>65558</v>
      </c>
      <c r="AQ65" s="542">
        <v>0</v>
      </c>
      <c r="AR65" s="542">
        <v>65558</v>
      </c>
      <c r="AS65" s="542">
        <v>-30873</v>
      </c>
      <c r="AT65" s="542">
        <v>0</v>
      </c>
      <c r="AU65" s="542">
        <v>-30873</v>
      </c>
      <c r="AV65" s="542">
        <v>0</v>
      </c>
      <c r="AW65" s="542">
        <v>0</v>
      </c>
      <c r="AX65" s="542">
        <v>0</v>
      </c>
      <c r="AY65" s="542">
        <v>-5589</v>
      </c>
      <c r="AZ65" s="542">
        <v>0</v>
      </c>
      <c r="BA65" s="542">
        <v>-5589</v>
      </c>
      <c r="BB65" s="542">
        <v>0</v>
      </c>
      <c r="BC65" s="542">
        <v>0</v>
      </c>
      <c r="BD65" s="542">
        <v>0</v>
      </c>
      <c r="BE65" s="542">
        <v>-3771475</v>
      </c>
      <c r="BF65" s="542">
        <v>0</v>
      </c>
      <c r="BG65" s="542">
        <v>-3771475</v>
      </c>
      <c r="BH65" s="542">
        <v>-20618</v>
      </c>
      <c r="BI65" s="542">
        <v>0</v>
      </c>
      <c r="BJ65" s="542">
        <v>-20618</v>
      </c>
      <c r="BK65" s="542">
        <v>150</v>
      </c>
      <c r="BL65" s="542">
        <v>0</v>
      </c>
      <c r="BM65" s="542">
        <v>150</v>
      </c>
      <c r="BN65" s="542">
        <v>-686328</v>
      </c>
      <c r="BO65" s="542">
        <v>0</v>
      </c>
      <c r="BP65" s="542">
        <v>-686328</v>
      </c>
      <c r="BQ65" s="542">
        <v>-24246</v>
      </c>
      <c r="BR65" s="542">
        <v>0</v>
      </c>
      <c r="BS65" s="542">
        <v>-24246</v>
      </c>
      <c r="BT65" s="542">
        <v>-731042</v>
      </c>
      <c r="BU65" s="542">
        <v>0</v>
      </c>
      <c r="BV65" s="542">
        <v>-731042</v>
      </c>
      <c r="BW65" s="542">
        <v>-7957</v>
      </c>
      <c r="BX65" s="542">
        <v>0</v>
      </c>
      <c r="BY65" s="542">
        <v>-7957</v>
      </c>
      <c r="BZ65" s="542">
        <v>0</v>
      </c>
      <c r="CA65" s="542">
        <v>0</v>
      </c>
      <c r="CB65" s="542">
        <v>0</v>
      </c>
      <c r="CC65" s="542">
        <v>0</v>
      </c>
      <c r="CD65" s="542">
        <v>0</v>
      </c>
      <c r="CE65" s="542">
        <v>0</v>
      </c>
      <c r="CF65" s="542">
        <v>509</v>
      </c>
      <c r="CG65" s="542">
        <v>0</v>
      </c>
      <c r="CH65" s="542">
        <v>509</v>
      </c>
      <c r="CI65" s="542">
        <v>0</v>
      </c>
      <c r="CJ65" s="542">
        <v>0</v>
      </c>
      <c r="CK65" s="542">
        <v>0</v>
      </c>
      <c r="CL65" s="542">
        <v>0</v>
      </c>
      <c r="CM65" s="542">
        <v>0</v>
      </c>
      <c r="CN65" s="542">
        <v>0</v>
      </c>
      <c r="CO65" s="542">
        <v>0</v>
      </c>
      <c r="CP65" s="542">
        <v>0</v>
      </c>
      <c r="CQ65" s="542">
        <v>0</v>
      </c>
      <c r="CR65" s="542">
        <v>0</v>
      </c>
      <c r="CS65" s="542">
        <v>0</v>
      </c>
      <c r="CT65" s="542">
        <v>0</v>
      </c>
      <c r="CU65" s="542">
        <v>0</v>
      </c>
      <c r="CV65" s="542">
        <v>0</v>
      </c>
      <c r="CW65" s="542">
        <v>0</v>
      </c>
      <c r="CX65" s="542">
        <v>0</v>
      </c>
      <c r="CY65" s="542">
        <v>0</v>
      </c>
      <c r="CZ65" s="542">
        <v>0</v>
      </c>
      <c r="DA65" s="542">
        <v>0</v>
      </c>
      <c r="DB65" s="542">
        <v>0</v>
      </c>
      <c r="DC65" s="542">
        <v>0</v>
      </c>
      <c r="DD65" s="542">
        <v>0</v>
      </c>
      <c r="DE65" s="542">
        <v>0</v>
      </c>
      <c r="DF65" s="542">
        <v>0</v>
      </c>
      <c r="DG65" s="542"/>
      <c r="DH65" s="542">
        <v>0</v>
      </c>
      <c r="DI65" s="542"/>
      <c r="DJ65" s="542">
        <v>0</v>
      </c>
      <c r="DK65" s="542"/>
      <c r="DL65" s="542"/>
      <c r="DM65" s="542">
        <v>-7448</v>
      </c>
      <c r="DN65" s="542">
        <v>0</v>
      </c>
      <c r="DO65" s="542">
        <v>-7448</v>
      </c>
      <c r="DP65" s="542">
        <v>0</v>
      </c>
      <c r="DQ65" s="542">
        <v>0</v>
      </c>
      <c r="DR65" s="542">
        <v>0</v>
      </c>
      <c r="DS65" s="542">
        <v>0</v>
      </c>
      <c r="DT65" s="542">
        <v>0</v>
      </c>
      <c r="DU65" s="542">
        <v>0</v>
      </c>
      <c r="DV65" s="542">
        <v>-5458</v>
      </c>
      <c r="DW65" s="542">
        <v>0</v>
      </c>
      <c r="DX65" s="542">
        <v>-5458</v>
      </c>
      <c r="DY65" s="542">
        <v>-260103</v>
      </c>
      <c r="DZ65" s="542">
        <v>0</v>
      </c>
      <c r="EA65" s="542">
        <v>-260103</v>
      </c>
      <c r="EB65" s="542">
        <v>0</v>
      </c>
      <c r="EC65" s="542">
        <v>0</v>
      </c>
      <c r="ED65" s="542">
        <v>0</v>
      </c>
      <c r="EE65" s="542">
        <v>0</v>
      </c>
      <c r="EF65" s="542">
        <v>0</v>
      </c>
      <c r="EG65" s="542">
        <v>0</v>
      </c>
      <c r="EH65" s="542">
        <v>-265561</v>
      </c>
      <c r="EI65" s="542">
        <v>0</v>
      </c>
      <c r="EJ65" s="542">
        <v>-265561</v>
      </c>
      <c r="EK65" s="542">
        <v>0</v>
      </c>
      <c r="EL65" s="542">
        <v>0</v>
      </c>
      <c r="EM65" s="542">
        <v>0</v>
      </c>
      <c r="EN65" s="542">
        <v>0</v>
      </c>
      <c r="EO65" s="542">
        <v>0</v>
      </c>
      <c r="EP65" s="542">
        <v>0</v>
      </c>
      <c r="EQ65" s="542">
        <v>0</v>
      </c>
      <c r="ER65" s="542">
        <v>0</v>
      </c>
      <c r="ES65" s="542">
        <v>0</v>
      </c>
      <c r="ET65" s="542">
        <v>32628234</v>
      </c>
      <c r="EU65" s="542">
        <v>0</v>
      </c>
      <c r="EV65" s="542">
        <v>32628234</v>
      </c>
      <c r="EW65" s="542">
        <v>75028</v>
      </c>
      <c r="EX65" s="542">
        <v>0</v>
      </c>
      <c r="EY65" s="542">
        <v>75028</v>
      </c>
      <c r="EZ65" s="542">
        <v>-3771475</v>
      </c>
      <c r="FA65" s="542">
        <v>0</v>
      </c>
      <c r="FB65" s="542">
        <v>-3771475</v>
      </c>
      <c r="FC65" s="542">
        <v>-731042</v>
      </c>
      <c r="FD65" s="542">
        <v>0</v>
      </c>
      <c r="FE65" s="542">
        <v>-731042</v>
      </c>
      <c r="FF65" s="542">
        <v>-7448</v>
      </c>
      <c r="FG65" s="542">
        <v>0</v>
      </c>
      <c r="FH65" s="542">
        <v>-7448</v>
      </c>
      <c r="FI65" s="542">
        <v>-265561</v>
      </c>
      <c r="FJ65" s="542">
        <v>0</v>
      </c>
      <c r="FK65" s="542">
        <v>-265561</v>
      </c>
      <c r="FL65" s="542">
        <v>0</v>
      </c>
      <c r="FM65" s="542">
        <v>0</v>
      </c>
      <c r="FN65" s="542">
        <v>0</v>
      </c>
      <c r="FO65" s="542">
        <v>-4700498</v>
      </c>
      <c r="FP65" s="542">
        <v>0</v>
      </c>
      <c r="FQ65" s="542">
        <v>-4700498</v>
      </c>
      <c r="FR65" s="542">
        <v>27927736</v>
      </c>
      <c r="FS65" s="542">
        <v>0</v>
      </c>
      <c r="FT65" s="542">
        <v>27927736</v>
      </c>
    </row>
    <row r="66" spans="1:176" ht="12.75" x14ac:dyDescent="0.2">
      <c r="A66" s="93">
        <v>61</v>
      </c>
      <c r="B66" s="145" t="s">
        <v>681</v>
      </c>
      <c r="C66" s="604" t="s">
        <v>866</v>
      </c>
      <c r="D66" s="142" t="s">
        <v>875</v>
      </c>
      <c r="E66" s="149" t="s">
        <v>680</v>
      </c>
      <c r="F66" s="542">
        <v>-21273</v>
      </c>
      <c r="G66" s="542">
        <v>0</v>
      </c>
      <c r="H66" s="542">
        <v>-21273</v>
      </c>
      <c r="I66" s="542">
        <v>12810</v>
      </c>
      <c r="J66" s="542">
        <v>0</v>
      </c>
      <c r="K66" s="542">
        <v>12810</v>
      </c>
      <c r="L66" s="542">
        <v>0</v>
      </c>
      <c r="M66" s="542">
        <v>0</v>
      </c>
      <c r="N66" s="542">
        <v>0</v>
      </c>
      <c r="O66" s="542">
        <v>7340</v>
      </c>
      <c r="P66" s="542">
        <v>0</v>
      </c>
      <c r="Q66" s="542">
        <v>7340</v>
      </c>
      <c r="R66" s="542">
        <v>-1123</v>
      </c>
      <c r="S66" s="542">
        <v>0</v>
      </c>
      <c r="T66" s="542">
        <v>-1123</v>
      </c>
      <c r="U66" s="542">
        <v>-1191806</v>
      </c>
      <c r="V66" s="542">
        <v>0</v>
      </c>
      <c r="W66" s="542">
        <v>-1191806</v>
      </c>
      <c r="X66" s="542">
        <v>0</v>
      </c>
      <c r="Y66" s="542">
        <v>0</v>
      </c>
      <c r="Z66" s="542">
        <v>0</v>
      </c>
      <c r="AA66" s="542">
        <v>-77027</v>
      </c>
      <c r="AB66" s="542">
        <v>0</v>
      </c>
      <c r="AC66" s="542">
        <v>-77027</v>
      </c>
      <c r="AD66" s="542">
        <v>0</v>
      </c>
      <c r="AE66" s="542">
        <v>0</v>
      </c>
      <c r="AF66" s="542">
        <v>0</v>
      </c>
      <c r="AG66" s="542">
        <v>412252</v>
      </c>
      <c r="AH66" s="542">
        <v>0</v>
      </c>
      <c r="AI66" s="542">
        <v>412252</v>
      </c>
      <c r="AJ66" s="542">
        <v>-2399</v>
      </c>
      <c r="AK66" s="542">
        <v>0</v>
      </c>
      <c r="AL66" s="542">
        <v>-2399</v>
      </c>
      <c r="AM66" s="542">
        <v>-720815</v>
      </c>
      <c r="AN66" s="542">
        <v>0</v>
      </c>
      <c r="AO66" s="542">
        <v>-720815</v>
      </c>
      <c r="AP66" s="542">
        <v>-2148</v>
      </c>
      <c r="AQ66" s="542">
        <v>0</v>
      </c>
      <c r="AR66" s="542">
        <v>-2148</v>
      </c>
      <c r="AS66" s="542">
        <v>-36458</v>
      </c>
      <c r="AT66" s="542">
        <v>0</v>
      </c>
      <c r="AU66" s="542">
        <v>-36458</v>
      </c>
      <c r="AV66" s="542">
        <v>0</v>
      </c>
      <c r="AW66" s="542">
        <v>0</v>
      </c>
      <c r="AX66" s="542">
        <v>0</v>
      </c>
      <c r="AY66" s="542">
        <v>-1711</v>
      </c>
      <c r="AZ66" s="542">
        <v>0</v>
      </c>
      <c r="BA66" s="542">
        <v>-1711</v>
      </c>
      <c r="BB66" s="542">
        <v>0</v>
      </c>
      <c r="BC66" s="542">
        <v>0</v>
      </c>
      <c r="BD66" s="542">
        <v>0</v>
      </c>
      <c r="BE66" s="542">
        <v>-1620112</v>
      </c>
      <c r="BF66" s="542">
        <v>0</v>
      </c>
      <c r="BG66" s="542">
        <v>-1620112</v>
      </c>
      <c r="BH66" s="542">
        <v>-94773</v>
      </c>
      <c r="BI66" s="542">
        <v>0</v>
      </c>
      <c r="BJ66" s="542">
        <v>-94773</v>
      </c>
      <c r="BK66" s="542">
        <v>0</v>
      </c>
      <c r="BL66" s="542">
        <v>0</v>
      </c>
      <c r="BM66" s="542">
        <v>0</v>
      </c>
      <c r="BN66" s="542">
        <v>-427619</v>
      </c>
      <c r="BO66" s="542">
        <v>0</v>
      </c>
      <c r="BP66" s="542">
        <v>-427619</v>
      </c>
      <c r="BQ66" s="542">
        <v>72477</v>
      </c>
      <c r="BR66" s="542">
        <v>0</v>
      </c>
      <c r="BS66" s="542">
        <v>72477</v>
      </c>
      <c r="BT66" s="542">
        <v>-449915</v>
      </c>
      <c r="BU66" s="542">
        <v>0</v>
      </c>
      <c r="BV66" s="542">
        <v>-449915</v>
      </c>
      <c r="BW66" s="542">
        <v>-4437</v>
      </c>
      <c r="BX66" s="542">
        <v>0</v>
      </c>
      <c r="BY66" s="542">
        <v>-4437</v>
      </c>
      <c r="BZ66" s="542">
        <v>-143</v>
      </c>
      <c r="CA66" s="542">
        <v>0</v>
      </c>
      <c r="CB66" s="542">
        <v>-143</v>
      </c>
      <c r="CC66" s="542">
        <v>-4180</v>
      </c>
      <c r="CD66" s="542">
        <v>0</v>
      </c>
      <c r="CE66" s="542">
        <v>-4180</v>
      </c>
      <c r="CF66" s="542">
        <v>518</v>
      </c>
      <c r="CG66" s="542">
        <v>0</v>
      </c>
      <c r="CH66" s="542">
        <v>518</v>
      </c>
      <c r="CI66" s="542">
        <v>-1542</v>
      </c>
      <c r="CJ66" s="542">
        <v>0</v>
      </c>
      <c r="CK66" s="542">
        <v>-1542</v>
      </c>
      <c r="CL66" s="542">
        <v>0</v>
      </c>
      <c r="CM66" s="542">
        <v>0</v>
      </c>
      <c r="CN66" s="542">
        <v>0</v>
      </c>
      <c r="CO66" s="542">
        <v>0</v>
      </c>
      <c r="CP66" s="542">
        <v>0</v>
      </c>
      <c r="CQ66" s="542">
        <v>0</v>
      </c>
      <c r="CR66" s="542">
        <v>0</v>
      </c>
      <c r="CS66" s="542">
        <v>0</v>
      </c>
      <c r="CT66" s="542">
        <v>0</v>
      </c>
      <c r="CU66" s="542">
        <v>0</v>
      </c>
      <c r="CV66" s="542">
        <v>0</v>
      </c>
      <c r="CW66" s="542">
        <v>0</v>
      </c>
      <c r="CX66" s="542">
        <v>0</v>
      </c>
      <c r="CY66" s="542">
        <v>0</v>
      </c>
      <c r="CZ66" s="542">
        <v>0</v>
      </c>
      <c r="DA66" s="542">
        <v>0</v>
      </c>
      <c r="DB66" s="542">
        <v>0</v>
      </c>
      <c r="DC66" s="542">
        <v>0</v>
      </c>
      <c r="DD66" s="542">
        <v>0</v>
      </c>
      <c r="DE66" s="542">
        <v>0</v>
      </c>
      <c r="DF66" s="542">
        <v>0</v>
      </c>
      <c r="DG66" s="542"/>
      <c r="DH66" s="542">
        <v>0</v>
      </c>
      <c r="DI66" s="542"/>
      <c r="DJ66" s="542">
        <v>0</v>
      </c>
      <c r="DK66" s="542"/>
      <c r="DL66" s="542"/>
      <c r="DM66" s="542">
        <v>-9784</v>
      </c>
      <c r="DN66" s="542">
        <v>0</v>
      </c>
      <c r="DO66" s="542">
        <v>-9784</v>
      </c>
      <c r="DP66" s="542">
        <v>0</v>
      </c>
      <c r="DQ66" s="542">
        <v>0</v>
      </c>
      <c r="DR66" s="542">
        <v>0</v>
      </c>
      <c r="DS66" s="542">
        <v>0</v>
      </c>
      <c r="DT66" s="542">
        <v>0</v>
      </c>
      <c r="DU66" s="542">
        <v>0</v>
      </c>
      <c r="DV66" s="542">
        <v>0</v>
      </c>
      <c r="DW66" s="542">
        <v>0</v>
      </c>
      <c r="DX66" s="542">
        <v>0</v>
      </c>
      <c r="DY66" s="542">
        <v>-263620</v>
      </c>
      <c r="DZ66" s="542">
        <v>0</v>
      </c>
      <c r="EA66" s="542">
        <v>-263620</v>
      </c>
      <c r="EB66" s="542">
        <v>-3115</v>
      </c>
      <c r="EC66" s="542">
        <v>0</v>
      </c>
      <c r="ED66" s="542">
        <v>-3115</v>
      </c>
      <c r="EE66" s="542">
        <v>-16590</v>
      </c>
      <c r="EF66" s="542">
        <v>0</v>
      </c>
      <c r="EG66" s="542">
        <v>-16590</v>
      </c>
      <c r="EH66" s="542">
        <v>-283325</v>
      </c>
      <c r="EI66" s="542">
        <v>0</v>
      </c>
      <c r="EJ66" s="542">
        <v>-283325</v>
      </c>
      <c r="EK66" s="542">
        <v>0</v>
      </c>
      <c r="EL66" s="542">
        <v>0</v>
      </c>
      <c r="EM66" s="542">
        <v>0</v>
      </c>
      <c r="EN66" s="542">
        <v>0</v>
      </c>
      <c r="EO66" s="542">
        <v>0</v>
      </c>
      <c r="EP66" s="542">
        <v>0</v>
      </c>
      <c r="EQ66" s="542">
        <v>0</v>
      </c>
      <c r="ER66" s="542">
        <v>0</v>
      </c>
      <c r="ES66" s="542">
        <v>0</v>
      </c>
      <c r="ET66" s="542">
        <v>20841079</v>
      </c>
      <c r="EU66" s="542">
        <v>0</v>
      </c>
      <c r="EV66" s="542">
        <v>20841079</v>
      </c>
      <c r="EW66" s="542">
        <v>-1123</v>
      </c>
      <c r="EX66" s="542">
        <v>0</v>
      </c>
      <c r="EY66" s="542">
        <v>-1123</v>
      </c>
      <c r="EZ66" s="542">
        <v>-1620112</v>
      </c>
      <c r="FA66" s="542">
        <v>0</v>
      </c>
      <c r="FB66" s="542">
        <v>-1620112</v>
      </c>
      <c r="FC66" s="542">
        <v>-449915</v>
      </c>
      <c r="FD66" s="542">
        <v>0</v>
      </c>
      <c r="FE66" s="542">
        <v>-449915</v>
      </c>
      <c r="FF66" s="542">
        <v>-9784</v>
      </c>
      <c r="FG66" s="542">
        <v>0</v>
      </c>
      <c r="FH66" s="542">
        <v>-9784</v>
      </c>
      <c r="FI66" s="542">
        <v>-283325</v>
      </c>
      <c r="FJ66" s="542">
        <v>0</v>
      </c>
      <c r="FK66" s="542">
        <v>-283325</v>
      </c>
      <c r="FL66" s="542">
        <v>0</v>
      </c>
      <c r="FM66" s="542">
        <v>0</v>
      </c>
      <c r="FN66" s="542">
        <v>0</v>
      </c>
      <c r="FO66" s="542">
        <v>-2364259</v>
      </c>
      <c r="FP66" s="542">
        <v>0</v>
      </c>
      <c r="FQ66" s="542">
        <v>-2364259</v>
      </c>
      <c r="FR66" s="542">
        <v>18476820</v>
      </c>
      <c r="FS66" s="542">
        <v>0</v>
      </c>
      <c r="FT66" s="542">
        <v>18476820</v>
      </c>
    </row>
    <row r="67" spans="1:176" ht="12.75" x14ac:dyDescent="0.2">
      <c r="A67" s="93">
        <v>62</v>
      </c>
      <c r="B67" s="145" t="s">
        <v>0</v>
      </c>
      <c r="C67" s="604" t="s">
        <v>877</v>
      </c>
      <c r="D67" s="142" t="s">
        <v>872</v>
      </c>
      <c r="E67" s="149" t="s">
        <v>682</v>
      </c>
      <c r="F67" s="542">
        <v>-169428</v>
      </c>
      <c r="G67" s="542">
        <v>0</v>
      </c>
      <c r="H67" s="542">
        <v>-169428</v>
      </c>
      <c r="I67" s="542">
        <v>1095703</v>
      </c>
      <c r="J67" s="542">
        <v>0</v>
      </c>
      <c r="K67" s="542">
        <v>1095703</v>
      </c>
      <c r="L67" s="542">
        <v>13562</v>
      </c>
      <c r="M67" s="542">
        <v>0</v>
      </c>
      <c r="N67" s="542">
        <v>13562</v>
      </c>
      <c r="O67" s="542">
        <v>396868</v>
      </c>
      <c r="P67" s="542">
        <v>0</v>
      </c>
      <c r="Q67" s="542">
        <v>396868</v>
      </c>
      <c r="R67" s="542">
        <v>1336705</v>
      </c>
      <c r="S67" s="542">
        <v>0</v>
      </c>
      <c r="T67" s="542">
        <v>1336705</v>
      </c>
      <c r="U67" s="542">
        <v>-427796</v>
      </c>
      <c r="V67" s="542">
        <v>0</v>
      </c>
      <c r="W67" s="542">
        <v>-427796</v>
      </c>
      <c r="X67" s="542">
        <v>-1036</v>
      </c>
      <c r="Y67" s="542">
        <v>0</v>
      </c>
      <c r="Z67" s="542">
        <v>-1036</v>
      </c>
      <c r="AA67" s="542">
        <v>-42825</v>
      </c>
      <c r="AB67" s="542">
        <v>0</v>
      </c>
      <c r="AC67" s="542">
        <v>-42825</v>
      </c>
      <c r="AD67" s="542">
        <v>0</v>
      </c>
      <c r="AE67" s="542">
        <v>0</v>
      </c>
      <c r="AF67" s="542">
        <v>0</v>
      </c>
      <c r="AG67" s="542">
        <v>19713070</v>
      </c>
      <c r="AH67" s="542">
        <v>0</v>
      </c>
      <c r="AI67" s="542">
        <v>19713070</v>
      </c>
      <c r="AJ67" s="542">
        <v>-56583</v>
      </c>
      <c r="AK67" s="542">
        <v>0</v>
      </c>
      <c r="AL67" s="542">
        <v>-56583</v>
      </c>
      <c r="AM67" s="542">
        <v>-11664532</v>
      </c>
      <c r="AN67" s="542">
        <v>0</v>
      </c>
      <c r="AO67" s="542">
        <v>-11664532</v>
      </c>
      <c r="AP67" s="542">
        <v>-429998</v>
      </c>
      <c r="AQ67" s="542">
        <v>0</v>
      </c>
      <c r="AR67" s="542">
        <v>-429998</v>
      </c>
      <c r="AS67" s="542">
        <v>0</v>
      </c>
      <c r="AT67" s="542">
        <v>0</v>
      </c>
      <c r="AU67" s="542">
        <v>0</v>
      </c>
      <c r="AV67" s="542">
        <v>0</v>
      </c>
      <c r="AW67" s="542">
        <v>0</v>
      </c>
      <c r="AX67" s="542">
        <v>0</v>
      </c>
      <c r="AY67" s="542">
        <v>0</v>
      </c>
      <c r="AZ67" s="542">
        <v>0</v>
      </c>
      <c r="BA67" s="542">
        <v>0</v>
      </c>
      <c r="BB67" s="542">
        <v>0</v>
      </c>
      <c r="BC67" s="542">
        <v>0</v>
      </c>
      <c r="BD67" s="542">
        <v>0</v>
      </c>
      <c r="BE67" s="542">
        <v>7091336</v>
      </c>
      <c r="BF67" s="542">
        <v>0</v>
      </c>
      <c r="BG67" s="542">
        <v>7091336</v>
      </c>
      <c r="BH67" s="542">
        <v>-341808</v>
      </c>
      <c r="BI67" s="542">
        <v>0</v>
      </c>
      <c r="BJ67" s="542">
        <v>-341808</v>
      </c>
      <c r="BK67" s="542">
        <v>-3269883</v>
      </c>
      <c r="BL67" s="542">
        <v>0</v>
      </c>
      <c r="BM67" s="542">
        <v>-3269883</v>
      </c>
      <c r="BN67" s="542">
        <v>-33280681</v>
      </c>
      <c r="BO67" s="542">
        <v>0</v>
      </c>
      <c r="BP67" s="542">
        <v>-33280681</v>
      </c>
      <c r="BQ67" s="542">
        <v>161032</v>
      </c>
      <c r="BR67" s="542">
        <v>0</v>
      </c>
      <c r="BS67" s="542">
        <v>161032</v>
      </c>
      <c r="BT67" s="542">
        <v>-36731340</v>
      </c>
      <c r="BU67" s="542">
        <v>0</v>
      </c>
      <c r="BV67" s="542">
        <v>-36731340</v>
      </c>
      <c r="BW67" s="542">
        <v>-140409</v>
      </c>
      <c r="BX67" s="542">
        <v>0</v>
      </c>
      <c r="BY67" s="542">
        <v>-140409</v>
      </c>
      <c r="BZ67" s="542">
        <v>3307</v>
      </c>
      <c r="CA67" s="542">
        <v>0</v>
      </c>
      <c r="CB67" s="542">
        <v>3307</v>
      </c>
      <c r="CC67" s="542">
        <v>-199726</v>
      </c>
      <c r="CD67" s="542">
        <v>0</v>
      </c>
      <c r="CE67" s="542">
        <v>-199726</v>
      </c>
      <c r="CF67" s="542">
        <v>0</v>
      </c>
      <c r="CG67" s="542">
        <v>0</v>
      </c>
      <c r="CH67" s="542">
        <v>0</v>
      </c>
      <c r="CI67" s="542">
        <v>0</v>
      </c>
      <c r="CJ67" s="542">
        <v>0</v>
      </c>
      <c r="CK67" s="542">
        <v>0</v>
      </c>
      <c r="CL67" s="542">
        <v>0</v>
      </c>
      <c r="CM67" s="542">
        <v>0</v>
      </c>
      <c r="CN67" s="542">
        <v>0</v>
      </c>
      <c r="CO67" s="542">
        <v>0</v>
      </c>
      <c r="CP67" s="542">
        <v>0</v>
      </c>
      <c r="CQ67" s="542">
        <v>0</v>
      </c>
      <c r="CR67" s="542">
        <v>0</v>
      </c>
      <c r="CS67" s="542">
        <v>0</v>
      </c>
      <c r="CT67" s="542">
        <v>0</v>
      </c>
      <c r="CU67" s="542">
        <v>0</v>
      </c>
      <c r="CV67" s="542">
        <v>0</v>
      </c>
      <c r="CW67" s="542">
        <v>0</v>
      </c>
      <c r="CX67" s="542">
        <v>0</v>
      </c>
      <c r="CY67" s="542">
        <v>0</v>
      </c>
      <c r="CZ67" s="542">
        <v>0</v>
      </c>
      <c r="DA67" s="542">
        <v>0</v>
      </c>
      <c r="DB67" s="542">
        <v>0</v>
      </c>
      <c r="DC67" s="542">
        <v>0</v>
      </c>
      <c r="DD67" s="542">
        <v>0</v>
      </c>
      <c r="DE67" s="542">
        <v>0</v>
      </c>
      <c r="DF67" s="542">
        <v>0</v>
      </c>
      <c r="DG67" s="542"/>
      <c r="DH67" s="542">
        <v>0</v>
      </c>
      <c r="DI67" s="542"/>
      <c r="DJ67" s="542">
        <v>0</v>
      </c>
      <c r="DK67" s="542"/>
      <c r="DL67" s="542"/>
      <c r="DM67" s="542">
        <v>-336828</v>
      </c>
      <c r="DN67" s="542">
        <v>0</v>
      </c>
      <c r="DO67" s="542">
        <v>-336828</v>
      </c>
      <c r="DP67" s="542">
        <v>0</v>
      </c>
      <c r="DQ67" s="542">
        <v>0</v>
      </c>
      <c r="DR67" s="542">
        <v>0</v>
      </c>
      <c r="DS67" s="542">
        <v>0</v>
      </c>
      <c r="DT67" s="542">
        <v>0</v>
      </c>
      <c r="DU67" s="542">
        <v>0</v>
      </c>
      <c r="DV67" s="542">
        <v>-17573</v>
      </c>
      <c r="DW67" s="542">
        <v>0</v>
      </c>
      <c r="DX67" s="542">
        <v>-17573</v>
      </c>
      <c r="DY67" s="542">
        <v>-374576</v>
      </c>
      <c r="DZ67" s="542">
        <v>0</v>
      </c>
      <c r="EA67" s="542">
        <v>-374576</v>
      </c>
      <c r="EB67" s="542">
        <v>0</v>
      </c>
      <c r="EC67" s="542">
        <v>0</v>
      </c>
      <c r="ED67" s="542">
        <v>0</v>
      </c>
      <c r="EE67" s="542">
        <v>0</v>
      </c>
      <c r="EF67" s="542">
        <v>0</v>
      </c>
      <c r="EG67" s="542">
        <v>0</v>
      </c>
      <c r="EH67" s="542">
        <v>-392149</v>
      </c>
      <c r="EI67" s="542">
        <v>0</v>
      </c>
      <c r="EJ67" s="542">
        <v>-392149</v>
      </c>
      <c r="EK67" s="542">
        <v>-43105</v>
      </c>
      <c r="EL67" s="542">
        <v>0</v>
      </c>
      <c r="EM67" s="542">
        <v>-43105</v>
      </c>
      <c r="EN67" s="542">
        <v>0</v>
      </c>
      <c r="EO67" s="542">
        <v>0</v>
      </c>
      <c r="EP67" s="542">
        <v>0</v>
      </c>
      <c r="EQ67" s="542">
        <v>-43105</v>
      </c>
      <c r="ER67" s="542">
        <v>0</v>
      </c>
      <c r="ES67" s="542">
        <v>-43105</v>
      </c>
      <c r="ET67" s="542">
        <v>832452236</v>
      </c>
      <c r="EU67" s="542">
        <v>0</v>
      </c>
      <c r="EV67" s="542">
        <v>832452236</v>
      </c>
      <c r="EW67" s="542">
        <v>1336705</v>
      </c>
      <c r="EX67" s="542">
        <v>0</v>
      </c>
      <c r="EY67" s="542">
        <v>1336705</v>
      </c>
      <c r="EZ67" s="542">
        <v>7091336</v>
      </c>
      <c r="FA67" s="542">
        <v>0</v>
      </c>
      <c r="FB67" s="542">
        <v>7091336</v>
      </c>
      <c r="FC67" s="542">
        <v>-36731340</v>
      </c>
      <c r="FD67" s="542">
        <v>0</v>
      </c>
      <c r="FE67" s="542">
        <v>-36731340</v>
      </c>
      <c r="FF67" s="542">
        <v>-336828</v>
      </c>
      <c r="FG67" s="542">
        <v>0</v>
      </c>
      <c r="FH67" s="542">
        <v>-336828</v>
      </c>
      <c r="FI67" s="542">
        <v>-392149</v>
      </c>
      <c r="FJ67" s="542">
        <v>0</v>
      </c>
      <c r="FK67" s="542">
        <v>-392149</v>
      </c>
      <c r="FL67" s="542">
        <v>-43105</v>
      </c>
      <c r="FM67" s="542">
        <v>0</v>
      </c>
      <c r="FN67" s="542">
        <v>-43105</v>
      </c>
      <c r="FO67" s="542">
        <v>-29075381</v>
      </c>
      <c r="FP67" s="542">
        <v>0</v>
      </c>
      <c r="FQ67" s="542">
        <v>-29075381</v>
      </c>
      <c r="FR67" s="542">
        <v>803376855</v>
      </c>
      <c r="FS67" s="542">
        <v>0</v>
      </c>
      <c r="FT67" s="542">
        <v>803376855</v>
      </c>
    </row>
    <row r="68" spans="1:176" ht="12.75" x14ac:dyDescent="0.2">
      <c r="A68" s="93">
        <v>63</v>
      </c>
      <c r="B68" s="145" t="s">
        <v>2</v>
      </c>
      <c r="C68" s="604" t="s">
        <v>866</v>
      </c>
      <c r="D68" s="142" t="s">
        <v>870</v>
      </c>
      <c r="E68" s="149" t="s">
        <v>1</v>
      </c>
      <c r="F68" s="542">
        <v>-44107</v>
      </c>
      <c r="G68" s="542">
        <v>0</v>
      </c>
      <c r="H68" s="542">
        <v>-44107</v>
      </c>
      <c r="I68" s="542">
        <v>28312</v>
      </c>
      <c r="J68" s="542">
        <v>0</v>
      </c>
      <c r="K68" s="542">
        <v>28312</v>
      </c>
      <c r="L68" s="542">
        <v>28911</v>
      </c>
      <c r="M68" s="542">
        <v>0</v>
      </c>
      <c r="N68" s="542">
        <v>28911</v>
      </c>
      <c r="O68" s="542">
        <v>633155</v>
      </c>
      <c r="P68" s="542">
        <v>0</v>
      </c>
      <c r="Q68" s="542">
        <v>633155</v>
      </c>
      <c r="R68" s="542">
        <v>646271</v>
      </c>
      <c r="S68" s="542">
        <v>0</v>
      </c>
      <c r="T68" s="542">
        <v>646271</v>
      </c>
      <c r="U68" s="542">
        <v>-2960147</v>
      </c>
      <c r="V68" s="542">
        <v>0</v>
      </c>
      <c r="W68" s="542">
        <v>-2960147</v>
      </c>
      <c r="X68" s="542">
        <v>0</v>
      </c>
      <c r="Y68" s="542">
        <v>0</v>
      </c>
      <c r="Z68" s="542">
        <v>0</v>
      </c>
      <c r="AA68" s="542">
        <v>-145888</v>
      </c>
      <c r="AB68" s="542">
        <v>0</v>
      </c>
      <c r="AC68" s="542">
        <v>-145888</v>
      </c>
      <c r="AD68" s="542">
        <v>-60948</v>
      </c>
      <c r="AE68" s="542">
        <v>0</v>
      </c>
      <c r="AF68" s="542">
        <v>-60948</v>
      </c>
      <c r="AG68" s="542">
        <v>1471587</v>
      </c>
      <c r="AH68" s="542">
        <v>0</v>
      </c>
      <c r="AI68" s="542">
        <v>1471587</v>
      </c>
      <c r="AJ68" s="542">
        <v>-42203</v>
      </c>
      <c r="AK68" s="542">
        <v>0</v>
      </c>
      <c r="AL68" s="542">
        <v>-42203</v>
      </c>
      <c r="AM68" s="542">
        <v>-4544217</v>
      </c>
      <c r="AN68" s="542">
        <v>0</v>
      </c>
      <c r="AO68" s="542">
        <v>-4544217</v>
      </c>
      <c r="AP68" s="542">
        <v>17299</v>
      </c>
      <c r="AQ68" s="542">
        <v>0</v>
      </c>
      <c r="AR68" s="542">
        <v>17299</v>
      </c>
      <c r="AS68" s="542">
        <v>-59093</v>
      </c>
      <c r="AT68" s="542">
        <v>0</v>
      </c>
      <c r="AU68" s="542">
        <v>-59093</v>
      </c>
      <c r="AV68" s="542">
        <v>0</v>
      </c>
      <c r="AW68" s="542">
        <v>0</v>
      </c>
      <c r="AX68" s="542">
        <v>0</v>
      </c>
      <c r="AY68" s="542">
        <v>-13811</v>
      </c>
      <c r="AZ68" s="542">
        <v>0</v>
      </c>
      <c r="BA68" s="542">
        <v>-13811</v>
      </c>
      <c r="BB68" s="542">
        <v>108</v>
      </c>
      <c r="BC68" s="542">
        <v>0</v>
      </c>
      <c r="BD68" s="542">
        <v>108</v>
      </c>
      <c r="BE68" s="542">
        <v>-6276365</v>
      </c>
      <c r="BF68" s="542">
        <v>0</v>
      </c>
      <c r="BG68" s="542">
        <v>-6276365</v>
      </c>
      <c r="BH68" s="542">
        <v>-42588</v>
      </c>
      <c r="BI68" s="542">
        <v>0</v>
      </c>
      <c r="BJ68" s="542">
        <v>-42588</v>
      </c>
      <c r="BK68" s="542">
        <v>-17942</v>
      </c>
      <c r="BL68" s="542">
        <v>0</v>
      </c>
      <c r="BM68" s="542">
        <v>-17942</v>
      </c>
      <c r="BN68" s="542">
        <v>-2369248</v>
      </c>
      <c r="BO68" s="542">
        <v>0</v>
      </c>
      <c r="BP68" s="542">
        <v>-2369248</v>
      </c>
      <c r="BQ68" s="542">
        <v>180775</v>
      </c>
      <c r="BR68" s="542">
        <v>0</v>
      </c>
      <c r="BS68" s="542">
        <v>180775</v>
      </c>
      <c r="BT68" s="542">
        <v>-2249003</v>
      </c>
      <c r="BU68" s="542">
        <v>0</v>
      </c>
      <c r="BV68" s="542">
        <v>-2249003</v>
      </c>
      <c r="BW68" s="542">
        <v>-140364</v>
      </c>
      <c r="BX68" s="542">
        <v>0</v>
      </c>
      <c r="BY68" s="542">
        <v>-140364</v>
      </c>
      <c r="BZ68" s="542">
        <v>-388</v>
      </c>
      <c r="CA68" s="542">
        <v>0</v>
      </c>
      <c r="CB68" s="542">
        <v>-388</v>
      </c>
      <c r="CC68" s="542">
        <v>-50284</v>
      </c>
      <c r="CD68" s="542">
        <v>0</v>
      </c>
      <c r="CE68" s="542">
        <v>-50284</v>
      </c>
      <c r="CF68" s="542">
        <v>-770</v>
      </c>
      <c r="CG68" s="542">
        <v>0</v>
      </c>
      <c r="CH68" s="542">
        <v>-770</v>
      </c>
      <c r="CI68" s="542">
        <v>-14426</v>
      </c>
      <c r="CJ68" s="542">
        <v>0</v>
      </c>
      <c r="CK68" s="542">
        <v>-14426</v>
      </c>
      <c r="CL68" s="542">
        <v>0</v>
      </c>
      <c r="CM68" s="542">
        <v>0</v>
      </c>
      <c r="CN68" s="542">
        <v>0</v>
      </c>
      <c r="CO68" s="542">
        <v>-13811</v>
      </c>
      <c r="CP68" s="542">
        <v>0</v>
      </c>
      <c r="CQ68" s="542">
        <v>-13811</v>
      </c>
      <c r="CR68" s="542">
        <v>108</v>
      </c>
      <c r="CS68" s="542">
        <v>0</v>
      </c>
      <c r="CT68" s="542">
        <v>108</v>
      </c>
      <c r="CU68" s="542">
        <v>0</v>
      </c>
      <c r="CV68" s="542">
        <v>0</v>
      </c>
      <c r="CW68" s="542">
        <v>0</v>
      </c>
      <c r="CX68" s="542">
        <v>0</v>
      </c>
      <c r="CY68" s="542">
        <v>0</v>
      </c>
      <c r="CZ68" s="542">
        <v>0</v>
      </c>
      <c r="DA68" s="542">
        <v>0</v>
      </c>
      <c r="DB68" s="542">
        <v>0</v>
      </c>
      <c r="DC68" s="542">
        <v>0</v>
      </c>
      <c r="DD68" s="542">
        <v>0</v>
      </c>
      <c r="DE68" s="542">
        <v>0</v>
      </c>
      <c r="DF68" s="542">
        <v>0</v>
      </c>
      <c r="DG68" s="542"/>
      <c r="DH68" s="542">
        <v>0</v>
      </c>
      <c r="DI68" s="542"/>
      <c r="DJ68" s="542">
        <v>0</v>
      </c>
      <c r="DK68" s="542"/>
      <c r="DL68" s="542"/>
      <c r="DM68" s="542">
        <v>-219935</v>
      </c>
      <c r="DN68" s="542">
        <v>0</v>
      </c>
      <c r="DO68" s="542">
        <v>-219935</v>
      </c>
      <c r="DP68" s="542">
        <v>0</v>
      </c>
      <c r="DQ68" s="542">
        <v>0</v>
      </c>
      <c r="DR68" s="542">
        <v>0</v>
      </c>
      <c r="DS68" s="542">
        <v>0</v>
      </c>
      <c r="DT68" s="542">
        <v>0</v>
      </c>
      <c r="DU68" s="542">
        <v>0</v>
      </c>
      <c r="DV68" s="542">
        <v>-10428</v>
      </c>
      <c r="DW68" s="542">
        <v>0</v>
      </c>
      <c r="DX68" s="542">
        <v>-10428</v>
      </c>
      <c r="DY68" s="542">
        <v>-763651</v>
      </c>
      <c r="DZ68" s="542">
        <v>0</v>
      </c>
      <c r="EA68" s="542">
        <v>-763651</v>
      </c>
      <c r="EB68" s="542">
        <v>0</v>
      </c>
      <c r="EC68" s="542">
        <v>0</v>
      </c>
      <c r="ED68" s="542">
        <v>0</v>
      </c>
      <c r="EE68" s="542">
        <v>0</v>
      </c>
      <c r="EF68" s="542">
        <v>0</v>
      </c>
      <c r="EG68" s="542">
        <v>0</v>
      </c>
      <c r="EH68" s="542">
        <v>-774079</v>
      </c>
      <c r="EI68" s="542">
        <v>0</v>
      </c>
      <c r="EJ68" s="542">
        <v>-774079</v>
      </c>
      <c r="EK68" s="542">
        <v>0</v>
      </c>
      <c r="EL68" s="542">
        <v>0</v>
      </c>
      <c r="EM68" s="542">
        <v>0</v>
      </c>
      <c r="EN68" s="542">
        <v>0</v>
      </c>
      <c r="EO68" s="542">
        <v>0</v>
      </c>
      <c r="EP68" s="542">
        <v>0</v>
      </c>
      <c r="EQ68" s="542">
        <v>0</v>
      </c>
      <c r="ER68" s="542">
        <v>0</v>
      </c>
      <c r="ES68" s="542">
        <v>0</v>
      </c>
      <c r="ET68" s="542">
        <v>69912840</v>
      </c>
      <c r="EU68" s="542">
        <v>0</v>
      </c>
      <c r="EV68" s="542">
        <v>69912840</v>
      </c>
      <c r="EW68" s="542">
        <v>646271</v>
      </c>
      <c r="EX68" s="542">
        <v>0</v>
      </c>
      <c r="EY68" s="542">
        <v>646271</v>
      </c>
      <c r="EZ68" s="542">
        <v>-6276365</v>
      </c>
      <c r="FA68" s="542">
        <v>0</v>
      </c>
      <c r="FB68" s="542">
        <v>-6276365</v>
      </c>
      <c r="FC68" s="542">
        <v>-2249003</v>
      </c>
      <c r="FD68" s="542">
        <v>0</v>
      </c>
      <c r="FE68" s="542">
        <v>-2249003</v>
      </c>
      <c r="FF68" s="542">
        <v>-219935</v>
      </c>
      <c r="FG68" s="542">
        <v>0</v>
      </c>
      <c r="FH68" s="542">
        <v>-219935</v>
      </c>
      <c r="FI68" s="542">
        <v>-774079</v>
      </c>
      <c r="FJ68" s="542">
        <v>0</v>
      </c>
      <c r="FK68" s="542">
        <v>-774079</v>
      </c>
      <c r="FL68" s="542">
        <v>0</v>
      </c>
      <c r="FM68" s="542">
        <v>0</v>
      </c>
      <c r="FN68" s="542">
        <v>0</v>
      </c>
      <c r="FO68" s="542">
        <v>-8873111</v>
      </c>
      <c r="FP68" s="542">
        <v>0</v>
      </c>
      <c r="FQ68" s="542">
        <v>-8873111</v>
      </c>
      <c r="FR68" s="542">
        <v>61039729</v>
      </c>
      <c r="FS68" s="542">
        <v>0</v>
      </c>
      <c r="FT68" s="542">
        <v>61039729</v>
      </c>
    </row>
    <row r="69" spans="1:176" ht="12.75" x14ac:dyDescent="0.2">
      <c r="A69" s="93">
        <v>64</v>
      </c>
      <c r="B69" s="145" t="s">
        <v>4</v>
      </c>
      <c r="C69" s="604" t="s">
        <v>866</v>
      </c>
      <c r="D69" s="142" t="s">
        <v>868</v>
      </c>
      <c r="E69" s="149" t="s">
        <v>3</v>
      </c>
      <c r="F69" s="542">
        <v>-52961</v>
      </c>
      <c r="G69" s="542">
        <v>0</v>
      </c>
      <c r="H69" s="542">
        <v>-52961</v>
      </c>
      <c r="I69" s="542">
        <v>90883</v>
      </c>
      <c r="J69" s="542">
        <v>0</v>
      </c>
      <c r="K69" s="542">
        <v>90883</v>
      </c>
      <c r="L69" s="542">
        <v>12285</v>
      </c>
      <c r="M69" s="542">
        <v>0</v>
      </c>
      <c r="N69" s="542">
        <v>12285</v>
      </c>
      <c r="O69" s="542">
        <v>20183</v>
      </c>
      <c r="P69" s="542">
        <v>0</v>
      </c>
      <c r="Q69" s="542">
        <v>20183</v>
      </c>
      <c r="R69" s="542">
        <v>70390</v>
      </c>
      <c r="S69" s="542">
        <v>0</v>
      </c>
      <c r="T69" s="542">
        <v>70390</v>
      </c>
      <c r="U69" s="542">
        <v>-1348262</v>
      </c>
      <c r="V69" s="542">
        <v>0</v>
      </c>
      <c r="W69" s="542">
        <v>-1348262</v>
      </c>
      <c r="X69" s="542">
        <v>0</v>
      </c>
      <c r="Y69" s="542">
        <v>0</v>
      </c>
      <c r="Z69" s="542">
        <v>0</v>
      </c>
      <c r="AA69" s="542">
        <v>-74329</v>
      </c>
      <c r="AB69" s="542">
        <v>0</v>
      </c>
      <c r="AC69" s="542">
        <v>-74329</v>
      </c>
      <c r="AD69" s="542">
        <v>-25350</v>
      </c>
      <c r="AE69" s="542">
        <v>0</v>
      </c>
      <c r="AF69" s="542">
        <v>-25350</v>
      </c>
      <c r="AG69" s="542">
        <v>989983</v>
      </c>
      <c r="AH69" s="542">
        <v>0</v>
      </c>
      <c r="AI69" s="542">
        <v>989983</v>
      </c>
      <c r="AJ69" s="542">
        <v>-6261</v>
      </c>
      <c r="AK69" s="542">
        <v>0</v>
      </c>
      <c r="AL69" s="542">
        <v>-6261</v>
      </c>
      <c r="AM69" s="542">
        <v>-1286153</v>
      </c>
      <c r="AN69" s="542">
        <v>0</v>
      </c>
      <c r="AO69" s="542">
        <v>-1286153</v>
      </c>
      <c r="AP69" s="542">
        <v>-35457</v>
      </c>
      <c r="AQ69" s="542">
        <v>0</v>
      </c>
      <c r="AR69" s="542">
        <v>-35457</v>
      </c>
      <c r="AS69" s="542">
        <v>-63316</v>
      </c>
      <c r="AT69" s="542">
        <v>0</v>
      </c>
      <c r="AU69" s="542">
        <v>-63316</v>
      </c>
      <c r="AV69" s="542">
        <v>-18</v>
      </c>
      <c r="AW69" s="542">
        <v>0</v>
      </c>
      <c r="AX69" s="542">
        <v>-18</v>
      </c>
      <c r="AY69" s="542">
        <v>-22080</v>
      </c>
      <c r="AZ69" s="542">
        <v>0</v>
      </c>
      <c r="BA69" s="542">
        <v>-22080</v>
      </c>
      <c r="BB69" s="542">
        <v>0</v>
      </c>
      <c r="BC69" s="542">
        <v>0</v>
      </c>
      <c r="BD69" s="542">
        <v>0</v>
      </c>
      <c r="BE69" s="542">
        <v>-1845893</v>
      </c>
      <c r="BF69" s="542">
        <v>0</v>
      </c>
      <c r="BG69" s="542">
        <v>-1845893</v>
      </c>
      <c r="BH69" s="542">
        <v>0</v>
      </c>
      <c r="BI69" s="542">
        <v>0</v>
      </c>
      <c r="BJ69" s="542">
        <v>0</v>
      </c>
      <c r="BK69" s="542">
        <v>-6427</v>
      </c>
      <c r="BL69" s="542">
        <v>0</v>
      </c>
      <c r="BM69" s="542">
        <v>-6427</v>
      </c>
      <c r="BN69" s="542">
        <v>-305027</v>
      </c>
      <c r="BO69" s="542">
        <v>0</v>
      </c>
      <c r="BP69" s="542">
        <v>-305027</v>
      </c>
      <c r="BQ69" s="542">
        <v>-1659</v>
      </c>
      <c r="BR69" s="542">
        <v>0</v>
      </c>
      <c r="BS69" s="542">
        <v>-1659</v>
      </c>
      <c r="BT69" s="542">
        <v>-313113</v>
      </c>
      <c r="BU69" s="542">
        <v>0</v>
      </c>
      <c r="BV69" s="542">
        <v>-313113</v>
      </c>
      <c r="BW69" s="542">
        <v>0</v>
      </c>
      <c r="BX69" s="542">
        <v>0</v>
      </c>
      <c r="BY69" s="542">
        <v>0</v>
      </c>
      <c r="BZ69" s="542">
        <v>0</v>
      </c>
      <c r="CA69" s="542">
        <v>0</v>
      </c>
      <c r="CB69" s="542">
        <v>0</v>
      </c>
      <c r="CC69" s="542">
        <v>0</v>
      </c>
      <c r="CD69" s="542">
        <v>0</v>
      </c>
      <c r="CE69" s="542">
        <v>0</v>
      </c>
      <c r="CF69" s="542">
        <v>0</v>
      </c>
      <c r="CG69" s="542">
        <v>0</v>
      </c>
      <c r="CH69" s="542">
        <v>0</v>
      </c>
      <c r="CI69" s="542">
        <v>0</v>
      </c>
      <c r="CJ69" s="542">
        <v>0</v>
      </c>
      <c r="CK69" s="542">
        <v>0</v>
      </c>
      <c r="CL69" s="542">
        <v>0</v>
      </c>
      <c r="CM69" s="542">
        <v>0</v>
      </c>
      <c r="CN69" s="542">
        <v>0</v>
      </c>
      <c r="CO69" s="542">
        <v>0</v>
      </c>
      <c r="CP69" s="542">
        <v>0</v>
      </c>
      <c r="CQ69" s="542">
        <v>0</v>
      </c>
      <c r="CR69" s="542">
        <v>0</v>
      </c>
      <c r="CS69" s="542">
        <v>0</v>
      </c>
      <c r="CT69" s="542">
        <v>0</v>
      </c>
      <c r="CU69" s="542">
        <v>0</v>
      </c>
      <c r="CV69" s="542">
        <v>0</v>
      </c>
      <c r="CW69" s="542">
        <v>0</v>
      </c>
      <c r="CX69" s="542">
        <v>0</v>
      </c>
      <c r="CY69" s="542">
        <v>0</v>
      </c>
      <c r="CZ69" s="542">
        <v>0</v>
      </c>
      <c r="DA69" s="542">
        <v>0</v>
      </c>
      <c r="DB69" s="542">
        <v>0</v>
      </c>
      <c r="DC69" s="542">
        <v>0</v>
      </c>
      <c r="DD69" s="542">
        <v>0</v>
      </c>
      <c r="DE69" s="542">
        <v>0</v>
      </c>
      <c r="DF69" s="542">
        <v>0</v>
      </c>
      <c r="DG69" s="542"/>
      <c r="DH69" s="542">
        <v>0</v>
      </c>
      <c r="DI69" s="542"/>
      <c r="DJ69" s="542">
        <v>0</v>
      </c>
      <c r="DK69" s="542"/>
      <c r="DL69" s="542"/>
      <c r="DM69" s="542">
        <v>0</v>
      </c>
      <c r="DN69" s="542">
        <v>0</v>
      </c>
      <c r="DO69" s="542">
        <v>0</v>
      </c>
      <c r="DP69" s="542">
        <v>0</v>
      </c>
      <c r="DQ69" s="542">
        <v>0</v>
      </c>
      <c r="DR69" s="542">
        <v>0</v>
      </c>
      <c r="DS69" s="542">
        <v>0</v>
      </c>
      <c r="DT69" s="542">
        <v>0</v>
      </c>
      <c r="DU69" s="542">
        <v>0</v>
      </c>
      <c r="DV69" s="542">
        <v>0</v>
      </c>
      <c r="DW69" s="542">
        <v>0</v>
      </c>
      <c r="DX69" s="542">
        <v>0</v>
      </c>
      <c r="DY69" s="542">
        <v>-246575</v>
      </c>
      <c r="DZ69" s="542">
        <v>0</v>
      </c>
      <c r="EA69" s="542">
        <v>-246575</v>
      </c>
      <c r="EB69" s="542">
        <v>0</v>
      </c>
      <c r="EC69" s="542">
        <v>0</v>
      </c>
      <c r="ED69" s="542">
        <v>0</v>
      </c>
      <c r="EE69" s="542">
        <v>0</v>
      </c>
      <c r="EF69" s="542">
        <v>0</v>
      </c>
      <c r="EG69" s="542">
        <v>0</v>
      </c>
      <c r="EH69" s="542">
        <v>-246575</v>
      </c>
      <c r="EI69" s="542">
        <v>0</v>
      </c>
      <c r="EJ69" s="542">
        <v>-246575</v>
      </c>
      <c r="EK69" s="542">
        <v>0</v>
      </c>
      <c r="EL69" s="542">
        <v>0</v>
      </c>
      <c r="EM69" s="542">
        <v>0</v>
      </c>
      <c r="EN69" s="542">
        <v>0</v>
      </c>
      <c r="EO69" s="542">
        <v>0</v>
      </c>
      <c r="EP69" s="542">
        <v>0</v>
      </c>
      <c r="EQ69" s="542">
        <v>0</v>
      </c>
      <c r="ER69" s="542">
        <v>0</v>
      </c>
      <c r="ES69" s="542">
        <v>0</v>
      </c>
      <c r="ET69" s="542">
        <v>45936593</v>
      </c>
      <c r="EU69" s="542">
        <v>0</v>
      </c>
      <c r="EV69" s="542">
        <v>45936593</v>
      </c>
      <c r="EW69" s="542">
        <v>70390</v>
      </c>
      <c r="EX69" s="542">
        <v>0</v>
      </c>
      <c r="EY69" s="542">
        <v>70390</v>
      </c>
      <c r="EZ69" s="542">
        <v>-1845893</v>
      </c>
      <c r="FA69" s="542">
        <v>0</v>
      </c>
      <c r="FB69" s="542">
        <v>-1845893</v>
      </c>
      <c r="FC69" s="542">
        <v>-313113</v>
      </c>
      <c r="FD69" s="542">
        <v>0</v>
      </c>
      <c r="FE69" s="542">
        <v>-313113</v>
      </c>
      <c r="FF69" s="542">
        <v>0</v>
      </c>
      <c r="FG69" s="542">
        <v>0</v>
      </c>
      <c r="FH69" s="542">
        <v>0</v>
      </c>
      <c r="FI69" s="542">
        <v>-246575</v>
      </c>
      <c r="FJ69" s="542">
        <v>0</v>
      </c>
      <c r="FK69" s="542">
        <v>-246575</v>
      </c>
      <c r="FL69" s="542">
        <v>0</v>
      </c>
      <c r="FM69" s="542">
        <v>0</v>
      </c>
      <c r="FN69" s="542">
        <v>0</v>
      </c>
      <c r="FO69" s="542">
        <v>-2335191</v>
      </c>
      <c r="FP69" s="542">
        <v>0</v>
      </c>
      <c r="FQ69" s="542">
        <v>-2335191</v>
      </c>
      <c r="FR69" s="542">
        <v>43601402</v>
      </c>
      <c r="FS69" s="542">
        <v>0</v>
      </c>
      <c r="FT69" s="542">
        <v>43601402</v>
      </c>
    </row>
    <row r="70" spans="1:176" ht="12.75" x14ac:dyDescent="0.2">
      <c r="A70" s="93">
        <v>65</v>
      </c>
      <c r="B70" s="145" t="s">
        <v>6</v>
      </c>
      <c r="C70" s="604" t="s">
        <v>866</v>
      </c>
      <c r="D70" s="142" t="s">
        <v>869</v>
      </c>
      <c r="E70" s="149" t="s">
        <v>5</v>
      </c>
      <c r="F70" s="542">
        <v>-236878</v>
      </c>
      <c r="G70" s="542">
        <v>0</v>
      </c>
      <c r="H70" s="542">
        <v>-236878</v>
      </c>
      <c r="I70" s="542">
        <v>-12224</v>
      </c>
      <c r="J70" s="542">
        <v>0</v>
      </c>
      <c r="K70" s="542">
        <v>-12224</v>
      </c>
      <c r="L70" s="542">
        <v>0</v>
      </c>
      <c r="M70" s="542">
        <v>0</v>
      </c>
      <c r="N70" s="542">
        <v>0</v>
      </c>
      <c r="O70" s="542">
        <v>0</v>
      </c>
      <c r="P70" s="542">
        <v>0</v>
      </c>
      <c r="Q70" s="542">
        <v>0</v>
      </c>
      <c r="R70" s="542">
        <v>-249102</v>
      </c>
      <c r="S70" s="542">
        <v>0</v>
      </c>
      <c r="T70" s="542">
        <v>-249102</v>
      </c>
      <c r="U70" s="542">
        <v>-1087006</v>
      </c>
      <c r="V70" s="542">
        <v>0</v>
      </c>
      <c r="W70" s="542">
        <v>-1087006</v>
      </c>
      <c r="X70" s="542">
        <v>0</v>
      </c>
      <c r="Y70" s="542">
        <v>0</v>
      </c>
      <c r="Z70" s="542">
        <v>0</v>
      </c>
      <c r="AA70" s="542">
        <v>-66276</v>
      </c>
      <c r="AB70" s="542">
        <v>0</v>
      </c>
      <c r="AC70" s="542">
        <v>-66276</v>
      </c>
      <c r="AD70" s="542">
        <v>0</v>
      </c>
      <c r="AE70" s="542">
        <v>0</v>
      </c>
      <c r="AF70" s="542">
        <v>0</v>
      </c>
      <c r="AG70" s="542">
        <v>826372</v>
      </c>
      <c r="AH70" s="542">
        <v>0</v>
      </c>
      <c r="AI70" s="542">
        <v>826372</v>
      </c>
      <c r="AJ70" s="542">
        <v>10227</v>
      </c>
      <c r="AK70" s="542">
        <v>0</v>
      </c>
      <c r="AL70" s="542">
        <v>10227</v>
      </c>
      <c r="AM70" s="542">
        <v>-1789607</v>
      </c>
      <c r="AN70" s="542">
        <v>0</v>
      </c>
      <c r="AO70" s="542">
        <v>-1789607</v>
      </c>
      <c r="AP70" s="542">
        <v>150057</v>
      </c>
      <c r="AQ70" s="542">
        <v>0</v>
      </c>
      <c r="AR70" s="542">
        <v>150057</v>
      </c>
      <c r="AS70" s="542">
        <v>0</v>
      </c>
      <c r="AT70" s="542">
        <v>0</v>
      </c>
      <c r="AU70" s="542">
        <v>0</v>
      </c>
      <c r="AV70" s="542">
        <v>0</v>
      </c>
      <c r="AW70" s="542">
        <v>0</v>
      </c>
      <c r="AX70" s="542">
        <v>0</v>
      </c>
      <c r="AY70" s="542">
        <v>-530</v>
      </c>
      <c r="AZ70" s="542">
        <v>0</v>
      </c>
      <c r="BA70" s="542">
        <v>-530</v>
      </c>
      <c r="BB70" s="542">
        <v>0</v>
      </c>
      <c r="BC70" s="542">
        <v>0</v>
      </c>
      <c r="BD70" s="542">
        <v>0</v>
      </c>
      <c r="BE70" s="542">
        <v>-1956763</v>
      </c>
      <c r="BF70" s="542">
        <v>0</v>
      </c>
      <c r="BG70" s="542">
        <v>-1956763</v>
      </c>
      <c r="BH70" s="542">
        <v>-3906</v>
      </c>
      <c r="BI70" s="542">
        <v>0</v>
      </c>
      <c r="BJ70" s="542">
        <v>-3906</v>
      </c>
      <c r="BK70" s="542">
        <v>-1305</v>
      </c>
      <c r="BL70" s="542">
        <v>0</v>
      </c>
      <c r="BM70" s="542">
        <v>-1305</v>
      </c>
      <c r="BN70" s="542">
        <v>-1715936</v>
      </c>
      <c r="BO70" s="542">
        <v>0</v>
      </c>
      <c r="BP70" s="542">
        <v>-1715936</v>
      </c>
      <c r="BQ70" s="542">
        <v>-106518</v>
      </c>
      <c r="BR70" s="542">
        <v>0</v>
      </c>
      <c r="BS70" s="542">
        <v>-106518</v>
      </c>
      <c r="BT70" s="542">
        <v>-1827665</v>
      </c>
      <c r="BU70" s="542">
        <v>0</v>
      </c>
      <c r="BV70" s="542">
        <v>-1827665</v>
      </c>
      <c r="BW70" s="542">
        <v>-34494</v>
      </c>
      <c r="BX70" s="542">
        <v>0</v>
      </c>
      <c r="BY70" s="542">
        <v>-34494</v>
      </c>
      <c r="BZ70" s="542">
        <v>0</v>
      </c>
      <c r="CA70" s="542">
        <v>0</v>
      </c>
      <c r="CB70" s="542">
        <v>0</v>
      </c>
      <c r="CC70" s="542">
        <v>-24169</v>
      </c>
      <c r="CD70" s="542">
        <v>0</v>
      </c>
      <c r="CE70" s="542">
        <v>-24169</v>
      </c>
      <c r="CF70" s="542">
        <v>62871</v>
      </c>
      <c r="CG70" s="542">
        <v>0</v>
      </c>
      <c r="CH70" s="542">
        <v>62871</v>
      </c>
      <c r="CI70" s="542">
        <v>0</v>
      </c>
      <c r="CJ70" s="542">
        <v>0</v>
      </c>
      <c r="CK70" s="542">
        <v>0</v>
      </c>
      <c r="CL70" s="542">
        <v>0</v>
      </c>
      <c r="CM70" s="542">
        <v>0</v>
      </c>
      <c r="CN70" s="542">
        <v>0</v>
      </c>
      <c r="CO70" s="542">
        <v>0</v>
      </c>
      <c r="CP70" s="542">
        <v>0</v>
      </c>
      <c r="CQ70" s="542">
        <v>0</v>
      </c>
      <c r="CR70" s="542">
        <v>0</v>
      </c>
      <c r="CS70" s="542">
        <v>0</v>
      </c>
      <c r="CT70" s="542">
        <v>0</v>
      </c>
      <c r="CU70" s="542">
        <v>0</v>
      </c>
      <c r="CV70" s="542">
        <v>0</v>
      </c>
      <c r="CW70" s="542">
        <v>0</v>
      </c>
      <c r="CX70" s="542">
        <v>0</v>
      </c>
      <c r="CY70" s="542">
        <v>0</v>
      </c>
      <c r="CZ70" s="542">
        <v>0</v>
      </c>
      <c r="DA70" s="542">
        <v>0</v>
      </c>
      <c r="DB70" s="542">
        <v>0</v>
      </c>
      <c r="DC70" s="542">
        <v>0</v>
      </c>
      <c r="DD70" s="542">
        <v>0</v>
      </c>
      <c r="DE70" s="542">
        <v>0</v>
      </c>
      <c r="DF70" s="542">
        <v>0</v>
      </c>
      <c r="DG70" s="542"/>
      <c r="DH70" s="542">
        <v>0</v>
      </c>
      <c r="DI70" s="542"/>
      <c r="DJ70" s="542">
        <v>0</v>
      </c>
      <c r="DK70" s="542"/>
      <c r="DL70" s="542"/>
      <c r="DM70" s="542">
        <v>4208</v>
      </c>
      <c r="DN70" s="542">
        <v>0</v>
      </c>
      <c r="DO70" s="542">
        <v>4208</v>
      </c>
      <c r="DP70" s="542">
        <v>0</v>
      </c>
      <c r="DQ70" s="542">
        <v>0</v>
      </c>
      <c r="DR70" s="542">
        <v>0</v>
      </c>
      <c r="DS70" s="542">
        <v>0</v>
      </c>
      <c r="DT70" s="542">
        <v>0</v>
      </c>
      <c r="DU70" s="542">
        <v>0</v>
      </c>
      <c r="DV70" s="542">
        <v>0</v>
      </c>
      <c r="DW70" s="542">
        <v>0</v>
      </c>
      <c r="DX70" s="542">
        <v>0</v>
      </c>
      <c r="DY70" s="542">
        <v>-236735</v>
      </c>
      <c r="DZ70" s="542">
        <v>0</v>
      </c>
      <c r="EA70" s="542">
        <v>-236735</v>
      </c>
      <c r="EB70" s="542">
        <v>0</v>
      </c>
      <c r="EC70" s="542">
        <v>0</v>
      </c>
      <c r="ED70" s="542">
        <v>0</v>
      </c>
      <c r="EE70" s="542">
        <v>0</v>
      </c>
      <c r="EF70" s="542">
        <v>0</v>
      </c>
      <c r="EG70" s="542">
        <v>0</v>
      </c>
      <c r="EH70" s="542">
        <v>-236735</v>
      </c>
      <c r="EI70" s="542">
        <v>0</v>
      </c>
      <c r="EJ70" s="542">
        <v>-236735</v>
      </c>
      <c r="EK70" s="542">
        <v>0</v>
      </c>
      <c r="EL70" s="542">
        <v>0</v>
      </c>
      <c r="EM70" s="542">
        <v>0</v>
      </c>
      <c r="EN70" s="542">
        <v>0</v>
      </c>
      <c r="EO70" s="542">
        <v>0</v>
      </c>
      <c r="EP70" s="542">
        <v>0</v>
      </c>
      <c r="EQ70" s="542">
        <v>0</v>
      </c>
      <c r="ER70" s="542">
        <v>0</v>
      </c>
      <c r="ES70" s="542">
        <v>0</v>
      </c>
      <c r="ET70" s="542">
        <v>37295466</v>
      </c>
      <c r="EU70" s="542">
        <v>0</v>
      </c>
      <c r="EV70" s="542">
        <v>37295466</v>
      </c>
      <c r="EW70" s="542">
        <v>-249102</v>
      </c>
      <c r="EX70" s="542">
        <v>0</v>
      </c>
      <c r="EY70" s="542">
        <v>-249102</v>
      </c>
      <c r="EZ70" s="542">
        <v>-1956763</v>
      </c>
      <c r="FA70" s="542">
        <v>0</v>
      </c>
      <c r="FB70" s="542">
        <v>-1956763</v>
      </c>
      <c r="FC70" s="542">
        <v>-1827665</v>
      </c>
      <c r="FD70" s="542">
        <v>0</v>
      </c>
      <c r="FE70" s="542">
        <v>-1827665</v>
      </c>
      <c r="FF70" s="542">
        <v>4208</v>
      </c>
      <c r="FG70" s="542">
        <v>0</v>
      </c>
      <c r="FH70" s="542">
        <v>4208</v>
      </c>
      <c r="FI70" s="542">
        <v>-236735</v>
      </c>
      <c r="FJ70" s="542">
        <v>0</v>
      </c>
      <c r="FK70" s="542">
        <v>-236735</v>
      </c>
      <c r="FL70" s="542">
        <v>0</v>
      </c>
      <c r="FM70" s="542">
        <v>0</v>
      </c>
      <c r="FN70" s="542">
        <v>0</v>
      </c>
      <c r="FO70" s="542">
        <v>-4266057</v>
      </c>
      <c r="FP70" s="542">
        <v>0</v>
      </c>
      <c r="FQ70" s="542">
        <v>-4266057</v>
      </c>
      <c r="FR70" s="542">
        <v>33029409</v>
      </c>
      <c r="FS70" s="542">
        <v>0</v>
      </c>
      <c r="FT70" s="542">
        <v>33029409</v>
      </c>
    </row>
    <row r="71" spans="1:176" ht="12.75" x14ac:dyDescent="0.2">
      <c r="A71" s="93">
        <v>66</v>
      </c>
      <c r="B71" s="145" t="s">
        <v>8</v>
      </c>
      <c r="C71" s="604" t="s">
        <v>770</v>
      </c>
      <c r="D71" s="142" t="s">
        <v>875</v>
      </c>
      <c r="E71" s="149" t="s">
        <v>7</v>
      </c>
      <c r="F71" s="542">
        <v>-881436</v>
      </c>
      <c r="G71" s="542">
        <v>0</v>
      </c>
      <c r="H71" s="542">
        <v>-881436</v>
      </c>
      <c r="I71" s="542">
        <v>992526.23</v>
      </c>
      <c r="J71" s="542">
        <v>0</v>
      </c>
      <c r="K71" s="542">
        <v>992526.23</v>
      </c>
      <c r="L71" s="542">
        <v>81021</v>
      </c>
      <c r="M71" s="542">
        <v>0</v>
      </c>
      <c r="N71" s="542">
        <v>81021</v>
      </c>
      <c r="O71" s="542">
        <v>92092</v>
      </c>
      <c r="P71" s="542">
        <v>0</v>
      </c>
      <c r="Q71" s="542">
        <v>92092</v>
      </c>
      <c r="R71" s="542">
        <v>284203</v>
      </c>
      <c r="S71" s="542">
        <v>0</v>
      </c>
      <c r="T71" s="542">
        <v>284203</v>
      </c>
      <c r="U71" s="542">
        <v>-22443050</v>
      </c>
      <c r="V71" s="542">
        <v>0</v>
      </c>
      <c r="W71" s="542">
        <v>-22443050</v>
      </c>
      <c r="X71" s="542">
        <v>-15840</v>
      </c>
      <c r="Y71" s="542">
        <v>0</v>
      </c>
      <c r="Z71" s="542">
        <v>-15840</v>
      </c>
      <c r="AA71" s="542">
        <v>-1641394</v>
      </c>
      <c r="AB71" s="542">
        <v>0</v>
      </c>
      <c r="AC71" s="542">
        <v>-1641394</v>
      </c>
      <c r="AD71" s="542">
        <v>-720329</v>
      </c>
      <c r="AE71" s="542">
        <v>0</v>
      </c>
      <c r="AF71" s="542">
        <v>-720329</v>
      </c>
      <c r="AG71" s="542">
        <v>3400971</v>
      </c>
      <c r="AH71" s="542">
        <v>13018</v>
      </c>
      <c r="AI71" s="542">
        <v>3413989</v>
      </c>
      <c r="AJ71" s="542">
        <v>-90408</v>
      </c>
      <c r="AK71" s="542">
        <v>83</v>
      </c>
      <c r="AL71" s="542">
        <v>-90325</v>
      </c>
      <c r="AM71" s="542">
        <v>-15435937</v>
      </c>
      <c r="AN71" s="542">
        <v>-77853</v>
      </c>
      <c r="AO71" s="542">
        <v>-15513790</v>
      </c>
      <c r="AP71" s="542">
        <v>434844</v>
      </c>
      <c r="AQ71" s="542">
        <v>-5473</v>
      </c>
      <c r="AR71" s="542">
        <v>429371</v>
      </c>
      <c r="AS71" s="542">
        <v>-210597</v>
      </c>
      <c r="AT71" s="542">
        <v>0</v>
      </c>
      <c r="AU71" s="542">
        <v>-210597</v>
      </c>
      <c r="AV71" s="542">
        <v>0</v>
      </c>
      <c r="AW71" s="542">
        <v>0</v>
      </c>
      <c r="AX71" s="542">
        <v>0</v>
      </c>
      <c r="AY71" s="542">
        <v>-230568</v>
      </c>
      <c r="AZ71" s="542">
        <v>0</v>
      </c>
      <c r="BA71" s="542">
        <v>-230568</v>
      </c>
      <c r="BB71" s="542">
        <v>12519</v>
      </c>
      <c r="BC71" s="542">
        <v>0</v>
      </c>
      <c r="BD71" s="542">
        <v>12519</v>
      </c>
      <c r="BE71" s="542">
        <v>-36203620</v>
      </c>
      <c r="BF71" s="542">
        <v>-70225</v>
      </c>
      <c r="BG71" s="542">
        <v>-36273845</v>
      </c>
      <c r="BH71" s="542">
        <v>-6689</v>
      </c>
      <c r="BI71" s="542">
        <v>0</v>
      </c>
      <c r="BJ71" s="542">
        <v>-6689</v>
      </c>
      <c r="BK71" s="542">
        <v>26336</v>
      </c>
      <c r="BL71" s="542">
        <v>0</v>
      </c>
      <c r="BM71" s="542">
        <v>26336</v>
      </c>
      <c r="BN71" s="542">
        <v>-3318497</v>
      </c>
      <c r="BO71" s="542">
        <v>0</v>
      </c>
      <c r="BP71" s="542">
        <v>-3318497</v>
      </c>
      <c r="BQ71" s="542">
        <v>-254131</v>
      </c>
      <c r="BR71" s="542">
        <v>0</v>
      </c>
      <c r="BS71" s="542">
        <v>-254131</v>
      </c>
      <c r="BT71" s="542">
        <v>-3552981</v>
      </c>
      <c r="BU71" s="542">
        <v>0</v>
      </c>
      <c r="BV71" s="542">
        <v>-3552981</v>
      </c>
      <c r="BW71" s="542">
        <v>-628963</v>
      </c>
      <c r="BX71" s="542">
        <v>0</v>
      </c>
      <c r="BY71" s="542">
        <v>-628963</v>
      </c>
      <c r="BZ71" s="542">
        <v>12712</v>
      </c>
      <c r="CA71" s="542">
        <v>0</v>
      </c>
      <c r="CB71" s="542">
        <v>12712</v>
      </c>
      <c r="CC71" s="542">
        <v>-291972</v>
      </c>
      <c r="CD71" s="542">
        <v>0</v>
      </c>
      <c r="CE71" s="542">
        <v>-291972</v>
      </c>
      <c r="CF71" s="542">
        <v>93676</v>
      </c>
      <c r="CG71" s="542">
        <v>0</v>
      </c>
      <c r="CH71" s="542">
        <v>93676</v>
      </c>
      <c r="CI71" s="542">
        <v>-5404</v>
      </c>
      <c r="CJ71" s="542">
        <v>0</v>
      </c>
      <c r="CK71" s="542">
        <v>-5404</v>
      </c>
      <c r="CL71" s="542">
        <v>0</v>
      </c>
      <c r="CM71" s="542">
        <v>0</v>
      </c>
      <c r="CN71" s="542">
        <v>0</v>
      </c>
      <c r="CO71" s="542">
        <v>-101517</v>
      </c>
      <c r="CP71" s="542">
        <v>0</v>
      </c>
      <c r="CQ71" s="542">
        <v>-101517</v>
      </c>
      <c r="CR71" s="542">
        <v>5821</v>
      </c>
      <c r="CS71" s="542">
        <v>0</v>
      </c>
      <c r="CT71" s="542">
        <v>5821</v>
      </c>
      <c r="CU71" s="542">
        <v>-17440</v>
      </c>
      <c r="CV71" s="542">
        <v>0</v>
      </c>
      <c r="CW71" s="542">
        <v>-17440</v>
      </c>
      <c r="CX71" s="542">
        <v>211</v>
      </c>
      <c r="CY71" s="542">
        <v>0</v>
      </c>
      <c r="CZ71" s="542">
        <v>211</v>
      </c>
      <c r="DA71" s="542">
        <v>0</v>
      </c>
      <c r="DB71" s="542">
        <v>-117007</v>
      </c>
      <c r="DC71" s="542">
        <v>-117007</v>
      </c>
      <c r="DD71" s="542">
        <v>0</v>
      </c>
      <c r="DE71" s="542">
        <v>0</v>
      </c>
      <c r="DF71" s="542">
        <v>0</v>
      </c>
      <c r="DG71" s="542"/>
      <c r="DH71" s="542">
        <v>-117007</v>
      </c>
      <c r="DI71" s="542"/>
      <c r="DJ71" s="542">
        <v>0</v>
      </c>
      <c r="DK71" s="542"/>
      <c r="DL71" s="542"/>
      <c r="DM71" s="542">
        <v>-932876</v>
      </c>
      <c r="DN71" s="542">
        <v>-117007</v>
      </c>
      <c r="DO71" s="542">
        <v>-1049883</v>
      </c>
      <c r="DP71" s="542">
        <v>-46213</v>
      </c>
      <c r="DQ71" s="542">
        <v>0</v>
      </c>
      <c r="DR71" s="542">
        <v>-46213</v>
      </c>
      <c r="DS71" s="542">
        <v>0</v>
      </c>
      <c r="DT71" s="542">
        <v>0</v>
      </c>
      <c r="DU71" s="542">
        <v>0</v>
      </c>
      <c r="DV71" s="542">
        <v>-19750</v>
      </c>
      <c r="DW71" s="542">
        <v>0</v>
      </c>
      <c r="DX71" s="542">
        <v>-19750</v>
      </c>
      <c r="DY71" s="542">
        <v>-3161645</v>
      </c>
      <c r="DZ71" s="542">
        <v>0</v>
      </c>
      <c r="EA71" s="542">
        <v>-3161645</v>
      </c>
      <c r="EB71" s="542">
        <v>-11673</v>
      </c>
      <c r="EC71" s="542">
        <v>0</v>
      </c>
      <c r="ED71" s="542">
        <v>-11673</v>
      </c>
      <c r="EE71" s="542">
        <v>-240549</v>
      </c>
      <c r="EF71" s="542">
        <v>0</v>
      </c>
      <c r="EG71" s="542">
        <v>-240549</v>
      </c>
      <c r="EH71" s="542">
        <v>-3479830</v>
      </c>
      <c r="EI71" s="542">
        <v>0</v>
      </c>
      <c r="EJ71" s="542">
        <v>-3479830</v>
      </c>
      <c r="EK71" s="542">
        <v>-1292</v>
      </c>
      <c r="EL71" s="542">
        <v>0</v>
      </c>
      <c r="EM71" s="542">
        <v>-1292</v>
      </c>
      <c r="EN71" s="542">
        <v>1506</v>
      </c>
      <c r="EO71" s="542">
        <v>0</v>
      </c>
      <c r="EP71" s="542">
        <v>1506</v>
      </c>
      <c r="EQ71" s="542">
        <v>214</v>
      </c>
      <c r="ER71" s="542">
        <v>0</v>
      </c>
      <c r="ES71" s="542">
        <v>214</v>
      </c>
      <c r="ET71" s="542">
        <v>195562767</v>
      </c>
      <c r="EU71" s="542">
        <v>560407</v>
      </c>
      <c r="EV71" s="542">
        <v>196123174</v>
      </c>
      <c r="EW71" s="542">
        <v>284203</v>
      </c>
      <c r="EX71" s="542">
        <v>0</v>
      </c>
      <c r="EY71" s="542">
        <v>284203</v>
      </c>
      <c r="EZ71" s="542">
        <v>-36203620</v>
      </c>
      <c r="FA71" s="542">
        <v>-70225</v>
      </c>
      <c r="FB71" s="542">
        <v>-36273845</v>
      </c>
      <c r="FC71" s="542">
        <v>-3552981</v>
      </c>
      <c r="FD71" s="542">
        <v>0</v>
      </c>
      <c r="FE71" s="542">
        <v>-3552981</v>
      </c>
      <c r="FF71" s="542">
        <v>-932876</v>
      </c>
      <c r="FG71" s="542">
        <v>-117007</v>
      </c>
      <c r="FH71" s="542">
        <v>-1049883</v>
      </c>
      <c r="FI71" s="542">
        <v>-3479830</v>
      </c>
      <c r="FJ71" s="542">
        <v>0</v>
      </c>
      <c r="FK71" s="542">
        <v>-3479830</v>
      </c>
      <c r="FL71" s="542">
        <v>214</v>
      </c>
      <c r="FM71" s="542">
        <v>0</v>
      </c>
      <c r="FN71" s="542">
        <v>214</v>
      </c>
      <c r="FO71" s="542">
        <v>-43884890</v>
      </c>
      <c r="FP71" s="542">
        <v>-187232</v>
      </c>
      <c r="FQ71" s="542">
        <v>-44072122</v>
      </c>
      <c r="FR71" s="542">
        <v>151677877</v>
      </c>
      <c r="FS71" s="542">
        <v>373175</v>
      </c>
      <c r="FT71" s="542">
        <v>152051052</v>
      </c>
    </row>
    <row r="72" spans="1:176" ht="12.75" x14ac:dyDescent="0.2">
      <c r="A72" s="93">
        <v>67</v>
      </c>
      <c r="B72" s="145" t="s">
        <v>10</v>
      </c>
      <c r="C72" s="604" t="s">
        <v>866</v>
      </c>
      <c r="D72" s="142" t="s">
        <v>875</v>
      </c>
      <c r="E72" s="149" t="s">
        <v>9</v>
      </c>
      <c r="F72" s="542">
        <v>-178148</v>
      </c>
      <c r="G72" s="542">
        <v>0</v>
      </c>
      <c r="H72" s="542">
        <v>-178148</v>
      </c>
      <c r="I72" s="542">
        <v>101578</v>
      </c>
      <c r="J72" s="542">
        <v>0</v>
      </c>
      <c r="K72" s="542">
        <v>101578</v>
      </c>
      <c r="L72" s="542">
        <v>1559</v>
      </c>
      <c r="M72" s="542">
        <v>0</v>
      </c>
      <c r="N72" s="542">
        <v>1559</v>
      </c>
      <c r="O72" s="542">
        <v>24559</v>
      </c>
      <c r="P72" s="542">
        <v>0</v>
      </c>
      <c r="Q72" s="542">
        <v>24559</v>
      </c>
      <c r="R72" s="542">
        <v>-50452</v>
      </c>
      <c r="S72" s="542">
        <v>0</v>
      </c>
      <c r="T72" s="542">
        <v>-50452</v>
      </c>
      <c r="U72" s="542">
        <v>-2811087</v>
      </c>
      <c r="V72" s="542">
        <v>0</v>
      </c>
      <c r="W72" s="542">
        <v>-2811087</v>
      </c>
      <c r="X72" s="542">
        <v>-7685</v>
      </c>
      <c r="Y72" s="542">
        <v>0</v>
      </c>
      <c r="Z72" s="542">
        <v>-7685</v>
      </c>
      <c r="AA72" s="542">
        <v>-317308</v>
      </c>
      <c r="AB72" s="542">
        <v>0</v>
      </c>
      <c r="AC72" s="542">
        <v>-317308</v>
      </c>
      <c r="AD72" s="542">
        <v>-125378</v>
      </c>
      <c r="AE72" s="542">
        <v>0</v>
      </c>
      <c r="AF72" s="542">
        <v>-125378</v>
      </c>
      <c r="AG72" s="542">
        <v>620024</v>
      </c>
      <c r="AH72" s="542">
        <v>0</v>
      </c>
      <c r="AI72" s="542">
        <v>620024</v>
      </c>
      <c r="AJ72" s="542">
        <v>60695</v>
      </c>
      <c r="AK72" s="542">
        <v>0</v>
      </c>
      <c r="AL72" s="542">
        <v>60695</v>
      </c>
      <c r="AM72" s="542">
        <v>-2011295</v>
      </c>
      <c r="AN72" s="542">
        <v>0</v>
      </c>
      <c r="AO72" s="542">
        <v>-2011295</v>
      </c>
      <c r="AP72" s="542">
        <v>49398</v>
      </c>
      <c r="AQ72" s="542">
        <v>0</v>
      </c>
      <c r="AR72" s="542">
        <v>49398</v>
      </c>
      <c r="AS72" s="542">
        <v>-112886</v>
      </c>
      <c r="AT72" s="542">
        <v>0</v>
      </c>
      <c r="AU72" s="542">
        <v>-112886</v>
      </c>
      <c r="AV72" s="542">
        <v>0</v>
      </c>
      <c r="AW72" s="542">
        <v>0</v>
      </c>
      <c r="AX72" s="542">
        <v>0</v>
      </c>
      <c r="AY72" s="542">
        <v>-35147</v>
      </c>
      <c r="AZ72" s="542">
        <v>0</v>
      </c>
      <c r="BA72" s="542">
        <v>-35147</v>
      </c>
      <c r="BB72" s="542">
        <v>-1154</v>
      </c>
      <c r="BC72" s="542">
        <v>0</v>
      </c>
      <c r="BD72" s="542">
        <v>-1154</v>
      </c>
      <c r="BE72" s="542">
        <v>-4558760</v>
      </c>
      <c r="BF72" s="542">
        <v>0</v>
      </c>
      <c r="BG72" s="542">
        <v>-4558760</v>
      </c>
      <c r="BH72" s="542">
        <v>0</v>
      </c>
      <c r="BI72" s="542">
        <v>0</v>
      </c>
      <c r="BJ72" s="542">
        <v>0</v>
      </c>
      <c r="BK72" s="542">
        <v>0</v>
      </c>
      <c r="BL72" s="542">
        <v>0</v>
      </c>
      <c r="BM72" s="542">
        <v>0</v>
      </c>
      <c r="BN72" s="542">
        <v>-1125389</v>
      </c>
      <c r="BO72" s="542">
        <v>0</v>
      </c>
      <c r="BP72" s="542">
        <v>-1125389</v>
      </c>
      <c r="BQ72" s="542">
        <v>-58123</v>
      </c>
      <c r="BR72" s="542">
        <v>0</v>
      </c>
      <c r="BS72" s="542">
        <v>-58123</v>
      </c>
      <c r="BT72" s="542">
        <v>-1183512</v>
      </c>
      <c r="BU72" s="542">
        <v>0</v>
      </c>
      <c r="BV72" s="542">
        <v>-1183512</v>
      </c>
      <c r="BW72" s="542">
        <v>-78838</v>
      </c>
      <c r="BX72" s="542">
        <v>0</v>
      </c>
      <c r="BY72" s="542">
        <v>-78838</v>
      </c>
      <c r="BZ72" s="542">
        <v>820</v>
      </c>
      <c r="CA72" s="542">
        <v>0</v>
      </c>
      <c r="CB72" s="542">
        <v>820</v>
      </c>
      <c r="CC72" s="542">
        <v>-8183</v>
      </c>
      <c r="CD72" s="542">
        <v>0</v>
      </c>
      <c r="CE72" s="542">
        <v>-8183</v>
      </c>
      <c r="CF72" s="542">
        <v>0</v>
      </c>
      <c r="CG72" s="542">
        <v>0</v>
      </c>
      <c r="CH72" s="542">
        <v>0</v>
      </c>
      <c r="CI72" s="542">
        <v>-76</v>
      </c>
      <c r="CJ72" s="542">
        <v>0</v>
      </c>
      <c r="CK72" s="542">
        <v>-76</v>
      </c>
      <c r="CL72" s="542">
        <v>0</v>
      </c>
      <c r="CM72" s="542">
        <v>0</v>
      </c>
      <c r="CN72" s="542">
        <v>0</v>
      </c>
      <c r="CO72" s="542">
        <v>-5501</v>
      </c>
      <c r="CP72" s="542">
        <v>0</v>
      </c>
      <c r="CQ72" s="542">
        <v>-5501</v>
      </c>
      <c r="CR72" s="542">
        <v>0</v>
      </c>
      <c r="CS72" s="542">
        <v>0</v>
      </c>
      <c r="CT72" s="542">
        <v>0</v>
      </c>
      <c r="CU72" s="542">
        <v>0</v>
      </c>
      <c r="CV72" s="542">
        <v>0</v>
      </c>
      <c r="CW72" s="542">
        <v>0</v>
      </c>
      <c r="CX72" s="542">
        <v>0</v>
      </c>
      <c r="CY72" s="542">
        <v>0</v>
      </c>
      <c r="CZ72" s="542">
        <v>0</v>
      </c>
      <c r="DA72" s="542">
        <v>0</v>
      </c>
      <c r="DB72" s="542">
        <v>0</v>
      </c>
      <c r="DC72" s="542">
        <v>0</v>
      </c>
      <c r="DD72" s="542">
        <v>0</v>
      </c>
      <c r="DE72" s="542">
        <v>0</v>
      </c>
      <c r="DF72" s="542">
        <v>0</v>
      </c>
      <c r="DG72" s="542"/>
      <c r="DH72" s="542">
        <v>0</v>
      </c>
      <c r="DI72" s="542"/>
      <c r="DJ72" s="542">
        <v>0</v>
      </c>
      <c r="DK72" s="542"/>
      <c r="DL72" s="542"/>
      <c r="DM72" s="542">
        <v>-91778</v>
      </c>
      <c r="DN72" s="542">
        <v>0</v>
      </c>
      <c r="DO72" s="542">
        <v>-91778</v>
      </c>
      <c r="DP72" s="542">
        <v>-4634</v>
      </c>
      <c r="DQ72" s="542">
        <v>0</v>
      </c>
      <c r="DR72" s="542">
        <v>-4634</v>
      </c>
      <c r="DS72" s="542">
        <v>0</v>
      </c>
      <c r="DT72" s="542">
        <v>0</v>
      </c>
      <c r="DU72" s="542">
        <v>0</v>
      </c>
      <c r="DV72" s="542">
        <v>0</v>
      </c>
      <c r="DW72" s="542">
        <v>0</v>
      </c>
      <c r="DX72" s="542">
        <v>0</v>
      </c>
      <c r="DY72" s="542">
        <v>-567072</v>
      </c>
      <c r="DZ72" s="542">
        <v>0</v>
      </c>
      <c r="EA72" s="542">
        <v>-567072</v>
      </c>
      <c r="EB72" s="542">
        <v>0</v>
      </c>
      <c r="EC72" s="542">
        <v>0</v>
      </c>
      <c r="ED72" s="542">
        <v>0</v>
      </c>
      <c r="EE72" s="542">
        <v>-1458</v>
      </c>
      <c r="EF72" s="542">
        <v>0</v>
      </c>
      <c r="EG72" s="542">
        <v>-1458</v>
      </c>
      <c r="EH72" s="542">
        <v>-573164</v>
      </c>
      <c r="EI72" s="542">
        <v>0</v>
      </c>
      <c r="EJ72" s="542">
        <v>-573164</v>
      </c>
      <c r="EK72" s="542">
        <v>0</v>
      </c>
      <c r="EL72" s="542">
        <v>0</v>
      </c>
      <c r="EM72" s="542">
        <v>0</v>
      </c>
      <c r="EN72" s="542">
        <v>0</v>
      </c>
      <c r="EO72" s="542">
        <v>0</v>
      </c>
      <c r="EP72" s="542">
        <v>0</v>
      </c>
      <c r="EQ72" s="542">
        <v>0</v>
      </c>
      <c r="ER72" s="542">
        <v>0</v>
      </c>
      <c r="ES72" s="542">
        <v>0</v>
      </c>
      <c r="ET72" s="542">
        <v>35407271</v>
      </c>
      <c r="EU72" s="542">
        <v>0</v>
      </c>
      <c r="EV72" s="542">
        <v>35407271</v>
      </c>
      <c r="EW72" s="542">
        <v>-50452</v>
      </c>
      <c r="EX72" s="542">
        <v>0</v>
      </c>
      <c r="EY72" s="542">
        <v>-50452</v>
      </c>
      <c r="EZ72" s="542">
        <v>-4558760</v>
      </c>
      <c r="FA72" s="542">
        <v>0</v>
      </c>
      <c r="FB72" s="542">
        <v>-4558760</v>
      </c>
      <c r="FC72" s="542">
        <v>-1183512</v>
      </c>
      <c r="FD72" s="542">
        <v>0</v>
      </c>
      <c r="FE72" s="542">
        <v>-1183512</v>
      </c>
      <c r="FF72" s="542">
        <v>-91778</v>
      </c>
      <c r="FG72" s="542">
        <v>0</v>
      </c>
      <c r="FH72" s="542">
        <v>-91778</v>
      </c>
      <c r="FI72" s="542">
        <v>-573164</v>
      </c>
      <c r="FJ72" s="542">
        <v>0</v>
      </c>
      <c r="FK72" s="542">
        <v>-573164</v>
      </c>
      <c r="FL72" s="542">
        <v>0</v>
      </c>
      <c r="FM72" s="542">
        <v>0</v>
      </c>
      <c r="FN72" s="542">
        <v>0</v>
      </c>
      <c r="FO72" s="542">
        <v>-6457666</v>
      </c>
      <c r="FP72" s="542">
        <v>0</v>
      </c>
      <c r="FQ72" s="542">
        <v>-6457666</v>
      </c>
      <c r="FR72" s="542">
        <v>28949605</v>
      </c>
      <c r="FS72" s="542">
        <v>0</v>
      </c>
      <c r="FT72" s="542">
        <v>28949605</v>
      </c>
    </row>
    <row r="73" spans="1:176" ht="12.75" x14ac:dyDescent="0.2">
      <c r="A73" s="93">
        <v>68</v>
      </c>
      <c r="B73" s="145" t="s">
        <v>12</v>
      </c>
      <c r="C73" s="604" t="s">
        <v>873</v>
      </c>
      <c r="D73" s="142" t="s">
        <v>876</v>
      </c>
      <c r="E73" s="149" t="s">
        <v>11</v>
      </c>
      <c r="F73" s="542">
        <v>-23143</v>
      </c>
      <c r="G73" s="542">
        <v>0</v>
      </c>
      <c r="H73" s="542">
        <v>-23143</v>
      </c>
      <c r="I73" s="542">
        <v>46969</v>
      </c>
      <c r="J73" s="542">
        <v>0</v>
      </c>
      <c r="K73" s="542">
        <v>46969</v>
      </c>
      <c r="L73" s="542">
        <v>11586</v>
      </c>
      <c r="M73" s="542">
        <v>0</v>
      </c>
      <c r="N73" s="542">
        <v>11586</v>
      </c>
      <c r="O73" s="542">
        <v>748603</v>
      </c>
      <c r="P73" s="542">
        <v>0</v>
      </c>
      <c r="Q73" s="542">
        <v>748603</v>
      </c>
      <c r="R73" s="542">
        <v>784015</v>
      </c>
      <c r="S73" s="542">
        <v>0</v>
      </c>
      <c r="T73" s="542">
        <v>784015</v>
      </c>
      <c r="U73" s="542">
        <v>-5236847</v>
      </c>
      <c r="V73" s="542">
        <v>0</v>
      </c>
      <c r="W73" s="542">
        <v>-5236847</v>
      </c>
      <c r="X73" s="542">
        <v>-737</v>
      </c>
      <c r="Y73" s="542">
        <v>0</v>
      </c>
      <c r="Z73" s="542">
        <v>-737</v>
      </c>
      <c r="AA73" s="542">
        <v>-355040</v>
      </c>
      <c r="AB73" s="542">
        <v>0</v>
      </c>
      <c r="AC73" s="542">
        <v>-355040</v>
      </c>
      <c r="AD73" s="542">
        <v>0</v>
      </c>
      <c r="AE73" s="542">
        <v>0</v>
      </c>
      <c r="AF73" s="542">
        <v>0</v>
      </c>
      <c r="AG73" s="542">
        <v>2945772</v>
      </c>
      <c r="AH73" s="542">
        <v>0</v>
      </c>
      <c r="AI73" s="542">
        <v>2945772</v>
      </c>
      <c r="AJ73" s="542">
        <v>-54210</v>
      </c>
      <c r="AK73" s="542">
        <v>0</v>
      </c>
      <c r="AL73" s="542">
        <v>-54210</v>
      </c>
      <c r="AM73" s="542">
        <v>-12142217</v>
      </c>
      <c r="AN73" s="542">
        <v>0</v>
      </c>
      <c r="AO73" s="542">
        <v>-12142217</v>
      </c>
      <c r="AP73" s="542">
        <v>-500119</v>
      </c>
      <c r="AQ73" s="542">
        <v>0</v>
      </c>
      <c r="AR73" s="542">
        <v>-500119</v>
      </c>
      <c r="AS73" s="542">
        <v>-44556</v>
      </c>
      <c r="AT73" s="542">
        <v>0</v>
      </c>
      <c r="AU73" s="542">
        <v>-44556</v>
      </c>
      <c r="AV73" s="542">
        <v>-6029</v>
      </c>
      <c r="AW73" s="542">
        <v>0</v>
      </c>
      <c r="AX73" s="542">
        <v>-6029</v>
      </c>
      <c r="AY73" s="542">
        <v>0</v>
      </c>
      <c r="AZ73" s="542">
        <v>0</v>
      </c>
      <c r="BA73" s="542">
        <v>0</v>
      </c>
      <c r="BB73" s="542">
        <v>0</v>
      </c>
      <c r="BC73" s="542">
        <v>0</v>
      </c>
      <c r="BD73" s="542">
        <v>0</v>
      </c>
      <c r="BE73" s="542">
        <v>-15393246</v>
      </c>
      <c r="BF73" s="542">
        <v>0</v>
      </c>
      <c r="BG73" s="542">
        <v>-15393246</v>
      </c>
      <c r="BH73" s="542">
        <v>-78688</v>
      </c>
      <c r="BI73" s="542">
        <v>0</v>
      </c>
      <c r="BJ73" s="542">
        <v>-78688</v>
      </c>
      <c r="BK73" s="542">
        <v>-14335</v>
      </c>
      <c r="BL73" s="542">
        <v>0</v>
      </c>
      <c r="BM73" s="542">
        <v>-14335</v>
      </c>
      <c r="BN73" s="542">
        <v>-3254024</v>
      </c>
      <c r="BO73" s="542">
        <v>0</v>
      </c>
      <c r="BP73" s="542">
        <v>-3254024</v>
      </c>
      <c r="BQ73" s="542">
        <v>-36501</v>
      </c>
      <c r="BR73" s="542">
        <v>0</v>
      </c>
      <c r="BS73" s="542">
        <v>-36501</v>
      </c>
      <c r="BT73" s="542">
        <v>-3383548</v>
      </c>
      <c r="BU73" s="542">
        <v>0</v>
      </c>
      <c r="BV73" s="542">
        <v>-3383548</v>
      </c>
      <c r="BW73" s="542">
        <v>-579199</v>
      </c>
      <c r="BX73" s="542">
        <v>0</v>
      </c>
      <c r="BY73" s="542">
        <v>-579199</v>
      </c>
      <c r="BZ73" s="542">
        <v>-35614</v>
      </c>
      <c r="CA73" s="542">
        <v>0</v>
      </c>
      <c r="CB73" s="542">
        <v>-35614</v>
      </c>
      <c r="CC73" s="542">
        <v>-223332</v>
      </c>
      <c r="CD73" s="542">
        <v>0</v>
      </c>
      <c r="CE73" s="542">
        <v>-223332</v>
      </c>
      <c r="CF73" s="542">
        <v>12724</v>
      </c>
      <c r="CG73" s="542">
        <v>0</v>
      </c>
      <c r="CH73" s="542">
        <v>12724</v>
      </c>
      <c r="CI73" s="542">
        <v>-11139</v>
      </c>
      <c r="CJ73" s="542">
        <v>0</v>
      </c>
      <c r="CK73" s="542">
        <v>-11139</v>
      </c>
      <c r="CL73" s="542">
        <v>-1507</v>
      </c>
      <c r="CM73" s="542">
        <v>0</v>
      </c>
      <c r="CN73" s="542">
        <v>-1507</v>
      </c>
      <c r="CO73" s="542">
        <v>0</v>
      </c>
      <c r="CP73" s="542">
        <v>0</v>
      </c>
      <c r="CQ73" s="542">
        <v>0</v>
      </c>
      <c r="CR73" s="542">
        <v>0</v>
      </c>
      <c r="CS73" s="542">
        <v>0</v>
      </c>
      <c r="CT73" s="542">
        <v>0</v>
      </c>
      <c r="CU73" s="542">
        <v>0</v>
      </c>
      <c r="CV73" s="542">
        <v>0</v>
      </c>
      <c r="CW73" s="542">
        <v>0</v>
      </c>
      <c r="CX73" s="542">
        <v>0</v>
      </c>
      <c r="CY73" s="542">
        <v>0</v>
      </c>
      <c r="CZ73" s="542">
        <v>0</v>
      </c>
      <c r="DA73" s="542">
        <v>0</v>
      </c>
      <c r="DB73" s="542">
        <v>0</v>
      </c>
      <c r="DC73" s="542">
        <v>0</v>
      </c>
      <c r="DD73" s="542">
        <v>0</v>
      </c>
      <c r="DE73" s="542">
        <v>0</v>
      </c>
      <c r="DF73" s="542">
        <v>0</v>
      </c>
      <c r="DG73" s="542"/>
      <c r="DH73" s="542">
        <v>0</v>
      </c>
      <c r="DI73" s="542"/>
      <c r="DJ73" s="542">
        <v>0</v>
      </c>
      <c r="DK73" s="542"/>
      <c r="DL73" s="542"/>
      <c r="DM73" s="542">
        <v>-838067</v>
      </c>
      <c r="DN73" s="542">
        <v>0</v>
      </c>
      <c r="DO73" s="542">
        <v>-838067</v>
      </c>
      <c r="DP73" s="542">
        <v>-32058</v>
      </c>
      <c r="DQ73" s="542">
        <v>0</v>
      </c>
      <c r="DR73" s="542">
        <v>-32058</v>
      </c>
      <c r="DS73" s="542">
        <v>0</v>
      </c>
      <c r="DT73" s="542">
        <v>0</v>
      </c>
      <c r="DU73" s="542">
        <v>0</v>
      </c>
      <c r="DV73" s="542">
        <v>0</v>
      </c>
      <c r="DW73" s="542">
        <v>0</v>
      </c>
      <c r="DX73" s="542">
        <v>0</v>
      </c>
      <c r="DY73" s="542">
        <v>-782574</v>
      </c>
      <c r="DZ73" s="542">
        <v>0</v>
      </c>
      <c r="EA73" s="542">
        <v>-782574</v>
      </c>
      <c r="EB73" s="542">
        <v>0</v>
      </c>
      <c r="EC73" s="542">
        <v>0</v>
      </c>
      <c r="ED73" s="542">
        <v>0</v>
      </c>
      <c r="EE73" s="542">
        <v>0</v>
      </c>
      <c r="EF73" s="542">
        <v>0</v>
      </c>
      <c r="EG73" s="542">
        <v>0</v>
      </c>
      <c r="EH73" s="542">
        <v>-814632</v>
      </c>
      <c r="EI73" s="542">
        <v>0</v>
      </c>
      <c r="EJ73" s="542">
        <v>-814632</v>
      </c>
      <c r="EK73" s="542">
        <v>0</v>
      </c>
      <c r="EL73" s="542">
        <v>0</v>
      </c>
      <c r="EM73" s="542">
        <v>0</v>
      </c>
      <c r="EN73" s="542">
        <v>0</v>
      </c>
      <c r="EO73" s="542">
        <v>0</v>
      </c>
      <c r="EP73" s="542">
        <v>0</v>
      </c>
      <c r="EQ73" s="542">
        <v>0</v>
      </c>
      <c r="ER73" s="542">
        <v>0</v>
      </c>
      <c r="ES73" s="542">
        <v>0</v>
      </c>
      <c r="ET73" s="542">
        <v>138107553</v>
      </c>
      <c r="EU73" s="542">
        <v>0</v>
      </c>
      <c r="EV73" s="542">
        <v>138107553</v>
      </c>
      <c r="EW73" s="542">
        <v>784015</v>
      </c>
      <c r="EX73" s="542">
        <v>0</v>
      </c>
      <c r="EY73" s="542">
        <v>784015</v>
      </c>
      <c r="EZ73" s="542">
        <v>-15393246</v>
      </c>
      <c r="FA73" s="542">
        <v>0</v>
      </c>
      <c r="FB73" s="542">
        <v>-15393246</v>
      </c>
      <c r="FC73" s="542">
        <v>-3383548</v>
      </c>
      <c r="FD73" s="542">
        <v>0</v>
      </c>
      <c r="FE73" s="542">
        <v>-3383548</v>
      </c>
      <c r="FF73" s="542">
        <v>-838067</v>
      </c>
      <c r="FG73" s="542">
        <v>0</v>
      </c>
      <c r="FH73" s="542">
        <v>-838067</v>
      </c>
      <c r="FI73" s="542">
        <v>-814632</v>
      </c>
      <c r="FJ73" s="542">
        <v>0</v>
      </c>
      <c r="FK73" s="542">
        <v>-814632</v>
      </c>
      <c r="FL73" s="542">
        <v>0</v>
      </c>
      <c r="FM73" s="542">
        <v>0</v>
      </c>
      <c r="FN73" s="542">
        <v>0</v>
      </c>
      <c r="FO73" s="542">
        <v>-19645478</v>
      </c>
      <c r="FP73" s="542">
        <v>0</v>
      </c>
      <c r="FQ73" s="542">
        <v>-19645478</v>
      </c>
      <c r="FR73" s="542">
        <v>118462075</v>
      </c>
      <c r="FS73" s="542">
        <v>0</v>
      </c>
      <c r="FT73" s="542">
        <v>118462075</v>
      </c>
    </row>
    <row r="74" spans="1:176" ht="12.75" x14ac:dyDescent="0.2">
      <c r="A74" s="93">
        <v>69</v>
      </c>
      <c r="B74" s="145" t="s">
        <v>14</v>
      </c>
      <c r="C74" s="604" t="s">
        <v>866</v>
      </c>
      <c r="D74" s="142" t="s">
        <v>874</v>
      </c>
      <c r="E74" s="149" t="s">
        <v>13</v>
      </c>
      <c r="F74" s="542">
        <v>-22364</v>
      </c>
      <c r="G74" s="542">
        <v>0</v>
      </c>
      <c r="H74" s="542">
        <v>-22364</v>
      </c>
      <c r="I74" s="542">
        <v>21235</v>
      </c>
      <c r="J74" s="542">
        <v>0</v>
      </c>
      <c r="K74" s="542">
        <v>21235</v>
      </c>
      <c r="L74" s="542">
        <v>536</v>
      </c>
      <c r="M74" s="542">
        <v>0</v>
      </c>
      <c r="N74" s="542">
        <v>536</v>
      </c>
      <c r="O74" s="542">
        <v>57350</v>
      </c>
      <c r="P74" s="542">
        <v>0</v>
      </c>
      <c r="Q74" s="542">
        <v>57350</v>
      </c>
      <c r="R74" s="542">
        <v>56757</v>
      </c>
      <c r="S74" s="542">
        <v>0</v>
      </c>
      <c r="T74" s="542">
        <v>56757</v>
      </c>
      <c r="U74" s="542">
        <v>-2243698</v>
      </c>
      <c r="V74" s="542">
        <v>0</v>
      </c>
      <c r="W74" s="542">
        <v>-2243698</v>
      </c>
      <c r="X74" s="542">
        <v>-5000</v>
      </c>
      <c r="Y74" s="542">
        <v>0</v>
      </c>
      <c r="Z74" s="542">
        <v>-5000</v>
      </c>
      <c r="AA74" s="542">
        <v>-193784</v>
      </c>
      <c r="AB74" s="542">
        <v>0</v>
      </c>
      <c r="AC74" s="542">
        <v>-193784</v>
      </c>
      <c r="AD74" s="542">
        <v>-72603</v>
      </c>
      <c r="AE74" s="542">
        <v>0</v>
      </c>
      <c r="AF74" s="542">
        <v>-72603</v>
      </c>
      <c r="AG74" s="542">
        <v>387086</v>
      </c>
      <c r="AH74" s="542">
        <v>0</v>
      </c>
      <c r="AI74" s="542">
        <v>387086</v>
      </c>
      <c r="AJ74" s="542">
        <v>13380</v>
      </c>
      <c r="AK74" s="542">
        <v>0</v>
      </c>
      <c r="AL74" s="542">
        <v>13380</v>
      </c>
      <c r="AM74" s="542">
        <v>-1081017</v>
      </c>
      <c r="AN74" s="542">
        <v>0</v>
      </c>
      <c r="AO74" s="542">
        <v>-1081017</v>
      </c>
      <c r="AP74" s="542">
        <v>101859</v>
      </c>
      <c r="AQ74" s="542">
        <v>0</v>
      </c>
      <c r="AR74" s="542">
        <v>101859</v>
      </c>
      <c r="AS74" s="542">
        <v>-27734</v>
      </c>
      <c r="AT74" s="542">
        <v>0</v>
      </c>
      <c r="AU74" s="542">
        <v>-27734</v>
      </c>
      <c r="AV74" s="542">
        <v>0</v>
      </c>
      <c r="AW74" s="542">
        <v>0</v>
      </c>
      <c r="AX74" s="542">
        <v>0</v>
      </c>
      <c r="AY74" s="542">
        <v>-35786</v>
      </c>
      <c r="AZ74" s="542">
        <v>0</v>
      </c>
      <c r="BA74" s="542">
        <v>-35786</v>
      </c>
      <c r="BB74" s="542">
        <v>-132</v>
      </c>
      <c r="BC74" s="542">
        <v>0</v>
      </c>
      <c r="BD74" s="542">
        <v>-132</v>
      </c>
      <c r="BE74" s="542">
        <v>-3079826</v>
      </c>
      <c r="BF74" s="542">
        <v>0</v>
      </c>
      <c r="BG74" s="542">
        <v>-3079826</v>
      </c>
      <c r="BH74" s="542">
        <v>-14675</v>
      </c>
      <c r="BI74" s="542">
        <v>0</v>
      </c>
      <c r="BJ74" s="542">
        <v>-14675</v>
      </c>
      <c r="BK74" s="542">
        <v>-1009</v>
      </c>
      <c r="BL74" s="542">
        <v>0</v>
      </c>
      <c r="BM74" s="542">
        <v>-1009</v>
      </c>
      <c r="BN74" s="542">
        <v>-679900</v>
      </c>
      <c r="BO74" s="542">
        <v>0</v>
      </c>
      <c r="BP74" s="542">
        <v>-679900</v>
      </c>
      <c r="BQ74" s="542">
        <v>4796</v>
      </c>
      <c r="BR74" s="542">
        <v>0</v>
      </c>
      <c r="BS74" s="542">
        <v>4796</v>
      </c>
      <c r="BT74" s="542">
        <v>-690788</v>
      </c>
      <c r="BU74" s="542">
        <v>0</v>
      </c>
      <c r="BV74" s="542">
        <v>-690788</v>
      </c>
      <c r="BW74" s="542">
        <v>-23642</v>
      </c>
      <c r="BX74" s="542">
        <v>0</v>
      </c>
      <c r="BY74" s="542">
        <v>-23642</v>
      </c>
      <c r="BZ74" s="542">
        <v>-89</v>
      </c>
      <c r="CA74" s="542">
        <v>0</v>
      </c>
      <c r="CB74" s="542">
        <v>-89</v>
      </c>
      <c r="CC74" s="542">
        <v>-3561</v>
      </c>
      <c r="CD74" s="542">
        <v>0</v>
      </c>
      <c r="CE74" s="542">
        <v>-3561</v>
      </c>
      <c r="CF74" s="542">
        <v>-655</v>
      </c>
      <c r="CG74" s="542">
        <v>0</v>
      </c>
      <c r="CH74" s="542">
        <v>-655</v>
      </c>
      <c r="CI74" s="542">
        <v>0</v>
      </c>
      <c r="CJ74" s="542">
        <v>0</v>
      </c>
      <c r="CK74" s="542">
        <v>0</v>
      </c>
      <c r="CL74" s="542">
        <v>0</v>
      </c>
      <c r="CM74" s="542">
        <v>0</v>
      </c>
      <c r="CN74" s="542">
        <v>0</v>
      </c>
      <c r="CO74" s="542">
        <v>-29968</v>
      </c>
      <c r="CP74" s="542">
        <v>0</v>
      </c>
      <c r="CQ74" s="542">
        <v>-29968</v>
      </c>
      <c r="CR74" s="542">
        <v>151</v>
      </c>
      <c r="CS74" s="542">
        <v>0</v>
      </c>
      <c r="CT74" s="542">
        <v>151</v>
      </c>
      <c r="CU74" s="542">
        <v>0</v>
      </c>
      <c r="CV74" s="542">
        <v>0</v>
      </c>
      <c r="CW74" s="542">
        <v>0</v>
      </c>
      <c r="CX74" s="542">
        <v>0</v>
      </c>
      <c r="CY74" s="542">
        <v>0</v>
      </c>
      <c r="CZ74" s="542">
        <v>0</v>
      </c>
      <c r="DA74" s="542">
        <v>0</v>
      </c>
      <c r="DB74" s="542">
        <v>0</v>
      </c>
      <c r="DC74" s="542">
        <v>0</v>
      </c>
      <c r="DD74" s="542">
        <v>0</v>
      </c>
      <c r="DE74" s="542">
        <v>0</v>
      </c>
      <c r="DF74" s="542">
        <v>0</v>
      </c>
      <c r="DG74" s="542"/>
      <c r="DH74" s="542">
        <v>0</v>
      </c>
      <c r="DI74" s="542"/>
      <c r="DJ74" s="542">
        <v>0</v>
      </c>
      <c r="DK74" s="542"/>
      <c r="DL74" s="542"/>
      <c r="DM74" s="542">
        <v>-57764</v>
      </c>
      <c r="DN74" s="542">
        <v>0</v>
      </c>
      <c r="DO74" s="542">
        <v>-57764</v>
      </c>
      <c r="DP74" s="542">
        <v>-4133</v>
      </c>
      <c r="DQ74" s="542">
        <v>0</v>
      </c>
      <c r="DR74" s="542">
        <v>-4133</v>
      </c>
      <c r="DS74" s="542">
        <v>659</v>
      </c>
      <c r="DT74" s="542">
        <v>0</v>
      </c>
      <c r="DU74" s="542">
        <v>659</v>
      </c>
      <c r="DV74" s="542">
        <v>-3919</v>
      </c>
      <c r="DW74" s="542">
        <v>0</v>
      </c>
      <c r="DX74" s="542">
        <v>-3919</v>
      </c>
      <c r="DY74" s="542">
        <v>-385203</v>
      </c>
      <c r="DZ74" s="542">
        <v>0</v>
      </c>
      <c r="EA74" s="542">
        <v>-385203</v>
      </c>
      <c r="EB74" s="542">
        <v>0</v>
      </c>
      <c r="EC74" s="542">
        <v>0</v>
      </c>
      <c r="ED74" s="542">
        <v>0</v>
      </c>
      <c r="EE74" s="542">
        <v>0</v>
      </c>
      <c r="EF74" s="542">
        <v>0</v>
      </c>
      <c r="EG74" s="542">
        <v>0</v>
      </c>
      <c r="EH74" s="542">
        <v>-392596</v>
      </c>
      <c r="EI74" s="542">
        <v>0</v>
      </c>
      <c r="EJ74" s="542">
        <v>-392596</v>
      </c>
      <c r="EK74" s="542">
        <v>0</v>
      </c>
      <c r="EL74" s="542">
        <v>0</v>
      </c>
      <c r="EM74" s="542">
        <v>0</v>
      </c>
      <c r="EN74" s="542">
        <v>0</v>
      </c>
      <c r="EO74" s="542">
        <v>0</v>
      </c>
      <c r="EP74" s="542">
        <v>0</v>
      </c>
      <c r="EQ74" s="542">
        <v>0</v>
      </c>
      <c r="ER74" s="542">
        <v>0</v>
      </c>
      <c r="ES74" s="542">
        <v>0</v>
      </c>
      <c r="ET74" s="542">
        <v>21474573</v>
      </c>
      <c r="EU74" s="542">
        <v>0</v>
      </c>
      <c r="EV74" s="542">
        <v>21474573</v>
      </c>
      <c r="EW74" s="542">
        <v>56757</v>
      </c>
      <c r="EX74" s="542">
        <v>0</v>
      </c>
      <c r="EY74" s="542">
        <v>56757</v>
      </c>
      <c r="EZ74" s="542">
        <v>-3079826</v>
      </c>
      <c r="FA74" s="542">
        <v>0</v>
      </c>
      <c r="FB74" s="542">
        <v>-3079826</v>
      </c>
      <c r="FC74" s="542">
        <v>-690788</v>
      </c>
      <c r="FD74" s="542">
        <v>0</v>
      </c>
      <c r="FE74" s="542">
        <v>-690788</v>
      </c>
      <c r="FF74" s="542">
        <v>-57764</v>
      </c>
      <c r="FG74" s="542">
        <v>0</v>
      </c>
      <c r="FH74" s="542">
        <v>-57764</v>
      </c>
      <c r="FI74" s="542">
        <v>-392596</v>
      </c>
      <c r="FJ74" s="542">
        <v>0</v>
      </c>
      <c r="FK74" s="542">
        <v>-392596</v>
      </c>
      <c r="FL74" s="542">
        <v>0</v>
      </c>
      <c r="FM74" s="542">
        <v>0</v>
      </c>
      <c r="FN74" s="542">
        <v>0</v>
      </c>
      <c r="FO74" s="542">
        <v>-4164217</v>
      </c>
      <c r="FP74" s="542">
        <v>0</v>
      </c>
      <c r="FQ74" s="542">
        <v>-4164217</v>
      </c>
      <c r="FR74" s="542">
        <v>17310356</v>
      </c>
      <c r="FS74" s="542">
        <v>0</v>
      </c>
      <c r="FT74" s="542">
        <v>17310356</v>
      </c>
    </row>
    <row r="75" spans="1:176" ht="12.75" x14ac:dyDescent="0.2">
      <c r="A75" s="93">
        <v>70</v>
      </c>
      <c r="B75" s="145" t="s">
        <v>16</v>
      </c>
      <c r="C75" s="604" t="s">
        <v>866</v>
      </c>
      <c r="D75" s="142" t="s">
        <v>867</v>
      </c>
      <c r="E75" s="149" t="s">
        <v>15</v>
      </c>
      <c r="F75" s="542">
        <v>-25806</v>
      </c>
      <c r="G75" s="542">
        <v>0</v>
      </c>
      <c r="H75" s="542">
        <v>-25806</v>
      </c>
      <c r="I75" s="542">
        <v>134943</v>
      </c>
      <c r="J75" s="542">
        <v>0</v>
      </c>
      <c r="K75" s="542">
        <v>134943</v>
      </c>
      <c r="L75" s="542">
        <v>9199</v>
      </c>
      <c r="M75" s="542">
        <v>0</v>
      </c>
      <c r="N75" s="542">
        <v>9199</v>
      </c>
      <c r="O75" s="542">
        <v>396360</v>
      </c>
      <c r="P75" s="542">
        <v>0</v>
      </c>
      <c r="Q75" s="542">
        <v>396360</v>
      </c>
      <c r="R75" s="542">
        <v>514696</v>
      </c>
      <c r="S75" s="542">
        <v>0</v>
      </c>
      <c r="T75" s="542">
        <v>514696</v>
      </c>
      <c r="U75" s="542">
        <v>-732981</v>
      </c>
      <c r="V75" s="542">
        <v>0</v>
      </c>
      <c r="W75" s="542">
        <v>-732981</v>
      </c>
      <c r="X75" s="542">
        <v>-557</v>
      </c>
      <c r="Y75" s="542">
        <v>0</v>
      </c>
      <c r="Z75" s="542">
        <v>-557</v>
      </c>
      <c r="AA75" s="542">
        <v>-16529</v>
      </c>
      <c r="AB75" s="542">
        <v>0</v>
      </c>
      <c r="AC75" s="542">
        <v>-16529</v>
      </c>
      <c r="AD75" s="542">
        <v>-8169</v>
      </c>
      <c r="AE75" s="542">
        <v>0</v>
      </c>
      <c r="AF75" s="542">
        <v>-8169</v>
      </c>
      <c r="AG75" s="542">
        <v>2728556</v>
      </c>
      <c r="AH75" s="542">
        <v>0</v>
      </c>
      <c r="AI75" s="542">
        <v>2728556</v>
      </c>
      <c r="AJ75" s="542">
        <v>-11387</v>
      </c>
      <c r="AK75" s="542">
        <v>0</v>
      </c>
      <c r="AL75" s="542">
        <v>-11387</v>
      </c>
      <c r="AM75" s="542">
        <v>-2591433</v>
      </c>
      <c r="AN75" s="542">
        <v>0</v>
      </c>
      <c r="AO75" s="542">
        <v>-2591433</v>
      </c>
      <c r="AP75" s="542">
        <v>47981</v>
      </c>
      <c r="AQ75" s="542">
        <v>0</v>
      </c>
      <c r="AR75" s="542">
        <v>47981</v>
      </c>
      <c r="AS75" s="542">
        <v>-28376</v>
      </c>
      <c r="AT75" s="542">
        <v>0</v>
      </c>
      <c r="AU75" s="542">
        <v>-28376</v>
      </c>
      <c r="AV75" s="542">
        <v>0</v>
      </c>
      <c r="AW75" s="542">
        <v>0</v>
      </c>
      <c r="AX75" s="542">
        <v>0</v>
      </c>
      <c r="AY75" s="542">
        <v>0</v>
      </c>
      <c r="AZ75" s="542">
        <v>0</v>
      </c>
      <c r="BA75" s="542">
        <v>0</v>
      </c>
      <c r="BB75" s="542">
        <v>0</v>
      </c>
      <c r="BC75" s="542">
        <v>0</v>
      </c>
      <c r="BD75" s="542">
        <v>0</v>
      </c>
      <c r="BE75" s="542">
        <v>-604169</v>
      </c>
      <c r="BF75" s="542">
        <v>0</v>
      </c>
      <c r="BG75" s="542">
        <v>-604169</v>
      </c>
      <c r="BH75" s="542">
        <v>-34797</v>
      </c>
      <c r="BI75" s="542">
        <v>0</v>
      </c>
      <c r="BJ75" s="542">
        <v>-34797</v>
      </c>
      <c r="BK75" s="542">
        <v>-72462</v>
      </c>
      <c r="BL75" s="542">
        <v>0</v>
      </c>
      <c r="BM75" s="542">
        <v>-72462</v>
      </c>
      <c r="BN75" s="542">
        <v>-2823800</v>
      </c>
      <c r="BO75" s="542">
        <v>0</v>
      </c>
      <c r="BP75" s="542">
        <v>-2823800</v>
      </c>
      <c r="BQ75" s="542">
        <v>-87049</v>
      </c>
      <c r="BR75" s="542">
        <v>0</v>
      </c>
      <c r="BS75" s="542">
        <v>-87049</v>
      </c>
      <c r="BT75" s="542">
        <v>-3018108</v>
      </c>
      <c r="BU75" s="542">
        <v>0</v>
      </c>
      <c r="BV75" s="542">
        <v>-3018108</v>
      </c>
      <c r="BW75" s="542">
        <v>-277970</v>
      </c>
      <c r="BX75" s="542">
        <v>0</v>
      </c>
      <c r="BY75" s="542">
        <v>-277970</v>
      </c>
      <c r="BZ75" s="542">
        <v>2544</v>
      </c>
      <c r="CA75" s="542">
        <v>0</v>
      </c>
      <c r="CB75" s="542">
        <v>2544</v>
      </c>
      <c r="CC75" s="542">
        <v>-100336</v>
      </c>
      <c r="CD75" s="542">
        <v>0</v>
      </c>
      <c r="CE75" s="542">
        <v>-100336</v>
      </c>
      <c r="CF75" s="542">
        <v>0</v>
      </c>
      <c r="CG75" s="542">
        <v>0</v>
      </c>
      <c r="CH75" s="542">
        <v>0</v>
      </c>
      <c r="CI75" s="542">
        <v>-1645</v>
      </c>
      <c r="CJ75" s="542">
        <v>0</v>
      </c>
      <c r="CK75" s="542">
        <v>-1645</v>
      </c>
      <c r="CL75" s="542">
        <v>0</v>
      </c>
      <c r="CM75" s="542">
        <v>0</v>
      </c>
      <c r="CN75" s="542">
        <v>0</v>
      </c>
      <c r="CO75" s="542">
        <v>0</v>
      </c>
      <c r="CP75" s="542">
        <v>0</v>
      </c>
      <c r="CQ75" s="542">
        <v>0</v>
      </c>
      <c r="CR75" s="542">
        <v>0</v>
      </c>
      <c r="CS75" s="542">
        <v>0</v>
      </c>
      <c r="CT75" s="542">
        <v>0</v>
      </c>
      <c r="CU75" s="542">
        <v>0</v>
      </c>
      <c r="CV75" s="542">
        <v>0</v>
      </c>
      <c r="CW75" s="542">
        <v>0</v>
      </c>
      <c r="CX75" s="542">
        <v>0</v>
      </c>
      <c r="CY75" s="542">
        <v>0</v>
      </c>
      <c r="CZ75" s="542">
        <v>0</v>
      </c>
      <c r="DA75" s="542">
        <v>0</v>
      </c>
      <c r="DB75" s="542">
        <v>0</v>
      </c>
      <c r="DC75" s="542">
        <v>0</v>
      </c>
      <c r="DD75" s="542">
        <v>0</v>
      </c>
      <c r="DE75" s="542">
        <v>0</v>
      </c>
      <c r="DF75" s="542">
        <v>0</v>
      </c>
      <c r="DG75" s="542"/>
      <c r="DH75" s="542">
        <v>0</v>
      </c>
      <c r="DI75" s="542"/>
      <c r="DJ75" s="542">
        <v>0</v>
      </c>
      <c r="DK75" s="542"/>
      <c r="DL75" s="542"/>
      <c r="DM75" s="542">
        <v>-377407</v>
      </c>
      <c r="DN75" s="542">
        <v>0</v>
      </c>
      <c r="DO75" s="542">
        <v>-377407</v>
      </c>
      <c r="DP75" s="542">
        <v>0</v>
      </c>
      <c r="DQ75" s="542">
        <v>0</v>
      </c>
      <c r="DR75" s="542">
        <v>0</v>
      </c>
      <c r="DS75" s="542">
        <v>0</v>
      </c>
      <c r="DT75" s="542">
        <v>0</v>
      </c>
      <c r="DU75" s="542">
        <v>0</v>
      </c>
      <c r="DV75" s="542">
        <v>-10124</v>
      </c>
      <c r="DW75" s="542">
        <v>0</v>
      </c>
      <c r="DX75" s="542">
        <v>-10124</v>
      </c>
      <c r="DY75" s="542">
        <v>-236350</v>
      </c>
      <c r="DZ75" s="542">
        <v>0</v>
      </c>
      <c r="EA75" s="542">
        <v>-236350</v>
      </c>
      <c r="EB75" s="542">
        <v>0</v>
      </c>
      <c r="EC75" s="542">
        <v>0</v>
      </c>
      <c r="ED75" s="542">
        <v>0</v>
      </c>
      <c r="EE75" s="542">
        <v>4236</v>
      </c>
      <c r="EF75" s="542">
        <v>0</v>
      </c>
      <c r="EG75" s="542">
        <v>4236</v>
      </c>
      <c r="EH75" s="542">
        <v>-242238</v>
      </c>
      <c r="EI75" s="542">
        <v>0</v>
      </c>
      <c r="EJ75" s="542">
        <v>-242238</v>
      </c>
      <c r="EK75" s="542">
        <v>0</v>
      </c>
      <c r="EL75" s="542">
        <v>0</v>
      </c>
      <c r="EM75" s="542">
        <v>0</v>
      </c>
      <c r="EN75" s="542">
        <v>0</v>
      </c>
      <c r="EO75" s="542">
        <v>0</v>
      </c>
      <c r="EP75" s="542">
        <v>0</v>
      </c>
      <c r="EQ75" s="542">
        <v>0</v>
      </c>
      <c r="ER75" s="542">
        <v>0</v>
      </c>
      <c r="ES75" s="542">
        <v>0</v>
      </c>
      <c r="ET75" s="542">
        <v>117588497</v>
      </c>
      <c r="EU75" s="542">
        <v>0</v>
      </c>
      <c r="EV75" s="542">
        <v>117588497</v>
      </c>
      <c r="EW75" s="542">
        <v>514696</v>
      </c>
      <c r="EX75" s="542">
        <v>0</v>
      </c>
      <c r="EY75" s="542">
        <v>514696</v>
      </c>
      <c r="EZ75" s="542">
        <v>-604169</v>
      </c>
      <c r="FA75" s="542">
        <v>0</v>
      </c>
      <c r="FB75" s="542">
        <v>-604169</v>
      </c>
      <c r="FC75" s="542">
        <v>-3018108</v>
      </c>
      <c r="FD75" s="542">
        <v>0</v>
      </c>
      <c r="FE75" s="542">
        <v>-3018108</v>
      </c>
      <c r="FF75" s="542">
        <v>-377407</v>
      </c>
      <c r="FG75" s="542">
        <v>0</v>
      </c>
      <c r="FH75" s="542">
        <v>-377407</v>
      </c>
      <c r="FI75" s="542">
        <v>-242238</v>
      </c>
      <c r="FJ75" s="542">
        <v>0</v>
      </c>
      <c r="FK75" s="542">
        <v>-242238</v>
      </c>
      <c r="FL75" s="542">
        <v>0</v>
      </c>
      <c r="FM75" s="542">
        <v>0</v>
      </c>
      <c r="FN75" s="542">
        <v>0</v>
      </c>
      <c r="FO75" s="542">
        <v>-3727226</v>
      </c>
      <c r="FP75" s="542">
        <v>0</v>
      </c>
      <c r="FQ75" s="542">
        <v>-3727226</v>
      </c>
      <c r="FR75" s="542">
        <v>113861271</v>
      </c>
      <c r="FS75" s="542">
        <v>0</v>
      </c>
      <c r="FT75" s="542">
        <v>113861271</v>
      </c>
    </row>
    <row r="76" spans="1:176" ht="12.75" x14ac:dyDescent="0.2">
      <c r="A76" s="93">
        <v>71</v>
      </c>
      <c r="B76" s="145" t="s">
        <v>18</v>
      </c>
      <c r="C76" s="604" t="s">
        <v>871</v>
      </c>
      <c r="D76" s="142" t="s">
        <v>872</v>
      </c>
      <c r="E76" s="149" t="s">
        <v>17</v>
      </c>
      <c r="F76" s="542">
        <v>-165430</v>
      </c>
      <c r="G76" s="542">
        <v>0</v>
      </c>
      <c r="H76" s="542">
        <v>-165430</v>
      </c>
      <c r="I76" s="542">
        <v>-10091</v>
      </c>
      <c r="J76" s="542">
        <v>0</v>
      </c>
      <c r="K76" s="542">
        <v>-10091</v>
      </c>
      <c r="L76" s="542">
        <v>36572</v>
      </c>
      <c r="M76" s="542">
        <v>0</v>
      </c>
      <c r="N76" s="542">
        <v>36572</v>
      </c>
      <c r="O76" s="542">
        <v>-1323905</v>
      </c>
      <c r="P76" s="542">
        <v>0</v>
      </c>
      <c r="Q76" s="542">
        <v>-1323905</v>
      </c>
      <c r="R76" s="542">
        <v>-1462854</v>
      </c>
      <c r="S76" s="542">
        <v>0</v>
      </c>
      <c r="T76" s="542">
        <v>-1462854</v>
      </c>
      <c r="U76" s="542">
        <v>-5735545</v>
      </c>
      <c r="V76" s="542">
        <v>0</v>
      </c>
      <c r="W76" s="542">
        <v>-5735545</v>
      </c>
      <c r="X76" s="542">
        <v>-1500</v>
      </c>
      <c r="Y76" s="542">
        <v>0</v>
      </c>
      <c r="Z76" s="542">
        <v>-1500</v>
      </c>
      <c r="AA76" s="542">
        <v>416027</v>
      </c>
      <c r="AB76" s="542">
        <v>0</v>
      </c>
      <c r="AC76" s="542">
        <v>416027</v>
      </c>
      <c r="AD76" s="542">
        <v>16734</v>
      </c>
      <c r="AE76" s="542">
        <v>0</v>
      </c>
      <c r="AF76" s="542">
        <v>16734</v>
      </c>
      <c r="AG76" s="542">
        <v>31865</v>
      </c>
      <c r="AH76" s="542">
        <v>0</v>
      </c>
      <c r="AI76" s="542">
        <v>31865</v>
      </c>
      <c r="AJ76" s="542">
        <v>1885</v>
      </c>
      <c r="AK76" s="542">
        <v>0</v>
      </c>
      <c r="AL76" s="542">
        <v>1885</v>
      </c>
      <c r="AM76" s="542">
        <v>-8512151</v>
      </c>
      <c r="AN76" s="542">
        <v>0</v>
      </c>
      <c r="AO76" s="542">
        <v>-8512151</v>
      </c>
      <c r="AP76" s="542">
        <v>187362</v>
      </c>
      <c r="AQ76" s="542">
        <v>0</v>
      </c>
      <c r="AR76" s="542">
        <v>187362</v>
      </c>
      <c r="AS76" s="542">
        <v>-122208</v>
      </c>
      <c r="AT76" s="542">
        <v>0</v>
      </c>
      <c r="AU76" s="542">
        <v>-122208</v>
      </c>
      <c r="AV76" s="542">
        <v>0</v>
      </c>
      <c r="AW76" s="542">
        <v>0</v>
      </c>
      <c r="AX76" s="542">
        <v>0</v>
      </c>
      <c r="AY76" s="542">
        <v>0</v>
      </c>
      <c r="AZ76" s="542">
        <v>0</v>
      </c>
      <c r="BA76" s="542">
        <v>0</v>
      </c>
      <c r="BB76" s="542">
        <v>0</v>
      </c>
      <c r="BC76" s="542">
        <v>0</v>
      </c>
      <c r="BD76" s="542">
        <v>0</v>
      </c>
      <c r="BE76" s="542">
        <v>-13732765</v>
      </c>
      <c r="BF76" s="542">
        <v>0</v>
      </c>
      <c r="BG76" s="542">
        <v>-13732765</v>
      </c>
      <c r="BH76" s="542">
        <v>-30523</v>
      </c>
      <c r="BI76" s="542">
        <v>0</v>
      </c>
      <c r="BJ76" s="542">
        <v>-30523</v>
      </c>
      <c r="BK76" s="542">
        <v>58143</v>
      </c>
      <c r="BL76" s="542">
        <v>0</v>
      </c>
      <c r="BM76" s="542">
        <v>58143</v>
      </c>
      <c r="BN76" s="542">
        <v>-7334722</v>
      </c>
      <c r="BO76" s="542">
        <v>0</v>
      </c>
      <c r="BP76" s="542">
        <v>-7334722</v>
      </c>
      <c r="BQ76" s="542">
        <v>325758</v>
      </c>
      <c r="BR76" s="542">
        <v>0</v>
      </c>
      <c r="BS76" s="542">
        <v>325758</v>
      </c>
      <c r="BT76" s="542">
        <v>-6981344</v>
      </c>
      <c r="BU76" s="542">
        <v>0</v>
      </c>
      <c r="BV76" s="542">
        <v>-6981344</v>
      </c>
      <c r="BW76" s="542">
        <v>-30577</v>
      </c>
      <c r="BX76" s="542">
        <v>0</v>
      </c>
      <c r="BY76" s="542">
        <v>-30577</v>
      </c>
      <c r="BZ76" s="542">
        <v>2788</v>
      </c>
      <c r="CA76" s="542">
        <v>0</v>
      </c>
      <c r="CB76" s="542">
        <v>2788</v>
      </c>
      <c r="CC76" s="542">
        <v>-53283</v>
      </c>
      <c r="CD76" s="542">
        <v>0</v>
      </c>
      <c r="CE76" s="542">
        <v>-53283</v>
      </c>
      <c r="CF76" s="542">
        <v>312</v>
      </c>
      <c r="CG76" s="542">
        <v>0</v>
      </c>
      <c r="CH76" s="542">
        <v>312</v>
      </c>
      <c r="CI76" s="542">
        <v>0</v>
      </c>
      <c r="CJ76" s="542">
        <v>0</v>
      </c>
      <c r="CK76" s="542">
        <v>0</v>
      </c>
      <c r="CL76" s="542">
        <v>0</v>
      </c>
      <c r="CM76" s="542">
        <v>0</v>
      </c>
      <c r="CN76" s="542">
        <v>0</v>
      </c>
      <c r="CO76" s="542">
        <v>0</v>
      </c>
      <c r="CP76" s="542">
        <v>0</v>
      </c>
      <c r="CQ76" s="542">
        <v>0</v>
      </c>
      <c r="CR76" s="542">
        <v>0</v>
      </c>
      <c r="CS76" s="542">
        <v>0</v>
      </c>
      <c r="CT76" s="542">
        <v>0</v>
      </c>
      <c r="CU76" s="542">
        <v>0</v>
      </c>
      <c r="CV76" s="542">
        <v>0</v>
      </c>
      <c r="CW76" s="542">
        <v>0</v>
      </c>
      <c r="CX76" s="542">
        <v>0</v>
      </c>
      <c r="CY76" s="542">
        <v>0</v>
      </c>
      <c r="CZ76" s="542">
        <v>0</v>
      </c>
      <c r="DA76" s="542">
        <v>-605638</v>
      </c>
      <c r="DB76" s="542">
        <v>0</v>
      </c>
      <c r="DC76" s="542">
        <v>-605638</v>
      </c>
      <c r="DD76" s="542">
        <v>-17344</v>
      </c>
      <c r="DE76" s="542">
        <v>0</v>
      </c>
      <c r="DF76" s="542">
        <v>-17344</v>
      </c>
      <c r="DG76" s="542"/>
      <c r="DH76" s="542">
        <v>0</v>
      </c>
      <c r="DI76" s="542"/>
      <c r="DJ76" s="542">
        <v>-17344</v>
      </c>
      <c r="DK76" s="542"/>
      <c r="DL76" s="542"/>
      <c r="DM76" s="542">
        <v>-703742</v>
      </c>
      <c r="DN76" s="542">
        <v>0</v>
      </c>
      <c r="DO76" s="542">
        <v>-703742</v>
      </c>
      <c r="DP76" s="542">
        <v>0</v>
      </c>
      <c r="DQ76" s="542">
        <v>0</v>
      </c>
      <c r="DR76" s="542">
        <v>0</v>
      </c>
      <c r="DS76" s="542">
        <v>0</v>
      </c>
      <c r="DT76" s="542">
        <v>0</v>
      </c>
      <c r="DU76" s="542">
        <v>0</v>
      </c>
      <c r="DV76" s="542">
        <v>0</v>
      </c>
      <c r="DW76" s="542">
        <v>0</v>
      </c>
      <c r="DX76" s="542">
        <v>0</v>
      </c>
      <c r="DY76" s="542">
        <v>-739532</v>
      </c>
      <c r="DZ76" s="542">
        <v>0</v>
      </c>
      <c r="EA76" s="542">
        <v>-739532</v>
      </c>
      <c r="EB76" s="542">
        <v>-54467</v>
      </c>
      <c r="EC76" s="542">
        <v>0</v>
      </c>
      <c r="ED76" s="542">
        <v>-54467</v>
      </c>
      <c r="EE76" s="542">
        <v>0</v>
      </c>
      <c r="EF76" s="542">
        <v>0</v>
      </c>
      <c r="EG76" s="542">
        <v>0</v>
      </c>
      <c r="EH76" s="542">
        <v>-793999</v>
      </c>
      <c r="EI76" s="542">
        <v>0</v>
      </c>
      <c r="EJ76" s="542">
        <v>-793999</v>
      </c>
      <c r="EK76" s="542">
        <v>0</v>
      </c>
      <c r="EL76" s="542">
        <v>0</v>
      </c>
      <c r="EM76" s="542">
        <v>0</v>
      </c>
      <c r="EN76" s="542">
        <v>0</v>
      </c>
      <c r="EO76" s="542">
        <v>0</v>
      </c>
      <c r="EP76" s="542">
        <v>0</v>
      </c>
      <c r="EQ76" s="542">
        <v>0</v>
      </c>
      <c r="ER76" s="542">
        <v>0</v>
      </c>
      <c r="ES76" s="542">
        <v>0</v>
      </c>
      <c r="ET76" s="542">
        <v>134647604</v>
      </c>
      <c r="EU76" s="542">
        <v>0</v>
      </c>
      <c r="EV76" s="542">
        <v>134647604</v>
      </c>
      <c r="EW76" s="542">
        <v>-1462854</v>
      </c>
      <c r="EX76" s="542">
        <v>0</v>
      </c>
      <c r="EY76" s="542">
        <v>-1462854</v>
      </c>
      <c r="EZ76" s="542">
        <v>-13732765</v>
      </c>
      <c r="FA76" s="542">
        <v>0</v>
      </c>
      <c r="FB76" s="542">
        <v>-13732765</v>
      </c>
      <c r="FC76" s="542">
        <v>-6981344</v>
      </c>
      <c r="FD76" s="542">
        <v>0</v>
      </c>
      <c r="FE76" s="542">
        <v>-6981344</v>
      </c>
      <c r="FF76" s="542">
        <v>-703742</v>
      </c>
      <c r="FG76" s="542">
        <v>0</v>
      </c>
      <c r="FH76" s="542">
        <v>-703742</v>
      </c>
      <c r="FI76" s="542">
        <v>-793999</v>
      </c>
      <c r="FJ76" s="542">
        <v>0</v>
      </c>
      <c r="FK76" s="542">
        <v>-793999</v>
      </c>
      <c r="FL76" s="542">
        <v>0</v>
      </c>
      <c r="FM76" s="542">
        <v>0</v>
      </c>
      <c r="FN76" s="542">
        <v>0</v>
      </c>
      <c r="FO76" s="542">
        <v>-23674704</v>
      </c>
      <c r="FP76" s="542">
        <v>0</v>
      </c>
      <c r="FQ76" s="542">
        <v>-23674704</v>
      </c>
      <c r="FR76" s="542">
        <v>110972900</v>
      </c>
      <c r="FS76" s="542">
        <v>0</v>
      </c>
      <c r="FT76" s="542">
        <v>110972900</v>
      </c>
    </row>
    <row r="77" spans="1:176" ht="12.75" x14ac:dyDescent="0.2">
      <c r="A77" s="93">
        <v>72</v>
      </c>
      <c r="B77" s="145" t="s">
        <v>20</v>
      </c>
      <c r="C77" s="604" t="s">
        <v>866</v>
      </c>
      <c r="D77" s="142" t="s">
        <v>870</v>
      </c>
      <c r="E77" s="149" t="s">
        <v>19</v>
      </c>
      <c r="F77" s="542">
        <v>-18334</v>
      </c>
      <c r="G77" s="542">
        <v>0</v>
      </c>
      <c r="H77" s="542">
        <v>-18334</v>
      </c>
      <c r="I77" s="542">
        <v>78685.440000000002</v>
      </c>
      <c r="J77" s="542">
        <v>0</v>
      </c>
      <c r="K77" s="542">
        <v>78685.440000000002</v>
      </c>
      <c r="L77" s="542">
        <v>54469</v>
      </c>
      <c r="M77" s="542">
        <v>0</v>
      </c>
      <c r="N77" s="542">
        <v>54469</v>
      </c>
      <c r="O77" s="542">
        <v>889564.46</v>
      </c>
      <c r="P77" s="542">
        <v>0</v>
      </c>
      <c r="Q77" s="542">
        <v>889564.46</v>
      </c>
      <c r="R77" s="542">
        <v>1004385</v>
      </c>
      <c r="S77" s="542">
        <v>0</v>
      </c>
      <c r="T77" s="542">
        <v>1004385</v>
      </c>
      <c r="U77" s="542">
        <v>-2174859</v>
      </c>
      <c r="V77" s="542">
        <v>0</v>
      </c>
      <c r="W77" s="542">
        <v>-2174859</v>
      </c>
      <c r="X77" s="542">
        <v>0</v>
      </c>
      <c r="Y77" s="542">
        <v>0</v>
      </c>
      <c r="Z77" s="542">
        <v>0</v>
      </c>
      <c r="AA77" s="542">
        <v>-150965.48000000001</v>
      </c>
      <c r="AB77" s="542">
        <v>0</v>
      </c>
      <c r="AC77" s="542">
        <v>-150965.48000000001</v>
      </c>
      <c r="AD77" s="542">
        <v>-56384.800000000003</v>
      </c>
      <c r="AE77" s="542">
        <v>0</v>
      </c>
      <c r="AF77" s="542">
        <v>-56384.800000000003</v>
      </c>
      <c r="AG77" s="542">
        <v>1478050</v>
      </c>
      <c r="AH77" s="542">
        <v>0</v>
      </c>
      <c r="AI77" s="542">
        <v>1478050</v>
      </c>
      <c r="AJ77" s="542">
        <v>51497.87</v>
      </c>
      <c r="AK77" s="542">
        <v>0</v>
      </c>
      <c r="AL77" s="542">
        <v>51497.87</v>
      </c>
      <c r="AM77" s="542">
        <v>-3826752</v>
      </c>
      <c r="AN77" s="542">
        <v>0</v>
      </c>
      <c r="AO77" s="542">
        <v>-3826752</v>
      </c>
      <c r="AP77" s="542">
        <v>36108.42</v>
      </c>
      <c r="AQ77" s="542">
        <v>0</v>
      </c>
      <c r="AR77" s="542">
        <v>36108.42</v>
      </c>
      <c r="AS77" s="542">
        <v>-78595</v>
      </c>
      <c r="AT77" s="542">
        <v>0</v>
      </c>
      <c r="AU77" s="542">
        <v>-78595</v>
      </c>
      <c r="AV77" s="542">
        <v>-1511.01</v>
      </c>
      <c r="AW77" s="542">
        <v>0</v>
      </c>
      <c r="AX77" s="542">
        <v>-1511.01</v>
      </c>
      <c r="AY77" s="542">
        <v>-4001</v>
      </c>
      <c r="AZ77" s="542">
        <v>0</v>
      </c>
      <c r="BA77" s="542">
        <v>-4001</v>
      </c>
      <c r="BB77" s="542">
        <v>0</v>
      </c>
      <c r="BC77" s="542">
        <v>0</v>
      </c>
      <c r="BD77" s="542">
        <v>0</v>
      </c>
      <c r="BE77" s="542">
        <v>-4671027</v>
      </c>
      <c r="BF77" s="542">
        <v>0</v>
      </c>
      <c r="BG77" s="542">
        <v>-4671027</v>
      </c>
      <c r="BH77" s="542">
        <v>-239310</v>
      </c>
      <c r="BI77" s="542">
        <v>0</v>
      </c>
      <c r="BJ77" s="542">
        <v>-239310</v>
      </c>
      <c r="BK77" s="542">
        <v>150182.38</v>
      </c>
      <c r="BL77" s="542">
        <v>0</v>
      </c>
      <c r="BM77" s="542">
        <v>150182.38</v>
      </c>
      <c r="BN77" s="542">
        <v>-1722140</v>
      </c>
      <c r="BO77" s="542">
        <v>0</v>
      </c>
      <c r="BP77" s="542">
        <v>-1722140</v>
      </c>
      <c r="BQ77" s="542">
        <v>-133290.03</v>
      </c>
      <c r="BR77" s="542">
        <v>0</v>
      </c>
      <c r="BS77" s="542">
        <v>-133290.03</v>
      </c>
      <c r="BT77" s="542">
        <v>-1944558</v>
      </c>
      <c r="BU77" s="542">
        <v>0</v>
      </c>
      <c r="BV77" s="542">
        <v>-1944558</v>
      </c>
      <c r="BW77" s="542">
        <v>-229279</v>
      </c>
      <c r="BX77" s="542">
        <v>0</v>
      </c>
      <c r="BY77" s="542">
        <v>-229279</v>
      </c>
      <c r="BZ77" s="542">
        <v>1103.96</v>
      </c>
      <c r="CA77" s="542">
        <v>0</v>
      </c>
      <c r="CB77" s="542">
        <v>1103.96</v>
      </c>
      <c r="CC77" s="542">
        <v>-1988</v>
      </c>
      <c r="CD77" s="542">
        <v>0</v>
      </c>
      <c r="CE77" s="542">
        <v>-1988</v>
      </c>
      <c r="CF77" s="542">
        <v>9100.7999999999993</v>
      </c>
      <c r="CG77" s="542">
        <v>0</v>
      </c>
      <c r="CH77" s="542">
        <v>9100.7999999999993</v>
      </c>
      <c r="CI77" s="542">
        <v>-749</v>
      </c>
      <c r="CJ77" s="542">
        <v>0</v>
      </c>
      <c r="CK77" s="542">
        <v>-749</v>
      </c>
      <c r="CL77" s="542">
        <v>-188.87</v>
      </c>
      <c r="CM77" s="542">
        <v>0</v>
      </c>
      <c r="CN77" s="542">
        <v>-188.87</v>
      </c>
      <c r="CO77" s="542">
        <v>0</v>
      </c>
      <c r="CP77" s="542">
        <v>0</v>
      </c>
      <c r="CQ77" s="542">
        <v>0</v>
      </c>
      <c r="CR77" s="542">
        <v>0</v>
      </c>
      <c r="CS77" s="542">
        <v>0</v>
      </c>
      <c r="CT77" s="542">
        <v>0</v>
      </c>
      <c r="CU77" s="542">
        <v>-1952</v>
      </c>
      <c r="CV77" s="542">
        <v>0</v>
      </c>
      <c r="CW77" s="542">
        <v>-1952</v>
      </c>
      <c r="CX77" s="542">
        <v>0</v>
      </c>
      <c r="CY77" s="542">
        <v>0</v>
      </c>
      <c r="CZ77" s="542">
        <v>0</v>
      </c>
      <c r="DA77" s="542">
        <v>0</v>
      </c>
      <c r="DB77" s="542">
        <v>0</v>
      </c>
      <c r="DC77" s="542">
        <v>0</v>
      </c>
      <c r="DD77" s="542">
        <v>0</v>
      </c>
      <c r="DE77" s="542">
        <v>0</v>
      </c>
      <c r="DF77" s="542">
        <v>0</v>
      </c>
      <c r="DG77" s="542"/>
      <c r="DH77" s="542">
        <v>0</v>
      </c>
      <c r="DI77" s="542"/>
      <c r="DJ77" s="542">
        <v>0</v>
      </c>
      <c r="DK77" s="542"/>
      <c r="DL77" s="542"/>
      <c r="DM77" s="542">
        <v>-223952</v>
      </c>
      <c r="DN77" s="542">
        <v>0</v>
      </c>
      <c r="DO77" s="542">
        <v>-223952</v>
      </c>
      <c r="DP77" s="542">
        <v>0</v>
      </c>
      <c r="DQ77" s="542">
        <v>0</v>
      </c>
      <c r="DR77" s="542">
        <v>0</v>
      </c>
      <c r="DS77" s="542">
        <v>0</v>
      </c>
      <c r="DT77" s="542">
        <v>0</v>
      </c>
      <c r="DU77" s="542">
        <v>0</v>
      </c>
      <c r="DV77" s="542">
        <v>-8491</v>
      </c>
      <c r="DW77" s="542">
        <v>0</v>
      </c>
      <c r="DX77" s="542">
        <v>-8491</v>
      </c>
      <c r="DY77" s="542">
        <v>-539050</v>
      </c>
      <c r="DZ77" s="542">
        <v>0</v>
      </c>
      <c r="EA77" s="542">
        <v>-539050</v>
      </c>
      <c r="EB77" s="542">
        <v>0</v>
      </c>
      <c r="EC77" s="542">
        <v>0</v>
      </c>
      <c r="ED77" s="542">
        <v>0</v>
      </c>
      <c r="EE77" s="542">
        <v>-352.39</v>
      </c>
      <c r="EF77" s="542">
        <v>0</v>
      </c>
      <c r="EG77" s="542">
        <v>-352.39</v>
      </c>
      <c r="EH77" s="542">
        <v>-547893</v>
      </c>
      <c r="EI77" s="542">
        <v>0</v>
      </c>
      <c r="EJ77" s="542">
        <v>-547893</v>
      </c>
      <c r="EK77" s="542">
        <v>0</v>
      </c>
      <c r="EL77" s="542">
        <v>0</v>
      </c>
      <c r="EM77" s="542">
        <v>0</v>
      </c>
      <c r="EN77" s="542">
        <v>0</v>
      </c>
      <c r="EO77" s="542">
        <v>0</v>
      </c>
      <c r="EP77" s="542">
        <v>0</v>
      </c>
      <c r="EQ77" s="542">
        <v>0</v>
      </c>
      <c r="ER77" s="542">
        <v>0</v>
      </c>
      <c r="ES77" s="542">
        <v>0</v>
      </c>
      <c r="ET77" s="542">
        <v>0</v>
      </c>
      <c r="EU77" s="542">
        <v>0</v>
      </c>
      <c r="EV77" s="542">
        <v>0</v>
      </c>
      <c r="EW77" s="542">
        <v>1004385</v>
      </c>
      <c r="EX77" s="542">
        <v>0</v>
      </c>
      <c r="EY77" s="542">
        <v>1004385</v>
      </c>
      <c r="EZ77" s="542">
        <v>-4671027</v>
      </c>
      <c r="FA77" s="542">
        <v>0</v>
      </c>
      <c r="FB77" s="542">
        <v>-4671027</v>
      </c>
      <c r="FC77" s="542">
        <v>-1944558</v>
      </c>
      <c r="FD77" s="542">
        <v>0</v>
      </c>
      <c r="FE77" s="542">
        <v>-1944558</v>
      </c>
      <c r="FF77" s="542">
        <v>-223952</v>
      </c>
      <c r="FG77" s="542">
        <v>0</v>
      </c>
      <c r="FH77" s="542">
        <v>-223952</v>
      </c>
      <c r="FI77" s="542">
        <v>-547893</v>
      </c>
      <c r="FJ77" s="542">
        <v>0</v>
      </c>
      <c r="FK77" s="542">
        <v>-547893</v>
      </c>
      <c r="FL77" s="542">
        <v>0</v>
      </c>
      <c r="FM77" s="542">
        <v>0</v>
      </c>
      <c r="FN77" s="542">
        <v>0</v>
      </c>
      <c r="FO77" s="542">
        <v>-6383045</v>
      </c>
      <c r="FP77" s="542">
        <v>0</v>
      </c>
      <c r="FQ77" s="542">
        <v>-6383045</v>
      </c>
      <c r="FR77" s="542">
        <v>-6383045</v>
      </c>
      <c r="FS77" s="542">
        <v>0</v>
      </c>
      <c r="FT77" s="542">
        <v>-6383045</v>
      </c>
    </row>
    <row r="78" spans="1:176" ht="12.75" x14ac:dyDescent="0.2">
      <c r="A78" s="93">
        <v>73</v>
      </c>
      <c r="B78" s="145" t="s">
        <v>22</v>
      </c>
      <c r="C78" s="604" t="s">
        <v>770</v>
      </c>
      <c r="D78" s="142" t="s">
        <v>878</v>
      </c>
      <c r="E78" s="149" t="s">
        <v>694</v>
      </c>
      <c r="F78" s="542">
        <v>-49880</v>
      </c>
      <c r="G78" s="542">
        <v>0</v>
      </c>
      <c r="H78" s="542">
        <v>-49880</v>
      </c>
      <c r="I78" s="542">
        <v>122140</v>
      </c>
      <c r="J78" s="542">
        <v>0</v>
      </c>
      <c r="K78" s="542">
        <v>122140</v>
      </c>
      <c r="L78" s="542">
        <v>232971</v>
      </c>
      <c r="M78" s="542">
        <v>0</v>
      </c>
      <c r="N78" s="542">
        <v>232971</v>
      </c>
      <c r="O78" s="542">
        <v>482488</v>
      </c>
      <c r="P78" s="542">
        <v>0</v>
      </c>
      <c r="Q78" s="542">
        <v>482488</v>
      </c>
      <c r="R78" s="542">
        <v>787719</v>
      </c>
      <c r="S78" s="542">
        <v>0</v>
      </c>
      <c r="T78" s="542">
        <v>787719</v>
      </c>
      <c r="U78" s="542">
        <v>-2189171</v>
      </c>
      <c r="V78" s="542">
        <v>0</v>
      </c>
      <c r="W78" s="542">
        <v>-2189171</v>
      </c>
      <c r="X78" s="542">
        <v>0</v>
      </c>
      <c r="Y78" s="542">
        <v>0</v>
      </c>
      <c r="Z78" s="542">
        <v>0</v>
      </c>
      <c r="AA78" s="542">
        <v>-167800</v>
      </c>
      <c r="AB78" s="542">
        <v>0</v>
      </c>
      <c r="AC78" s="542">
        <v>-167800</v>
      </c>
      <c r="AD78" s="542">
        <v>-66090</v>
      </c>
      <c r="AE78" s="542">
        <v>0</v>
      </c>
      <c r="AF78" s="542">
        <v>-66090</v>
      </c>
      <c r="AG78" s="542">
        <v>768588</v>
      </c>
      <c r="AH78" s="542">
        <v>0</v>
      </c>
      <c r="AI78" s="542">
        <v>768588</v>
      </c>
      <c r="AJ78" s="542">
        <v>30038</v>
      </c>
      <c r="AK78" s="542">
        <v>0</v>
      </c>
      <c r="AL78" s="542">
        <v>30038</v>
      </c>
      <c r="AM78" s="542">
        <v>-2580407</v>
      </c>
      <c r="AN78" s="542">
        <v>0</v>
      </c>
      <c r="AO78" s="542">
        <v>-2580407</v>
      </c>
      <c r="AP78" s="542">
        <v>48796</v>
      </c>
      <c r="AQ78" s="542">
        <v>0</v>
      </c>
      <c r="AR78" s="542">
        <v>48796</v>
      </c>
      <c r="AS78" s="542">
        <v>-54307</v>
      </c>
      <c r="AT78" s="542">
        <v>0</v>
      </c>
      <c r="AU78" s="542">
        <v>-54307</v>
      </c>
      <c r="AV78" s="542">
        <v>0</v>
      </c>
      <c r="AW78" s="542">
        <v>0</v>
      </c>
      <c r="AX78" s="542">
        <v>0</v>
      </c>
      <c r="AY78" s="542">
        <v>-4121</v>
      </c>
      <c r="AZ78" s="542">
        <v>0</v>
      </c>
      <c r="BA78" s="542">
        <v>-4121</v>
      </c>
      <c r="BB78" s="542">
        <v>0</v>
      </c>
      <c r="BC78" s="542">
        <v>0</v>
      </c>
      <c r="BD78" s="542">
        <v>0</v>
      </c>
      <c r="BE78" s="542">
        <v>-4148384</v>
      </c>
      <c r="BF78" s="542">
        <v>0</v>
      </c>
      <c r="BG78" s="542">
        <v>-4148384</v>
      </c>
      <c r="BH78" s="542">
        <v>-58966</v>
      </c>
      <c r="BI78" s="542">
        <v>0</v>
      </c>
      <c r="BJ78" s="542">
        <v>-58966</v>
      </c>
      <c r="BK78" s="542">
        <v>20940</v>
      </c>
      <c r="BL78" s="542">
        <v>0</v>
      </c>
      <c r="BM78" s="542">
        <v>20940</v>
      </c>
      <c r="BN78" s="542">
        <v>-1081632</v>
      </c>
      <c r="BO78" s="542">
        <v>0</v>
      </c>
      <c r="BP78" s="542">
        <v>-1081632</v>
      </c>
      <c r="BQ78" s="542">
        <v>232511</v>
      </c>
      <c r="BR78" s="542">
        <v>0</v>
      </c>
      <c r="BS78" s="542">
        <v>232511</v>
      </c>
      <c r="BT78" s="542">
        <v>-887147</v>
      </c>
      <c r="BU78" s="542">
        <v>0</v>
      </c>
      <c r="BV78" s="542">
        <v>-887147</v>
      </c>
      <c r="BW78" s="542">
        <v>-42742</v>
      </c>
      <c r="BX78" s="542">
        <v>0</v>
      </c>
      <c r="BY78" s="542">
        <v>-42742</v>
      </c>
      <c r="BZ78" s="542">
        <v>0</v>
      </c>
      <c r="CA78" s="542">
        <v>0</v>
      </c>
      <c r="CB78" s="542">
        <v>0</v>
      </c>
      <c r="CC78" s="542">
        <v>0</v>
      </c>
      <c r="CD78" s="542">
        <v>0</v>
      </c>
      <c r="CE78" s="542">
        <v>0</v>
      </c>
      <c r="CF78" s="542">
        <v>0</v>
      </c>
      <c r="CG78" s="542">
        <v>0</v>
      </c>
      <c r="CH78" s="542">
        <v>0</v>
      </c>
      <c r="CI78" s="542">
        <v>0</v>
      </c>
      <c r="CJ78" s="542">
        <v>0</v>
      </c>
      <c r="CK78" s="542">
        <v>0</v>
      </c>
      <c r="CL78" s="542">
        <v>0</v>
      </c>
      <c r="CM78" s="542">
        <v>0</v>
      </c>
      <c r="CN78" s="542">
        <v>0</v>
      </c>
      <c r="CO78" s="542">
        <v>0</v>
      </c>
      <c r="CP78" s="542">
        <v>0</v>
      </c>
      <c r="CQ78" s="542">
        <v>0</v>
      </c>
      <c r="CR78" s="542">
        <v>0</v>
      </c>
      <c r="CS78" s="542">
        <v>0</v>
      </c>
      <c r="CT78" s="542">
        <v>0</v>
      </c>
      <c r="CU78" s="542">
        <v>0</v>
      </c>
      <c r="CV78" s="542">
        <v>0</v>
      </c>
      <c r="CW78" s="542">
        <v>0</v>
      </c>
      <c r="CX78" s="542">
        <v>0</v>
      </c>
      <c r="CY78" s="542">
        <v>0</v>
      </c>
      <c r="CZ78" s="542">
        <v>0</v>
      </c>
      <c r="DA78" s="542">
        <v>0</v>
      </c>
      <c r="DB78" s="542">
        <v>0</v>
      </c>
      <c r="DC78" s="542">
        <v>0</v>
      </c>
      <c r="DD78" s="542">
        <v>0</v>
      </c>
      <c r="DE78" s="542">
        <v>0</v>
      </c>
      <c r="DF78" s="542">
        <v>0</v>
      </c>
      <c r="DG78" s="542"/>
      <c r="DH78" s="542">
        <v>0</v>
      </c>
      <c r="DI78" s="542"/>
      <c r="DJ78" s="542">
        <v>0</v>
      </c>
      <c r="DK78" s="542"/>
      <c r="DL78" s="542"/>
      <c r="DM78" s="542">
        <v>-42742</v>
      </c>
      <c r="DN78" s="542">
        <v>0</v>
      </c>
      <c r="DO78" s="542">
        <v>-42742</v>
      </c>
      <c r="DP78" s="542">
        <v>0</v>
      </c>
      <c r="DQ78" s="542">
        <v>0</v>
      </c>
      <c r="DR78" s="542">
        <v>0</v>
      </c>
      <c r="DS78" s="542">
        <v>0</v>
      </c>
      <c r="DT78" s="542">
        <v>0</v>
      </c>
      <c r="DU78" s="542">
        <v>0</v>
      </c>
      <c r="DV78" s="542">
        <v>-22568</v>
      </c>
      <c r="DW78" s="542">
        <v>0</v>
      </c>
      <c r="DX78" s="542">
        <v>-22568</v>
      </c>
      <c r="DY78" s="542">
        <v>-350131</v>
      </c>
      <c r="DZ78" s="542">
        <v>0</v>
      </c>
      <c r="EA78" s="542">
        <v>-350131</v>
      </c>
      <c r="EB78" s="542">
        <v>0</v>
      </c>
      <c r="EC78" s="542">
        <v>0</v>
      </c>
      <c r="ED78" s="542">
        <v>0</v>
      </c>
      <c r="EE78" s="542">
        <v>0</v>
      </c>
      <c r="EF78" s="542">
        <v>0</v>
      </c>
      <c r="EG78" s="542">
        <v>0</v>
      </c>
      <c r="EH78" s="542">
        <v>-372699</v>
      </c>
      <c r="EI78" s="542">
        <v>0</v>
      </c>
      <c r="EJ78" s="542">
        <v>-372699</v>
      </c>
      <c r="EK78" s="542">
        <v>0</v>
      </c>
      <c r="EL78" s="542">
        <v>0</v>
      </c>
      <c r="EM78" s="542">
        <v>0</v>
      </c>
      <c r="EN78" s="542">
        <v>0</v>
      </c>
      <c r="EO78" s="542">
        <v>0</v>
      </c>
      <c r="EP78" s="542">
        <v>0</v>
      </c>
      <c r="EQ78" s="542">
        <v>0</v>
      </c>
      <c r="ER78" s="542">
        <v>0</v>
      </c>
      <c r="ES78" s="542">
        <v>0</v>
      </c>
      <c r="ET78" s="542">
        <v>39063652</v>
      </c>
      <c r="EU78" s="542">
        <v>0</v>
      </c>
      <c r="EV78" s="542">
        <v>39063652</v>
      </c>
      <c r="EW78" s="542">
        <v>787719</v>
      </c>
      <c r="EX78" s="542">
        <v>0</v>
      </c>
      <c r="EY78" s="542">
        <v>787719</v>
      </c>
      <c r="EZ78" s="542">
        <v>-4148384</v>
      </c>
      <c r="FA78" s="542">
        <v>0</v>
      </c>
      <c r="FB78" s="542">
        <v>-4148384</v>
      </c>
      <c r="FC78" s="542">
        <v>-887147</v>
      </c>
      <c r="FD78" s="542">
        <v>0</v>
      </c>
      <c r="FE78" s="542">
        <v>-887147</v>
      </c>
      <c r="FF78" s="542">
        <v>-42742</v>
      </c>
      <c r="FG78" s="542">
        <v>0</v>
      </c>
      <c r="FH78" s="542">
        <v>-42742</v>
      </c>
      <c r="FI78" s="542">
        <v>-372699</v>
      </c>
      <c r="FJ78" s="542">
        <v>0</v>
      </c>
      <c r="FK78" s="542">
        <v>-372699</v>
      </c>
      <c r="FL78" s="542">
        <v>0</v>
      </c>
      <c r="FM78" s="542">
        <v>0</v>
      </c>
      <c r="FN78" s="542">
        <v>0</v>
      </c>
      <c r="FO78" s="542">
        <v>-4663253</v>
      </c>
      <c r="FP78" s="542">
        <v>0</v>
      </c>
      <c r="FQ78" s="542">
        <v>-4663253</v>
      </c>
      <c r="FR78" s="542">
        <v>34400399</v>
      </c>
      <c r="FS78" s="542">
        <v>0</v>
      </c>
      <c r="FT78" s="542">
        <v>34400399</v>
      </c>
    </row>
    <row r="79" spans="1:176" ht="12.75" x14ac:dyDescent="0.2">
      <c r="A79" s="93">
        <v>74</v>
      </c>
      <c r="B79" s="145" t="s">
        <v>24</v>
      </c>
      <c r="C79" s="604" t="s">
        <v>866</v>
      </c>
      <c r="D79" s="142" t="s">
        <v>867</v>
      </c>
      <c r="E79" s="149" t="s">
        <v>23</v>
      </c>
      <c r="F79" s="542">
        <v>-39569</v>
      </c>
      <c r="G79" s="542">
        <v>0</v>
      </c>
      <c r="H79" s="542">
        <v>-39569</v>
      </c>
      <c r="I79" s="542">
        <v>83367</v>
      </c>
      <c r="J79" s="542">
        <v>0</v>
      </c>
      <c r="K79" s="542">
        <v>83367</v>
      </c>
      <c r="L79" s="542">
        <v>5401</v>
      </c>
      <c r="M79" s="542">
        <v>0</v>
      </c>
      <c r="N79" s="542">
        <v>5401</v>
      </c>
      <c r="O79" s="542">
        <v>181025</v>
      </c>
      <c r="P79" s="542">
        <v>0</v>
      </c>
      <c r="Q79" s="542">
        <v>181025</v>
      </c>
      <c r="R79" s="542">
        <v>230224</v>
      </c>
      <c r="S79" s="542">
        <v>0</v>
      </c>
      <c r="T79" s="542">
        <v>230224</v>
      </c>
      <c r="U79" s="542">
        <v>-1419191</v>
      </c>
      <c r="V79" s="542">
        <v>0</v>
      </c>
      <c r="W79" s="542">
        <v>-1419191</v>
      </c>
      <c r="X79" s="542">
        <v>-4088</v>
      </c>
      <c r="Y79" s="542">
        <v>0</v>
      </c>
      <c r="Z79" s="542">
        <v>-4088</v>
      </c>
      <c r="AA79" s="542">
        <v>-95416</v>
      </c>
      <c r="AB79" s="542">
        <v>0</v>
      </c>
      <c r="AC79" s="542">
        <v>-95416</v>
      </c>
      <c r="AD79" s="542">
        <v>-37511</v>
      </c>
      <c r="AE79" s="542">
        <v>0</v>
      </c>
      <c r="AF79" s="542">
        <v>-37511</v>
      </c>
      <c r="AG79" s="542">
        <v>2028287</v>
      </c>
      <c r="AH79" s="542">
        <v>0</v>
      </c>
      <c r="AI79" s="542">
        <v>2028287</v>
      </c>
      <c r="AJ79" s="542">
        <v>-56168</v>
      </c>
      <c r="AK79" s="542">
        <v>0</v>
      </c>
      <c r="AL79" s="542">
        <v>-56168</v>
      </c>
      <c r="AM79" s="542">
        <v>-2493064</v>
      </c>
      <c r="AN79" s="542">
        <v>0</v>
      </c>
      <c r="AO79" s="542">
        <v>-2493064</v>
      </c>
      <c r="AP79" s="542">
        <v>-13836</v>
      </c>
      <c r="AQ79" s="542">
        <v>0</v>
      </c>
      <c r="AR79" s="542">
        <v>-13836</v>
      </c>
      <c r="AS79" s="542">
        <v>-50679</v>
      </c>
      <c r="AT79" s="542">
        <v>0</v>
      </c>
      <c r="AU79" s="542">
        <v>-50679</v>
      </c>
      <c r="AV79" s="542">
        <v>0</v>
      </c>
      <c r="AW79" s="542">
        <v>0</v>
      </c>
      <c r="AX79" s="542">
        <v>0</v>
      </c>
      <c r="AY79" s="542">
        <v>-131</v>
      </c>
      <c r="AZ79" s="542">
        <v>0</v>
      </c>
      <c r="BA79" s="542">
        <v>-131</v>
      </c>
      <c r="BB79" s="542">
        <v>0</v>
      </c>
      <c r="BC79" s="542">
        <v>0</v>
      </c>
      <c r="BD79" s="542">
        <v>0</v>
      </c>
      <c r="BE79" s="542">
        <v>-2100198</v>
      </c>
      <c r="BF79" s="542">
        <v>0</v>
      </c>
      <c r="BG79" s="542">
        <v>-2100198</v>
      </c>
      <c r="BH79" s="542">
        <v>0</v>
      </c>
      <c r="BI79" s="542">
        <v>0</v>
      </c>
      <c r="BJ79" s="542">
        <v>0</v>
      </c>
      <c r="BK79" s="542">
        <v>-2632</v>
      </c>
      <c r="BL79" s="542">
        <v>0</v>
      </c>
      <c r="BM79" s="542">
        <v>-2632</v>
      </c>
      <c r="BN79" s="542">
        <v>-2580700</v>
      </c>
      <c r="BO79" s="542">
        <v>0</v>
      </c>
      <c r="BP79" s="542">
        <v>-2580700</v>
      </c>
      <c r="BQ79" s="542">
        <v>203380</v>
      </c>
      <c r="BR79" s="542">
        <v>0</v>
      </c>
      <c r="BS79" s="542">
        <v>203380</v>
      </c>
      <c r="BT79" s="542">
        <v>-2379952</v>
      </c>
      <c r="BU79" s="542">
        <v>0</v>
      </c>
      <c r="BV79" s="542">
        <v>-2379952</v>
      </c>
      <c r="BW79" s="542">
        <v>-40501</v>
      </c>
      <c r="BX79" s="542">
        <v>0</v>
      </c>
      <c r="BY79" s="542">
        <v>-40501</v>
      </c>
      <c r="BZ79" s="542">
        <v>283</v>
      </c>
      <c r="CA79" s="542">
        <v>0</v>
      </c>
      <c r="CB79" s="542">
        <v>283</v>
      </c>
      <c r="CC79" s="542">
        <v>-794</v>
      </c>
      <c r="CD79" s="542">
        <v>0</v>
      </c>
      <c r="CE79" s="542">
        <v>-794</v>
      </c>
      <c r="CF79" s="542">
        <v>0</v>
      </c>
      <c r="CG79" s="542">
        <v>0</v>
      </c>
      <c r="CH79" s="542">
        <v>0</v>
      </c>
      <c r="CI79" s="542">
        <v>-7808</v>
      </c>
      <c r="CJ79" s="542">
        <v>0</v>
      </c>
      <c r="CK79" s="542">
        <v>-7808</v>
      </c>
      <c r="CL79" s="542">
        <v>0</v>
      </c>
      <c r="CM79" s="542">
        <v>0</v>
      </c>
      <c r="CN79" s="542">
        <v>0</v>
      </c>
      <c r="CO79" s="542">
        <v>0</v>
      </c>
      <c r="CP79" s="542">
        <v>0</v>
      </c>
      <c r="CQ79" s="542">
        <v>0</v>
      </c>
      <c r="CR79" s="542">
        <v>0</v>
      </c>
      <c r="CS79" s="542">
        <v>0</v>
      </c>
      <c r="CT79" s="542">
        <v>0</v>
      </c>
      <c r="CU79" s="542">
        <v>-2256</v>
      </c>
      <c r="CV79" s="542">
        <v>0</v>
      </c>
      <c r="CW79" s="542">
        <v>-2256</v>
      </c>
      <c r="CX79" s="542">
        <v>0</v>
      </c>
      <c r="CY79" s="542">
        <v>0</v>
      </c>
      <c r="CZ79" s="542">
        <v>0</v>
      </c>
      <c r="DA79" s="542">
        <v>-2500</v>
      </c>
      <c r="DB79" s="542">
        <v>0</v>
      </c>
      <c r="DC79" s="542">
        <v>-2500</v>
      </c>
      <c r="DD79" s="542">
        <v>0</v>
      </c>
      <c r="DE79" s="542">
        <v>0</v>
      </c>
      <c r="DF79" s="542">
        <v>0</v>
      </c>
      <c r="DG79" s="542"/>
      <c r="DH79" s="542">
        <v>0</v>
      </c>
      <c r="DI79" s="542"/>
      <c r="DJ79" s="542">
        <v>0</v>
      </c>
      <c r="DK79" s="542"/>
      <c r="DL79" s="542"/>
      <c r="DM79" s="542">
        <v>-53576</v>
      </c>
      <c r="DN79" s="542">
        <v>0</v>
      </c>
      <c r="DO79" s="542">
        <v>-53576</v>
      </c>
      <c r="DP79" s="542">
        <v>0</v>
      </c>
      <c r="DQ79" s="542">
        <v>0</v>
      </c>
      <c r="DR79" s="542">
        <v>0</v>
      </c>
      <c r="DS79" s="542">
        <v>0</v>
      </c>
      <c r="DT79" s="542">
        <v>0</v>
      </c>
      <c r="DU79" s="542">
        <v>0</v>
      </c>
      <c r="DV79" s="542">
        <v>0</v>
      </c>
      <c r="DW79" s="542">
        <v>0</v>
      </c>
      <c r="DX79" s="542">
        <v>0</v>
      </c>
      <c r="DY79" s="542">
        <v>-175295</v>
      </c>
      <c r="DZ79" s="542">
        <v>0</v>
      </c>
      <c r="EA79" s="542">
        <v>-175295</v>
      </c>
      <c r="EB79" s="542">
        <v>0</v>
      </c>
      <c r="EC79" s="542">
        <v>0</v>
      </c>
      <c r="ED79" s="542">
        <v>0</v>
      </c>
      <c r="EE79" s="542">
        <v>0</v>
      </c>
      <c r="EF79" s="542">
        <v>0</v>
      </c>
      <c r="EG79" s="542">
        <v>0</v>
      </c>
      <c r="EH79" s="542">
        <v>-175295</v>
      </c>
      <c r="EI79" s="542">
        <v>0</v>
      </c>
      <c r="EJ79" s="542">
        <v>-175295</v>
      </c>
      <c r="EK79" s="542">
        <v>0</v>
      </c>
      <c r="EL79" s="542">
        <v>0</v>
      </c>
      <c r="EM79" s="542">
        <v>0</v>
      </c>
      <c r="EN79" s="542">
        <v>0</v>
      </c>
      <c r="EO79" s="542">
        <v>0</v>
      </c>
      <c r="EP79" s="542">
        <v>0</v>
      </c>
      <c r="EQ79" s="542">
        <v>0</v>
      </c>
      <c r="ER79" s="542">
        <v>0</v>
      </c>
      <c r="ES79" s="542">
        <v>0</v>
      </c>
      <c r="ET79" s="542">
        <v>88951737</v>
      </c>
      <c r="EU79" s="542">
        <v>0</v>
      </c>
      <c r="EV79" s="542">
        <v>88951737</v>
      </c>
      <c r="EW79" s="542">
        <v>230224</v>
      </c>
      <c r="EX79" s="542">
        <v>0</v>
      </c>
      <c r="EY79" s="542">
        <v>230224</v>
      </c>
      <c r="EZ79" s="542">
        <v>-2100198</v>
      </c>
      <c r="FA79" s="542">
        <v>0</v>
      </c>
      <c r="FB79" s="542">
        <v>-2100198</v>
      </c>
      <c r="FC79" s="542">
        <v>-2379952</v>
      </c>
      <c r="FD79" s="542">
        <v>0</v>
      </c>
      <c r="FE79" s="542">
        <v>-2379952</v>
      </c>
      <c r="FF79" s="542">
        <v>-53576</v>
      </c>
      <c r="FG79" s="542">
        <v>0</v>
      </c>
      <c r="FH79" s="542">
        <v>-53576</v>
      </c>
      <c r="FI79" s="542">
        <v>-175295</v>
      </c>
      <c r="FJ79" s="542">
        <v>0</v>
      </c>
      <c r="FK79" s="542">
        <v>-175295</v>
      </c>
      <c r="FL79" s="542">
        <v>0</v>
      </c>
      <c r="FM79" s="542">
        <v>0</v>
      </c>
      <c r="FN79" s="542">
        <v>0</v>
      </c>
      <c r="FO79" s="542">
        <v>-4478797</v>
      </c>
      <c r="FP79" s="542">
        <v>0</v>
      </c>
      <c r="FQ79" s="542">
        <v>-4478797</v>
      </c>
      <c r="FR79" s="542">
        <v>84472940</v>
      </c>
      <c r="FS79" s="542">
        <v>0</v>
      </c>
      <c r="FT79" s="542">
        <v>84472940</v>
      </c>
    </row>
    <row r="80" spans="1:176" ht="12.75" x14ac:dyDescent="0.2">
      <c r="A80" s="93">
        <v>75</v>
      </c>
      <c r="B80" s="145" t="s">
        <v>26</v>
      </c>
      <c r="C80" s="604" t="s">
        <v>866</v>
      </c>
      <c r="D80" s="142" t="s">
        <v>869</v>
      </c>
      <c r="E80" s="149" t="s">
        <v>25</v>
      </c>
      <c r="F80" s="542">
        <v>-25828</v>
      </c>
      <c r="G80" s="542">
        <v>0</v>
      </c>
      <c r="H80" s="542">
        <v>-25828</v>
      </c>
      <c r="I80" s="542">
        <v>38841</v>
      </c>
      <c r="J80" s="542">
        <v>0</v>
      </c>
      <c r="K80" s="542">
        <v>38841</v>
      </c>
      <c r="L80" s="542">
        <v>2453</v>
      </c>
      <c r="M80" s="542">
        <v>0</v>
      </c>
      <c r="N80" s="542">
        <v>2453</v>
      </c>
      <c r="O80" s="542">
        <v>227510</v>
      </c>
      <c r="P80" s="542">
        <v>0</v>
      </c>
      <c r="Q80" s="542">
        <v>227510</v>
      </c>
      <c r="R80" s="542">
        <v>242976</v>
      </c>
      <c r="S80" s="542">
        <v>0</v>
      </c>
      <c r="T80" s="542">
        <v>242976</v>
      </c>
      <c r="U80" s="542">
        <v>-1573463</v>
      </c>
      <c r="V80" s="542">
        <v>0</v>
      </c>
      <c r="W80" s="542">
        <v>-1573463</v>
      </c>
      <c r="X80" s="542">
        <v>-278</v>
      </c>
      <c r="Y80" s="542">
        <v>0</v>
      </c>
      <c r="Z80" s="542">
        <v>-278</v>
      </c>
      <c r="AA80" s="542">
        <v>-109910</v>
      </c>
      <c r="AB80" s="542">
        <v>0</v>
      </c>
      <c r="AC80" s="542">
        <v>-109910</v>
      </c>
      <c r="AD80" s="542">
        <v>-49879</v>
      </c>
      <c r="AE80" s="542">
        <v>0</v>
      </c>
      <c r="AF80" s="542">
        <v>-49879</v>
      </c>
      <c r="AG80" s="542">
        <v>926342</v>
      </c>
      <c r="AH80" s="542">
        <v>0</v>
      </c>
      <c r="AI80" s="542">
        <v>926342</v>
      </c>
      <c r="AJ80" s="542">
        <v>-15323</v>
      </c>
      <c r="AK80" s="542">
        <v>0</v>
      </c>
      <c r="AL80" s="542">
        <v>-15323</v>
      </c>
      <c r="AM80" s="542">
        <v>-1742930</v>
      </c>
      <c r="AN80" s="542">
        <v>0</v>
      </c>
      <c r="AO80" s="542">
        <v>-1742930</v>
      </c>
      <c r="AP80" s="542">
        <v>7373</v>
      </c>
      <c r="AQ80" s="542">
        <v>0</v>
      </c>
      <c r="AR80" s="542">
        <v>7373</v>
      </c>
      <c r="AS80" s="542">
        <v>-26963</v>
      </c>
      <c r="AT80" s="542">
        <v>0</v>
      </c>
      <c r="AU80" s="542">
        <v>-26963</v>
      </c>
      <c r="AV80" s="542">
        <v>0</v>
      </c>
      <c r="AW80" s="542">
        <v>0</v>
      </c>
      <c r="AX80" s="542">
        <v>0</v>
      </c>
      <c r="AY80" s="542">
        <v>-40976</v>
      </c>
      <c r="AZ80" s="542">
        <v>0</v>
      </c>
      <c r="BA80" s="542">
        <v>-40976</v>
      </c>
      <c r="BB80" s="542">
        <v>110</v>
      </c>
      <c r="BC80" s="542">
        <v>0</v>
      </c>
      <c r="BD80" s="542">
        <v>110</v>
      </c>
      <c r="BE80" s="542">
        <v>-2575740</v>
      </c>
      <c r="BF80" s="542">
        <v>0</v>
      </c>
      <c r="BG80" s="542">
        <v>-2575740</v>
      </c>
      <c r="BH80" s="542">
        <v>-144273</v>
      </c>
      <c r="BI80" s="542">
        <v>0</v>
      </c>
      <c r="BJ80" s="542">
        <v>-144273</v>
      </c>
      <c r="BK80" s="542">
        <v>-92565</v>
      </c>
      <c r="BL80" s="542">
        <v>0</v>
      </c>
      <c r="BM80" s="542">
        <v>-92565</v>
      </c>
      <c r="BN80" s="542">
        <v>-1405136</v>
      </c>
      <c r="BO80" s="542">
        <v>0</v>
      </c>
      <c r="BP80" s="542">
        <v>-1405136</v>
      </c>
      <c r="BQ80" s="542">
        <v>-20648</v>
      </c>
      <c r="BR80" s="542">
        <v>0</v>
      </c>
      <c r="BS80" s="542">
        <v>-20648</v>
      </c>
      <c r="BT80" s="542">
        <v>-1662622</v>
      </c>
      <c r="BU80" s="542">
        <v>0</v>
      </c>
      <c r="BV80" s="542">
        <v>-1662622</v>
      </c>
      <c r="BW80" s="542">
        <v>-40093</v>
      </c>
      <c r="BX80" s="542">
        <v>0</v>
      </c>
      <c r="BY80" s="542">
        <v>-40093</v>
      </c>
      <c r="BZ80" s="542">
        <v>-248</v>
      </c>
      <c r="CA80" s="542">
        <v>0</v>
      </c>
      <c r="CB80" s="542">
        <v>-248</v>
      </c>
      <c r="CC80" s="542">
        <v>-15443</v>
      </c>
      <c r="CD80" s="542">
        <v>0</v>
      </c>
      <c r="CE80" s="542">
        <v>-15443</v>
      </c>
      <c r="CF80" s="542">
        <v>210</v>
      </c>
      <c r="CG80" s="542">
        <v>0</v>
      </c>
      <c r="CH80" s="542">
        <v>210</v>
      </c>
      <c r="CI80" s="542">
        <v>-858</v>
      </c>
      <c r="CJ80" s="542">
        <v>0</v>
      </c>
      <c r="CK80" s="542">
        <v>-858</v>
      </c>
      <c r="CL80" s="542">
        <v>0</v>
      </c>
      <c r="CM80" s="542">
        <v>0</v>
      </c>
      <c r="CN80" s="542">
        <v>0</v>
      </c>
      <c r="CO80" s="542">
        <v>-851</v>
      </c>
      <c r="CP80" s="542">
        <v>0</v>
      </c>
      <c r="CQ80" s="542">
        <v>-851</v>
      </c>
      <c r="CR80" s="542">
        <v>0</v>
      </c>
      <c r="CS80" s="542">
        <v>0</v>
      </c>
      <c r="CT80" s="542">
        <v>0</v>
      </c>
      <c r="CU80" s="542">
        <v>0</v>
      </c>
      <c r="CV80" s="542">
        <v>0</v>
      </c>
      <c r="CW80" s="542">
        <v>0</v>
      </c>
      <c r="CX80" s="542">
        <v>0</v>
      </c>
      <c r="CY80" s="542">
        <v>0</v>
      </c>
      <c r="CZ80" s="542">
        <v>0</v>
      </c>
      <c r="DA80" s="542">
        <v>0</v>
      </c>
      <c r="DB80" s="542">
        <v>0</v>
      </c>
      <c r="DC80" s="542">
        <v>0</v>
      </c>
      <c r="DD80" s="542">
        <v>0</v>
      </c>
      <c r="DE80" s="542">
        <v>0</v>
      </c>
      <c r="DF80" s="542">
        <v>0</v>
      </c>
      <c r="DG80" s="542"/>
      <c r="DH80" s="542">
        <v>0</v>
      </c>
      <c r="DI80" s="542"/>
      <c r="DJ80" s="542">
        <v>0</v>
      </c>
      <c r="DK80" s="542"/>
      <c r="DL80" s="542"/>
      <c r="DM80" s="542">
        <v>-57283</v>
      </c>
      <c r="DN80" s="542">
        <v>0</v>
      </c>
      <c r="DO80" s="542">
        <v>-57283</v>
      </c>
      <c r="DP80" s="542">
        <v>0</v>
      </c>
      <c r="DQ80" s="542">
        <v>0</v>
      </c>
      <c r="DR80" s="542">
        <v>0</v>
      </c>
      <c r="DS80" s="542">
        <v>0</v>
      </c>
      <c r="DT80" s="542">
        <v>0</v>
      </c>
      <c r="DU80" s="542">
        <v>0</v>
      </c>
      <c r="DV80" s="542">
        <v>0</v>
      </c>
      <c r="DW80" s="542">
        <v>0</v>
      </c>
      <c r="DX80" s="542">
        <v>0</v>
      </c>
      <c r="DY80" s="542">
        <v>-260051</v>
      </c>
      <c r="DZ80" s="542">
        <v>0</v>
      </c>
      <c r="EA80" s="542">
        <v>-260051</v>
      </c>
      <c r="EB80" s="542">
        <v>-1997</v>
      </c>
      <c r="EC80" s="542">
        <v>0</v>
      </c>
      <c r="ED80" s="542">
        <v>-1997</v>
      </c>
      <c r="EE80" s="542">
        <v>-4320</v>
      </c>
      <c r="EF80" s="542">
        <v>0</v>
      </c>
      <c r="EG80" s="542">
        <v>-4320</v>
      </c>
      <c r="EH80" s="542">
        <v>-266368</v>
      </c>
      <c r="EI80" s="542">
        <v>0</v>
      </c>
      <c r="EJ80" s="542">
        <v>-266368</v>
      </c>
      <c r="EK80" s="542">
        <v>0</v>
      </c>
      <c r="EL80" s="542">
        <v>0</v>
      </c>
      <c r="EM80" s="542">
        <v>0</v>
      </c>
      <c r="EN80" s="542">
        <v>0</v>
      </c>
      <c r="EO80" s="542">
        <v>0</v>
      </c>
      <c r="EP80" s="542">
        <v>0</v>
      </c>
      <c r="EQ80" s="542">
        <v>0</v>
      </c>
      <c r="ER80" s="542">
        <v>0</v>
      </c>
      <c r="ES80" s="542">
        <v>0</v>
      </c>
      <c r="ET80" s="542">
        <v>43785125</v>
      </c>
      <c r="EU80" s="542">
        <v>0</v>
      </c>
      <c r="EV80" s="542">
        <v>43785125</v>
      </c>
      <c r="EW80" s="542">
        <v>242976</v>
      </c>
      <c r="EX80" s="542">
        <v>0</v>
      </c>
      <c r="EY80" s="542">
        <v>242976</v>
      </c>
      <c r="EZ80" s="542">
        <v>-2575740</v>
      </c>
      <c r="FA80" s="542">
        <v>0</v>
      </c>
      <c r="FB80" s="542">
        <v>-2575740</v>
      </c>
      <c r="FC80" s="542">
        <v>-1662622</v>
      </c>
      <c r="FD80" s="542">
        <v>0</v>
      </c>
      <c r="FE80" s="542">
        <v>-1662622</v>
      </c>
      <c r="FF80" s="542">
        <v>-57283</v>
      </c>
      <c r="FG80" s="542">
        <v>0</v>
      </c>
      <c r="FH80" s="542">
        <v>-57283</v>
      </c>
      <c r="FI80" s="542">
        <v>-266368</v>
      </c>
      <c r="FJ80" s="542">
        <v>0</v>
      </c>
      <c r="FK80" s="542">
        <v>-266368</v>
      </c>
      <c r="FL80" s="542">
        <v>0</v>
      </c>
      <c r="FM80" s="542">
        <v>0</v>
      </c>
      <c r="FN80" s="542">
        <v>0</v>
      </c>
      <c r="FO80" s="542">
        <v>-4319037</v>
      </c>
      <c r="FP80" s="542">
        <v>0</v>
      </c>
      <c r="FQ80" s="542">
        <v>-4319037</v>
      </c>
      <c r="FR80" s="542">
        <v>39466088</v>
      </c>
      <c r="FS80" s="542">
        <v>0</v>
      </c>
      <c r="FT80" s="542">
        <v>39466088</v>
      </c>
    </row>
    <row r="81" spans="1:176" ht="12.75" x14ac:dyDescent="0.2">
      <c r="A81" s="93">
        <v>76</v>
      </c>
      <c r="B81" s="145" t="s">
        <v>28</v>
      </c>
      <c r="C81" s="604" t="s">
        <v>770</v>
      </c>
      <c r="D81" s="142" t="s">
        <v>869</v>
      </c>
      <c r="E81" s="149" t="s">
        <v>695</v>
      </c>
      <c r="F81" s="542">
        <v>-75923</v>
      </c>
      <c r="G81" s="542">
        <v>0</v>
      </c>
      <c r="H81" s="542">
        <v>-75923</v>
      </c>
      <c r="I81" s="542">
        <v>128576</v>
      </c>
      <c r="J81" s="542">
        <v>0</v>
      </c>
      <c r="K81" s="542">
        <v>128576</v>
      </c>
      <c r="L81" s="542">
        <v>64672</v>
      </c>
      <c r="M81" s="542">
        <v>0</v>
      </c>
      <c r="N81" s="542">
        <v>64672</v>
      </c>
      <c r="O81" s="542">
        <v>712959</v>
      </c>
      <c r="P81" s="542">
        <v>0</v>
      </c>
      <c r="Q81" s="542">
        <v>712959</v>
      </c>
      <c r="R81" s="542">
        <v>830284</v>
      </c>
      <c r="S81" s="542">
        <v>0</v>
      </c>
      <c r="T81" s="542">
        <v>830284</v>
      </c>
      <c r="U81" s="542">
        <v>-4027647</v>
      </c>
      <c r="V81" s="542">
        <v>0</v>
      </c>
      <c r="W81" s="542">
        <v>-4027647</v>
      </c>
      <c r="X81" s="542">
        <v>0</v>
      </c>
      <c r="Y81" s="542">
        <v>0</v>
      </c>
      <c r="Z81" s="542">
        <v>0</v>
      </c>
      <c r="AA81" s="542">
        <v>-244815</v>
      </c>
      <c r="AB81" s="542">
        <v>0</v>
      </c>
      <c r="AC81" s="542">
        <v>-244815</v>
      </c>
      <c r="AD81" s="542">
        <v>-92063</v>
      </c>
      <c r="AE81" s="542">
        <v>0</v>
      </c>
      <c r="AF81" s="542">
        <v>-92063</v>
      </c>
      <c r="AG81" s="542">
        <v>2081926</v>
      </c>
      <c r="AH81" s="542">
        <v>0</v>
      </c>
      <c r="AI81" s="542">
        <v>2081926</v>
      </c>
      <c r="AJ81" s="542">
        <v>-38284</v>
      </c>
      <c r="AK81" s="542">
        <v>0</v>
      </c>
      <c r="AL81" s="542">
        <v>-38284</v>
      </c>
      <c r="AM81" s="542">
        <v>-5277627</v>
      </c>
      <c r="AN81" s="542">
        <v>0</v>
      </c>
      <c r="AO81" s="542">
        <v>-5277627</v>
      </c>
      <c r="AP81" s="542">
        <v>197934</v>
      </c>
      <c r="AQ81" s="542">
        <v>0</v>
      </c>
      <c r="AR81" s="542">
        <v>197934</v>
      </c>
      <c r="AS81" s="542">
        <v>-33740</v>
      </c>
      <c r="AT81" s="542">
        <v>0</v>
      </c>
      <c r="AU81" s="542">
        <v>-33740</v>
      </c>
      <c r="AV81" s="542">
        <v>0</v>
      </c>
      <c r="AW81" s="542">
        <v>0</v>
      </c>
      <c r="AX81" s="542">
        <v>0</v>
      </c>
      <c r="AY81" s="542">
        <v>0</v>
      </c>
      <c r="AZ81" s="542">
        <v>0</v>
      </c>
      <c r="BA81" s="542">
        <v>0</v>
      </c>
      <c r="BB81" s="542">
        <v>0</v>
      </c>
      <c r="BC81" s="542">
        <v>0</v>
      </c>
      <c r="BD81" s="542">
        <v>0</v>
      </c>
      <c r="BE81" s="542">
        <v>-7342253</v>
      </c>
      <c r="BF81" s="542">
        <v>0</v>
      </c>
      <c r="BG81" s="542">
        <v>-7342253</v>
      </c>
      <c r="BH81" s="542">
        <v>-257754</v>
      </c>
      <c r="BI81" s="542">
        <v>0</v>
      </c>
      <c r="BJ81" s="542">
        <v>-257754</v>
      </c>
      <c r="BK81" s="542">
        <v>-114326</v>
      </c>
      <c r="BL81" s="542">
        <v>0</v>
      </c>
      <c r="BM81" s="542">
        <v>-114326</v>
      </c>
      <c r="BN81" s="542">
        <v>-3575479</v>
      </c>
      <c r="BO81" s="542">
        <v>0</v>
      </c>
      <c r="BP81" s="542">
        <v>-3575479</v>
      </c>
      <c r="BQ81" s="542">
        <v>-203634</v>
      </c>
      <c r="BR81" s="542">
        <v>0</v>
      </c>
      <c r="BS81" s="542">
        <v>-203634</v>
      </c>
      <c r="BT81" s="542">
        <v>-4151193</v>
      </c>
      <c r="BU81" s="542">
        <v>0</v>
      </c>
      <c r="BV81" s="542">
        <v>-4151193</v>
      </c>
      <c r="BW81" s="542">
        <v>-78770</v>
      </c>
      <c r="BX81" s="542">
        <v>0</v>
      </c>
      <c r="BY81" s="542">
        <v>-78770</v>
      </c>
      <c r="BZ81" s="542">
        <v>-6759</v>
      </c>
      <c r="CA81" s="542">
        <v>0</v>
      </c>
      <c r="CB81" s="542">
        <v>-6759</v>
      </c>
      <c r="CC81" s="542">
        <v>-158387</v>
      </c>
      <c r="CD81" s="542">
        <v>0</v>
      </c>
      <c r="CE81" s="542">
        <v>-158387</v>
      </c>
      <c r="CF81" s="542">
        <v>2151</v>
      </c>
      <c r="CG81" s="542">
        <v>0</v>
      </c>
      <c r="CH81" s="542">
        <v>2151</v>
      </c>
      <c r="CI81" s="542">
        <v>-8435</v>
      </c>
      <c r="CJ81" s="542">
        <v>0</v>
      </c>
      <c r="CK81" s="542">
        <v>-8435</v>
      </c>
      <c r="CL81" s="542">
        <v>0</v>
      </c>
      <c r="CM81" s="542">
        <v>0</v>
      </c>
      <c r="CN81" s="542">
        <v>0</v>
      </c>
      <c r="CO81" s="542">
        <v>0</v>
      </c>
      <c r="CP81" s="542">
        <v>0</v>
      </c>
      <c r="CQ81" s="542">
        <v>0</v>
      </c>
      <c r="CR81" s="542">
        <v>0</v>
      </c>
      <c r="CS81" s="542">
        <v>0</v>
      </c>
      <c r="CT81" s="542">
        <v>0</v>
      </c>
      <c r="CU81" s="542">
        <v>0</v>
      </c>
      <c r="CV81" s="542">
        <v>0</v>
      </c>
      <c r="CW81" s="542">
        <v>0</v>
      </c>
      <c r="CX81" s="542">
        <v>0</v>
      </c>
      <c r="CY81" s="542">
        <v>0</v>
      </c>
      <c r="CZ81" s="542">
        <v>0</v>
      </c>
      <c r="DA81" s="542">
        <v>0</v>
      </c>
      <c r="DB81" s="542">
        <v>0</v>
      </c>
      <c r="DC81" s="542">
        <v>0</v>
      </c>
      <c r="DD81" s="542">
        <v>0</v>
      </c>
      <c r="DE81" s="542">
        <v>0</v>
      </c>
      <c r="DF81" s="542">
        <v>0</v>
      </c>
      <c r="DG81" s="542"/>
      <c r="DH81" s="542">
        <v>0</v>
      </c>
      <c r="DI81" s="542"/>
      <c r="DJ81" s="542">
        <v>0</v>
      </c>
      <c r="DK81" s="542"/>
      <c r="DL81" s="542"/>
      <c r="DM81" s="542">
        <v>-250200</v>
      </c>
      <c r="DN81" s="542">
        <v>0</v>
      </c>
      <c r="DO81" s="542">
        <v>-250200</v>
      </c>
      <c r="DP81" s="542">
        <v>0</v>
      </c>
      <c r="DQ81" s="542">
        <v>0</v>
      </c>
      <c r="DR81" s="542">
        <v>0</v>
      </c>
      <c r="DS81" s="542">
        <v>0</v>
      </c>
      <c r="DT81" s="542">
        <v>0</v>
      </c>
      <c r="DU81" s="542">
        <v>0</v>
      </c>
      <c r="DV81" s="542">
        <v>-13885</v>
      </c>
      <c r="DW81" s="542">
        <v>0</v>
      </c>
      <c r="DX81" s="542">
        <v>-13885</v>
      </c>
      <c r="DY81" s="542">
        <v>-913334</v>
      </c>
      <c r="DZ81" s="542">
        <v>0</v>
      </c>
      <c r="EA81" s="542">
        <v>-913334</v>
      </c>
      <c r="EB81" s="542">
        <v>0</v>
      </c>
      <c r="EC81" s="542">
        <v>0</v>
      </c>
      <c r="ED81" s="542">
        <v>0</v>
      </c>
      <c r="EE81" s="542">
        <v>0</v>
      </c>
      <c r="EF81" s="542">
        <v>0</v>
      </c>
      <c r="EG81" s="542">
        <v>0</v>
      </c>
      <c r="EH81" s="542">
        <v>-927219</v>
      </c>
      <c r="EI81" s="542">
        <v>0</v>
      </c>
      <c r="EJ81" s="542">
        <v>-927219</v>
      </c>
      <c r="EK81" s="542">
        <v>0</v>
      </c>
      <c r="EL81" s="542">
        <v>0</v>
      </c>
      <c r="EM81" s="542">
        <v>0</v>
      </c>
      <c r="EN81" s="542">
        <v>10</v>
      </c>
      <c r="EO81" s="542">
        <v>0</v>
      </c>
      <c r="EP81" s="542">
        <v>10</v>
      </c>
      <c r="EQ81" s="542">
        <v>10</v>
      </c>
      <c r="ER81" s="542">
        <v>0</v>
      </c>
      <c r="ES81" s="542">
        <v>10</v>
      </c>
      <c r="ET81" s="542">
        <v>99233212</v>
      </c>
      <c r="EU81" s="542">
        <v>0</v>
      </c>
      <c r="EV81" s="542">
        <v>99233212</v>
      </c>
      <c r="EW81" s="542">
        <v>830284</v>
      </c>
      <c r="EX81" s="542">
        <v>0</v>
      </c>
      <c r="EY81" s="542">
        <v>830284</v>
      </c>
      <c r="EZ81" s="542">
        <v>-7342253</v>
      </c>
      <c r="FA81" s="542">
        <v>0</v>
      </c>
      <c r="FB81" s="542">
        <v>-7342253</v>
      </c>
      <c r="FC81" s="542">
        <v>-4151193</v>
      </c>
      <c r="FD81" s="542">
        <v>0</v>
      </c>
      <c r="FE81" s="542">
        <v>-4151193</v>
      </c>
      <c r="FF81" s="542">
        <v>-250200</v>
      </c>
      <c r="FG81" s="542">
        <v>0</v>
      </c>
      <c r="FH81" s="542">
        <v>-250200</v>
      </c>
      <c r="FI81" s="542">
        <v>-927219</v>
      </c>
      <c r="FJ81" s="542">
        <v>0</v>
      </c>
      <c r="FK81" s="542">
        <v>-927219</v>
      </c>
      <c r="FL81" s="542">
        <v>10</v>
      </c>
      <c r="FM81" s="542">
        <v>0</v>
      </c>
      <c r="FN81" s="542">
        <v>10</v>
      </c>
      <c r="FO81" s="542">
        <v>-11840571</v>
      </c>
      <c r="FP81" s="542">
        <v>0</v>
      </c>
      <c r="FQ81" s="542">
        <v>-11840571</v>
      </c>
      <c r="FR81" s="542">
        <v>87392641</v>
      </c>
      <c r="FS81" s="542">
        <v>0</v>
      </c>
      <c r="FT81" s="542">
        <v>87392641</v>
      </c>
    </row>
    <row r="82" spans="1:176" ht="12.75" x14ac:dyDescent="0.2">
      <c r="A82" s="93">
        <v>77</v>
      </c>
      <c r="B82" s="145" t="s">
        <v>30</v>
      </c>
      <c r="C82" s="604" t="s">
        <v>866</v>
      </c>
      <c r="D82" s="142" t="s">
        <v>869</v>
      </c>
      <c r="E82" s="149" t="s">
        <v>29</v>
      </c>
      <c r="F82" s="542">
        <v>-73249</v>
      </c>
      <c r="G82" s="542">
        <v>0</v>
      </c>
      <c r="H82" s="542">
        <v>-73249</v>
      </c>
      <c r="I82" s="542">
        <v>27676</v>
      </c>
      <c r="J82" s="542">
        <v>0</v>
      </c>
      <c r="K82" s="542">
        <v>27676</v>
      </c>
      <c r="L82" s="542">
        <v>28062</v>
      </c>
      <c r="M82" s="542">
        <v>0</v>
      </c>
      <c r="N82" s="542">
        <v>28062</v>
      </c>
      <c r="O82" s="542">
        <v>15262</v>
      </c>
      <c r="P82" s="542">
        <v>0</v>
      </c>
      <c r="Q82" s="542">
        <v>15262</v>
      </c>
      <c r="R82" s="542">
        <v>-2249</v>
      </c>
      <c r="S82" s="542">
        <v>0</v>
      </c>
      <c r="T82" s="542">
        <v>-2249</v>
      </c>
      <c r="U82" s="542">
        <v>-2590585</v>
      </c>
      <c r="V82" s="542">
        <v>0</v>
      </c>
      <c r="W82" s="542">
        <v>-2590585</v>
      </c>
      <c r="X82" s="542">
        <v>0</v>
      </c>
      <c r="Y82" s="542">
        <v>0</v>
      </c>
      <c r="Z82" s="542">
        <v>0</v>
      </c>
      <c r="AA82" s="542">
        <v>-142559</v>
      </c>
      <c r="AB82" s="542">
        <v>0</v>
      </c>
      <c r="AC82" s="542">
        <v>-142559</v>
      </c>
      <c r="AD82" s="542">
        <v>-50213</v>
      </c>
      <c r="AE82" s="542">
        <v>0</v>
      </c>
      <c r="AF82" s="542">
        <v>-50213</v>
      </c>
      <c r="AG82" s="542">
        <v>345270</v>
      </c>
      <c r="AH82" s="542">
        <v>0</v>
      </c>
      <c r="AI82" s="542">
        <v>345270</v>
      </c>
      <c r="AJ82" s="542">
        <v>-2272</v>
      </c>
      <c r="AK82" s="542">
        <v>0</v>
      </c>
      <c r="AL82" s="542">
        <v>-2272</v>
      </c>
      <c r="AM82" s="542">
        <v>-1037982</v>
      </c>
      <c r="AN82" s="542">
        <v>0</v>
      </c>
      <c r="AO82" s="542">
        <v>-1037982</v>
      </c>
      <c r="AP82" s="542">
        <v>-1707</v>
      </c>
      <c r="AQ82" s="542">
        <v>0</v>
      </c>
      <c r="AR82" s="542">
        <v>-1707</v>
      </c>
      <c r="AS82" s="542">
        <v>-43727</v>
      </c>
      <c r="AT82" s="542">
        <v>0</v>
      </c>
      <c r="AU82" s="542">
        <v>-43727</v>
      </c>
      <c r="AV82" s="542">
        <v>377</v>
      </c>
      <c r="AW82" s="542">
        <v>0</v>
      </c>
      <c r="AX82" s="542">
        <v>377</v>
      </c>
      <c r="AY82" s="542">
        <v>-57178</v>
      </c>
      <c r="AZ82" s="542">
        <v>0</v>
      </c>
      <c r="BA82" s="542">
        <v>-57178</v>
      </c>
      <c r="BB82" s="542">
        <v>194</v>
      </c>
      <c r="BC82" s="542">
        <v>0</v>
      </c>
      <c r="BD82" s="542">
        <v>194</v>
      </c>
      <c r="BE82" s="542">
        <v>-3530169</v>
      </c>
      <c r="BF82" s="542">
        <v>0</v>
      </c>
      <c r="BG82" s="542">
        <v>-3530169</v>
      </c>
      <c r="BH82" s="542">
        <v>-13696</v>
      </c>
      <c r="BI82" s="542">
        <v>0</v>
      </c>
      <c r="BJ82" s="542">
        <v>-13696</v>
      </c>
      <c r="BK82" s="542">
        <v>-1386</v>
      </c>
      <c r="BL82" s="542">
        <v>0</v>
      </c>
      <c r="BM82" s="542">
        <v>-1386</v>
      </c>
      <c r="BN82" s="542">
        <v>-407669</v>
      </c>
      <c r="BO82" s="542">
        <v>0</v>
      </c>
      <c r="BP82" s="542">
        <v>-407669</v>
      </c>
      <c r="BQ82" s="542">
        <v>-1481</v>
      </c>
      <c r="BR82" s="542">
        <v>0</v>
      </c>
      <c r="BS82" s="542">
        <v>-1481</v>
      </c>
      <c r="BT82" s="542">
        <v>-424232</v>
      </c>
      <c r="BU82" s="542">
        <v>0</v>
      </c>
      <c r="BV82" s="542">
        <v>-424232</v>
      </c>
      <c r="BW82" s="542">
        <v>-111903</v>
      </c>
      <c r="BX82" s="542">
        <v>0</v>
      </c>
      <c r="BY82" s="542">
        <v>-111903</v>
      </c>
      <c r="BZ82" s="542">
        <v>-427</v>
      </c>
      <c r="CA82" s="542">
        <v>0</v>
      </c>
      <c r="CB82" s="542">
        <v>-427</v>
      </c>
      <c r="CC82" s="542">
        <v>-127243</v>
      </c>
      <c r="CD82" s="542">
        <v>0</v>
      </c>
      <c r="CE82" s="542">
        <v>-127243</v>
      </c>
      <c r="CF82" s="542">
        <v>-273</v>
      </c>
      <c r="CG82" s="542">
        <v>0</v>
      </c>
      <c r="CH82" s="542">
        <v>-273</v>
      </c>
      <c r="CI82" s="542">
        <v>-3943</v>
      </c>
      <c r="CJ82" s="542">
        <v>0</v>
      </c>
      <c r="CK82" s="542">
        <v>-3943</v>
      </c>
      <c r="CL82" s="542">
        <v>0</v>
      </c>
      <c r="CM82" s="542">
        <v>0</v>
      </c>
      <c r="CN82" s="542">
        <v>0</v>
      </c>
      <c r="CO82" s="542">
        <v>-56845</v>
      </c>
      <c r="CP82" s="542">
        <v>0</v>
      </c>
      <c r="CQ82" s="542">
        <v>-56845</v>
      </c>
      <c r="CR82" s="542">
        <v>194</v>
      </c>
      <c r="CS82" s="542">
        <v>0</v>
      </c>
      <c r="CT82" s="542">
        <v>194</v>
      </c>
      <c r="CU82" s="542">
        <v>-9161</v>
      </c>
      <c r="CV82" s="542">
        <v>0</v>
      </c>
      <c r="CW82" s="542">
        <v>-9161</v>
      </c>
      <c r="CX82" s="542">
        <v>0</v>
      </c>
      <c r="CY82" s="542">
        <v>0</v>
      </c>
      <c r="CZ82" s="542">
        <v>0</v>
      </c>
      <c r="DA82" s="542">
        <v>0</v>
      </c>
      <c r="DB82" s="542">
        <v>0</v>
      </c>
      <c r="DC82" s="542">
        <v>0</v>
      </c>
      <c r="DD82" s="542">
        <v>0</v>
      </c>
      <c r="DE82" s="542">
        <v>0</v>
      </c>
      <c r="DF82" s="542">
        <v>0</v>
      </c>
      <c r="DG82" s="542"/>
      <c r="DH82" s="542">
        <v>0</v>
      </c>
      <c r="DI82" s="542"/>
      <c r="DJ82" s="542">
        <v>0</v>
      </c>
      <c r="DK82" s="542"/>
      <c r="DL82" s="542"/>
      <c r="DM82" s="542">
        <v>-309601</v>
      </c>
      <c r="DN82" s="542">
        <v>0</v>
      </c>
      <c r="DO82" s="542">
        <v>-309601</v>
      </c>
      <c r="DP82" s="542">
        <v>0</v>
      </c>
      <c r="DQ82" s="542">
        <v>0</v>
      </c>
      <c r="DR82" s="542">
        <v>0</v>
      </c>
      <c r="DS82" s="542">
        <v>0</v>
      </c>
      <c r="DT82" s="542">
        <v>0</v>
      </c>
      <c r="DU82" s="542">
        <v>0</v>
      </c>
      <c r="DV82" s="542">
        <v>0</v>
      </c>
      <c r="DW82" s="542">
        <v>0</v>
      </c>
      <c r="DX82" s="542">
        <v>0</v>
      </c>
      <c r="DY82" s="542">
        <v>-527214</v>
      </c>
      <c r="DZ82" s="542">
        <v>0</v>
      </c>
      <c r="EA82" s="542">
        <v>-527214</v>
      </c>
      <c r="EB82" s="542">
        <v>0</v>
      </c>
      <c r="EC82" s="542">
        <v>0</v>
      </c>
      <c r="ED82" s="542">
        <v>0</v>
      </c>
      <c r="EE82" s="542">
        <v>0</v>
      </c>
      <c r="EF82" s="542">
        <v>0</v>
      </c>
      <c r="EG82" s="542">
        <v>0</v>
      </c>
      <c r="EH82" s="542">
        <v>-527214</v>
      </c>
      <c r="EI82" s="542">
        <v>0</v>
      </c>
      <c r="EJ82" s="542">
        <v>-527214</v>
      </c>
      <c r="EK82" s="542">
        <v>0</v>
      </c>
      <c r="EL82" s="542">
        <v>0</v>
      </c>
      <c r="EM82" s="542">
        <v>0</v>
      </c>
      <c r="EN82" s="542">
        <v>0</v>
      </c>
      <c r="EO82" s="542">
        <v>0</v>
      </c>
      <c r="EP82" s="542">
        <v>0</v>
      </c>
      <c r="EQ82" s="542">
        <v>0</v>
      </c>
      <c r="ER82" s="542">
        <v>0</v>
      </c>
      <c r="ES82" s="542">
        <v>0</v>
      </c>
      <c r="ET82" s="542">
        <v>21840741</v>
      </c>
      <c r="EU82" s="542">
        <v>0</v>
      </c>
      <c r="EV82" s="542">
        <v>21840741</v>
      </c>
      <c r="EW82" s="542">
        <v>-2249</v>
      </c>
      <c r="EX82" s="542">
        <v>0</v>
      </c>
      <c r="EY82" s="542">
        <v>-2249</v>
      </c>
      <c r="EZ82" s="542">
        <v>-3530169</v>
      </c>
      <c r="FA82" s="542">
        <v>0</v>
      </c>
      <c r="FB82" s="542">
        <v>-3530169</v>
      </c>
      <c r="FC82" s="542">
        <v>-424232</v>
      </c>
      <c r="FD82" s="542">
        <v>0</v>
      </c>
      <c r="FE82" s="542">
        <v>-424232</v>
      </c>
      <c r="FF82" s="542">
        <v>-309601</v>
      </c>
      <c r="FG82" s="542">
        <v>0</v>
      </c>
      <c r="FH82" s="542">
        <v>-309601</v>
      </c>
      <c r="FI82" s="542">
        <v>-527214</v>
      </c>
      <c r="FJ82" s="542">
        <v>0</v>
      </c>
      <c r="FK82" s="542">
        <v>-527214</v>
      </c>
      <c r="FL82" s="542">
        <v>0</v>
      </c>
      <c r="FM82" s="542">
        <v>0</v>
      </c>
      <c r="FN82" s="542">
        <v>0</v>
      </c>
      <c r="FO82" s="542">
        <v>-4793465</v>
      </c>
      <c r="FP82" s="542">
        <v>0</v>
      </c>
      <c r="FQ82" s="542">
        <v>-4793465</v>
      </c>
      <c r="FR82" s="542">
        <v>17047276</v>
      </c>
      <c r="FS82" s="542">
        <v>0</v>
      </c>
      <c r="FT82" s="542">
        <v>17047276</v>
      </c>
    </row>
    <row r="83" spans="1:176" ht="12.75" x14ac:dyDescent="0.2">
      <c r="A83" s="93">
        <v>78</v>
      </c>
      <c r="B83" s="145" t="s">
        <v>32</v>
      </c>
      <c r="C83" s="604" t="s">
        <v>873</v>
      </c>
      <c r="D83" s="142" t="s">
        <v>874</v>
      </c>
      <c r="E83" s="149" t="s">
        <v>31</v>
      </c>
      <c r="F83" s="542">
        <v>-78681</v>
      </c>
      <c r="G83" s="542">
        <v>0</v>
      </c>
      <c r="H83" s="542">
        <v>-78681</v>
      </c>
      <c r="I83" s="542">
        <v>499308</v>
      </c>
      <c r="J83" s="542">
        <v>0</v>
      </c>
      <c r="K83" s="542">
        <v>499308</v>
      </c>
      <c r="L83" s="542">
        <v>8966</v>
      </c>
      <c r="M83" s="542">
        <v>0</v>
      </c>
      <c r="N83" s="542">
        <v>8966</v>
      </c>
      <c r="O83" s="542">
        <v>327404</v>
      </c>
      <c r="P83" s="542">
        <v>0</v>
      </c>
      <c r="Q83" s="542">
        <v>327404</v>
      </c>
      <c r="R83" s="542">
        <v>756997</v>
      </c>
      <c r="S83" s="542">
        <v>0</v>
      </c>
      <c r="T83" s="542">
        <v>756997</v>
      </c>
      <c r="U83" s="542">
        <v>-5959647</v>
      </c>
      <c r="V83" s="542">
        <v>0</v>
      </c>
      <c r="W83" s="542">
        <v>-5959647</v>
      </c>
      <c r="X83" s="542">
        <v>-17948</v>
      </c>
      <c r="Y83" s="542">
        <v>0</v>
      </c>
      <c r="Z83" s="542">
        <v>-17948</v>
      </c>
      <c r="AA83" s="542">
        <v>-326214</v>
      </c>
      <c r="AB83" s="542">
        <v>0</v>
      </c>
      <c r="AC83" s="542">
        <v>-326214</v>
      </c>
      <c r="AD83" s="542">
        <v>-183428</v>
      </c>
      <c r="AE83" s="542">
        <v>0</v>
      </c>
      <c r="AF83" s="542">
        <v>-183428</v>
      </c>
      <c r="AG83" s="542">
        <v>2155635</v>
      </c>
      <c r="AH83" s="542">
        <v>0</v>
      </c>
      <c r="AI83" s="542">
        <v>2155635</v>
      </c>
      <c r="AJ83" s="542">
        <v>104601</v>
      </c>
      <c r="AK83" s="542">
        <v>0</v>
      </c>
      <c r="AL83" s="542">
        <v>104601</v>
      </c>
      <c r="AM83" s="542">
        <v>-5318909</v>
      </c>
      <c r="AN83" s="542">
        <v>0</v>
      </c>
      <c r="AO83" s="542">
        <v>-5318909</v>
      </c>
      <c r="AP83" s="542">
        <v>96110</v>
      </c>
      <c r="AQ83" s="542">
        <v>0</v>
      </c>
      <c r="AR83" s="542">
        <v>96110</v>
      </c>
      <c r="AS83" s="542">
        <v>-29094</v>
      </c>
      <c r="AT83" s="542">
        <v>0</v>
      </c>
      <c r="AU83" s="542">
        <v>-29094</v>
      </c>
      <c r="AV83" s="542">
        <v>0</v>
      </c>
      <c r="AW83" s="542">
        <v>0</v>
      </c>
      <c r="AX83" s="542">
        <v>0</v>
      </c>
      <c r="AY83" s="542">
        <v>-11000</v>
      </c>
      <c r="AZ83" s="542">
        <v>0</v>
      </c>
      <c r="BA83" s="542">
        <v>-11000</v>
      </c>
      <c r="BB83" s="542">
        <v>0</v>
      </c>
      <c r="BC83" s="542">
        <v>0</v>
      </c>
      <c r="BD83" s="542">
        <v>0</v>
      </c>
      <c r="BE83" s="542">
        <v>-9288518</v>
      </c>
      <c r="BF83" s="542">
        <v>0</v>
      </c>
      <c r="BG83" s="542">
        <v>-9288518</v>
      </c>
      <c r="BH83" s="542">
        <v>0</v>
      </c>
      <c r="BI83" s="542">
        <v>0</v>
      </c>
      <c r="BJ83" s="542">
        <v>0</v>
      </c>
      <c r="BK83" s="542">
        <v>-10167</v>
      </c>
      <c r="BL83" s="542">
        <v>0</v>
      </c>
      <c r="BM83" s="542">
        <v>-10167</v>
      </c>
      <c r="BN83" s="542">
        <v>-2959077</v>
      </c>
      <c r="BO83" s="542">
        <v>0</v>
      </c>
      <c r="BP83" s="542">
        <v>-2959077</v>
      </c>
      <c r="BQ83" s="542">
        <v>-181189</v>
      </c>
      <c r="BR83" s="542">
        <v>0</v>
      </c>
      <c r="BS83" s="542">
        <v>-181189</v>
      </c>
      <c r="BT83" s="542">
        <v>-3150433</v>
      </c>
      <c r="BU83" s="542">
        <v>0</v>
      </c>
      <c r="BV83" s="542">
        <v>-3150433</v>
      </c>
      <c r="BW83" s="542">
        <v>-272818</v>
      </c>
      <c r="BX83" s="542">
        <v>0</v>
      </c>
      <c r="BY83" s="542">
        <v>-272818</v>
      </c>
      <c r="BZ83" s="542">
        <v>-4313</v>
      </c>
      <c r="CA83" s="542">
        <v>0</v>
      </c>
      <c r="CB83" s="542">
        <v>-4313</v>
      </c>
      <c r="CC83" s="542">
        <v>-98332</v>
      </c>
      <c r="CD83" s="542">
        <v>0</v>
      </c>
      <c r="CE83" s="542">
        <v>-98332</v>
      </c>
      <c r="CF83" s="542">
        <v>-8664</v>
      </c>
      <c r="CG83" s="542">
        <v>0</v>
      </c>
      <c r="CH83" s="542">
        <v>-8664</v>
      </c>
      <c r="CI83" s="542">
        <v>0</v>
      </c>
      <c r="CJ83" s="542">
        <v>0</v>
      </c>
      <c r="CK83" s="542">
        <v>0</v>
      </c>
      <c r="CL83" s="542">
        <v>0</v>
      </c>
      <c r="CM83" s="542">
        <v>0</v>
      </c>
      <c r="CN83" s="542">
        <v>0</v>
      </c>
      <c r="CO83" s="542">
        <v>0</v>
      </c>
      <c r="CP83" s="542">
        <v>0</v>
      </c>
      <c r="CQ83" s="542">
        <v>0</v>
      </c>
      <c r="CR83" s="542">
        <v>0</v>
      </c>
      <c r="CS83" s="542">
        <v>0</v>
      </c>
      <c r="CT83" s="542">
        <v>0</v>
      </c>
      <c r="CU83" s="542">
        <v>0</v>
      </c>
      <c r="CV83" s="542">
        <v>0</v>
      </c>
      <c r="CW83" s="542">
        <v>0</v>
      </c>
      <c r="CX83" s="542">
        <v>0</v>
      </c>
      <c r="CY83" s="542">
        <v>0</v>
      </c>
      <c r="CZ83" s="542">
        <v>0</v>
      </c>
      <c r="DA83" s="542">
        <v>0</v>
      </c>
      <c r="DB83" s="542">
        <v>0</v>
      </c>
      <c r="DC83" s="542">
        <v>0</v>
      </c>
      <c r="DD83" s="542">
        <v>0</v>
      </c>
      <c r="DE83" s="542">
        <v>0</v>
      </c>
      <c r="DF83" s="542">
        <v>0</v>
      </c>
      <c r="DG83" s="542"/>
      <c r="DH83" s="542">
        <v>0</v>
      </c>
      <c r="DI83" s="542"/>
      <c r="DJ83" s="542">
        <v>0</v>
      </c>
      <c r="DK83" s="542"/>
      <c r="DL83" s="542"/>
      <c r="DM83" s="542">
        <v>-384127</v>
      </c>
      <c r="DN83" s="542">
        <v>0</v>
      </c>
      <c r="DO83" s="542">
        <v>-384127</v>
      </c>
      <c r="DP83" s="542">
        <v>-861</v>
      </c>
      <c r="DQ83" s="542">
        <v>0</v>
      </c>
      <c r="DR83" s="542">
        <v>-861</v>
      </c>
      <c r="DS83" s="542">
        <v>0</v>
      </c>
      <c r="DT83" s="542">
        <v>0</v>
      </c>
      <c r="DU83" s="542">
        <v>0</v>
      </c>
      <c r="DV83" s="542">
        <v>-20262</v>
      </c>
      <c r="DW83" s="542">
        <v>0</v>
      </c>
      <c r="DX83" s="542">
        <v>-20262</v>
      </c>
      <c r="DY83" s="542">
        <v>-736230</v>
      </c>
      <c r="DZ83" s="542">
        <v>0</v>
      </c>
      <c r="EA83" s="542">
        <v>-736230</v>
      </c>
      <c r="EB83" s="542">
        <v>0</v>
      </c>
      <c r="EC83" s="542">
        <v>0</v>
      </c>
      <c r="ED83" s="542">
        <v>0</v>
      </c>
      <c r="EE83" s="542">
        <v>0</v>
      </c>
      <c r="EF83" s="542">
        <v>0</v>
      </c>
      <c r="EG83" s="542">
        <v>0</v>
      </c>
      <c r="EH83" s="542">
        <v>-757353</v>
      </c>
      <c r="EI83" s="542">
        <v>0</v>
      </c>
      <c r="EJ83" s="542">
        <v>-757353</v>
      </c>
      <c r="EK83" s="542">
        <v>0</v>
      </c>
      <c r="EL83" s="542">
        <v>0</v>
      </c>
      <c r="EM83" s="542">
        <v>0</v>
      </c>
      <c r="EN83" s="542">
        <v>0</v>
      </c>
      <c r="EO83" s="542">
        <v>0</v>
      </c>
      <c r="EP83" s="542">
        <v>0</v>
      </c>
      <c r="EQ83" s="542">
        <v>0</v>
      </c>
      <c r="ER83" s="542">
        <v>0</v>
      </c>
      <c r="ES83" s="542">
        <v>0</v>
      </c>
      <c r="ET83" s="542">
        <v>104985308</v>
      </c>
      <c r="EU83" s="542">
        <v>0</v>
      </c>
      <c r="EV83" s="542">
        <v>104985308</v>
      </c>
      <c r="EW83" s="542">
        <v>756997</v>
      </c>
      <c r="EX83" s="542">
        <v>0</v>
      </c>
      <c r="EY83" s="542">
        <v>756997</v>
      </c>
      <c r="EZ83" s="542">
        <v>-9288518</v>
      </c>
      <c r="FA83" s="542">
        <v>0</v>
      </c>
      <c r="FB83" s="542">
        <v>-9288518</v>
      </c>
      <c r="FC83" s="542">
        <v>-3150433</v>
      </c>
      <c r="FD83" s="542">
        <v>0</v>
      </c>
      <c r="FE83" s="542">
        <v>-3150433</v>
      </c>
      <c r="FF83" s="542">
        <v>-384127</v>
      </c>
      <c r="FG83" s="542">
        <v>0</v>
      </c>
      <c r="FH83" s="542">
        <v>-384127</v>
      </c>
      <c r="FI83" s="542">
        <v>-757353</v>
      </c>
      <c r="FJ83" s="542">
        <v>0</v>
      </c>
      <c r="FK83" s="542">
        <v>-757353</v>
      </c>
      <c r="FL83" s="542">
        <v>0</v>
      </c>
      <c r="FM83" s="542">
        <v>0</v>
      </c>
      <c r="FN83" s="542">
        <v>0</v>
      </c>
      <c r="FO83" s="542">
        <v>-12823434</v>
      </c>
      <c r="FP83" s="542">
        <v>0</v>
      </c>
      <c r="FQ83" s="542">
        <v>-12823434</v>
      </c>
      <c r="FR83" s="542">
        <v>92161874</v>
      </c>
      <c r="FS83" s="542">
        <v>0</v>
      </c>
      <c r="FT83" s="542">
        <v>92161874</v>
      </c>
    </row>
    <row r="84" spans="1:176" ht="12.75" x14ac:dyDescent="0.2">
      <c r="A84" s="93">
        <v>79</v>
      </c>
      <c r="B84" s="145" t="s">
        <v>36</v>
      </c>
      <c r="C84" s="604" t="s">
        <v>866</v>
      </c>
      <c r="D84" s="142" t="s">
        <v>867</v>
      </c>
      <c r="E84" s="149" t="s">
        <v>35</v>
      </c>
      <c r="F84" s="542">
        <v>-75585.240000000005</v>
      </c>
      <c r="G84" s="542">
        <v>0</v>
      </c>
      <c r="H84" s="542">
        <v>-75585.240000000005</v>
      </c>
      <c r="I84" s="542">
        <v>34962.120000000003</v>
      </c>
      <c r="J84" s="542">
        <v>0</v>
      </c>
      <c r="K84" s="542">
        <v>34962.120000000003</v>
      </c>
      <c r="L84" s="542">
        <v>4097.3599999999997</v>
      </c>
      <c r="M84" s="542">
        <v>0</v>
      </c>
      <c r="N84" s="542">
        <v>4097.3599999999997</v>
      </c>
      <c r="O84" s="542">
        <v>-25802.11</v>
      </c>
      <c r="P84" s="542">
        <v>0</v>
      </c>
      <c r="Q84" s="542">
        <v>-25802.11</v>
      </c>
      <c r="R84" s="542">
        <v>-62328</v>
      </c>
      <c r="S84" s="542">
        <v>0</v>
      </c>
      <c r="T84" s="542">
        <v>-62328</v>
      </c>
      <c r="U84" s="542">
        <v>-2366310</v>
      </c>
      <c r="V84" s="542">
        <v>0</v>
      </c>
      <c r="W84" s="542">
        <v>-2366310</v>
      </c>
      <c r="X84" s="542">
        <v>-4461</v>
      </c>
      <c r="Y84" s="542">
        <v>0</v>
      </c>
      <c r="Z84" s="542">
        <v>-4461</v>
      </c>
      <c r="AA84" s="542">
        <v>-192958.48</v>
      </c>
      <c r="AB84" s="542">
        <v>0</v>
      </c>
      <c r="AC84" s="542">
        <v>-192958.48</v>
      </c>
      <c r="AD84" s="542">
        <v>-86104</v>
      </c>
      <c r="AE84" s="542">
        <v>0</v>
      </c>
      <c r="AF84" s="542">
        <v>-86104</v>
      </c>
      <c r="AG84" s="542">
        <v>836298</v>
      </c>
      <c r="AH84" s="542">
        <v>0</v>
      </c>
      <c r="AI84" s="542">
        <v>836298</v>
      </c>
      <c r="AJ84" s="542">
        <v>-4277</v>
      </c>
      <c r="AK84" s="542">
        <v>0</v>
      </c>
      <c r="AL84" s="542">
        <v>-4277</v>
      </c>
      <c r="AM84" s="542">
        <v>-2317233.6</v>
      </c>
      <c r="AN84" s="542">
        <v>0</v>
      </c>
      <c r="AO84" s="542">
        <v>-2317233.6</v>
      </c>
      <c r="AP84" s="542">
        <v>-13374.68</v>
      </c>
      <c r="AQ84" s="542">
        <v>0</v>
      </c>
      <c r="AR84" s="542">
        <v>-13374.68</v>
      </c>
      <c r="AS84" s="542">
        <v>-52859.95</v>
      </c>
      <c r="AT84" s="542">
        <v>0</v>
      </c>
      <c r="AU84" s="542">
        <v>-52859.95</v>
      </c>
      <c r="AV84" s="542">
        <v>-650.36</v>
      </c>
      <c r="AW84" s="542">
        <v>0</v>
      </c>
      <c r="AX84" s="542">
        <v>-650.36</v>
      </c>
      <c r="AY84" s="542">
        <v>-20885.72</v>
      </c>
      <c r="AZ84" s="542">
        <v>0</v>
      </c>
      <c r="BA84" s="542">
        <v>-20885.72</v>
      </c>
      <c r="BB84" s="542">
        <v>2798.64</v>
      </c>
      <c r="BC84" s="542">
        <v>0</v>
      </c>
      <c r="BD84" s="542">
        <v>2798.64</v>
      </c>
      <c r="BE84" s="542">
        <v>-4129453</v>
      </c>
      <c r="BF84" s="542">
        <v>0</v>
      </c>
      <c r="BG84" s="542">
        <v>-4129453</v>
      </c>
      <c r="BH84" s="542">
        <v>-12114.67</v>
      </c>
      <c r="BI84" s="542">
        <v>0</v>
      </c>
      <c r="BJ84" s="542">
        <v>-12114.67</v>
      </c>
      <c r="BK84" s="542">
        <v>-29002.07</v>
      </c>
      <c r="BL84" s="542">
        <v>0</v>
      </c>
      <c r="BM84" s="542">
        <v>-29002.07</v>
      </c>
      <c r="BN84" s="542">
        <v>-834887</v>
      </c>
      <c r="BO84" s="542">
        <v>0</v>
      </c>
      <c r="BP84" s="542">
        <v>-834887</v>
      </c>
      <c r="BQ84" s="542">
        <v>-165586</v>
      </c>
      <c r="BR84" s="542">
        <v>0</v>
      </c>
      <c r="BS84" s="542">
        <v>-165586</v>
      </c>
      <c r="BT84" s="542">
        <v>-1041590</v>
      </c>
      <c r="BU84" s="542">
        <v>0</v>
      </c>
      <c r="BV84" s="542">
        <v>-1041590</v>
      </c>
      <c r="BW84" s="542">
        <v>-141713</v>
      </c>
      <c r="BX84" s="542">
        <v>0</v>
      </c>
      <c r="BY84" s="542">
        <v>-141713</v>
      </c>
      <c r="BZ84" s="542">
        <v>485</v>
      </c>
      <c r="CA84" s="542">
        <v>0</v>
      </c>
      <c r="CB84" s="542">
        <v>485</v>
      </c>
      <c r="CC84" s="542">
        <v>-23882</v>
      </c>
      <c r="CD84" s="542">
        <v>0</v>
      </c>
      <c r="CE84" s="542">
        <v>-23882</v>
      </c>
      <c r="CF84" s="542">
        <v>-13093</v>
      </c>
      <c r="CG84" s="542">
        <v>0</v>
      </c>
      <c r="CH84" s="542">
        <v>-13093</v>
      </c>
      <c r="CI84" s="542">
        <v>0</v>
      </c>
      <c r="CJ84" s="542">
        <v>0</v>
      </c>
      <c r="CK84" s="542">
        <v>0</v>
      </c>
      <c r="CL84" s="542">
        <v>0</v>
      </c>
      <c r="CM84" s="542">
        <v>0</v>
      </c>
      <c r="CN84" s="542">
        <v>0</v>
      </c>
      <c r="CO84" s="542">
        <v>0</v>
      </c>
      <c r="CP84" s="542">
        <v>0</v>
      </c>
      <c r="CQ84" s="542">
        <v>0</v>
      </c>
      <c r="CR84" s="542">
        <v>0</v>
      </c>
      <c r="CS84" s="542">
        <v>0</v>
      </c>
      <c r="CT84" s="542">
        <v>0</v>
      </c>
      <c r="CU84" s="542">
        <v>0</v>
      </c>
      <c r="CV84" s="542">
        <v>0</v>
      </c>
      <c r="CW84" s="542">
        <v>0</v>
      </c>
      <c r="CX84" s="542">
        <v>0</v>
      </c>
      <c r="CY84" s="542">
        <v>0</v>
      </c>
      <c r="CZ84" s="542">
        <v>0</v>
      </c>
      <c r="DA84" s="542">
        <v>-2660448</v>
      </c>
      <c r="DB84" s="542">
        <v>0</v>
      </c>
      <c r="DC84" s="542">
        <v>-2660448</v>
      </c>
      <c r="DD84" s="542">
        <v>0</v>
      </c>
      <c r="DE84" s="542">
        <v>0</v>
      </c>
      <c r="DF84" s="542">
        <v>0</v>
      </c>
      <c r="DG84" s="542"/>
      <c r="DH84" s="542">
        <v>0</v>
      </c>
      <c r="DI84" s="542"/>
      <c r="DJ84" s="542">
        <v>-2660448</v>
      </c>
      <c r="DK84" s="542"/>
      <c r="DL84" s="542"/>
      <c r="DM84" s="542">
        <v>-2838651</v>
      </c>
      <c r="DN84" s="542">
        <v>0</v>
      </c>
      <c r="DO84" s="542">
        <v>-2838651</v>
      </c>
      <c r="DP84" s="542">
        <v>0</v>
      </c>
      <c r="DQ84" s="542">
        <v>0</v>
      </c>
      <c r="DR84" s="542">
        <v>0</v>
      </c>
      <c r="DS84" s="542">
        <v>0</v>
      </c>
      <c r="DT84" s="542">
        <v>0</v>
      </c>
      <c r="DU84" s="542">
        <v>0</v>
      </c>
      <c r="DV84" s="542">
        <v>-7743.91</v>
      </c>
      <c r="DW84" s="542">
        <v>0</v>
      </c>
      <c r="DX84" s="542">
        <v>-7743.91</v>
      </c>
      <c r="DY84" s="542">
        <v>-476991.43</v>
      </c>
      <c r="DZ84" s="542">
        <v>0</v>
      </c>
      <c r="EA84" s="542">
        <v>-476991.43</v>
      </c>
      <c r="EB84" s="542">
        <v>-22907</v>
      </c>
      <c r="EC84" s="542">
        <v>0</v>
      </c>
      <c r="ED84" s="542">
        <v>-22907</v>
      </c>
      <c r="EE84" s="542">
        <v>0</v>
      </c>
      <c r="EF84" s="542">
        <v>0</v>
      </c>
      <c r="EG84" s="542">
        <v>0</v>
      </c>
      <c r="EH84" s="542">
        <v>-507642</v>
      </c>
      <c r="EI84" s="542">
        <v>0</v>
      </c>
      <c r="EJ84" s="542">
        <v>-507642</v>
      </c>
      <c r="EK84" s="542">
        <v>0</v>
      </c>
      <c r="EL84" s="542">
        <v>0</v>
      </c>
      <c r="EM84" s="542">
        <v>0</v>
      </c>
      <c r="EN84" s="542">
        <v>0</v>
      </c>
      <c r="EO84" s="542">
        <v>0</v>
      </c>
      <c r="EP84" s="542">
        <v>0</v>
      </c>
      <c r="EQ84" s="542">
        <v>0</v>
      </c>
      <c r="ER84" s="542">
        <v>0</v>
      </c>
      <c r="ES84" s="542">
        <v>0</v>
      </c>
      <c r="ET84" s="542">
        <v>42263623</v>
      </c>
      <c r="EU84" s="542">
        <v>0</v>
      </c>
      <c r="EV84" s="542">
        <v>42263623</v>
      </c>
      <c r="EW84" s="542">
        <v>-62328</v>
      </c>
      <c r="EX84" s="542">
        <v>0</v>
      </c>
      <c r="EY84" s="542">
        <v>-62328</v>
      </c>
      <c r="EZ84" s="542">
        <v>-4129453</v>
      </c>
      <c r="FA84" s="542">
        <v>0</v>
      </c>
      <c r="FB84" s="542">
        <v>-4129453</v>
      </c>
      <c r="FC84" s="542">
        <v>-1041590</v>
      </c>
      <c r="FD84" s="542">
        <v>0</v>
      </c>
      <c r="FE84" s="542">
        <v>-1041590</v>
      </c>
      <c r="FF84" s="542">
        <v>-2838651</v>
      </c>
      <c r="FG84" s="542">
        <v>0</v>
      </c>
      <c r="FH84" s="542">
        <v>-2838651</v>
      </c>
      <c r="FI84" s="542">
        <v>-507642</v>
      </c>
      <c r="FJ84" s="542">
        <v>0</v>
      </c>
      <c r="FK84" s="542">
        <v>-507642</v>
      </c>
      <c r="FL84" s="542">
        <v>0</v>
      </c>
      <c r="FM84" s="542">
        <v>0</v>
      </c>
      <c r="FN84" s="542">
        <v>0</v>
      </c>
      <c r="FO84" s="542">
        <v>-8579664</v>
      </c>
      <c r="FP84" s="542">
        <v>0</v>
      </c>
      <c r="FQ84" s="542">
        <v>-8579664</v>
      </c>
      <c r="FR84" s="542">
        <v>33683959</v>
      </c>
      <c r="FS84" s="542">
        <v>0</v>
      </c>
      <c r="FT84" s="542">
        <v>33683959</v>
      </c>
    </row>
    <row r="85" spans="1:176" ht="12.75" x14ac:dyDescent="0.2">
      <c r="A85" s="93">
        <v>80</v>
      </c>
      <c r="B85" s="145" t="s">
        <v>38</v>
      </c>
      <c r="C85" s="604" t="s">
        <v>873</v>
      </c>
      <c r="D85" s="142" t="s">
        <v>876</v>
      </c>
      <c r="E85" s="149" t="s">
        <v>37</v>
      </c>
      <c r="F85" s="542">
        <v>-69330</v>
      </c>
      <c r="G85" s="542">
        <v>0</v>
      </c>
      <c r="H85" s="542">
        <v>-69330</v>
      </c>
      <c r="I85" s="542">
        <v>6637</v>
      </c>
      <c r="J85" s="542">
        <v>0</v>
      </c>
      <c r="K85" s="542">
        <v>6637</v>
      </c>
      <c r="L85" s="542">
        <v>71315</v>
      </c>
      <c r="M85" s="542">
        <v>0</v>
      </c>
      <c r="N85" s="542">
        <v>71315</v>
      </c>
      <c r="O85" s="542">
        <v>223525</v>
      </c>
      <c r="P85" s="542">
        <v>0</v>
      </c>
      <c r="Q85" s="542">
        <v>223525</v>
      </c>
      <c r="R85" s="542">
        <v>232147</v>
      </c>
      <c r="S85" s="542">
        <v>0</v>
      </c>
      <c r="T85" s="542">
        <v>232147</v>
      </c>
      <c r="U85" s="542">
        <v>-6717359</v>
      </c>
      <c r="V85" s="542">
        <v>0</v>
      </c>
      <c r="W85" s="542">
        <v>-6717359</v>
      </c>
      <c r="X85" s="542">
        <v>-11193</v>
      </c>
      <c r="Y85" s="542">
        <v>0</v>
      </c>
      <c r="Z85" s="542">
        <v>-11193</v>
      </c>
      <c r="AA85" s="542">
        <v>-410469</v>
      </c>
      <c r="AB85" s="542">
        <v>0</v>
      </c>
      <c r="AC85" s="542">
        <v>-410469</v>
      </c>
      <c r="AD85" s="542">
        <v>-205837</v>
      </c>
      <c r="AE85" s="542">
        <v>0</v>
      </c>
      <c r="AF85" s="542">
        <v>-205837</v>
      </c>
      <c r="AG85" s="542">
        <v>2244275</v>
      </c>
      <c r="AH85" s="542">
        <v>0</v>
      </c>
      <c r="AI85" s="542">
        <v>2244275</v>
      </c>
      <c r="AJ85" s="542">
        <v>92099</v>
      </c>
      <c r="AK85" s="542">
        <v>0</v>
      </c>
      <c r="AL85" s="542">
        <v>92099</v>
      </c>
      <c r="AM85" s="542">
        <v>-4779981</v>
      </c>
      <c r="AN85" s="542">
        <v>0</v>
      </c>
      <c r="AO85" s="542">
        <v>-4779981</v>
      </c>
      <c r="AP85" s="542">
        <v>-58907</v>
      </c>
      <c r="AQ85" s="542">
        <v>0</v>
      </c>
      <c r="AR85" s="542">
        <v>-58907</v>
      </c>
      <c r="AS85" s="542">
        <v>-25878</v>
      </c>
      <c r="AT85" s="542">
        <v>0</v>
      </c>
      <c r="AU85" s="542">
        <v>-25878</v>
      </c>
      <c r="AV85" s="542">
        <v>0</v>
      </c>
      <c r="AW85" s="542">
        <v>0</v>
      </c>
      <c r="AX85" s="542">
        <v>0</v>
      </c>
      <c r="AY85" s="542">
        <v>0</v>
      </c>
      <c r="AZ85" s="542">
        <v>0</v>
      </c>
      <c r="BA85" s="542">
        <v>0</v>
      </c>
      <c r="BB85" s="542">
        <v>0</v>
      </c>
      <c r="BC85" s="542">
        <v>0</v>
      </c>
      <c r="BD85" s="542">
        <v>0</v>
      </c>
      <c r="BE85" s="542">
        <v>-9656220</v>
      </c>
      <c r="BF85" s="542">
        <v>0</v>
      </c>
      <c r="BG85" s="542">
        <v>-9656220</v>
      </c>
      <c r="BH85" s="542">
        <v>-106278</v>
      </c>
      <c r="BI85" s="542">
        <v>0</v>
      </c>
      <c r="BJ85" s="542">
        <v>-106278</v>
      </c>
      <c r="BK85" s="542">
        <v>-66559</v>
      </c>
      <c r="BL85" s="542">
        <v>0</v>
      </c>
      <c r="BM85" s="542">
        <v>-66559</v>
      </c>
      <c r="BN85" s="542">
        <v>-6304991</v>
      </c>
      <c r="BO85" s="542">
        <v>0</v>
      </c>
      <c r="BP85" s="542">
        <v>-6304991</v>
      </c>
      <c r="BQ85" s="542">
        <v>-475856</v>
      </c>
      <c r="BR85" s="542">
        <v>0</v>
      </c>
      <c r="BS85" s="542">
        <v>-475856</v>
      </c>
      <c r="BT85" s="542">
        <v>-6953684</v>
      </c>
      <c r="BU85" s="542">
        <v>0</v>
      </c>
      <c r="BV85" s="542">
        <v>-6953684</v>
      </c>
      <c r="BW85" s="542">
        <v>-465797</v>
      </c>
      <c r="BX85" s="542">
        <v>0</v>
      </c>
      <c r="BY85" s="542">
        <v>-465797</v>
      </c>
      <c r="BZ85" s="542">
        <v>10490</v>
      </c>
      <c r="CA85" s="542">
        <v>0</v>
      </c>
      <c r="CB85" s="542">
        <v>10490</v>
      </c>
      <c r="CC85" s="542">
        <v>-83395</v>
      </c>
      <c r="CD85" s="542">
        <v>0</v>
      </c>
      <c r="CE85" s="542">
        <v>-83395</v>
      </c>
      <c r="CF85" s="542">
        <v>10437</v>
      </c>
      <c r="CG85" s="542">
        <v>0</v>
      </c>
      <c r="CH85" s="542">
        <v>10437</v>
      </c>
      <c r="CI85" s="542">
        <v>-6469</v>
      </c>
      <c r="CJ85" s="542">
        <v>0</v>
      </c>
      <c r="CK85" s="542">
        <v>-6469</v>
      </c>
      <c r="CL85" s="542">
        <v>0</v>
      </c>
      <c r="CM85" s="542">
        <v>0</v>
      </c>
      <c r="CN85" s="542">
        <v>0</v>
      </c>
      <c r="CO85" s="542">
        <v>0</v>
      </c>
      <c r="CP85" s="542">
        <v>0</v>
      </c>
      <c r="CQ85" s="542">
        <v>0</v>
      </c>
      <c r="CR85" s="542">
        <v>0</v>
      </c>
      <c r="CS85" s="542">
        <v>0</v>
      </c>
      <c r="CT85" s="542">
        <v>0</v>
      </c>
      <c r="CU85" s="542">
        <v>0</v>
      </c>
      <c r="CV85" s="542">
        <v>0</v>
      </c>
      <c r="CW85" s="542">
        <v>0</v>
      </c>
      <c r="CX85" s="542">
        <v>0</v>
      </c>
      <c r="CY85" s="542">
        <v>0</v>
      </c>
      <c r="CZ85" s="542">
        <v>0</v>
      </c>
      <c r="DA85" s="542">
        <v>-7844</v>
      </c>
      <c r="DB85" s="542">
        <v>0</v>
      </c>
      <c r="DC85" s="542">
        <v>-7844</v>
      </c>
      <c r="DD85" s="542">
        <v>0</v>
      </c>
      <c r="DE85" s="542">
        <v>0</v>
      </c>
      <c r="DF85" s="542">
        <v>0</v>
      </c>
      <c r="DG85" s="542"/>
      <c r="DH85" s="542">
        <v>0</v>
      </c>
      <c r="DI85" s="542"/>
      <c r="DJ85" s="542">
        <v>0</v>
      </c>
      <c r="DK85" s="542"/>
      <c r="DL85" s="542"/>
      <c r="DM85" s="542">
        <v>-542578</v>
      </c>
      <c r="DN85" s="542">
        <v>0</v>
      </c>
      <c r="DO85" s="542">
        <v>-542578</v>
      </c>
      <c r="DP85" s="542">
        <v>0</v>
      </c>
      <c r="DQ85" s="542">
        <v>0</v>
      </c>
      <c r="DR85" s="542">
        <v>0</v>
      </c>
      <c r="DS85" s="542">
        <v>0</v>
      </c>
      <c r="DT85" s="542">
        <v>0</v>
      </c>
      <c r="DU85" s="542">
        <v>0</v>
      </c>
      <c r="DV85" s="542">
        <v>-14781</v>
      </c>
      <c r="DW85" s="542">
        <v>0</v>
      </c>
      <c r="DX85" s="542">
        <v>-14781</v>
      </c>
      <c r="DY85" s="542">
        <v>-1138978</v>
      </c>
      <c r="DZ85" s="542">
        <v>0</v>
      </c>
      <c r="EA85" s="542">
        <v>-1138978</v>
      </c>
      <c r="EB85" s="542">
        <v>0</v>
      </c>
      <c r="EC85" s="542">
        <v>0</v>
      </c>
      <c r="ED85" s="542">
        <v>0</v>
      </c>
      <c r="EE85" s="542">
        <v>0</v>
      </c>
      <c r="EF85" s="542">
        <v>0</v>
      </c>
      <c r="EG85" s="542">
        <v>0</v>
      </c>
      <c r="EH85" s="542">
        <v>-1153759</v>
      </c>
      <c r="EI85" s="542">
        <v>0</v>
      </c>
      <c r="EJ85" s="542">
        <v>-1153759</v>
      </c>
      <c r="EK85" s="542">
        <v>0</v>
      </c>
      <c r="EL85" s="542">
        <v>0</v>
      </c>
      <c r="EM85" s="542">
        <v>0</v>
      </c>
      <c r="EN85" s="542">
        <v>0</v>
      </c>
      <c r="EO85" s="542">
        <v>0</v>
      </c>
      <c r="EP85" s="542">
        <v>0</v>
      </c>
      <c r="EQ85" s="542">
        <v>0</v>
      </c>
      <c r="ER85" s="542">
        <v>0</v>
      </c>
      <c r="ES85" s="542">
        <v>0</v>
      </c>
      <c r="ET85" s="542">
        <v>112354955</v>
      </c>
      <c r="EU85" s="542">
        <v>0</v>
      </c>
      <c r="EV85" s="542">
        <v>112354955</v>
      </c>
      <c r="EW85" s="542">
        <v>232147</v>
      </c>
      <c r="EX85" s="542">
        <v>0</v>
      </c>
      <c r="EY85" s="542">
        <v>232147</v>
      </c>
      <c r="EZ85" s="542">
        <v>-9656220</v>
      </c>
      <c r="FA85" s="542">
        <v>0</v>
      </c>
      <c r="FB85" s="542">
        <v>-9656220</v>
      </c>
      <c r="FC85" s="542">
        <v>-6953684</v>
      </c>
      <c r="FD85" s="542">
        <v>0</v>
      </c>
      <c r="FE85" s="542">
        <v>-6953684</v>
      </c>
      <c r="FF85" s="542">
        <v>-542578</v>
      </c>
      <c r="FG85" s="542">
        <v>0</v>
      </c>
      <c r="FH85" s="542">
        <v>-542578</v>
      </c>
      <c r="FI85" s="542">
        <v>-1153759</v>
      </c>
      <c r="FJ85" s="542">
        <v>0</v>
      </c>
      <c r="FK85" s="542">
        <v>-1153759</v>
      </c>
      <c r="FL85" s="542">
        <v>0</v>
      </c>
      <c r="FM85" s="542">
        <v>0</v>
      </c>
      <c r="FN85" s="542">
        <v>0</v>
      </c>
      <c r="FO85" s="542">
        <v>-18074094</v>
      </c>
      <c r="FP85" s="542">
        <v>0</v>
      </c>
      <c r="FQ85" s="542">
        <v>-18074094</v>
      </c>
      <c r="FR85" s="542">
        <v>94280861</v>
      </c>
      <c r="FS85" s="542">
        <v>0</v>
      </c>
      <c r="FT85" s="542">
        <v>94280861</v>
      </c>
    </row>
    <row r="86" spans="1:176" ht="12.75" x14ac:dyDescent="0.2">
      <c r="A86" s="93">
        <v>81</v>
      </c>
      <c r="B86" s="145" t="s">
        <v>40</v>
      </c>
      <c r="C86" s="604" t="s">
        <v>770</v>
      </c>
      <c r="D86" s="142" t="s">
        <v>878</v>
      </c>
      <c r="E86" s="149" t="s">
        <v>39</v>
      </c>
      <c r="F86" s="542">
        <v>-216573</v>
      </c>
      <c r="G86" s="542">
        <v>0</v>
      </c>
      <c r="H86" s="542">
        <v>-216573</v>
      </c>
      <c r="I86" s="542">
        <v>234822</v>
      </c>
      <c r="J86" s="542">
        <v>0</v>
      </c>
      <c r="K86" s="542">
        <v>234822</v>
      </c>
      <c r="L86" s="542">
        <v>27145</v>
      </c>
      <c r="M86" s="542">
        <v>0</v>
      </c>
      <c r="N86" s="542">
        <v>27145</v>
      </c>
      <c r="O86" s="542">
        <v>-108847</v>
      </c>
      <c r="P86" s="542">
        <v>0</v>
      </c>
      <c r="Q86" s="542">
        <v>-108847</v>
      </c>
      <c r="R86" s="542">
        <v>-63453</v>
      </c>
      <c r="S86" s="542">
        <v>0</v>
      </c>
      <c r="T86" s="542">
        <v>-63453</v>
      </c>
      <c r="U86" s="542">
        <v>-9477115</v>
      </c>
      <c r="V86" s="542">
        <v>0</v>
      </c>
      <c r="W86" s="542">
        <v>-9477115</v>
      </c>
      <c r="X86" s="542">
        <v>-22899</v>
      </c>
      <c r="Y86" s="542">
        <v>0</v>
      </c>
      <c r="Z86" s="542">
        <v>-22899</v>
      </c>
      <c r="AA86" s="542">
        <v>-409968</v>
      </c>
      <c r="AB86" s="542">
        <v>0</v>
      </c>
      <c r="AC86" s="542">
        <v>-409968</v>
      </c>
      <c r="AD86" s="542">
        <v>-181599</v>
      </c>
      <c r="AE86" s="542">
        <v>0</v>
      </c>
      <c r="AF86" s="542">
        <v>-181599</v>
      </c>
      <c r="AG86" s="542">
        <v>2752890</v>
      </c>
      <c r="AH86" s="542">
        <v>0</v>
      </c>
      <c r="AI86" s="542">
        <v>2752890</v>
      </c>
      <c r="AJ86" s="542">
        <v>-24353</v>
      </c>
      <c r="AK86" s="542">
        <v>0</v>
      </c>
      <c r="AL86" s="542">
        <v>-24353</v>
      </c>
      <c r="AM86" s="542">
        <v>-9649442</v>
      </c>
      <c r="AN86" s="542">
        <v>0</v>
      </c>
      <c r="AO86" s="542">
        <v>-9649442</v>
      </c>
      <c r="AP86" s="542">
        <v>-106613</v>
      </c>
      <c r="AQ86" s="542">
        <v>0</v>
      </c>
      <c r="AR86" s="542">
        <v>-106613</v>
      </c>
      <c r="AS86" s="542">
        <v>-236825</v>
      </c>
      <c r="AT86" s="542">
        <v>0</v>
      </c>
      <c r="AU86" s="542">
        <v>-236825</v>
      </c>
      <c r="AV86" s="542">
        <v>-91</v>
      </c>
      <c r="AW86" s="542">
        <v>0</v>
      </c>
      <c r="AX86" s="542">
        <v>-91</v>
      </c>
      <c r="AY86" s="542">
        <v>-88096</v>
      </c>
      <c r="AZ86" s="542">
        <v>0</v>
      </c>
      <c r="BA86" s="542">
        <v>-88096</v>
      </c>
      <c r="BB86" s="542">
        <v>4854</v>
      </c>
      <c r="BC86" s="542">
        <v>0</v>
      </c>
      <c r="BD86" s="542">
        <v>4854</v>
      </c>
      <c r="BE86" s="542">
        <v>-17234759</v>
      </c>
      <c r="BF86" s="542">
        <v>0</v>
      </c>
      <c r="BG86" s="542">
        <v>-17234759</v>
      </c>
      <c r="BH86" s="542">
        <v>-390424</v>
      </c>
      <c r="BI86" s="542">
        <v>0</v>
      </c>
      <c r="BJ86" s="542">
        <v>-390424</v>
      </c>
      <c r="BK86" s="542">
        <v>-7260</v>
      </c>
      <c r="BL86" s="542">
        <v>0</v>
      </c>
      <c r="BM86" s="542">
        <v>-7260</v>
      </c>
      <c r="BN86" s="542">
        <v>-4611123</v>
      </c>
      <c r="BO86" s="542">
        <v>0</v>
      </c>
      <c r="BP86" s="542">
        <v>-4611123</v>
      </c>
      <c r="BQ86" s="542">
        <v>-182151</v>
      </c>
      <c r="BR86" s="542">
        <v>0</v>
      </c>
      <c r="BS86" s="542">
        <v>-182151</v>
      </c>
      <c r="BT86" s="542">
        <v>-5190958</v>
      </c>
      <c r="BU86" s="542">
        <v>0</v>
      </c>
      <c r="BV86" s="542">
        <v>-5190958</v>
      </c>
      <c r="BW86" s="542">
        <v>-465234</v>
      </c>
      <c r="BX86" s="542">
        <v>0</v>
      </c>
      <c r="BY86" s="542">
        <v>-465234</v>
      </c>
      <c r="BZ86" s="542">
        <v>-14434</v>
      </c>
      <c r="CA86" s="542">
        <v>0</v>
      </c>
      <c r="CB86" s="542">
        <v>-14434</v>
      </c>
      <c r="CC86" s="542">
        <v>-85556</v>
      </c>
      <c r="CD86" s="542">
        <v>0</v>
      </c>
      <c r="CE86" s="542">
        <v>-85556</v>
      </c>
      <c r="CF86" s="542">
        <v>-39618</v>
      </c>
      <c r="CG86" s="542">
        <v>0</v>
      </c>
      <c r="CH86" s="542">
        <v>-39618</v>
      </c>
      <c r="CI86" s="542">
        <v>0</v>
      </c>
      <c r="CJ86" s="542">
        <v>0</v>
      </c>
      <c r="CK86" s="542">
        <v>0</v>
      </c>
      <c r="CL86" s="542">
        <v>0</v>
      </c>
      <c r="CM86" s="542">
        <v>0</v>
      </c>
      <c r="CN86" s="542">
        <v>0</v>
      </c>
      <c r="CO86" s="542">
        <v>-61048</v>
      </c>
      <c r="CP86" s="542">
        <v>0</v>
      </c>
      <c r="CQ86" s="542">
        <v>-61048</v>
      </c>
      <c r="CR86" s="542">
        <v>-16206</v>
      </c>
      <c r="CS86" s="542">
        <v>0</v>
      </c>
      <c r="CT86" s="542">
        <v>-16206</v>
      </c>
      <c r="CU86" s="542">
        <v>-2055</v>
      </c>
      <c r="CV86" s="542">
        <v>0</v>
      </c>
      <c r="CW86" s="542">
        <v>-2055</v>
      </c>
      <c r="CX86" s="542">
        <v>0</v>
      </c>
      <c r="CY86" s="542">
        <v>0</v>
      </c>
      <c r="CZ86" s="542">
        <v>0</v>
      </c>
      <c r="DA86" s="542">
        <v>0</v>
      </c>
      <c r="DB86" s="542">
        <v>0</v>
      </c>
      <c r="DC86" s="542">
        <v>0</v>
      </c>
      <c r="DD86" s="542">
        <v>0</v>
      </c>
      <c r="DE86" s="542">
        <v>0</v>
      </c>
      <c r="DF86" s="542">
        <v>0</v>
      </c>
      <c r="DG86" s="542"/>
      <c r="DH86" s="542">
        <v>0</v>
      </c>
      <c r="DI86" s="542"/>
      <c r="DJ86" s="542">
        <v>0</v>
      </c>
      <c r="DK86" s="542"/>
      <c r="DL86" s="542"/>
      <c r="DM86" s="542">
        <v>-684151</v>
      </c>
      <c r="DN86" s="542">
        <v>0</v>
      </c>
      <c r="DO86" s="542">
        <v>-684151</v>
      </c>
      <c r="DP86" s="542">
        <v>-349496</v>
      </c>
      <c r="DQ86" s="542">
        <v>0</v>
      </c>
      <c r="DR86" s="542">
        <v>-349496</v>
      </c>
      <c r="DS86" s="542">
        <v>0</v>
      </c>
      <c r="DT86" s="542">
        <v>0</v>
      </c>
      <c r="DU86" s="542">
        <v>0</v>
      </c>
      <c r="DV86" s="542">
        <v>-6978</v>
      </c>
      <c r="DW86" s="542">
        <v>0</v>
      </c>
      <c r="DX86" s="542">
        <v>-6978</v>
      </c>
      <c r="DY86" s="542">
        <v>-1190519</v>
      </c>
      <c r="DZ86" s="542">
        <v>0</v>
      </c>
      <c r="EA86" s="542">
        <v>-1190519</v>
      </c>
      <c r="EB86" s="542">
        <v>0</v>
      </c>
      <c r="EC86" s="542">
        <v>0</v>
      </c>
      <c r="ED86" s="542">
        <v>0</v>
      </c>
      <c r="EE86" s="542">
        <v>0</v>
      </c>
      <c r="EF86" s="542">
        <v>0</v>
      </c>
      <c r="EG86" s="542">
        <v>0</v>
      </c>
      <c r="EH86" s="542">
        <v>-1546993</v>
      </c>
      <c r="EI86" s="542">
        <v>0</v>
      </c>
      <c r="EJ86" s="542">
        <v>-1546993</v>
      </c>
      <c r="EK86" s="542">
        <v>-18727</v>
      </c>
      <c r="EL86" s="542">
        <v>0</v>
      </c>
      <c r="EM86" s="542">
        <v>-18727</v>
      </c>
      <c r="EN86" s="542">
        <v>10076</v>
      </c>
      <c r="EO86" s="542">
        <v>0</v>
      </c>
      <c r="EP86" s="542">
        <v>10076</v>
      </c>
      <c r="EQ86" s="542">
        <v>-8651</v>
      </c>
      <c r="ER86" s="542">
        <v>0</v>
      </c>
      <c r="ES86" s="542">
        <v>-8651</v>
      </c>
      <c r="ET86" s="542">
        <v>141231119</v>
      </c>
      <c r="EU86" s="542">
        <v>0</v>
      </c>
      <c r="EV86" s="542">
        <v>141231119</v>
      </c>
      <c r="EW86" s="542">
        <v>-63453</v>
      </c>
      <c r="EX86" s="542">
        <v>0</v>
      </c>
      <c r="EY86" s="542">
        <v>-63453</v>
      </c>
      <c r="EZ86" s="542">
        <v>-17234759</v>
      </c>
      <c r="FA86" s="542">
        <v>0</v>
      </c>
      <c r="FB86" s="542">
        <v>-17234759</v>
      </c>
      <c r="FC86" s="542">
        <v>-5190958</v>
      </c>
      <c r="FD86" s="542">
        <v>0</v>
      </c>
      <c r="FE86" s="542">
        <v>-5190958</v>
      </c>
      <c r="FF86" s="542">
        <v>-684151</v>
      </c>
      <c r="FG86" s="542">
        <v>0</v>
      </c>
      <c r="FH86" s="542">
        <v>-684151</v>
      </c>
      <c r="FI86" s="542">
        <v>-1546993</v>
      </c>
      <c r="FJ86" s="542">
        <v>0</v>
      </c>
      <c r="FK86" s="542">
        <v>-1546993</v>
      </c>
      <c r="FL86" s="542">
        <v>-8651</v>
      </c>
      <c r="FM86" s="542">
        <v>0</v>
      </c>
      <c r="FN86" s="542">
        <v>-8651</v>
      </c>
      <c r="FO86" s="542">
        <v>-24728965</v>
      </c>
      <c r="FP86" s="542">
        <v>0</v>
      </c>
      <c r="FQ86" s="542">
        <v>-24728965</v>
      </c>
      <c r="FR86" s="542">
        <v>116502154</v>
      </c>
      <c r="FS86" s="542">
        <v>0</v>
      </c>
      <c r="FT86" s="542">
        <v>116502154</v>
      </c>
    </row>
    <row r="87" spans="1:176" ht="12.75" x14ac:dyDescent="0.2">
      <c r="A87" s="93">
        <v>82</v>
      </c>
      <c r="B87" s="145" t="s">
        <v>42</v>
      </c>
      <c r="C87" s="604" t="s">
        <v>871</v>
      </c>
      <c r="D87" s="142" t="s">
        <v>872</v>
      </c>
      <c r="E87" s="149" t="s">
        <v>41</v>
      </c>
      <c r="F87" s="542">
        <v>-66584</v>
      </c>
      <c r="G87" s="542">
        <v>0</v>
      </c>
      <c r="H87" s="542">
        <v>-66584</v>
      </c>
      <c r="I87" s="542">
        <v>610067</v>
      </c>
      <c r="J87" s="542">
        <v>0</v>
      </c>
      <c r="K87" s="542">
        <v>610067</v>
      </c>
      <c r="L87" s="542">
        <v>15206</v>
      </c>
      <c r="M87" s="542">
        <v>0</v>
      </c>
      <c r="N87" s="542">
        <v>15206</v>
      </c>
      <c r="O87" s="542">
        <v>470037</v>
      </c>
      <c r="P87" s="542">
        <v>0</v>
      </c>
      <c r="Q87" s="542">
        <v>470037</v>
      </c>
      <c r="R87" s="542">
        <v>1028726</v>
      </c>
      <c r="S87" s="542">
        <v>0</v>
      </c>
      <c r="T87" s="542">
        <v>1028726</v>
      </c>
      <c r="U87" s="542">
        <v>-4573394</v>
      </c>
      <c r="V87" s="542">
        <v>0</v>
      </c>
      <c r="W87" s="542">
        <v>-4573394</v>
      </c>
      <c r="X87" s="542">
        <v>-5209</v>
      </c>
      <c r="Y87" s="542">
        <v>0</v>
      </c>
      <c r="Z87" s="542">
        <v>-5209</v>
      </c>
      <c r="AA87" s="542">
        <v>-376986</v>
      </c>
      <c r="AB87" s="542">
        <v>0</v>
      </c>
      <c r="AC87" s="542">
        <v>-376986</v>
      </c>
      <c r="AD87" s="542">
        <v>-183918</v>
      </c>
      <c r="AE87" s="542">
        <v>0</v>
      </c>
      <c r="AF87" s="542">
        <v>-183918</v>
      </c>
      <c r="AG87" s="542">
        <v>3189792</v>
      </c>
      <c r="AH87" s="542">
        <v>0</v>
      </c>
      <c r="AI87" s="542">
        <v>3189792</v>
      </c>
      <c r="AJ87" s="542">
        <v>-60182</v>
      </c>
      <c r="AK87" s="542">
        <v>0</v>
      </c>
      <c r="AL87" s="542">
        <v>-60182</v>
      </c>
      <c r="AM87" s="542">
        <v>-7417505</v>
      </c>
      <c r="AN87" s="542">
        <v>0</v>
      </c>
      <c r="AO87" s="542">
        <v>-7417505</v>
      </c>
      <c r="AP87" s="542">
        <v>-88763</v>
      </c>
      <c r="AQ87" s="542">
        <v>0</v>
      </c>
      <c r="AR87" s="542">
        <v>-88763</v>
      </c>
      <c r="AS87" s="542">
        <v>-72000</v>
      </c>
      <c r="AT87" s="542">
        <v>0</v>
      </c>
      <c r="AU87" s="542">
        <v>-72000</v>
      </c>
      <c r="AV87" s="542">
        <v>0</v>
      </c>
      <c r="AW87" s="542">
        <v>0</v>
      </c>
      <c r="AX87" s="542">
        <v>0</v>
      </c>
      <c r="AY87" s="542">
        <v>0</v>
      </c>
      <c r="AZ87" s="542">
        <v>0</v>
      </c>
      <c r="BA87" s="542">
        <v>0</v>
      </c>
      <c r="BB87" s="542">
        <v>0</v>
      </c>
      <c r="BC87" s="542">
        <v>0</v>
      </c>
      <c r="BD87" s="542">
        <v>0</v>
      </c>
      <c r="BE87" s="542">
        <v>-9399038</v>
      </c>
      <c r="BF87" s="542">
        <v>0</v>
      </c>
      <c r="BG87" s="542">
        <v>-9399038</v>
      </c>
      <c r="BH87" s="542">
        <v>-571</v>
      </c>
      <c r="BI87" s="542">
        <v>0</v>
      </c>
      <c r="BJ87" s="542">
        <v>-571</v>
      </c>
      <c r="BK87" s="542">
        <v>-51205</v>
      </c>
      <c r="BL87" s="542">
        <v>0</v>
      </c>
      <c r="BM87" s="542">
        <v>-51205</v>
      </c>
      <c r="BN87" s="542">
        <v>-4243107</v>
      </c>
      <c r="BO87" s="542">
        <v>0</v>
      </c>
      <c r="BP87" s="542">
        <v>-4243107</v>
      </c>
      <c r="BQ87" s="542">
        <v>-111687</v>
      </c>
      <c r="BR87" s="542">
        <v>0</v>
      </c>
      <c r="BS87" s="542">
        <v>-111687</v>
      </c>
      <c r="BT87" s="542">
        <v>-4406570</v>
      </c>
      <c r="BU87" s="542">
        <v>0</v>
      </c>
      <c r="BV87" s="542">
        <v>-4406570</v>
      </c>
      <c r="BW87" s="542">
        <v>-146059</v>
      </c>
      <c r="BX87" s="542">
        <v>0</v>
      </c>
      <c r="BY87" s="542">
        <v>-146059</v>
      </c>
      <c r="BZ87" s="542">
        <v>-9318</v>
      </c>
      <c r="CA87" s="542">
        <v>0</v>
      </c>
      <c r="CB87" s="542">
        <v>-9318</v>
      </c>
      <c r="CC87" s="542">
        <v>-342134</v>
      </c>
      <c r="CD87" s="542">
        <v>0</v>
      </c>
      <c r="CE87" s="542">
        <v>-342134</v>
      </c>
      <c r="CF87" s="542">
        <v>-205004</v>
      </c>
      <c r="CG87" s="542">
        <v>0</v>
      </c>
      <c r="CH87" s="542">
        <v>-205004</v>
      </c>
      <c r="CI87" s="542">
        <v>0</v>
      </c>
      <c r="CJ87" s="542">
        <v>0</v>
      </c>
      <c r="CK87" s="542">
        <v>0</v>
      </c>
      <c r="CL87" s="542">
        <v>0</v>
      </c>
      <c r="CM87" s="542">
        <v>0</v>
      </c>
      <c r="CN87" s="542">
        <v>0</v>
      </c>
      <c r="CO87" s="542">
        <v>0</v>
      </c>
      <c r="CP87" s="542">
        <v>0</v>
      </c>
      <c r="CQ87" s="542">
        <v>0</v>
      </c>
      <c r="CR87" s="542">
        <v>0</v>
      </c>
      <c r="CS87" s="542">
        <v>0</v>
      </c>
      <c r="CT87" s="542">
        <v>0</v>
      </c>
      <c r="CU87" s="542">
        <v>0</v>
      </c>
      <c r="CV87" s="542">
        <v>0</v>
      </c>
      <c r="CW87" s="542">
        <v>0</v>
      </c>
      <c r="CX87" s="542">
        <v>0</v>
      </c>
      <c r="CY87" s="542">
        <v>0</v>
      </c>
      <c r="CZ87" s="542">
        <v>0</v>
      </c>
      <c r="DA87" s="542">
        <v>0</v>
      </c>
      <c r="DB87" s="542">
        <v>0</v>
      </c>
      <c r="DC87" s="542">
        <v>0</v>
      </c>
      <c r="DD87" s="542">
        <v>0</v>
      </c>
      <c r="DE87" s="542">
        <v>0</v>
      </c>
      <c r="DF87" s="542">
        <v>0</v>
      </c>
      <c r="DG87" s="542"/>
      <c r="DH87" s="542">
        <v>0</v>
      </c>
      <c r="DI87" s="542"/>
      <c r="DJ87" s="542">
        <v>0</v>
      </c>
      <c r="DK87" s="542"/>
      <c r="DL87" s="542"/>
      <c r="DM87" s="542">
        <v>-702515</v>
      </c>
      <c r="DN87" s="542">
        <v>0</v>
      </c>
      <c r="DO87" s="542">
        <v>-702515</v>
      </c>
      <c r="DP87" s="542">
        <v>-177136</v>
      </c>
      <c r="DQ87" s="542">
        <v>0</v>
      </c>
      <c r="DR87" s="542">
        <v>-177136</v>
      </c>
      <c r="DS87" s="542">
        <v>27011</v>
      </c>
      <c r="DT87" s="542">
        <v>0</v>
      </c>
      <c r="DU87" s="542">
        <v>27011</v>
      </c>
      <c r="DV87" s="542">
        <v>-34511</v>
      </c>
      <c r="DW87" s="542">
        <v>0</v>
      </c>
      <c r="DX87" s="542">
        <v>-34511</v>
      </c>
      <c r="DY87" s="542">
        <v>-1957855</v>
      </c>
      <c r="DZ87" s="542">
        <v>0</v>
      </c>
      <c r="EA87" s="542">
        <v>-1957855</v>
      </c>
      <c r="EB87" s="542">
        <v>0</v>
      </c>
      <c r="EC87" s="542">
        <v>0</v>
      </c>
      <c r="ED87" s="542">
        <v>0</v>
      </c>
      <c r="EE87" s="542">
        <v>0</v>
      </c>
      <c r="EF87" s="542">
        <v>0</v>
      </c>
      <c r="EG87" s="542">
        <v>0</v>
      </c>
      <c r="EH87" s="542">
        <v>-2142491</v>
      </c>
      <c r="EI87" s="542">
        <v>0</v>
      </c>
      <c r="EJ87" s="542">
        <v>-2142491</v>
      </c>
      <c r="EK87" s="542">
        <v>0</v>
      </c>
      <c r="EL87" s="542">
        <v>0</v>
      </c>
      <c r="EM87" s="542">
        <v>0</v>
      </c>
      <c r="EN87" s="542">
        <v>1313</v>
      </c>
      <c r="EO87" s="542">
        <v>0</v>
      </c>
      <c r="EP87" s="542">
        <v>1313</v>
      </c>
      <c r="EQ87" s="542">
        <v>1313</v>
      </c>
      <c r="ER87" s="542">
        <v>0</v>
      </c>
      <c r="ES87" s="542">
        <v>1313</v>
      </c>
      <c r="ET87" s="542">
        <v>157926115</v>
      </c>
      <c r="EU87" s="542">
        <v>0</v>
      </c>
      <c r="EV87" s="542">
        <v>157926115</v>
      </c>
      <c r="EW87" s="542">
        <v>1028726</v>
      </c>
      <c r="EX87" s="542">
        <v>0</v>
      </c>
      <c r="EY87" s="542">
        <v>1028726</v>
      </c>
      <c r="EZ87" s="542">
        <v>-9399038</v>
      </c>
      <c r="FA87" s="542">
        <v>0</v>
      </c>
      <c r="FB87" s="542">
        <v>-9399038</v>
      </c>
      <c r="FC87" s="542">
        <v>-4406570</v>
      </c>
      <c r="FD87" s="542">
        <v>0</v>
      </c>
      <c r="FE87" s="542">
        <v>-4406570</v>
      </c>
      <c r="FF87" s="542">
        <v>-702515</v>
      </c>
      <c r="FG87" s="542">
        <v>0</v>
      </c>
      <c r="FH87" s="542">
        <v>-702515</v>
      </c>
      <c r="FI87" s="542">
        <v>-2142491</v>
      </c>
      <c r="FJ87" s="542">
        <v>0</v>
      </c>
      <c r="FK87" s="542">
        <v>-2142491</v>
      </c>
      <c r="FL87" s="542">
        <v>1313</v>
      </c>
      <c r="FM87" s="542">
        <v>0</v>
      </c>
      <c r="FN87" s="542">
        <v>1313</v>
      </c>
      <c r="FO87" s="542">
        <v>-15620575</v>
      </c>
      <c r="FP87" s="542">
        <v>0</v>
      </c>
      <c r="FQ87" s="542">
        <v>-15620575</v>
      </c>
      <c r="FR87" s="542">
        <v>142305540</v>
      </c>
      <c r="FS87" s="542">
        <v>0</v>
      </c>
      <c r="FT87" s="542">
        <v>142305540</v>
      </c>
    </row>
    <row r="88" spans="1:176" ht="12.75" x14ac:dyDescent="0.2">
      <c r="A88" s="93">
        <v>83</v>
      </c>
      <c r="B88" s="145" t="s">
        <v>44</v>
      </c>
      <c r="C88" s="604" t="s">
        <v>866</v>
      </c>
      <c r="D88" s="142" t="s">
        <v>870</v>
      </c>
      <c r="E88" s="149" t="s">
        <v>43</v>
      </c>
      <c r="F88" s="542">
        <v>-34215</v>
      </c>
      <c r="G88" s="542">
        <v>0</v>
      </c>
      <c r="H88" s="542">
        <v>-34215</v>
      </c>
      <c r="I88" s="542">
        <v>17628</v>
      </c>
      <c r="J88" s="542">
        <v>0</v>
      </c>
      <c r="K88" s="542">
        <v>17628</v>
      </c>
      <c r="L88" s="542">
        <v>14262</v>
      </c>
      <c r="M88" s="542">
        <v>0</v>
      </c>
      <c r="N88" s="542">
        <v>14262</v>
      </c>
      <c r="O88" s="542">
        <v>6890</v>
      </c>
      <c r="P88" s="542">
        <v>0</v>
      </c>
      <c r="Q88" s="542">
        <v>6890</v>
      </c>
      <c r="R88" s="542">
        <v>4565</v>
      </c>
      <c r="S88" s="542">
        <v>0</v>
      </c>
      <c r="T88" s="542">
        <v>4565</v>
      </c>
      <c r="U88" s="542">
        <v>-1533430</v>
      </c>
      <c r="V88" s="542">
        <v>0</v>
      </c>
      <c r="W88" s="542">
        <v>-1533430</v>
      </c>
      <c r="X88" s="542">
        <v>-4192</v>
      </c>
      <c r="Y88" s="542">
        <v>0</v>
      </c>
      <c r="Z88" s="542">
        <v>-4192</v>
      </c>
      <c r="AA88" s="542">
        <v>-43351</v>
      </c>
      <c r="AB88" s="542">
        <v>0</v>
      </c>
      <c r="AC88" s="542">
        <v>-43351</v>
      </c>
      <c r="AD88" s="542">
        <v>-20240</v>
      </c>
      <c r="AE88" s="542">
        <v>0</v>
      </c>
      <c r="AF88" s="542">
        <v>-20240</v>
      </c>
      <c r="AG88" s="542">
        <v>400746</v>
      </c>
      <c r="AH88" s="542">
        <v>0</v>
      </c>
      <c r="AI88" s="542">
        <v>400746</v>
      </c>
      <c r="AJ88" s="542">
        <v>-5965</v>
      </c>
      <c r="AK88" s="542">
        <v>0</v>
      </c>
      <c r="AL88" s="542">
        <v>-5965</v>
      </c>
      <c r="AM88" s="542">
        <v>-1448102</v>
      </c>
      <c r="AN88" s="542">
        <v>0</v>
      </c>
      <c r="AO88" s="542">
        <v>-1448102</v>
      </c>
      <c r="AP88" s="542">
        <v>-12034</v>
      </c>
      <c r="AQ88" s="542">
        <v>0</v>
      </c>
      <c r="AR88" s="542">
        <v>-12034</v>
      </c>
      <c r="AS88" s="542">
        <v>-48721</v>
      </c>
      <c r="AT88" s="542">
        <v>0</v>
      </c>
      <c r="AU88" s="542">
        <v>-48721</v>
      </c>
      <c r="AV88" s="542">
        <v>0</v>
      </c>
      <c r="AW88" s="542">
        <v>0</v>
      </c>
      <c r="AX88" s="542">
        <v>0</v>
      </c>
      <c r="AY88" s="542">
        <v>-37148</v>
      </c>
      <c r="AZ88" s="542">
        <v>0</v>
      </c>
      <c r="BA88" s="542">
        <v>-37148</v>
      </c>
      <c r="BB88" s="542">
        <v>470</v>
      </c>
      <c r="BC88" s="542">
        <v>0</v>
      </c>
      <c r="BD88" s="542">
        <v>470</v>
      </c>
      <c r="BE88" s="542">
        <v>-2727535</v>
      </c>
      <c r="BF88" s="542">
        <v>0</v>
      </c>
      <c r="BG88" s="542">
        <v>-2727535</v>
      </c>
      <c r="BH88" s="542">
        <v>-28047</v>
      </c>
      <c r="BI88" s="542">
        <v>0</v>
      </c>
      <c r="BJ88" s="542">
        <v>-28047</v>
      </c>
      <c r="BK88" s="542">
        <v>398</v>
      </c>
      <c r="BL88" s="542">
        <v>0</v>
      </c>
      <c r="BM88" s="542">
        <v>398</v>
      </c>
      <c r="BN88" s="542">
        <v>-487201</v>
      </c>
      <c r="BO88" s="542">
        <v>0</v>
      </c>
      <c r="BP88" s="542">
        <v>-487201</v>
      </c>
      <c r="BQ88" s="542">
        <v>-27888</v>
      </c>
      <c r="BR88" s="542">
        <v>0</v>
      </c>
      <c r="BS88" s="542">
        <v>-27888</v>
      </c>
      <c r="BT88" s="542">
        <v>-542738</v>
      </c>
      <c r="BU88" s="542">
        <v>0</v>
      </c>
      <c r="BV88" s="542">
        <v>-542738</v>
      </c>
      <c r="BW88" s="542">
        <v>-41590</v>
      </c>
      <c r="BX88" s="542">
        <v>0</v>
      </c>
      <c r="BY88" s="542">
        <v>-41590</v>
      </c>
      <c r="BZ88" s="542">
        <v>-536</v>
      </c>
      <c r="CA88" s="542">
        <v>0</v>
      </c>
      <c r="CB88" s="542">
        <v>-536</v>
      </c>
      <c r="CC88" s="542">
        <v>-9057</v>
      </c>
      <c r="CD88" s="542">
        <v>0</v>
      </c>
      <c r="CE88" s="542">
        <v>-9057</v>
      </c>
      <c r="CF88" s="542">
        <v>0</v>
      </c>
      <c r="CG88" s="542">
        <v>0</v>
      </c>
      <c r="CH88" s="542">
        <v>0</v>
      </c>
      <c r="CI88" s="542">
        <v>-4805</v>
      </c>
      <c r="CJ88" s="542">
        <v>0</v>
      </c>
      <c r="CK88" s="542">
        <v>-4805</v>
      </c>
      <c r="CL88" s="542">
        <v>0</v>
      </c>
      <c r="CM88" s="542">
        <v>0</v>
      </c>
      <c r="CN88" s="542">
        <v>0</v>
      </c>
      <c r="CO88" s="542">
        <v>-6989</v>
      </c>
      <c r="CP88" s="542">
        <v>0</v>
      </c>
      <c r="CQ88" s="542">
        <v>-6989</v>
      </c>
      <c r="CR88" s="542">
        <v>2940</v>
      </c>
      <c r="CS88" s="542">
        <v>0</v>
      </c>
      <c r="CT88" s="542">
        <v>2940</v>
      </c>
      <c r="CU88" s="542">
        <v>0</v>
      </c>
      <c r="CV88" s="542">
        <v>0</v>
      </c>
      <c r="CW88" s="542">
        <v>0</v>
      </c>
      <c r="CX88" s="542">
        <v>0</v>
      </c>
      <c r="CY88" s="542">
        <v>0</v>
      </c>
      <c r="CZ88" s="542">
        <v>0</v>
      </c>
      <c r="DA88" s="542">
        <v>0</v>
      </c>
      <c r="DB88" s="542">
        <v>0</v>
      </c>
      <c r="DC88" s="542">
        <v>0</v>
      </c>
      <c r="DD88" s="542">
        <v>0</v>
      </c>
      <c r="DE88" s="542">
        <v>0</v>
      </c>
      <c r="DF88" s="542">
        <v>0</v>
      </c>
      <c r="DG88" s="542"/>
      <c r="DH88" s="542">
        <v>0</v>
      </c>
      <c r="DI88" s="542"/>
      <c r="DJ88" s="542">
        <v>0</v>
      </c>
      <c r="DK88" s="542"/>
      <c r="DL88" s="542"/>
      <c r="DM88" s="542">
        <v>-60037</v>
      </c>
      <c r="DN88" s="542">
        <v>0</v>
      </c>
      <c r="DO88" s="542">
        <v>-60037</v>
      </c>
      <c r="DP88" s="542">
        <v>0</v>
      </c>
      <c r="DQ88" s="542">
        <v>0</v>
      </c>
      <c r="DR88" s="542">
        <v>0</v>
      </c>
      <c r="DS88" s="542">
        <v>0</v>
      </c>
      <c r="DT88" s="542">
        <v>0</v>
      </c>
      <c r="DU88" s="542">
        <v>0</v>
      </c>
      <c r="DV88" s="542">
        <v>0</v>
      </c>
      <c r="DW88" s="542">
        <v>0</v>
      </c>
      <c r="DX88" s="542">
        <v>0</v>
      </c>
      <c r="DY88" s="542">
        <v>-242238</v>
      </c>
      <c r="DZ88" s="542">
        <v>0</v>
      </c>
      <c r="EA88" s="542">
        <v>-242238</v>
      </c>
      <c r="EB88" s="542">
        <v>0</v>
      </c>
      <c r="EC88" s="542">
        <v>0</v>
      </c>
      <c r="ED88" s="542">
        <v>0</v>
      </c>
      <c r="EE88" s="542">
        <v>0</v>
      </c>
      <c r="EF88" s="542">
        <v>0</v>
      </c>
      <c r="EG88" s="542">
        <v>0</v>
      </c>
      <c r="EH88" s="542">
        <v>-242238</v>
      </c>
      <c r="EI88" s="542">
        <v>0</v>
      </c>
      <c r="EJ88" s="542">
        <v>-242238</v>
      </c>
      <c r="EK88" s="542">
        <v>-41551</v>
      </c>
      <c r="EL88" s="542">
        <v>0</v>
      </c>
      <c r="EM88" s="542">
        <v>-41551</v>
      </c>
      <c r="EN88" s="542">
        <v>0</v>
      </c>
      <c r="EO88" s="542">
        <v>0</v>
      </c>
      <c r="EP88" s="542">
        <v>0</v>
      </c>
      <c r="EQ88" s="542">
        <v>-41551</v>
      </c>
      <c r="ER88" s="542">
        <v>0</v>
      </c>
      <c r="ES88" s="542">
        <v>-41551</v>
      </c>
      <c r="ET88" s="542">
        <v>21674776</v>
      </c>
      <c r="EU88" s="542">
        <v>0</v>
      </c>
      <c r="EV88" s="542">
        <v>21674776</v>
      </c>
      <c r="EW88" s="542">
        <v>4565</v>
      </c>
      <c r="EX88" s="542">
        <v>0</v>
      </c>
      <c r="EY88" s="542">
        <v>4565</v>
      </c>
      <c r="EZ88" s="542">
        <v>-2727535</v>
      </c>
      <c r="FA88" s="542">
        <v>0</v>
      </c>
      <c r="FB88" s="542">
        <v>-2727535</v>
      </c>
      <c r="FC88" s="542">
        <v>-542738</v>
      </c>
      <c r="FD88" s="542">
        <v>0</v>
      </c>
      <c r="FE88" s="542">
        <v>-542738</v>
      </c>
      <c r="FF88" s="542">
        <v>-60037</v>
      </c>
      <c r="FG88" s="542">
        <v>0</v>
      </c>
      <c r="FH88" s="542">
        <v>-60037</v>
      </c>
      <c r="FI88" s="542">
        <v>-242238</v>
      </c>
      <c r="FJ88" s="542">
        <v>0</v>
      </c>
      <c r="FK88" s="542">
        <v>-242238</v>
      </c>
      <c r="FL88" s="542">
        <v>-41551</v>
      </c>
      <c r="FM88" s="542">
        <v>0</v>
      </c>
      <c r="FN88" s="542">
        <v>-41551</v>
      </c>
      <c r="FO88" s="542">
        <v>-3609534</v>
      </c>
      <c r="FP88" s="542">
        <v>0</v>
      </c>
      <c r="FQ88" s="542">
        <v>-3609534</v>
      </c>
      <c r="FR88" s="542">
        <v>18065242</v>
      </c>
      <c r="FS88" s="542">
        <v>0</v>
      </c>
      <c r="FT88" s="542">
        <v>18065242</v>
      </c>
    </row>
    <row r="89" spans="1:176" ht="12.75" x14ac:dyDescent="0.2">
      <c r="A89" s="93">
        <v>84</v>
      </c>
      <c r="B89" s="145" t="s">
        <v>46</v>
      </c>
      <c r="C89" s="604" t="s">
        <v>866</v>
      </c>
      <c r="D89" s="142" t="s">
        <v>875</v>
      </c>
      <c r="E89" s="149" t="s">
        <v>45</v>
      </c>
      <c r="F89" s="542">
        <v>-255434</v>
      </c>
      <c r="G89" s="542">
        <v>0</v>
      </c>
      <c r="H89" s="542">
        <v>-255434</v>
      </c>
      <c r="I89" s="542">
        <v>157172</v>
      </c>
      <c r="J89" s="542">
        <v>0</v>
      </c>
      <c r="K89" s="542">
        <v>157172</v>
      </c>
      <c r="L89" s="542">
        <v>3109</v>
      </c>
      <c r="M89" s="542">
        <v>0</v>
      </c>
      <c r="N89" s="542">
        <v>3109</v>
      </c>
      <c r="O89" s="542">
        <v>-62184</v>
      </c>
      <c r="P89" s="542">
        <v>0</v>
      </c>
      <c r="Q89" s="542">
        <v>-62184</v>
      </c>
      <c r="R89" s="542">
        <v>-157337</v>
      </c>
      <c r="S89" s="542">
        <v>0</v>
      </c>
      <c r="T89" s="542">
        <v>-157337</v>
      </c>
      <c r="U89" s="542">
        <v>-4165591</v>
      </c>
      <c r="V89" s="542">
        <v>0</v>
      </c>
      <c r="W89" s="542">
        <v>-4165591</v>
      </c>
      <c r="X89" s="542">
        <v>-10442</v>
      </c>
      <c r="Y89" s="542">
        <v>0</v>
      </c>
      <c r="Z89" s="542">
        <v>-10442</v>
      </c>
      <c r="AA89" s="542">
        <v>-290005</v>
      </c>
      <c r="AB89" s="542">
        <v>0</v>
      </c>
      <c r="AC89" s="542">
        <v>-290005</v>
      </c>
      <c r="AD89" s="542">
        <v>-114150</v>
      </c>
      <c r="AE89" s="542">
        <v>0</v>
      </c>
      <c r="AF89" s="542">
        <v>-114150</v>
      </c>
      <c r="AG89" s="542">
        <v>688485</v>
      </c>
      <c r="AH89" s="542">
        <v>0</v>
      </c>
      <c r="AI89" s="542">
        <v>688485</v>
      </c>
      <c r="AJ89" s="542">
        <v>-19683</v>
      </c>
      <c r="AK89" s="542">
        <v>0</v>
      </c>
      <c r="AL89" s="542">
        <v>-19683</v>
      </c>
      <c r="AM89" s="542">
        <v>-1968068</v>
      </c>
      <c r="AN89" s="542">
        <v>0</v>
      </c>
      <c r="AO89" s="542">
        <v>-1968068</v>
      </c>
      <c r="AP89" s="542">
        <v>348851</v>
      </c>
      <c r="AQ89" s="542">
        <v>0</v>
      </c>
      <c r="AR89" s="542">
        <v>348851</v>
      </c>
      <c r="AS89" s="542">
        <v>-388319</v>
      </c>
      <c r="AT89" s="542">
        <v>0</v>
      </c>
      <c r="AU89" s="542">
        <v>-388319</v>
      </c>
      <c r="AV89" s="542">
        <v>0</v>
      </c>
      <c r="AW89" s="542">
        <v>0</v>
      </c>
      <c r="AX89" s="542">
        <v>0</v>
      </c>
      <c r="AY89" s="542">
        <v>-44326</v>
      </c>
      <c r="AZ89" s="542">
        <v>0</v>
      </c>
      <c r="BA89" s="542">
        <v>-44326</v>
      </c>
      <c r="BB89" s="542">
        <v>3366</v>
      </c>
      <c r="BC89" s="542">
        <v>0</v>
      </c>
      <c r="BD89" s="542">
        <v>3366</v>
      </c>
      <c r="BE89" s="542">
        <v>-5835290</v>
      </c>
      <c r="BF89" s="542">
        <v>0</v>
      </c>
      <c r="BG89" s="542">
        <v>-5835290</v>
      </c>
      <c r="BH89" s="542">
        <v>0</v>
      </c>
      <c r="BI89" s="542">
        <v>0</v>
      </c>
      <c r="BJ89" s="542">
        <v>0</v>
      </c>
      <c r="BK89" s="542">
        <v>0</v>
      </c>
      <c r="BL89" s="542">
        <v>0</v>
      </c>
      <c r="BM89" s="542">
        <v>0</v>
      </c>
      <c r="BN89" s="542">
        <v>-1070968</v>
      </c>
      <c r="BO89" s="542">
        <v>0</v>
      </c>
      <c r="BP89" s="542">
        <v>-1070968</v>
      </c>
      <c r="BQ89" s="542">
        <v>-55824</v>
      </c>
      <c r="BR89" s="542">
        <v>0</v>
      </c>
      <c r="BS89" s="542">
        <v>-55824</v>
      </c>
      <c r="BT89" s="542">
        <v>-1126792</v>
      </c>
      <c r="BU89" s="542">
        <v>0</v>
      </c>
      <c r="BV89" s="542">
        <v>-1126792</v>
      </c>
      <c r="BW89" s="542">
        <v>-93654</v>
      </c>
      <c r="BX89" s="542">
        <v>0</v>
      </c>
      <c r="BY89" s="542">
        <v>-93654</v>
      </c>
      <c r="BZ89" s="542">
        <v>-4486</v>
      </c>
      <c r="CA89" s="542">
        <v>0</v>
      </c>
      <c r="CB89" s="542">
        <v>-4486</v>
      </c>
      <c r="CC89" s="542">
        <v>-5604</v>
      </c>
      <c r="CD89" s="542">
        <v>0</v>
      </c>
      <c r="CE89" s="542">
        <v>-5604</v>
      </c>
      <c r="CF89" s="542">
        <v>779</v>
      </c>
      <c r="CG89" s="542">
        <v>0</v>
      </c>
      <c r="CH89" s="542">
        <v>779</v>
      </c>
      <c r="CI89" s="542">
        <v>-76130</v>
      </c>
      <c r="CJ89" s="542">
        <v>0</v>
      </c>
      <c r="CK89" s="542">
        <v>-76130</v>
      </c>
      <c r="CL89" s="542">
        <v>0</v>
      </c>
      <c r="CM89" s="542">
        <v>0</v>
      </c>
      <c r="CN89" s="542">
        <v>0</v>
      </c>
      <c r="CO89" s="542">
        <v>-13970</v>
      </c>
      <c r="CP89" s="542">
        <v>0</v>
      </c>
      <c r="CQ89" s="542">
        <v>-13970</v>
      </c>
      <c r="CR89" s="542">
        <v>-3876</v>
      </c>
      <c r="CS89" s="542">
        <v>0</v>
      </c>
      <c r="CT89" s="542">
        <v>-3876</v>
      </c>
      <c r="CU89" s="542">
        <v>0</v>
      </c>
      <c r="CV89" s="542">
        <v>0</v>
      </c>
      <c r="CW89" s="542">
        <v>0</v>
      </c>
      <c r="CX89" s="542">
        <v>0</v>
      </c>
      <c r="CY89" s="542">
        <v>0</v>
      </c>
      <c r="CZ89" s="542">
        <v>0</v>
      </c>
      <c r="DA89" s="542">
        <v>0</v>
      </c>
      <c r="DB89" s="542">
        <v>0</v>
      </c>
      <c r="DC89" s="542">
        <v>0</v>
      </c>
      <c r="DD89" s="542">
        <v>0</v>
      </c>
      <c r="DE89" s="542">
        <v>0</v>
      </c>
      <c r="DF89" s="542">
        <v>0</v>
      </c>
      <c r="DG89" s="542"/>
      <c r="DH89" s="542">
        <v>0</v>
      </c>
      <c r="DI89" s="542"/>
      <c r="DJ89" s="542">
        <v>0</v>
      </c>
      <c r="DK89" s="542"/>
      <c r="DL89" s="542"/>
      <c r="DM89" s="542">
        <v>-196941</v>
      </c>
      <c r="DN89" s="542">
        <v>0</v>
      </c>
      <c r="DO89" s="542">
        <v>-196941</v>
      </c>
      <c r="DP89" s="542">
        <v>0</v>
      </c>
      <c r="DQ89" s="542">
        <v>0</v>
      </c>
      <c r="DR89" s="542">
        <v>0</v>
      </c>
      <c r="DS89" s="542">
        <v>0</v>
      </c>
      <c r="DT89" s="542">
        <v>0</v>
      </c>
      <c r="DU89" s="542">
        <v>0</v>
      </c>
      <c r="DV89" s="542">
        <v>-1684</v>
      </c>
      <c r="DW89" s="542">
        <v>0</v>
      </c>
      <c r="DX89" s="542">
        <v>-1684</v>
      </c>
      <c r="DY89" s="542">
        <v>-651702</v>
      </c>
      <c r="DZ89" s="542">
        <v>0</v>
      </c>
      <c r="EA89" s="542">
        <v>-651702</v>
      </c>
      <c r="EB89" s="542">
        <v>-4033</v>
      </c>
      <c r="EC89" s="542">
        <v>0</v>
      </c>
      <c r="ED89" s="542">
        <v>-4033</v>
      </c>
      <c r="EE89" s="542">
        <v>-11945</v>
      </c>
      <c r="EF89" s="542">
        <v>0</v>
      </c>
      <c r="EG89" s="542">
        <v>-11945</v>
      </c>
      <c r="EH89" s="542">
        <v>-669364</v>
      </c>
      <c r="EI89" s="542">
        <v>0</v>
      </c>
      <c r="EJ89" s="542">
        <v>-669364</v>
      </c>
      <c r="EK89" s="542">
        <v>0</v>
      </c>
      <c r="EL89" s="542">
        <v>0</v>
      </c>
      <c r="EM89" s="542">
        <v>0</v>
      </c>
      <c r="EN89" s="542">
        <v>0</v>
      </c>
      <c r="EO89" s="542">
        <v>0</v>
      </c>
      <c r="EP89" s="542">
        <v>0</v>
      </c>
      <c r="EQ89" s="542">
        <v>0</v>
      </c>
      <c r="ER89" s="542">
        <v>0</v>
      </c>
      <c r="ES89" s="542">
        <v>0</v>
      </c>
      <c r="ET89" s="542">
        <v>39382200</v>
      </c>
      <c r="EU89" s="542">
        <v>0</v>
      </c>
      <c r="EV89" s="542">
        <v>39382200</v>
      </c>
      <c r="EW89" s="542">
        <v>-157337</v>
      </c>
      <c r="EX89" s="542">
        <v>0</v>
      </c>
      <c r="EY89" s="542">
        <v>-157337</v>
      </c>
      <c r="EZ89" s="542">
        <v>-5835290</v>
      </c>
      <c r="FA89" s="542">
        <v>0</v>
      </c>
      <c r="FB89" s="542">
        <v>-5835290</v>
      </c>
      <c r="FC89" s="542">
        <v>-1126792</v>
      </c>
      <c r="FD89" s="542">
        <v>0</v>
      </c>
      <c r="FE89" s="542">
        <v>-1126792</v>
      </c>
      <c r="FF89" s="542">
        <v>-196941</v>
      </c>
      <c r="FG89" s="542">
        <v>0</v>
      </c>
      <c r="FH89" s="542">
        <v>-196941</v>
      </c>
      <c r="FI89" s="542">
        <v>-669364</v>
      </c>
      <c r="FJ89" s="542">
        <v>0</v>
      </c>
      <c r="FK89" s="542">
        <v>-669364</v>
      </c>
      <c r="FL89" s="542">
        <v>0</v>
      </c>
      <c r="FM89" s="542">
        <v>0</v>
      </c>
      <c r="FN89" s="542">
        <v>0</v>
      </c>
      <c r="FO89" s="542">
        <v>-7985724</v>
      </c>
      <c r="FP89" s="542">
        <v>0</v>
      </c>
      <c r="FQ89" s="542">
        <v>-7985724</v>
      </c>
      <c r="FR89" s="542">
        <v>31396476</v>
      </c>
      <c r="FS89" s="542">
        <v>0</v>
      </c>
      <c r="FT89" s="542">
        <v>31396476</v>
      </c>
    </row>
    <row r="90" spans="1:176" ht="12.75" x14ac:dyDescent="0.2">
      <c r="A90" s="93">
        <v>85</v>
      </c>
      <c r="B90" s="145" t="s">
        <v>48</v>
      </c>
      <c r="C90" s="604" t="s">
        <v>866</v>
      </c>
      <c r="D90" s="142" t="s">
        <v>875</v>
      </c>
      <c r="E90" s="149" t="s">
        <v>47</v>
      </c>
      <c r="F90" s="542">
        <v>-23801</v>
      </c>
      <c r="G90" s="542">
        <v>0</v>
      </c>
      <c r="H90" s="542">
        <v>-23801</v>
      </c>
      <c r="I90" s="542">
        <v>31125</v>
      </c>
      <c r="J90" s="542">
        <v>0</v>
      </c>
      <c r="K90" s="542">
        <v>31125</v>
      </c>
      <c r="L90" s="542">
        <v>6570</v>
      </c>
      <c r="M90" s="542">
        <v>0</v>
      </c>
      <c r="N90" s="542">
        <v>6570</v>
      </c>
      <c r="O90" s="542">
        <v>18225</v>
      </c>
      <c r="P90" s="542">
        <v>0</v>
      </c>
      <c r="Q90" s="542">
        <v>18225</v>
      </c>
      <c r="R90" s="542">
        <v>32119</v>
      </c>
      <c r="S90" s="542">
        <v>0</v>
      </c>
      <c r="T90" s="542">
        <v>32119</v>
      </c>
      <c r="U90" s="542">
        <v>-1980506</v>
      </c>
      <c r="V90" s="542">
        <v>0</v>
      </c>
      <c r="W90" s="542">
        <v>-1980506</v>
      </c>
      <c r="X90" s="542">
        <v>0</v>
      </c>
      <c r="Y90" s="542">
        <v>0</v>
      </c>
      <c r="Z90" s="542">
        <v>0</v>
      </c>
      <c r="AA90" s="542">
        <v>-97328</v>
      </c>
      <c r="AB90" s="542">
        <v>0</v>
      </c>
      <c r="AC90" s="542">
        <v>-97328</v>
      </c>
      <c r="AD90" s="542">
        <v>0</v>
      </c>
      <c r="AE90" s="542">
        <v>0</v>
      </c>
      <c r="AF90" s="542">
        <v>0</v>
      </c>
      <c r="AG90" s="542">
        <v>452216</v>
      </c>
      <c r="AH90" s="542">
        <v>0</v>
      </c>
      <c r="AI90" s="542">
        <v>452216</v>
      </c>
      <c r="AJ90" s="542">
        <v>-5637</v>
      </c>
      <c r="AK90" s="542">
        <v>0</v>
      </c>
      <c r="AL90" s="542">
        <v>-5637</v>
      </c>
      <c r="AM90" s="542">
        <v>-916200</v>
      </c>
      <c r="AN90" s="542">
        <v>0</v>
      </c>
      <c r="AO90" s="542">
        <v>-916200</v>
      </c>
      <c r="AP90" s="542">
        <v>9432</v>
      </c>
      <c r="AQ90" s="542">
        <v>0</v>
      </c>
      <c r="AR90" s="542">
        <v>9432</v>
      </c>
      <c r="AS90" s="542">
        <v>-34423</v>
      </c>
      <c r="AT90" s="542">
        <v>0</v>
      </c>
      <c r="AU90" s="542">
        <v>-34423</v>
      </c>
      <c r="AV90" s="542">
        <v>0</v>
      </c>
      <c r="AW90" s="542">
        <v>0</v>
      </c>
      <c r="AX90" s="542">
        <v>0</v>
      </c>
      <c r="AY90" s="542">
        <v>-14418</v>
      </c>
      <c r="AZ90" s="542">
        <v>0</v>
      </c>
      <c r="BA90" s="542">
        <v>-14418</v>
      </c>
      <c r="BB90" s="542">
        <v>0</v>
      </c>
      <c r="BC90" s="542">
        <v>0</v>
      </c>
      <c r="BD90" s="542">
        <v>0</v>
      </c>
      <c r="BE90" s="542">
        <v>-2586864</v>
      </c>
      <c r="BF90" s="542">
        <v>0</v>
      </c>
      <c r="BG90" s="542">
        <v>-2586864</v>
      </c>
      <c r="BH90" s="542">
        <v>-32659</v>
      </c>
      <c r="BI90" s="542">
        <v>0</v>
      </c>
      <c r="BJ90" s="542">
        <v>-32659</v>
      </c>
      <c r="BK90" s="542">
        <v>-3262</v>
      </c>
      <c r="BL90" s="542">
        <v>0</v>
      </c>
      <c r="BM90" s="542">
        <v>-3262</v>
      </c>
      <c r="BN90" s="542">
        <v>-520219</v>
      </c>
      <c r="BO90" s="542">
        <v>0</v>
      </c>
      <c r="BP90" s="542">
        <v>-520219</v>
      </c>
      <c r="BQ90" s="542">
        <v>-34989</v>
      </c>
      <c r="BR90" s="542">
        <v>0</v>
      </c>
      <c r="BS90" s="542">
        <v>-34989</v>
      </c>
      <c r="BT90" s="542">
        <v>-591129</v>
      </c>
      <c r="BU90" s="542">
        <v>0</v>
      </c>
      <c r="BV90" s="542">
        <v>-591129</v>
      </c>
      <c r="BW90" s="542">
        <v>-27312</v>
      </c>
      <c r="BX90" s="542">
        <v>0</v>
      </c>
      <c r="BY90" s="542">
        <v>-27312</v>
      </c>
      <c r="BZ90" s="542">
        <v>-928</v>
      </c>
      <c r="CA90" s="542">
        <v>0</v>
      </c>
      <c r="CB90" s="542">
        <v>-928</v>
      </c>
      <c r="CC90" s="542">
        <v>-2303</v>
      </c>
      <c r="CD90" s="542">
        <v>0</v>
      </c>
      <c r="CE90" s="542">
        <v>-2303</v>
      </c>
      <c r="CF90" s="542">
        <v>35973</v>
      </c>
      <c r="CG90" s="542">
        <v>0</v>
      </c>
      <c r="CH90" s="542">
        <v>35973</v>
      </c>
      <c r="CI90" s="542">
        <v>0</v>
      </c>
      <c r="CJ90" s="542">
        <v>0</v>
      </c>
      <c r="CK90" s="542">
        <v>0</v>
      </c>
      <c r="CL90" s="542">
        <v>0</v>
      </c>
      <c r="CM90" s="542">
        <v>0</v>
      </c>
      <c r="CN90" s="542">
        <v>0</v>
      </c>
      <c r="CO90" s="542">
        <v>-7536</v>
      </c>
      <c r="CP90" s="542">
        <v>0</v>
      </c>
      <c r="CQ90" s="542">
        <v>-7536</v>
      </c>
      <c r="CR90" s="542">
        <v>0</v>
      </c>
      <c r="CS90" s="542">
        <v>0</v>
      </c>
      <c r="CT90" s="542">
        <v>0</v>
      </c>
      <c r="CU90" s="542">
        <v>0</v>
      </c>
      <c r="CV90" s="542">
        <v>0</v>
      </c>
      <c r="CW90" s="542">
        <v>0</v>
      </c>
      <c r="CX90" s="542">
        <v>0</v>
      </c>
      <c r="CY90" s="542">
        <v>0</v>
      </c>
      <c r="CZ90" s="542">
        <v>0</v>
      </c>
      <c r="DA90" s="542">
        <v>0</v>
      </c>
      <c r="DB90" s="542">
        <v>0</v>
      </c>
      <c r="DC90" s="542">
        <v>0</v>
      </c>
      <c r="DD90" s="542">
        <v>0</v>
      </c>
      <c r="DE90" s="542">
        <v>0</v>
      </c>
      <c r="DF90" s="542">
        <v>0</v>
      </c>
      <c r="DG90" s="542"/>
      <c r="DH90" s="542">
        <v>0</v>
      </c>
      <c r="DI90" s="542"/>
      <c r="DJ90" s="542">
        <v>0</v>
      </c>
      <c r="DK90" s="542"/>
      <c r="DL90" s="542"/>
      <c r="DM90" s="542">
        <v>-2106</v>
      </c>
      <c r="DN90" s="542">
        <v>0</v>
      </c>
      <c r="DO90" s="542">
        <v>-2106</v>
      </c>
      <c r="DP90" s="542">
        <v>0</v>
      </c>
      <c r="DQ90" s="542">
        <v>0</v>
      </c>
      <c r="DR90" s="542">
        <v>0</v>
      </c>
      <c r="DS90" s="542">
        <v>0</v>
      </c>
      <c r="DT90" s="542">
        <v>0</v>
      </c>
      <c r="DU90" s="542">
        <v>0</v>
      </c>
      <c r="DV90" s="542">
        <v>0</v>
      </c>
      <c r="DW90" s="542">
        <v>0</v>
      </c>
      <c r="DX90" s="542">
        <v>0</v>
      </c>
      <c r="DY90" s="542">
        <v>-322184</v>
      </c>
      <c r="DZ90" s="542">
        <v>0</v>
      </c>
      <c r="EA90" s="542">
        <v>-322184</v>
      </c>
      <c r="EB90" s="542">
        <v>0</v>
      </c>
      <c r="EC90" s="542">
        <v>0</v>
      </c>
      <c r="ED90" s="542">
        <v>0</v>
      </c>
      <c r="EE90" s="542">
        <v>-75661</v>
      </c>
      <c r="EF90" s="542">
        <v>0</v>
      </c>
      <c r="EG90" s="542">
        <v>-75661</v>
      </c>
      <c r="EH90" s="542">
        <v>-397845</v>
      </c>
      <c r="EI90" s="542">
        <v>0</v>
      </c>
      <c r="EJ90" s="542">
        <v>-397845</v>
      </c>
      <c r="EK90" s="542">
        <v>0</v>
      </c>
      <c r="EL90" s="542">
        <v>0</v>
      </c>
      <c r="EM90" s="542">
        <v>0</v>
      </c>
      <c r="EN90" s="542">
        <v>0</v>
      </c>
      <c r="EO90" s="542">
        <v>0</v>
      </c>
      <c r="EP90" s="542">
        <v>0</v>
      </c>
      <c r="EQ90" s="542">
        <v>0</v>
      </c>
      <c r="ER90" s="542">
        <v>0</v>
      </c>
      <c r="ES90" s="542">
        <v>0</v>
      </c>
      <c r="ET90" s="542">
        <v>24946895</v>
      </c>
      <c r="EU90" s="542">
        <v>0</v>
      </c>
      <c r="EV90" s="542">
        <v>24946895</v>
      </c>
      <c r="EW90" s="542">
        <v>32119</v>
      </c>
      <c r="EX90" s="542">
        <v>0</v>
      </c>
      <c r="EY90" s="542">
        <v>32119</v>
      </c>
      <c r="EZ90" s="542">
        <v>-2586864</v>
      </c>
      <c r="FA90" s="542">
        <v>0</v>
      </c>
      <c r="FB90" s="542">
        <v>-2586864</v>
      </c>
      <c r="FC90" s="542">
        <v>-591129</v>
      </c>
      <c r="FD90" s="542">
        <v>0</v>
      </c>
      <c r="FE90" s="542">
        <v>-591129</v>
      </c>
      <c r="FF90" s="542">
        <v>-2106</v>
      </c>
      <c r="FG90" s="542">
        <v>0</v>
      </c>
      <c r="FH90" s="542">
        <v>-2106</v>
      </c>
      <c r="FI90" s="542">
        <v>-397845</v>
      </c>
      <c r="FJ90" s="542">
        <v>0</v>
      </c>
      <c r="FK90" s="542">
        <v>-397845</v>
      </c>
      <c r="FL90" s="542">
        <v>0</v>
      </c>
      <c r="FM90" s="542">
        <v>0</v>
      </c>
      <c r="FN90" s="542">
        <v>0</v>
      </c>
      <c r="FO90" s="542">
        <v>-3545825</v>
      </c>
      <c r="FP90" s="542">
        <v>0</v>
      </c>
      <c r="FQ90" s="542">
        <v>-3545825</v>
      </c>
      <c r="FR90" s="542">
        <v>21401070</v>
      </c>
      <c r="FS90" s="542">
        <v>0</v>
      </c>
      <c r="FT90" s="542">
        <v>21401070</v>
      </c>
    </row>
    <row r="91" spans="1:176" ht="12.75" x14ac:dyDescent="0.2">
      <c r="A91" s="93">
        <v>86</v>
      </c>
      <c r="B91" s="145" t="s">
        <v>50</v>
      </c>
      <c r="C91" s="604" t="s">
        <v>866</v>
      </c>
      <c r="D91" s="142" t="s">
        <v>867</v>
      </c>
      <c r="E91" s="149" t="s">
        <v>49</v>
      </c>
      <c r="F91" s="542">
        <v>-28965</v>
      </c>
      <c r="G91" s="542">
        <v>0</v>
      </c>
      <c r="H91" s="542">
        <v>-28965</v>
      </c>
      <c r="I91" s="542">
        <v>110490</v>
      </c>
      <c r="J91" s="542">
        <v>0</v>
      </c>
      <c r="K91" s="542">
        <v>110490</v>
      </c>
      <c r="L91" s="542">
        <v>5005</v>
      </c>
      <c r="M91" s="542">
        <v>0</v>
      </c>
      <c r="N91" s="542">
        <v>5005</v>
      </c>
      <c r="O91" s="542">
        <v>81909</v>
      </c>
      <c r="P91" s="542">
        <v>0</v>
      </c>
      <c r="Q91" s="542">
        <v>81909</v>
      </c>
      <c r="R91" s="542">
        <v>168439</v>
      </c>
      <c r="S91" s="542">
        <v>0</v>
      </c>
      <c r="T91" s="542">
        <v>168439</v>
      </c>
      <c r="U91" s="542">
        <v>-2494408</v>
      </c>
      <c r="V91" s="542">
        <v>0</v>
      </c>
      <c r="W91" s="542">
        <v>-2494408</v>
      </c>
      <c r="X91" s="542">
        <v>-8111.41</v>
      </c>
      <c r="Y91" s="542">
        <v>0</v>
      </c>
      <c r="Z91" s="542">
        <v>-8111.41</v>
      </c>
      <c r="AA91" s="542">
        <v>-102952</v>
      </c>
      <c r="AB91" s="542">
        <v>0</v>
      </c>
      <c r="AC91" s="542">
        <v>-102952</v>
      </c>
      <c r="AD91" s="542">
        <v>-40555</v>
      </c>
      <c r="AE91" s="542">
        <v>0</v>
      </c>
      <c r="AF91" s="542">
        <v>-40555</v>
      </c>
      <c r="AG91" s="542">
        <v>659136</v>
      </c>
      <c r="AH91" s="542">
        <v>0</v>
      </c>
      <c r="AI91" s="542">
        <v>659136</v>
      </c>
      <c r="AJ91" s="542">
        <v>-12562</v>
      </c>
      <c r="AK91" s="542">
        <v>0</v>
      </c>
      <c r="AL91" s="542">
        <v>-12562</v>
      </c>
      <c r="AM91" s="542">
        <v>-2308812</v>
      </c>
      <c r="AN91" s="542">
        <v>0</v>
      </c>
      <c r="AO91" s="542">
        <v>-2308812</v>
      </c>
      <c r="AP91" s="542">
        <v>-12729</v>
      </c>
      <c r="AQ91" s="542">
        <v>0</v>
      </c>
      <c r="AR91" s="542">
        <v>-12729</v>
      </c>
      <c r="AS91" s="542">
        <v>-62900</v>
      </c>
      <c r="AT91" s="542">
        <v>0</v>
      </c>
      <c r="AU91" s="542">
        <v>-62900</v>
      </c>
      <c r="AV91" s="542">
        <v>0</v>
      </c>
      <c r="AW91" s="542">
        <v>0</v>
      </c>
      <c r="AX91" s="542">
        <v>0</v>
      </c>
      <c r="AY91" s="542">
        <v>-29570</v>
      </c>
      <c r="AZ91" s="542">
        <v>0</v>
      </c>
      <c r="BA91" s="542">
        <v>-29570</v>
      </c>
      <c r="BB91" s="542">
        <v>-102</v>
      </c>
      <c r="BC91" s="542">
        <v>0</v>
      </c>
      <c r="BD91" s="542">
        <v>-102</v>
      </c>
      <c r="BE91" s="542">
        <v>-4364899</v>
      </c>
      <c r="BF91" s="542">
        <v>0</v>
      </c>
      <c r="BG91" s="542">
        <v>-4364899</v>
      </c>
      <c r="BH91" s="542">
        <v>-17387</v>
      </c>
      <c r="BI91" s="542">
        <v>0</v>
      </c>
      <c r="BJ91" s="542">
        <v>-17387</v>
      </c>
      <c r="BK91" s="542">
        <v>-11296</v>
      </c>
      <c r="BL91" s="542">
        <v>0</v>
      </c>
      <c r="BM91" s="542">
        <v>-11296</v>
      </c>
      <c r="BN91" s="542">
        <v>-1044644</v>
      </c>
      <c r="BO91" s="542">
        <v>0</v>
      </c>
      <c r="BP91" s="542">
        <v>-1044644</v>
      </c>
      <c r="BQ91" s="542">
        <v>66359</v>
      </c>
      <c r="BR91" s="542">
        <v>0</v>
      </c>
      <c r="BS91" s="542">
        <v>66359</v>
      </c>
      <c r="BT91" s="542">
        <v>-1006968</v>
      </c>
      <c r="BU91" s="542">
        <v>0</v>
      </c>
      <c r="BV91" s="542">
        <v>-1006968</v>
      </c>
      <c r="BW91" s="542">
        <v>-121768</v>
      </c>
      <c r="BX91" s="542">
        <v>0</v>
      </c>
      <c r="BY91" s="542">
        <v>-121768</v>
      </c>
      <c r="BZ91" s="542">
        <v>875</v>
      </c>
      <c r="CA91" s="542">
        <v>0</v>
      </c>
      <c r="CB91" s="542">
        <v>875</v>
      </c>
      <c r="CC91" s="542">
        <v>-2194</v>
      </c>
      <c r="CD91" s="542">
        <v>0</v>
      </c>
      <c r="CE91" s="542">
        <v>-2194</v>
      </c>
      <c r="CF91" s="542">
        <v>0</v>
      </c>
      <c r="CG91" s="542">
        <v>0</v>
      </c>
      <c r="CH91" s="542">
        <v>0</v>
      </c>
      <c r="CI91" s="542">
        <v>-7862</v>
      </c>
      <c r="CJ91" s="542">
        <v>0</v>
      </c>
      <c r="CK91" s="542">
        <v>-7862</v>
      </c>
      <c r="CL91" s="542">
        <v>0</v>
      </c>
      <c r="CM91" s="542">
        <v>0</v>
      </c>
      <c r="CN91" s="542">
        <v>0</v>
      </c>
      <c r="CO91" s="542">
        <v>-29569</v>
      </c>
      <c r="CP91" s="542">
        <v>0</v>
      </c>
      <c r="CQ91" s="542">
        <v>-29569</v>
      </c>
      <c r="CR91" s="542">
        <v>-102</v>
      </c>
      <c r="CS91" s="542">
        <v>0</v>
      </c>
      <c r="CT91" s="542">
        <v>-102</v>
      </c>
      <c r="CU91" s="542">
        <v>0</v>
      </c>
      <c r="CV91" s="542">
        <v>0</v>
      </c>
      <c r="CW91" s="542">
        <v>0</v>
      </c>
      <c r="CX91" s="542">
        <v>0</v>
      </c>
      <c r="CY91" s="542">
        <v>0</v>
      </c>
      <c r="CZ91" s="542">
        <v>0</v>
      </c>
      <c r="DA91" s="542">
        <v>0</v>
      </c>
      <c r="DB91" s="542">
        <v>0</v>
      </c>
      <c r="DC91" s="542">
        <v>0</v>
      </c>
      <c r="DD91" s="542">
        <v>0</v>
      </c>
      <c r="DE91" s="542">
        <v>0</v>
      </c>
      <c r="DF91" s="542">
        <v>0</v>
      </c>
      <c r="DG91" s="542"/>
      <c r="DH91" s="542">
        <v>0</v>
      </c>
      <c r="DI91" s="542"/>
      <c r="DJ91" s="542">
        <v>0</v>
      </c>
      <c r="DK91" s="542"/>
      <c r="DL91" s="542"/>
      <c r="DM91" s="542">
        <v>-160620</v>
      </c>
      <c r="DN91" s="542">
        <v>0</v>
      </c>
      <c r="DO91" s="542">
        <v>-160620</v>
      </c>
      <c r="DP91" s="542">
        <v>0</v>
      </c>
      <c r="DQ91" s="542">
        <v>0</v>
      </c>
      <c r="DR91" s="542">
        <v>0</v>
      </c>
      <c r="DS91" s="542">
        <v>0</v>
      </c>
      <c r="DT91" s="542">
        <v>0</v>
      </c>
      <c r="DU91" s="542">
        <v>0</v>
      </c>
      <c r="DV91" s="542">
        <v>-13468</v>
      </c>
      <c r="DW91" s="542">
        <v>0</v>
      </c>
      <c r="DX91" s="542">
        <v>-13468</v>
      </c>
      <c r="DY91" s="542">
        <v>-541878</v>
      </c>
      <c r="DZ91" s="542">
        <v>0</v>
      </c>
      <c r="EA91" s="542">
        <v>-541878</v>
      </c>
      <c r="EB91" s="542">
        <v>-3839</v>
      </c>
      <c r="EC91" s="542">
        <v>0</v>
      </c>
      <c r="ED91" s="542">
        <v>-3839</v>
      </c>
      <c r="EE91" s="542">
        <v>-546</v>
      </c>
      <c r="EF91" s="542">
        <v>0</v>
      </c>
      <c r="EG91" s="542">
        <v>-546</v>
      </c>
      <c r="EH91" s="542">
        <v>-559731</v>
      </c>
      <c r="EI91" s="542">
        <v>0</v>
      </c>
      <c r="EJ91" s="542">
        <v>-559731</v>
      </c>
      <c r="EK91" s="542">
        <v>-14280</v>
      </c>
      <c r="EL91" s="542">
        <v>0</v>
      </c>
      <c r="EM91" s="542">
        <v>-14280</v>
      </c>
      <c r="EN91" s="542">
        <v>-9307</v>
      </c>
      <c r="EO91" s="542">
        <v>0</v>
      </c>
      <c r="EP91" s="542">
        <v>-9307</v>
      </c>
      <c r="EQ91" s="542">
        <v>-23587</v>
      </c>
      <c r="ER91" s="542">
        <v>0</v>
      </c>
      <c r="ES91" s="542">
        <v>-23587</v>
      </c>
      <c r="ET91" s="542">
        <v>34741473</v>
      </c>
      <c r="EU91" s="542">
        <v>0</v>
      </c>
      <c r="EV91" s="542">
        <v>34741473</v>
      </c>
      <c r="EW91" s="542">
        <v>168439</v>
      </c>
      <c r="EX91" s="542">
        <v>0</v>
      </c>
      <c r="EY91" s="542">
        <v>168439</v>
      </c>
      <c r="EZ91" s="542">
        <v>-4364899</v>
      </c>
      <c r="FA91" s="542">
        <v>0</v>
      </c>
      <c r="FB91" s="542">
        <v>-4364899</v>
      </c>
      <c r="FC91" s="542">
        <v>-1006968</v>
      </c>
      <c r="FD91" s="542">
        <v>0</v>
      </c>
      <c r="FE91" s="542">
        <v>-1006968</v>
      </c>
      <c r="FF91" s="542">
        <v>-160620</v>
      </c>
      <c r="FG91" s="542">
        <v>0</v>
      </c>
      <c r="FH91" s="542">
        <v>-160620</v>
      </c>
      <c r="FI91" s="542">
        <v>-559731</v>
      </c>
      <c r="FJ91" s="542">
        <v>0</v>
      </c>
      <c r="FK91" s="542">
        <v>-559731</v>
      </c>
      <c r="FL91" s="542">
        <v>-23587</v>
      </c>
      <c r="FM91" s="542">
        <v>0</v>
      </c>
      <c r="FN91" s="542">
        <v>-23587</v>
      </c>
      <c r="FO91" s="542">
        <v>-5947366</v>
      </c>
      <c r="FP91" s="542">
        <v>0</v>
      </c>
      <c r="FQ91" s="542">
        <v>-5947366</v>
      </c>
      <c r="FR91" s="542">
        <v>28794107</v>
      </c>
      <c r="FS91" s="542">
        <v>0</v>
      </c>
      <c r="FT91" s="542">
        <v>28794107</v>
      </c>
    </row>
    <row r="92" spans="1:176" ht="12.75" x14ac:dyDescent="0.2">
      <c r="A92" s="93">
        <v>87</v>
      </c>
      <c r="B92" s="145" t="s">
        <v>52</v>
      </c>
      <c r="C92" s="604" t="s">
        <v>866</v>
      </c>
      <c r="D92" s="142" t="s">
        <v>870</v>
      </c>
      <c r="E92" s="149" t="s">
        <v>51</v>
      </c>
      <c r="F92" s="542">
        <v>-79136</v>
      </c>
      <c r="G92" s="542">
        <v>0</v>
      </c>
      <c r="H92" s="542">
        <v>-79136</v>
      </c>
      <c r="I92" s="542">
        <v>67409</v>
      </c>
      <c r="J92" s="542">
        <v>0</v>
      </c>
      <c r="K92" s="542">
        <v>67409</v>
      </c>
      <c r="L92" s="542">
        <v>25254</v>
      </c>
      <c r="M92" s="542">
        <v>0</v>
      </c>
      <c r="N92" s="542">
        <v>25254</v>
      </c>
      <c r="O92" s="542">
        <v>368988</v>
      </c>
      <c r="P92" s="542">
        <v>0</v>
      </c>
      <c r="Q92" s="542">
        <v>368988</v>
      </c>
      <c r="R92" s="542">
        <v>382515</v>
      </c>
      <c r="S92" s="542">
        <v>0</v>
      </c>
      <c r="T92" s="542">
        <v>382515</v>
      </c>
      <c r="U92" s="542">
        <v>-2556194</v>
      </c>
      <c r="V92" s="542">
        <v>0</v>
      </c>
      <c r="W92" s="542">
        <v>-2556194</v>
      </c>
      <c r="X92" s="542">
        <v>0</v>
      </c>
      <c r="Y92" s="542">
        <v>0</v>
      </c>
      <c r="Z92" s="542">
        <v>0</v>
      </c>
      <c r="AA92" s="542">
        <v>-110301</v>
      </c>
      <c r="AB92" s="542">
        <v>0</v>
      </c>
      <c r="AC92" s="542">
        <v>-110301</v>
      </c>
      <c r="AD92" s="542">
        <v>0</v>
      </c>
      <c r="AE92" s="542">
        <v>0</v>
      </c>
      <c r="AF92" s="542">
        <v>0</v>
      </c>
      <c r="AG92" s="542">
        <v>1030023</v>
      </c>
      <c r="AH92" s="542">
        <v>0</v>
      </c>
      <c r="AI92" s="542">
        <v>1030023</v>
      </c>
      <c r="AJ92" s="542">
        <v>-29663</v>
      </c>
      <c r="AK92" s="542">
        <v>0</v>
      </c>
      <c r="AL92" s="542">
        <v>-29663</v>
      </c>
      <c r="AM92" s="542">
        <v>-3933147</v>
      </c>
      <c r="AN92" s="542">
        <v>0</v>
      </c>
      <c r="AO92" s="542">
        <v>-3933147</v>
      </c>
      <c r="AP92" s="542">
        <v>8004</v>
      </c>
      <c r="AQ92" s="542">
        <v>0</v>
      </c>
      <c r="AR92" s="542">
        <v>8004</v>
      </c>
      <c r="AS92" s="542">
        <v>-102343</v>
      </c>
      <c r="AT92" s="542">
        <v>0</v>
      </c>
      <c r="AU92" s="542">
        <v>-102343</v>
      </c>
      <c r="AV92" s="542">
        <v>-33389</v>
      </c>
      <c r="AW92" s="542">
        <v>0</v>
      </c>
      <c r="AX92" s="542">
        <v>-33389</v>
      </c>
      <c r="AY92" s="542">
        <v>-52136</v>
      </c>
      <c r="AZ92" s="542">
        <v>0</v>
      </c>
      <c r="BA92" s="542">
        <v>-52136</v>
      </c>
      <c r="BB92" s="542">
        <v>2397</v>
      </c>
      <c r="BC92" s="542">
        <v>0</v>
      </c>
      <c r="BD92" s="542">
        <v>2397</v>
      </c>
      <c r="BE92" s="542">
        <v>-5776749</v>
      </c>
      <c r="BF92" s="542">
        <v>0</v>
      </c>
      <c r="BG92" s="542">
        <v>-5776749</v>
      </c>
      <c r="BH92" s="542">
        <v>-64362</v>
      </c>
      <c r="BI92" s="542">
        <v>0</v>
      </c>
      <c r="BJ92" s="542">
        <v>-64362</v>
      </c>
      <c r="BK92" s="542">
        <v>-7397</v>
      </c>
      <c r="BL92" s="542">
        <v>0</v>
      </c>
      <c r="BM92" s="542">
        <v>-7397</v>
      </c>
      <c r="BN92" s="542">
        <v>-1555084</v>
      </c>
      <c r="BO92" s="542">
        <v>0</v>
      </c>
      <c r="BP92" s="542">
        <v>-1555084</v>
      </c>
      <c r="BQ92" s="542">
        <v>-70306</v>
      </c>
      <c r="BR92" s="542">
        <v>0</v>
      </c>
      <c r="BS92" s="542">
        <v>-70306</v>
      </c>
      <c r="BT92" s="542">
        <v>-1697149</v>
      </c>
      <c r="BU92" s="542">
        <v>0</v>
      </c>
      <c r="BV92" s="542">
        <v>-1697149</v>
      </c>
      <c r="BW92" s="542">
        <v>-169307</v>
      </c>
      <c r="BX92" s="542">
        <v>0</v>
      </c>
      <c r="BY92" s="542">
        <v>-169307</v>
      </c>
      <c r="BZ92" s="542">
        <v>-4275</v>
      </c>
      <c r="CA92" s="542">
        <v>0</v>
      </c>
      <c r="CB92" s="542">
        <v>-4275</v>
      </c>
      <c r="CC92" s="542">
        <v>-42615</v>
      </c>
      <c r="CD92" s="542">
        <v>0</v>
      </c>
      <c r="CE92" s="542">
        <v>-42615</v>
      </c>
      <c r="CF92" s="542">
        <v>436</v>
      </c>
      <c r="CG92" s="542">
        <v>0</v>
      </c>
      <c r="CH92" s="542">
        <v>436</v>
      </c>
      <c r="CI92" s="542">
        <v>-188</v>
      </c>
      <c r="CJ92" s="542">
        <v>0</v>
      </c>
      <c r="CK92" s="542">
        <v>-188</v>
      </c>
      <c r="CL92" s="542">
        <v>0</v>
      </c>
      <c r="CM92" s="542">
        <v>0</v>
      </c>
      <c r="CN92" s="542">
        <v>0</v>
      </c>
      <c r="CO92" s="542">
        <v>-21484</v>
      </c>
      <c r="CP92" s="542">
        <v>0</v>
      </c>
      <c r="CQ92" s="542">
        <v>-21484</v>
      </c>
      <c r="CR92" s="542">
        <v>385</v>
      </c>
      <c r="CS92" s="542">
        <v>0</v>
      </c>
      <c r="CT92" s="542">
        <v>385</v>
      </c>
      <c r="CU92" s="542">
        <v>-1408</v>
      </c>
      <c r="CV92" s="542">
        <v>0</v>
      </c>
      <c r="CW92" s="542">
        <v>-1408</v>
      </c>
      <c r="CX92" s="542">
        <v>0</v>
      </c>
      <c r="CY92" s="542">
        <v>0</v>
      </c>
      <c r="CZ92" s="542">
        <v>0</v>
      </c>
      <c r="DA92" s="542">
        <v>0</v>
      </c>
      <c r="DB92" s="542">
        <v>0</v>
      </c>
      <c r="DC92" s="542">
        <v>0</v>
      </c>
      <c r="DD92" s="542">
        <v>0</v>
      </c>
      <c r="DE92" s="542">
        <v>0</v>
      </c>
      <c r="DF92" s="542">
        <v>0</v>
      </c>
      <c r="DG92" s="542"/>
      <c r="DH92" s="542">
        <v>0</v>
      </c>
      <c r="DI92" s="542"/>
      <c r="DJ92" s="542">
        <v>0</v>
      </c>
      <c r="DK92" s="542"/>
      <c r="DL92" s="542"/>
      <c r="DM92" s="542">
        <v>-238456</v>
      </c>
      <c r="DN92" s="542">
        <v>0</v>
      </c>
      <c r="DO92" s="542">
        <v>-238456</v>
      </c>
      <c r="DP92" s="542">
        <v>-2218</v>
      </c>
      <c r="DQ92" s="542">
        <v>0</v>
      </c>
      <c r="DR92" s="542">
        <v>-2218</v>
      </c>
      <c r="DS92" s="542">
        <v>0</v>
      </c>
      <c r="DT92" s="542">
        <v>0</v>
      </c>
      <c r="DU92" s="542">
        <v>0</v>
      </c>
      <c r="DV92" s="542">
        <v>-15494</v>
      </c>
      <c r="DW92" s="542">
        <v>0</v>
      </c>
      <c r="DX92" s="542">
        <v>-15494</v>
      </c>
      <c r="DY92" s="542">
        <v>-423566</v>
      </c>
      <c r="DZ92" s="542">
        <v>0</v>
      </c>
      <c r="EA92" s="542">
        <v>-423566</v>
      </c>
      <c r="EB92" s="542">
        <v>-14530</v>
      </c>
      <c r="EC92" s="542">
        <v>0</v>
      </c>
      <c r="ED92" s="542">
        <v>-14530</v>
      </c>
      <c r="EE92" s="542">
        <v>-20282</v>
      </c>
      <c r="EF92" s="542">
        <v>0</v>
      </c>
      <c r="EG92" s="542">
        <v>-20282</v>
      </c>
      <c r="EH92" s="542">
        <v>-476090</v>
      </c>
      <c r="EI92" s="542">
        <v>0</v>
      </c>
      <c r="EJ92" s="542">
        <v>-476090</v>
      </c>
      <c r="EK92" s="542">
        <v>0</v>
      </c>
      <c r="EL92" s="542">
        <v>0</v>
      </c>
      <c r="EM92" s="542">
        <v>0</v>
      </c>
      <c r="EN92" s="542">
        <v>0</v>
      </c>
      <c r="EO92" s="542">
        <v>0</v>
      </c>
      <c r="EP92" s="542">
        <v>0</v>
      </c>
      <c r="EQ92" s="542">
        <v>0</v>
      </c>
      <c r="ER92" s="542">
        <v>0</v>
      </c>
      <c r="ES92" s="542">
        <v>0</v>
      </c>
      <c r="ET92" s="542">
        <v>51239371</v>
      </c>
      <c r="EU92" s="542">
        <v>0</v>
      </c>
      <c r="EV92" s="542">
        <v>51239371</v>
      </c>
      <c r="EW92" s="542">
        <v>382515</v>
      </c>
      <c r="EX92" s="542">
        <v>0</v>
      </c>
      <c r="EY92" s="542">
        <v>382515</v>
      </c>
      <c r="EZ92" s="542">
        <v>-5776749</v>
      </c>
      <c r="FA92" s="542">
        <v>0</v>
      </c>
      <c r="FB92" s="542">
        <v>-5776749</v>
      </c>
      <c r="FC92" s="542">
        <v>-1697149</v>
      </c>
      <c r="FD92" s="542">
        <v>0</v>
      </c>
      <c r="FE92" s="542">
        <v>-1697149</v>
      </c>
      <c r="FF92" s="542">
        <v>-238456</v>
      </c>
      <c r="FG92" s="542">
        <v>0</v>
      </c>
      <c r="FH92" s="542">
        <v>-238456</v>
      </c>
      <c r="FI92" s="542">
        <v>-476090</v>
      </c>
      <c r="FJ92" s="542">
        <v>0</v>
      </c>
      <c r="FK92" s="542">
        <v>-476090</v>
      </c>
      <c r="FL92" s="542">
        <v>0</v>
      </c>
      <c r="FM92" s="542">
        <v>0</v>
      </c>
      <c r="FN92" s="542">
        <v>0</v>
      </c>
      <c r="FO92" s="542">
        <v>-7805929</v>
      </c>
      <c r="FP92" s="542">
        <v>0</v>
      </c>
      <c r="FQ92" s="542">
        <v>-7805929</v>
      </c>
      <c r="FR92" s="542">
        <v>43433442</v>
      </c>
      <c r="FS92" s="542">
        <v>0</v>
      </c>
      <c r="FT92" s="542">
        <v>43433442</v>
      </c>
    </row>
    <row r="93" spans="1:176" ht="12.75" x14ac:dyDescent="0.2">
      <c r="A93" s="93">
        <v>88</v>
      </c>
      <c r="B93" s="145" t="s">
        <v>54</v>
      </c>
      <c r="C93" s="604" t="s">
        <v>866</v>
      </c>
      <c r="D93" s="142" t="s">
        <v>869</v>
      </c>
      <c r="E93" s="149" t="s">
        <v>53</v>
      </c>
      <c r="F93" s="542">
        <v>-73071</v>
      </c>
      <c r="G93" s="542">
        <v>0</v>
      </c>
      <c r="H93" s="542">
        <v>-73071</v>
      </c>
      <c r="I93" s="542">
        <v>60150</v>
      </c>
      <c r="J93" s="542">
        <v>0</v>
      </c>
      <c r="K93" s="542">
        <v>60150</v>
      </c>
      <c r="L93" s="542">
        <v>6</v>
      </c>
      <c r="M93" s="542">
        <v>0</v>
      </c>
      <c r="N93" s="542">
        <v>6</v>
      </c>
      <c r="O93" s="542">
        <v>31859</v>
      </c>
      <c r="P93" s="542">
        <v>0</v>
      </c>
      <c r="Q93" s="542">
        <v>31859</v>
      </c>
      <c r="R93" s="542">
        <v>18944</v>
      </c>
      <c r="S93" s="542">
        <v>0</v>
      </c>
      <c r="T93" s="542">
        <v>18944</v>
      </c>
      <c r="U93" s="542">
        <v>-4563243</v>
      </c>
      <c r="V93" s="542">
        <v>0</v>
      </c>
      <c r="W93" s="542">
        <v>-4563243</v>
      </c>
      <c r="X93" s="542">
        <v>0</v>
      </c>
      <c r="Y93" s="542">
        <v>0</v>
      </c>
      <c r="Z93" s="542">
        <v>0</v>
      </c>
      <c r="AA93" s="542">
        <v>-179825</v>
      </c>
      <c r="AB93" s="542">
        <v>0</v>
      </c>
      <c r="AC93" s="542">
        <v>-179825</v>
      </c>
      <c r="AD93" s="542">
        <v>-73542</v>
      </c>
      <c r="AE93" s="542">
        <v>0</v>
      </c>
      <c r="AF93" s="542">
        <v>-73542</v>
      </c>
      <c r="AG93" s="542">
        <v>716309</v>
      </c>
      <c r="AH93" s="542">
        <v>0</v>
      </c>
      <c r="AI93" s="542">
        <v>716309</v>
      </c>
      <c r="AJ93" s="542">
        <v>-7088</v>
      </c>
      <c r="AK93" s="542">
        <v>0</v>
      </c>
      <c r="AL93" s="542">
        <v>-7088</v>
      </c>
      <c r="AM93" s="542">
        <v>-2159351</v>
      </c>
      <c r="AN93" s="542">
        <v>0</v>
      </c>
      <c r="AO93" s="542">
        <v>-2159351</v>
      </c>
      <c r="AP93" s="542">
        <v>-20243</v>
      </c>
      <c r="AQ93" s="542">
        <v>0</v>
      </c>
      <c r="AR93" s="542">
        <v>-20243</v>
      </c>
      <c r="AS93" s="542">
        <v>-78160</v>
      </c>
      <c r="AT93" s="542">
        <v>0</v>
      </c>
      <c r="AU93" s="542">
        <v>-78160</v>
      </c>
      <c r="AV93" s="542">
        <v>219</v>
      </c>
      <c r="AW93" s="542">
        <v>0</v>
      </c>
      <c r="AX93" s="542">
        <v>219</v>
      </c>
      <c r="AY93" s="542">
        <v>-112388</v>
      </c>
      <c r="AZ93" s="542">
        <v>0</v>
      </c>
      <c r="BA93" s="542">
        <v>-112388</v>
      </c>
      <c r="BB93" s="542">
        <v>-2385</v>
      </c>
      <c r="BC93" s="542">
        <v>0</v>
      </c>
      <c r="BD93" s="542">
        <v>-2385</v>
      </c>
      <c r="BE93" s="542">
        <v>-6406155</v>
      </c>
      <c r="BF93" s="542">
        <v>0</v>
      </c>
      <c r="BG93" s="542">
        <v>-6406155</v>
      </c>
      <c r="BH93" s="542">
        <v>0</v>
      </c>
      <c r="BI93" s="542">
        <v>0</v>
      </c>
      <c r="BJ93" s="542">
        <v>0</v>
      </c>
      <c r="BK93" s="542">
        <v>0</v>
      </c>
      <c r="BL93" s="542">
        <v>0</v>
      </c>
      <c r="BM93" s="542">
        <v>0</v>
      </c>
      <c r="BN93" s="542">
        <v>-762663</v>
      </c>
      <c r="BO93" s="542">
        <v>0</v>
      </c>
      <c r="BP93" s="542">
        <v>-762663</v>
      </c>
      <c r="BQ93" s="542">
        <v>-79768</v>
      </c>
      <c r="BR93" s="542">
        <v>0</v>
      </c>
      <c r="BS93" s="542">
        <v>-79768</v>
      </c>
      <c r="BT93" s="542">
        <v>-842431</v>
      </c>
      <c r="BU93" s="542">
        <v>0</v>
      </c>
      <c r="BV93" s="542">
        <v>-842431</v>
      </c>
      <c r="BW93" s="542">
        <v>-65854</v>
      </c>
      <c r="BX93" s="542">
        <v>0</v>
      </c>
      <c r="BY93" s="542">
        <v>-65854</v>
      </c>
      <c r="BZ93" s="542">
        <v>-3068</v>
      </c>
      <c r="CA93" s="542">
        <v>0</v>
      </c>
      <c r="CB93" s="542">
        <v>-3068</v>
      </c>
      <c r="CC93" s="542">
        <v>-8143</v>
      </c>
      <c r="CD93" s="542">
        <v>0</v>
      </c>
      <c r="CE93" s="542">
        <v>-8143</v>
      </c>
      <c r="CF93" s="542">
        <v>-5001</v>
      </c>
      <c r="CG93" s="542">
        <v>0</v>
      </c>
      <c r="CH93" s="542">
        <v>-5001</v>
      </c>
      <c r="CI93" s="542">
        <v>-9497</v>
      </c>
      <c r="CJ93" s="542">
        <v>0</v>
      </c>
      <c r="CK93" s="542">
        <v>-9497</v>
      </c>
      <c r="CL93" s="542">
        <v>-188</v>
      </c>
      <c r="CM93" s="542">
        <v>0</v>
      </c>
      <c r="CN93" s="542">
        <v>-188</v>
      </c>
      <c r="CO93" s="542">
        <v>-25339</v>
      </c>
      <c r="CP93" s="542">
        <v>0</v>
      </c>
      <c r="CQ93" s="542">
        <v>-25339</v>
      </c>
      <c r="CR93" s="542">
        <v>-1532</v>
      </c>
      <c r="CS93" s="542">
        <v>0</v>
      </c>
      <c r="CT93" s="542">
        <v>-1532</v>
      </c>
      <c r="CU93" s="542">
        <v>0</v>
      </c>
      <c r="CV93" s="542">
        <v>0</v>
      </c>
      <c r="CW93" s="542">
        <v>0</v>
      </c>
      <c r="CX93" s="542">
        <v>0</v>
      </c>
      <c r="CY93" s="542">
        <v>0</v>
      </c>
      <c r="CZ93" s="542">
        <v>0</v>
      </c>
      <c r="DA93" s="542">
        <v>0</v>
      </c>
      <c r="DB93" s="542">
        <v>0</v>
      </c>
      <c r="DC93" s="542">
        <v>0</v>
      </c>
      <c r="DD93" s="542">
        <v>0</v>
      </c>
      <c r="DE93" s="542">
        <v>0</v>
      </c>
      <c r="DF93" s="542">
        <v>0</v>
      </c>
      <c r="DG93" s="542"/>
      <c r="DH93" s="542">
        <v>0</v>
      </c>
      <c r="DI93" s="542"/>
      <c r="DJ93" s="542">
        <v>0</v>
      </c>
      <c r="DK93" s="542"/>
      <c r="DL93" s="542"/>
      <c r="DM93" s="542">
        <v>-118622</v>
      </c>
      <c r="DN93" s="542">
        <v>0</v>
      </c>
      <c r="DO93" s="542">
        <v>-118622</v>
      </c>
      <c r="DP93" s="542">
        <v>-4877</v>
      </c>
      <c r="DQ93" s="542">
        <v>0</v>
      </c>
      <c r="DR93" s="542">
        <v>-4877</v>
      </c>
      <c r="DS93" s="542">
        <v>0</v>
      </c>
      <c r="DT93" s="542">
        <v>0</v>
      </c>
      <c r="DU93" s="542">
        <v>0</v>
      </c>
      <c r="DV93" s="542">
        <v>-7326</v>
      </c>
      <c r="DW93" s="542">
        <v>0</v>
      </c>
      <c r="DX93" s="542">
        <v>-7326</v>
      </c>
      <c r="DY93" s="542">
        <v>-694234</v>
      </c>
      <c r="DZ93" s="542">
        <v>0</v>
      </c>
      <c r="EA93" s="542">
        <v>-694234</v>
      </c>
      <c r="EB93" s="542">
        <v>0</v>
      </c>
      <c r="EC93" s="542">
        <v>0</v>
      </c>
      <c r="ED93" s="542">
        <v>0</v>
      </c>
      <c r="EE93" s="542">
        <v>-24849</v>
      </c>
      <c r="EF93" s="542">
        <v>0</v>
      </c>
      <c r="EG93" s="542">
        <v>-24849</v>
      </c>
      <c r="EH93" s="542">
        <v>-731286</v>
      </c>
      <c r="EI93" s="542">
        <v>0</v>
      </c>
      <c r="EJ93" s="542">
        <v>-731286</v>
      </c>
      <c r="EK93" s="542">
        <v>0</v>
      </c>
      <c r="EL93" s="542">
        <v>0</v>
      </c>
      <c r="EM93" s="542">
        <v>0</v>
      </c>
      <c r="EN93" s="542">
        <v>0</v>
      </c>
      <c r="EO93" s="542">
        <v>0</v>
      </c>
      <c r="EP93" s="542">
        <v>0</v>
      </c>
      <c r="EQ93" s="542">
        <v>0</v>
      </c>
      <c r="ER93" s="542">
        <v>0</v>
      </c>
      <c r="ES93" s="542">
        <v>0</v>
      </c>
      <c r="ET93" s="542">
        <v>41139721</v>
      </c>
      <c r="EU93" s="542">
        <v>0</v>
      </c>
      <c r="EV93" s="542">
        <v>41139721</v>
      </c>
      <c r="EW93" s="542">
        <v>18944</v>
      </c>
      <c r="EX93" s="542">
        <v>0</v>
      </c>
      <c r="EY93" s="542">
        <v>18944</v>
      </c>
      <c r="EZ93" s="542">
        <v>-6406155</v>
      </c>
      <c r="FA93" s="542">
        <v>0</v>
      </c>
      <c r="FB93" s="542">
        <v>-6406155</v>
      </c>
      <c r="FC93" s="542">
        <v>-842431</v>
      </c>
      <c r="FD93" s="542">
        <v>0</v>
      </c>
      <c r="FE93" s="542">
        <v>-842431</v>
      </c>
      <c r="FF93" s="542">
        <v>-118622</v>
      </c>
      <c r="FG93" s="542">
        <v>0</v>
      </c>
      <c r="FH93" s="542">
        <v>-118622</v>
      </c>
      <c r="FI93" s="542">
        <v>-731286</v>
      </c>
      <c r="FJ93" s="542">
        <v>0</v>
      </c>
      <c r="FK93" s="542">
        <v>-731286</v>
      </c>
      <c r="FL93" s="542">
        <v>0</v>
      </c>
      <c r="FM93" s="542">
        <v>0</v>
      </c>
      <c r="FN93" s="542">
        <v>0</v>
      </c>
      <c r="FO93" s="542">
        <v>-8079550</v>
      </c>
      <c r="FP93" s="542">
        <v>0</v>
      </c>
      <c r="FQ93" s="542">
        <v>-8079550</v>
      </c>
      <c r="FR93" s="542">
        <v>33060171</v>
      </c>
      <c r="FS93" s="542">
        <v>0</v>
      </c>
      <c r="FT93" s="542">
        <v>33060171</v>
      </c>
    </row>
    <row r="94" spans="1:176" ht="12.75" x14ac:dyDescent="0.2">
      <c r="A94" s="93">
        <v>89</v>
      </c>
      <c r="B94" s="145" t="s">
        <v>56</v>
      </c>
      <c r="C94" s="604" t="s">
        <v>866</v>
      </c>
      <c r="D94" s="142" t="s">
        <v>869</v>
      </c>
      <c r="E94" s="149" t="s">
        <v>55</v>
      </c>
      <c r="F94" s="542">
        <v>-18119</v>
      </c>
      <c r="G94" s="542">
        <v>0</v>
      </c>
      <c r="H94" s="542">
        <v>-18119</v>
      </c>
      <c r="I94" s="542">
        <v>33387</v>
      </c>
      <c r="J94" s="542">
        <v>0</v>
      </c>
      <c r="K94" s="542">
        <v>33387</v>
      </c>
      <c r="L94" s="542">
        <v>21325</v>
      </c>
      <c r="M94" s="542">
        <v>0</v>
      </c>
      <c r="N94" s="542">
        <v>21325</v>
      </c>
      <c r="O94" s="542">
        <v>198365</v>
      </c>
      <c r="P94" s="542">
        <v>0</v>
      </c>
      <c r="Q94" s="542">
        <v>198365</v>
      </c>
      <c r="R94" s="542">
        <v>234958</v>
      </c>
      <c r="S94" s="542">
        <v>0</v>
      </c>
      <c r="T94" s="542">
        <v>234958</v>
      </c>
      <c r="U94" s="542">
        <v>-1843680</v>
      </c>
      <c r="V94" s="542">
        <v>0</v>
      </c>
      <c r="W94" s="542">
        <v>-1843680</v>
      </c>
      <c r="X94" s="542">
        <v>-2976</v>
      </c>
      <c r="Y94" s="542">
        <v>0</v>
      </c>
      <c r="Z94" s="542">
        <v>-2976</v>
      </c>
      <c r="AA94" s="542">
        <v>-26899</v>
      </c>
      <c r="AB94" s="542">
        <v>0</v>
      </c>
      <c r="AC94" s="542">
        <v>-26899</v>
      </c>
      <c r="AD94" s="542">
        <v>-6405</v>
      </c>
      <c r="AE94" s="542">
        <v>0</v>
      </c>
      <c r="AF94" s="542">
        <v>-6405</v>
      </c>
      <c r="AG94" s="542">
        <v>523289</v>
      </c>
      <c r="AH94" s="542">
        <v>0</v>
      </c>
      <c r="AI94" s="542">
        <v>523289</v>
      </c>
      <c r="AJ94" s="542">
        <v>-8964</v>
      </c>
      <c r="AK94" s="542">
        <v>0</v>
      </c>
      <c r="AL94" s="542">
        <v>-8964</v>
      </c>
      <c r="AM94" s="542">
        <v>-1545537</v>
      </c>
      <c r="AN94" s="542">
        <v>0</v>
      </c>
      <c r="AO94" s="542">
        <v>-1545537</v>
      </c>
      <c r="AP94" s="542">
        <v>102227</v>
      </c>
      <c r="AQ94" s="542">
        <v>0</v>
      </c>
      <c r="AR94" s="542">
        <v>102227</v>
      </c>
      <c r="AS94" s="542">
        <v>-21391</v>
      </c>
      <c r="AT94" s="542">
        <v>0</v>
      </c>
      <c r="AU94" s="542">
        <v>-21391</v>
      </c>
      <c r="AV94" s="542">
        <v>0</v>
      </c>
      <c r="AW94" s="542">
        <v>0</v>
      </c>
      <c r="AX94" s="542">
        <v>0</v>
      </c>
      <c r="AY94" s="542">
        <v>-36490</v>
      </c>
      <c r="AZ94" s="542">
        <v>0</v>
      </c>
      <c r="BA94" s="542">
        <v>-36490</v>
      </c>
      <c r="BB94" s="542">
        <v>0</v>
      </c>
      <c r="BC94" s="542">
        <v>0</v>
      </c>
      <c r="BD94" s="542">
        <v>0</v>
      </c>
      <c r="BE94" s="542">
        <v>-2857445</v>
      </c>
      <c r="BF94" s="542">
        <v>0</v>
      </c>
      <c r="BG94" s="542">
        <v>-2857445</v>
      </c>
      <c r="BH94" s="542">
        <v>-674129</v>
      </c>
      <c r="BI94" s="542">
        <v>0</v>
      </c>
      <c r="BJ94" s="542">
        <v>-674129</v>
      </c>
      <c r="BK94" s="542">
        <v>4201</v>
      </c>
      <c r="BL94" s="542">
        <v>0</v>
      </c>
      <c r="BM94" s="542">
        <v>4201</v>
      </c>
      <c r="BN94" s="542">
        <v>-589814</v>
      </c>
      <c r="BO94" s="542">
        <v>0</v>
      </c>
      <c r="BP94" s="542">
        <v>-589814</v>
      </c>
      <c r="BQ94" s="542">
        <v>99103</v>
      </c>
      <c r="BR94" s="542">
        <v>0</v>
      </c>
      <c r="BS94" s="542">
        <v>99103</v>
      </c>
      <c r="BT94" s="542">
        <v>-1160639</v>
      </c>
      <c r="BU94" s="542">
        <v>0</v>
      </c>
      <c r="BV94" s="542">
        <v>-1160639</v>
      </c>
      <c r="BW94" s="542">
        <v>-84564</v>
      </c>
      <c r="BX94" s="542">
        <v>0</v>
      </c>
      <c r="BY94" s="542">
        <v>-84564</v>
      </c>
      <c r="BZ94" s="542">
        <v>3206</v>
      </c>
      <c r="CA94" s="542">
        <v>0</v>
      </c>
      <c r="CB94" s="542">
        <v>3206</v>
      </c>
      <c r="CC94" s="542">
        <v>-71934</v>
      </c>
      <c r="CD94" s="542">
        <v>0</v>
      </c>
      <c r="CE94" s="542">
        <v>-71934</v>
      </c>
      <c r="CF94" s="542">
        <v>-14150</v>
      </c>
      <c r="CG94" s="542">
        <v>0</v>
      </c>
      <c r="CH94" s="542">
        <v>-14150</v>
      </c>
      <c r="CI94" s="542">
        <v>-5348</v>
      </c>
      <c r="CJ94" s="542">
        <v>0</v>
      </c>
      <c r="CK94" s="542">
        <v>-5348</v>
      </c>
      <c r="CL94" s="542">
        <v>0</v>
      </c>
      <c r="CM94" s="542">
        <v>0</v>
      </c>
      <c r="CN94" s="542">
        <v>0</v>
      </c>
      <c r="CO94" s="542">
        <v>-22851</v>
      </c>
      <c r="CP94" s="542">
        <v>0</v>
      </c>
      <c r="CQ94" s="542">
        <v>-22851</v>
      </c>
      <c r="CR94" s="542">
        <v>0</v>
      </c>
      <c r="CS94" s="542">
        <v>0</v>
      </c>
      <c r="CT94" s="542">
        <v>0</v>
      </c>
      <c r="CU94" s="542">
        <v>-55241</v>
      </c>
      <c r="CV94" s="542">
        <v>0</v>
      </c>
      <c r="CW94" s="542">
        <v>-55241</v>
      </c>
      <c r="CX94" s="542">
        <v>94</v>
      </c>
      <c r="CY94" s="542">
        <v>0</v>
      </c>
      <c r="CZ94" s="542">
        <v>94</v>
      </c>
      <c r="DA94" s="542">
        <v>0</v>
      </c>
      <c r="DB94" s="542">
        <v>0</v>
      </c>
      <c r="DC94" s="542">
        <v>0</v>
      </c>
      <c r="DD94" s="542">
        <v>0</v>
      </c>
      <c r="DE94" s="542">
        <v>0</v>
      </c>
      <c r="DF94" s="542">
        <v>0</v>
      </c>
      <c r="DG94" s="542"/>
      <c r="DH94" s="542">
        <v>0</v>
      </c>
      <c r="DI94" s="542"/>
      <c r="DJ94" s="542">
        <v>0</v>
      </c>
      <c r="DK94" s="542"/>
      <c r="DL94" s="542"/>
      <c r="DM94" s="542">
        <v>-250788</v>
      </c>
      <c r="DN94" s="542">
        <v>0</v>
      </c>
      <c r="DO94" s="542">
        <v>-250788</v>
      </c>
      <c r="DP94" s="542">
        <v>-3229</v>
      </c>
      <c r="DQ94" s="542">
        <v>0</v>
      </c>
      <c r="DR94" s="542">
        <v>-3229</v>
      </c>
      <c r="DS94" s="542">
        <v>2124</v>
      </c>
      <c r="DT94" s="542">
        <v>0</v>
      </c>
      <c r="DU94" s="542">
        <v>2124</v>
      </c>
      <c r="DV94" s="542">
        <v>0</v>
      </c>
      <c r="DW94" s="542">
        <v>0</v>
      </c>
      <c r="DX94" s="542">
        <v>0</v>
      </c>
      <c r="DY94" s="542">
        <v>-243926</v>
      </c>
      <c r="DZ94" s="542">
        <v>0</v>
      </c>
      <c r="EA94" s="542">
        <v>-243926</v>
      </c>
      <c r="EB94" s="542">
        <v>0</v>
      </c>
      <c r="EC94" s="542">
        <v>0</v>
      </c>
      <c r="ED94" s="542">
        <v>0</v>
      </c>
      <c r="EE94" s="542">
        <v>0</v>
      </c>
      <c r="EF94" s="542">
        <v>0</v>
      </c>
      <c r="EG94" s="542">
        <v>0</v>
      </c>
      <c r="EH94" s="542">
        <v>-245031</v>
      </c>
      <c r="EI94" s="542">
        <v>0</v>
      </c>
      <c r="EJ94" s="542">
        <v>-245031</v>
      </c>
      <c r="EK94" s="542">
        <v>0</v>
      </c>
      <c r="EL94" s="542">
        <v>0</v>
      </c>
      <c r="EM94" s="542">
        <v>0</v>
      </c>
      <c r="EN94" s="542">
        <v>0</v>
      </c>
      <c r="EO94" s="542">
        <v>0</v>
      </c>
      <c r="EP94" s="542">
        <v>0</v>
      </c>
      <c r="EQ94" s="542">
        <v>0</v>
      </c>
      <c r="ER94" s="542">
        <v>0</v>
      </c>
      <c r="ES94" s="542">
        <v>0</v>
      </c>
      <c r="ET94" s="542">
        <v>26527180</v>
      </c>
      <c r="EU94" s="542">
        <v>0</v>
      </c>
      <c r="EV94" s="542">
        <v>26527180</v>
      </c>
      <c r="EW94" s="542">
        <v>234958</v>
      </c>
      <c r="EX94" s="542">
        <v>0</v>
      </c>
      <c r="EY94" s="542">
        <v>234958</v>
      </c>
      <c r="EZ94" s="542">
        <v>-2857445</v>
      </c>
      <c r="FA94" s="542">
        <v>0</v>
      </c>
      <c r="FB94" s="542">
        <v>-2857445</v>
      </c>
      <c r="FC94" s="542">
        <v>-1160639</v>
      </c>
      <c r="FD94" s="542">
        <v>0</v>
      </c>
      <c r="FE94" s="542">
        <v>-1160639</v>
      </c>
      <c r="FF94" s="542">
        <v>-250788</v>
      </c>
      <c r="FG94" s="542">
        <v>0</v>
      </c>
      <c r="FH94" s="542">
        <v>-250788</v>
      </c>
      <c r="FI94" s="542">
        <v>-245031</v>
      </c>
      <c r="FJ94" s="542">
        <v>0</v>
      </c>
      <c r="FK94" s="542">
        <v>-245031</v>
      </c>
      <c r="FL94" s="542">
        <v>0</v>
      </c>
      <c r="FM94" s="542">
        <v>0</v>
      </c>
      <c r="FN94" s="542">
        <v>0</v>
      </c>
      <c r="FO94" s="542">
        <v>-4278945</v>
      </c>
      <c r="FP94" s="542">
        <v>0</v>
      </c>
      <c r="FQ94" s="542">
        <v>-4278945</v>
      </c>
      <c r="FR94" s="542">
        <v>22248235</v>
      </c>
      <c r="FS94" s="542">
        <v>0</v>
      </c>
      <c r="FT94" s="542">
        <v>22248235</v>
      </c>
    </row>
    <row r="95" spans="1:176" ht="12.75" x14ac:dyDescent="0.2">
      <c r="A95" s="93">
        <v>90</v>
      </c>
      <c r="B95" s="145" t="s">
        <v>58</v>
      </c>
      <c r="C95" s="604" t="s">
        <v>770</v>
      </c>
      <c r="D95" s="142" t="s">
        <v>874</v>
      </c>
      <c r="E95" s="149" t="s">
        <v>696</v>
      </c>
      <c r="F95" s="542">
        <v>-3884260</v>
      </c>
      <c r="G95" s="542">
        <v>0</v>
      </c>
      <c r="H95" s="542">
        <v>-3884260</v>
      </c>
      <c r="I95" s="542">
        <v>-8714917</v>
      </c>
      <c r="J95" s="542">
        <v>0</v>
      </c>
      <c r="K95" s="542">
        <v>-8714917</v>
      </c>
      <c r="L95" s="542">
        <v>39271</v>
      </c>
      <c r="M95" s="542">
        <v>1039</v>
      </c>
      <c r="N95" s="542">
        <v>40310</v>
      </c>
      <c r="O95" s="542">
        <v>76110</v>
      </c>
      <c r="P95" s="542">
        <v>0</v>
      </c>
      <c r="Q95" s="542">
        <v>76110</v>
      </c>
      <c r="R95" s="542">
        <v>-12483796</v>
      </c>
      <c r="S95" s="542">
        <v>1039</v>
      </c>
      <c r="T95" s="542">
        <v>-12482757</v>
      </c>
      <c r="U95" s="542">
        <v>-7553464</v>
      </c>
      <c r="V95" s="542">
        <v>0</v>
      </c>
      <c r="W95" s="542">
        <v>-7553464</v>
      </c>
      <c r="X95" s="542">
        <v>-4450</v>
      </c>
      <c r="Y95" s="542">
        <v>0</v>
      </c>
      <c r="Z95" s="542">
        <v>-4450</v>
      </c>
      <c r="AA95" s="542">
        <v>-337279</v>
      </c>
      <c r="AB95" s="542">
        <v>0</v>
      </c>
      <c r="AC95" s="542">
        <v>-337279</v>
      </c>
      <c r="AD95" s="542">
        <v>-133885</v>
      </c>
      <c r="AE95" s="542">
        <v>0</v>
      </c>
      <c r="AF95" s="542">
        <v>-133885</v>
      </c>
      <c r="AG95" s="542">
        <v>2303738</v>
      </c>
      <c r="AH95" s="542">
        <v>2200</v>
      </c>
      <c r="AI95" s="542">
        <v>2305938</v>
      </c>
      <c r="AJ95" s="542">
        <v>440777</v>
      </c>
      <c r="AK95" s="542">
        <v>0</v>
      </c>
      <c r="AL95" s="542">
        <v>440777</v>
      </c>
      <c r="AM95" s="542">
        <v>-2990061</v>
      </c>
      <c r="AN95" s="542">
        <v>0</v>
      </c>
      <c r="AO95" s="542">
        <v>-2990061</v>
      </c>
      <c r="AP95" s="542">
        <v>30835</v>
      </c>
      <c r="AQ95" s="542">
        <v>0</v>
      </c>
      <c r="AR95" s="542">
        <v>30835</v>
      </c>
      <c r="AS95" s="542">
        <v>-44131</v>
      </c>
      <c r="AT95" s="542">
        <v>0</v>
      </c>
      <c r="AU95" s="542">
        <v>-44131</v>
      </c>
      <c r="AV95" s="542">
        <v>0</v>
      </c>
      <c r="AW95" s="542">
        <v>0</v>
      </c>
      <c r="AX95" s="542">
        <v>0</v>
      </c>
      <c r="AY95" s="542">
        <v>-116843</v>
      </c>
      <c r="AZ95" s="542">
        <v>0</v>
      </c>
      <c r="BA95" s="542">
        <v>-116843</v>
      </c>
      <c r="BB95" s="542">
        <v>3279</v>
      </c>
      <c r="BC95" s="542">
        <v>0</v>
      </c>
      <c r="BD95" s="542">
        <v>3279</v>
      </c>
      <c r="BE95" s="542">
        <v>-8263149</v>
      </c>
      <c r="BF95" s="542">
        <v>2200</v>
      </c>
      <c r="BG95" s="542">
        <v>-8260949</v>
      </c>
      <c r="BH95" s="542">
        <v>0</v>
      </c>
      <c r="BI95" s="542">
        <v>0</v>
      </c>
      <c r="BJ95" s="542">
        <v>0</v>
      </c>
      <c r="BK95" s="542">
        <v>59386</v>
      </c>
      <c r="BL95" s="542">
        <v>0</v>
      </c>
      <c r="BM95" s="542">
        <v>59386</v>
      </c>
      <c r="BN95" s="542">
        <v>-2733763</v>
      </c>
      <c r="BO95" s="542">
        <v>0</v>
      </c>
      <c r="BP95" s="542">
        <v>-2733763</v>
      </c>
      <c r="BQ95" s="542">
        <v>44317</v>
      </c>
      <c r="BR95" s="542">
        <v>0</v>
      </c>
      <c r="BS95" s="542">
        <v>44317</v>
      </c>
      <c r="BT95" s="542">
        <v>-2630060</v>
      </c>
      <c r="BU95" s="542">
        <v>0</v>
      </c>
      <c r="BV95" s="542">
        <v>-2630060</v>
      </c>
      <c r="BW95" s="542">
        <v>-119732</v>
      </c>
      <c r="BX95" s="542">
        <v>0</v>
      </c>
      <c r="BY95" s="542">
        <v>-119732</v>
      </c>
      <c r="BZ95" s="542">
        <v>1161</v>
      </c>
      <c r="CA95" s="542">
        <v>0</v>
      </c>
      <c r="CB95" s="542">
        <v>1161</v>
      </c>
      <c r="CC95" s="542">
        <v>-407422</v>
      </c>
      <c r="CD95" s="542">
        <v>0</v>
      </c>
      <c r="CE95" s="542">
        <v>-407422</v>
      </c>
      <c r="CF95" s="542">
        <v>-31781</v>
      </c>
      <c r="CG95" s="542">
        <v>0</v>
      </c>
      <c r="CH95" s="542">
        <v>-31781</v>
      </c>
      <c r="CI95" s="542">
        <v>-5553</v>
      </c>
      <c r="CJ95" s="542">
        <v>0</v>
      </c>
      <c r="CK95" s="542">
        <v>-5553</v>
      </c>
      <c r="CL95" s="542">
        <v>0</v>
      </c>
      <c r="CM95" s="542">
        <v>0</v>
      </c>
      <c r="CN95" s="542">
        <v>0</v>
      </c>
      <c r="CO95" s="542">
        <v>-44310</v>
      </c>
      <c r="CP95" s="542">
        <v>0</v>
      </c>
      <c r="CQ95" s="542">
        <v>-44310</v>
      </c>
      <c r="CR95" s="542">
        <v>95</v>
      </c>
      <c r="CS95" s="542">
        <v>0</v>
      </c>
      <c r="CT95" s="542">
        <v>95</v>
      </c>
      <c r="CU95" s="542">
        <v>-142948</v>
      </c>
      <c r="CV95" s="542">
        <v>0</v>
      </c>
      <c r="CW95" s="542">
        <v>-142948</v>
      </c>
      <c r="CX95" s="542">
        <v>30391</v>
      </c>
      <c r="CY95" s="542">
        <v>0</v>
      </c>
      <c r="CZ95" s="542">
        <v>30391</v>
      </c>
      <c r="DA95" s="542">
        <v>-220966</v>
      </c>
      <c r="DB95" s="542">
        <v>-63510</v>
      </c>
      <c r="DC95" s="542">
        <v>-284476</v>
      </c>
      <c r="DD95" s="542">
        <v>225324.93</v>
      </c>
      <c r="DE95" s="542">
        <v>0</v>
      </c>
      <c r="DF95" s="542">
        <v>225324.93</v>
      </c>
      <c r="DG95" s="542"/>
      <c r="DH95" s="542">
        <v>-63510</v>
      </c>
      <c r="DI95" s="542"/>
      <c r="DJ95" s="542">
        <v>-275619</v>
      </c>
      <c r="DK95" s="542"/>
      <c r="DL95" s="542"/>
      <c r="DM95" s="542">
        <v>-715740</v>
      </c>
      <c r="DN95" s="542">
        <v>-63510</v>
      </c>
      <c r="DO95" s="542">
        <v>-779250</v>
      </c>
      <c r="DP95" s="542">
        <v>0</v>
      </c>
      <c r="DQ95" s="542">
        <v>0</v>
      </c>
      <c r="DR95" s="542">
        <v>0</v>
      </c>
      <c r="DS95" s="542">
        <v>0</v>
      </c>
      <c r="DT95" s="542">
        <v>0</v>
      </c>
      <c r="DU95" s="542">
        <v>0</v>
      </c>
      <c r="DV95" s="542">
        <v>-11659</v>
      </c>
      <c r="DW95" s="542">
        <v>0</v>
      </c>
      <c r="DX95" s="542">
        <v>-11659</v>
      </c>
      <c r="DY95" s="542">
        <v>-1391278</v>
      </c>
      <c r="DZ95" s="542">
        <v>0</v>
      </c>
      <c r="EA95" s="542">
        <v>-1391278</v>
      </c>
      <c r="EB95" s="542">
        <v>0</v>
      </c>
      <c r="EC95" s="542">
        <v>0</v>
      </c>
      <c r="ED95" s="542">
        <v>0</v>
      </c>
      <c r="EE95" s="542">
        <v>750</v>
      </c>
      <c r="EF95" s="542">
        <v>0</v>
      </c>
      <c r="EG95" s="542">
        <v>750</v>
      </c>
      <c r="EH95" s="542">
        <v>-1402187</v>
      </c>
      <c r="EI95" s="542">
        <v>0</v>
      </c>
      <c r="EJ95" s="542">
        <v>-1402187</v>
      </c>
      <c r="EK95" s="542">
        <v>0</v>
      </c>
      <c r="EL95" s="542">
        <v>0</v>
      </c>
      <c r="EM95" s="542">
        <v>0</v>
      </c>
      <c r="EN95" s="542">
        <v>0</v>
      </c>
      <c r="EO95" s="542">
        <v>0</v>
      </c>
      <c r="EP95" s="542">
        <v>0</v>
      </c>
      <c r="EQ95" s="542">
        <v>0</v>
      </c>
      <c r="ER95" s="542">
        <v>0</v>
      </c>
      <c r="ES95" s="542">
        <v>0</v>
      </c>
      <c r="ET95" s="542">
        <v>131980162</v>
      </c>
      <c r="EU95" s="542">
        <v>94200</v>
      </c>
      <c r="EV95" s="542">
        <v>132074362</v>
      </c>
      <c r="EW95" s="542">
        <v>-12483796</v>
      </c>
      <c r="EX95" s="542">
        <v>1039</v>
      </c>
      <c r="EY95" s="542">
        <v>-12482757</v>
      </c>
      <c r="EZ95" s="542">
        <v>-8263149</v>
      </c>
      <c r="FA95" s="542">
        <v>2200</v>
      </c>
      <c r="FB95" s="542">
        <v>-8260949</v>
      </c>
      <c r="FC95" s="542">
        <v>-2630060</v>
      </c>
      <c r="FD95" s="542">
        <v>0</v>
      </c>
      <c r="FE95" s="542">
        <v>-2630060</v>
      </c>
      <c r="FF95" s="542">
        <v>-715740</v>
      </c>
      <c r="FG95" s="542">
        <v>-63510</v>
      </c>
      <c r="FH95" s="542">
        <v>-779250</v>
      </c>
      <c r="FI95" s="542">
        <v>-1402187</v>
      </c>
      <c r="FJ95" s="542">
        <v>0</v>
      </c>
      <c r="FK95" s="542">
        <v>-1402187</v>
      </c>
      <c r="FL95" s="542">
        <v>0</v>
      </c>
      <c r="FM95" s="542">
        <v>0</v>
      </c>
      <c r="FN95" s="542">
        <v>0</v>
      </c>
      <c r="FO95" s="542">
        <v>-25494932</v>
      </c>
      <c r="FP95" s="542">
        <v>-60271</v>
      </c>
      <c r="FQ95" s="542">
        <v>-25555203</v>
      </c>
      <c r="FR95" s="542">
        <v>106485230</v>
      </c>
      <c r="FS95" s="542">
        <v>33929</v>
      </c>
      <c r="FT95" s="542">
        <v>106519159</v>
      </c>
    </row>
    <row r="96" spans="1:176" ht="12.75" x14ac:dyDescent="0.2">
      <c r="A96" s="93">
        <v>91</v>
      </c>
      <c r="B96" s="145" t="s">
        <v>60</v>
      </c>
      <c r="C96" s="604" t="s">
        <v>866</v>
      </c>
      <c r="D96" s="142" t="s">
        <v>876</v>
      </c>
      <c r="E96" s="149" t="s">
        <v>59</v>
      </c>
      <c r="F96" s="542">
        <v>-54692</v>
      </c>
      <c r="G96" s="542">
        <v>0</v>
      </c>
      <c r="H96" s="542">
        <v>-54692</v>
      </c>
      <c r="I96" s="542">
        <v>78680</v>
      </c>
      <c r="J96" s="542">
        <v>0</v>
      </c>
      <c r="K96" s="542">
        <v>78680</v>
      </c>
      <c r="L96" s="542">
        <v>8335</v>
      </c>
      <c r="M96" s="542">
        <v>0</v>
      </c>
      <c r="N96" s="542">
        <v>8335</v>
      </c>
      <c r="O96" s="542">
        <v>24882</v>
      </c>
      <c r="P96" s="542">
        <v>0</v>
      </c>
      <c r="Q96" s="542">
        <v>24882</v>
      </c>
      <c r="R96" s="542">
        <v>57205</v>
      </c>
      <c r="S96" s="542">
        <v>0</v>
      </c>
      <c r="T96" s="542">
        <v>57205</v>
      </c>
      <c r="U96" s="542">
        <v>-2540697</v>
      </c>
      <c r="V96" s="542">
        <v>0</v>
      </c>
      <c r="W96" s="542">
        <v>-2540697</v>
      </c>
      <c r="X96" s="542">
        <v>-4994</v>
      </c>
      <c r="Y96" s="542">
        <v>0</v>
      </c>
      <c r="Z96" s="542">
        <v>-4994</v>
      </c>
      <c r="AA96" s="542">
        <v>-156986</v>
      </c>
      <c r="AB96" s="542">
        <v>0</v>
      </c>
      <c r="AC96" s="542">
        <v>-156986</v>
      </c>
      <c r="AD96" s="542">
        <v>-51947</v>
      </c>
      <c r="AE96" s="542">
        <v>0</v>
      </c>
      <c r="AF96" s="542">
        <v>-51947</v>
      </c>
      <c r="AG96" s="542">
        <v>1292277</v>
      </c>
      <c r="AH96" s="542">
        <v>0</v>
      </c>
      <c r="AI96" s="542">
        <v>1292277</v>
      </c>
      <c r="AJ96" s="542">
        <v>48909</v>
      </c>
      <c r="AK96" s="542">
        <v>0</v>
      </c>
      <c r="AL96" s="542">
        <v>48909</v>
      </c>
      <c r="AM96" s="542">
        <v>-1931955</v>
      </c>
      <c r="AN96" s="542">
        <v>0</v>
      </c>
      <c r="AO96" s="542">
        <v>-1931955</v>
      </c>
      <c r="AP96" s="542">
        <v>8567</v>
      </c>
      <c r="AQ96" s="542">
        <v>0</v>
      </c>
      <c r="AR96" s="542">
        <v>8567</v>
      </c>
      <c r="AS96" s="542">
        <v>-54080</v>
      </c>
      <c r="AT96" s="542">
        <v>0</v>
      </c>
      <c r="AU96" s="542">
        <v>-54080</v>
      </c>
      <c r="AV96" s="542">
        <v>0</v>
      </c>
      <c r="AW96" s="542">
        <v>0</v>
      </c>
      <c r="AX96" s="542">
        <v>0</v>
      </c>
      <c r="AY96" s="542">
        <v>-9729</v>
      </c>
      <c r="AZ96" s="542">
        <v>0</v>
      </c>
      <c r="BA96" s="542">
        <v>-9729</v>
      </c>
      <c r="BB96" s="542">
        <v>-3348</v>
      </c>
      <c r="BC96" s="542">
        <v>0</v>
      </c>
      <c r="BD96" s="542">
        <v>-3348</v>
      </c>
      <c r="BE96" s="542">
        <v>-3347042</v>
      </c>
      <c r="BF96" s="542">
        <v>0</v>
      </c>
      <c r="BG96" s="542">
        <v>-3347042</v>
      </c>
      <c r="BH96" s="542">
        <v>-822871</v>
      </c>
      <c r="BI96" s="542">
        <v>0</v>
      </c>
      <c r="BJ96" s="542">
        <v>-822871</v>
      </c>
      <c r="BK96" s="542">
        <v>-93174</v>
      </c>
      <c r="BL96" s="542">
        <v>0</v>
      </c>
      <c r="BM96" s="542">
        <v>-93174</v>
      </c>
      <c r="BN96" s="542">
        <v>-2429473</v>
      </c>
      <c r="BO96" s="542">
        <v>0</v>
      </c>
      <c r="BP96" s="542">
        <v>-2429473</v>
      </c>
      <c r="BQ96" s="542">
        <v>43783</v>
      </c>
      <c r="BR96" s="542">
        <v>0</v>
      </c>
      <c r="BS96" s="542">
        <v>43783</v>
      </c>
      <c r="BT96" s="542">
        <v>-3301735</v>
      </c>
      <c r="BU96" s="542">
        <v>0</v>
      </c>
      <c r="BV96" s="542">
        <v>-3301735</v>
      </c>
      <c r="BW96" s="542">
        <v>-117663</v>
      </c>
      <c r="BX96" s="542">
        <v>0</v>
      </c>
      <c r="BY96" s="542">
        <v>-117663</v>
      </c>
      <c r="BZ96" s="542">
        <v>-5</v>
      </c>
      <c r="CA96" s="542">
        <v>0</v>
      </c>
      <c r="CB96" s="542">
        <v>-5</v>
      </c>
      <c r="CC96" s="542">
        <v>-123254</v>
      </c>
      <c r="CD96" s="542">
        <v>0</v>
      </c>
      <c r="CE96" s="542">
        <v>-123254</v>
      </c>
      <c r="CF96" s="542">
        <v>0</v>
      </c>
      <c r="CG96" s="542">
        <v>0</v>
      </c>
      <c r="CH96" s="542">
        <v>0</v>
      </c>
      <c r="CI96" s="542">
        <v>-9965</v>
      </c>
      <c r="CJ96" s="542">
        <v>0</v>
      </c>
      <c r="CK96" s="542">
        <v>-9965</v>
      </c>
      <c r="CL96" s="542">
        <v>0</v>
      </c>
      <c r="CM96" s="542">
        <v>0</v>
      </c>
      <c r="CN96" s="542">
        <v>0</v>
      </c>
      <c r="CO96" s="542">
        <v>-9729</v>
      </c>
      <c r="CP96" s="542">
        <v>0</v>
      </c>
      <c r="CQ96" s="542">
        <v>-9729</v>
      </c>
      <c r="CR96" s="542">
        <v>-2533</v>
      </c>
      <c r="CS96" s="542">
        <v>0</v>
      </c>
      <c r="CT96" s="542">
        <v>-2533</v>
      </c>
      <c r="CU96" s="542">
        <v>-1867</v>
      </c>
      <c r="CV96" s="542">
        <v>0</v>
      </c>
      <c r="CW96" s="542">
        <v>-1867</v>
      </c>
      <c r="CX96" s="542">
        <v>0</v>
      </c>
      <c r="CY96" s="542">
        <v>0</v>
      </c>
      <c r="CZ96" s="542">
        <v>0</v>
      </c>
      <c r="DA96" s="542">
        <v>0</v>
      </c>
      <c r="DB96" s="542">
        <v>0</v>
      </c>
      <c r="DC96" s="542">
        <v>0</v>
      </c>
      <c r="DD96" s="542">
        <v>0</v>
      </c>
      <c r="DE96" s="542">
        <v>0</v>
      </c>
      <c r="DF96" s="542">
        <v>0</v>
      </c>
      <c r="DG96" s="542"/>
      <c r="DH96" s="542">
        <v>0</v>
      </c>
      <c r="DI96" s="542"/>
      <c r="DJ96" s="542">
        <v>0</v>
      </c>
      <c r="DK96" s="542"/>
      <c r="DL96" s="542"/>
      <c r="DM96" s="542">
        <v>-265016</v>
      </c>
      <c r="DN96" s="542">
        <v>0</v>
      </c>
      <c r="DO96" s="542">
        <v>-265016</v>
      </c>
      <c r="DP96" s="542">
        <v>-2812</v>
      </c>
      <c r="DQ96" s="542">
        <v>0</v>
      </c>
      <c r="DR96" s="542">
        <v>-2812</v>
      </c>
      <c r="DS96" s="542">
        <v>-148</v>
      </c>
      <c r="DT96" s="542">
        <v>0</v>
      </c>
      <c r="DU96" s="542">
        <v>-148</v>
      </c>
      <c r="DV96" s="542">
        <v>0</v>
      </c>
      <c r="DW96" s="542">
        <v>0</v>
      </c>
      <c r="DX96" s="542">
        <v>0</v>
      </c>
      <c r="DY96" s="542">
        <v>-261152</v>
      </c>
      <c r="DZ96" s="542">
        <v>0</v>
      </c>
      <c r="EA96" s="542">
        <v>-261152</v>
      </c>
      <c r="EB96" s="542">
        <v>0</v>
      </c>
      <c r="EC96" s="542">
        <v>0</v>
      </c>
      <c r="ED96" s="542">
        <v>0</v>
      </c>
      <c r="EE96" s="542">
        <v>0</v>
      </c>
      <c r="EF96" s="542">
        <v>0</v>
      </c>
      <c r="EG96" s="542">
        <v>0</v>
      </c>
      <c r="EH96" s="542">
        <v>-264112</v>
      </c>
      <c r="EI96" s="542">
        <v>0</v>
      </c>
      <c r="EJ96" s="542">
        <v>-264112</v>
      </c>
      <c r="EK96" s="542">
        <v>-4255</v>
      </c>
      <c r="EL96" s="542">
        <v>0</v>
      </c>
      <c r="EM96" s="542">
        <v>-4255</v>
      </c>
      <c r="EN96" s="542">
        <v>234</v>
      </c>
      <c r="EO96" s="542">
        <v>0</v>
      </c>
      <c r="EP96" s="542">
        <v>234</v>
      </c>
      <c r="EQ96" s="542">
        <v>-4021</v>
      </c>
      <c r="ER96" s="542">
        <v>0</v>
      </c>
      <c r="ES96" s="542">
        <v>-4021</v>
      </c>
      <c r="ET96" s="542">
        <v>61796750</v>
      </c>
      <c r="EU96" s="542">
        <v>0</v>
      </c>
      <c r="EV96" s="542">
        <v>61796750</v>
      </c>
      <c r="EW96" s="542">
        <v>57205</v>
      </c>
      <c r="EX96" s="542">
        <v>0</v>
      </c>
      <c r="EY96" s="542">
        <v>57205</v>
      </c>
      <c r="EZ96" s="542">
        <v>-3347042</v>
      </c>
      <c r="FA96" s="542">
        <v>0</v>
      </c>
      <c r="FB96" s="542">
        <v>-3347042</v>
      </c>
      <c r="FC96" s="542">
        <v>-3301735</v>
      </c>
      <c r="FD96" s="542">
        <v>0</v>
      </c>
      <c r="FE96" s="542">
        <v>-3301735</v>
      </c>
      <c r="FF96" s="542">
        <v>-265016</v>
      </c>
      <c r="FG96" s="542">
        <v>0</v>
      </c>
      <c r="FH96" s="542">
        <v>-265016</v>
      </c>
      <c r="FI96" s="542">
        <v>-264112</v>
      </c>
      <c r="FJ96" s="542">
        <v>0</v>
      </c>
      <c r="FK96" s="542">
        <v>-264112</v>
      </c>
      <c r="FL96" s="542">
        <v>-4021</v>
      </c>
      <c r="FM96" s="542">
        <v>0</v>
      </c>
      <c r="FN96" s="542">
        <v>-4021</v>
      </c>
      <c r="FO96" s="542">
        <v>-7124721</v>
      </c>
      <c r="FP96" s="542">
        <v>0</v>
      </c>
      <c r="FQ96" s="542">
        <v>-7124721</v>
      </c>
      <c r="FR96" s="542">
        <v>54672029</v>
      </c>
      <c r="FS96" s="542">
        <v>0</v>
      </c>
      <c r="FT96" s="542">
        <v>54672029</v>
      </c>
    </row>
    <row r="97" spans="1:176" ht="12.75" x14ac:dyDescent="0.2">
      <c r="A97" s="93">
        <v>92</v>
      </c>
      <c r="B97" s="145" t="s">
        <v>62</v>
      </c>
      <c r="C97" s="604" t="s">
        <v>866</v>
      </c>
      <c r="D97" s="142" t="s">
        <v>867</v>
      </c>
      <c r="E97" s="149" t="s">
        <v>61</v>
      </c>
      <c r="F97" s="542">
        <v>-63087</v>
      </c>
      <c r="G97" s="542">
        <v>0</v>
      </c>
      <c r="H97" s="542">
        <v>-63087</v>
      </c>
      <c r="I97" s="542">
        <v>127059</v>
      </c>
      <c r="J97" s="542">
        <v>0</v>
      </c>
      <c r="K97" s="542">
        <v>127059</v>
      </c>
      <c r="L97" s="542">
        <v>13658</v>
      </c>
      <c r="M97" s="542">
        <v>0</v>
      </c>
      <c r="N97" s="542">
        <v>13658</v>
      </c>
      <c r="O97" s="542">
        <v>138428</v>
      </c>
      <c r="P97" s="542">
        <v>0</v>
      </c>
      <c r="Q97" s="542">
        <v>138428</v>
      </c>
      <c r="R97" s="542">
        <v>216058</v>
      </c>
      <c r="S97" s="542">
        <v>0</v>
      </c>
      <c r="T97" s="542">
        <v>216058</v>
      </c>
      <c r="U97" s="542">
        <v>-1987834</v>
      </c>
      <c r="V97" s="542">
        <v>0</v>
      </c>
      <c r="W97" s="542">
        <v>-1987834</v>
      </c>
      <c r="X97" s="542">
        <v>0</v>
      </c>
      <c r="Y97" s="542">
        <v>0</v>
      </c>
      <c r="Z97" s="542">
        <v>0</v>
      </c>
      <c r="AA97" s="542">
        <v>-66668</v>
      </c>
      <c r="AB97" s="542">
        <v>0</v>
      </c>
      <c r="AC97" s="542">
        <v>-66668</v>
      </c>
      <c r="AD97" s="542">
        <v>0</v>
      </c>
      <c r="AE97" s="542">
        <v>0</v>
      </c>
      <c r="AF97" s="542">
        <v>0</v>
      </c>
      <c r="AG97" s="542">
        <v>773017</v>
      </c>
      <c r="AH97" s="542">
        <v>0</v>
      </c>
      <c r="AI97" s="542">
        <v>773017</v>
      </c>
      <c r="AJ97" s="542">
        <v>14674</v>
      </c>
      <c r="AK97" s="542">
        <v>0</v>
      </c>
      <c r="AL97" s="542">
        <v>14674</v>
      </c>
      <c r="AM97" s="542">
        <v>-2519696</v>
      </c>
      <c r="AN97" s="542">
        <v>0</v>
      </c>
      <c r="AO97" s="542">
        <v>-2519696</v>
      </c>
      <c r="AP97" s="542">
        <v>-63572</v>
      </c>
      <c r="AQ97" s="542">
        <v>0</v>
      </c>
      <c r="AR97" s="542">
        <v>-63572</v>
      </c>
      <c r="AS97" s="542">
        <v>-76031</v>
      </c>
      <c r="AT97" s="542">
        <v>0</v>
      </c>
      <c r="AU97" s="542">
        <v>-76031</v>
      </c>
      <c r="AV97" s="542">
        <v>0</v>
      </c>
      <c r="AW97" s="542">
        <v>0</v>
      </c>
      <c r="AX97" s="542">
        <v>0</v>
      </c>
      <c r="AY97" s="542">
        <v>0</v>
      </c>
      <c r="AZ97" s="542">
        <v>0</v>
      </c>
      <c r="BA97" s="542">
        <v>0</v>
      </c>
      <c r="BB97" s="542">
        <v>0</v>
      </c>
      <c r="BC97" s="542">
        <v>0</v>
      </c>
      <c r="BD97" s="542">
        <v>0</v>
      </c>
      <c r="BE97" s="542">
        <v>-3926110</v>
      </c>
      <c r="BF97" s="542">
        <v>0</v>
      </c>
      <c r="BG97" s="542">
        <v>-3926110</v>
      </c>
      <c r="BH97" s="542">
        <v>-7457</v>
      </c>
      <c r="BI97" s="542">
        <v>0</v>
      </c>
      <c r="BJ97" s="542">
        <v>-7457</v>
      </c>
      <c r="BK97" s="542">
        <v>5342</v>
      </c>
      <c r="BL97" s="542">
        <v>0</v>
      </c>
      <c r="BM97" s="542">
        <v>5342</v>
      </c>
      <c r="BN97" s="542">
        <v>-650407</v>
      </c>
      <c r="BO97" s="542">
        <v>0</v>
      </c>
      <c r="BP97" s="542">
        <v>-650407</v>
      </c>
      <c r="BQ97" s="542">
        <v>-22802</v>
      </c>
      <c r="BR97" s="542">
        <v>0</v>
      </c>
      <c r="BS97" s="542">
        <v>-22802</v>
      </c>
      <c r="BT97" s="542">
        <v>-675324</v>
      </c>
      <c r="BU97" s="542">
        <v>0</v>
      </c>
      <c r="BV97" s="542">
        <v>-675324</v>
      </c>
      <c r="BW97" s="542">
        <v>-41671</v>
      </c>
      <c r="BX97" s="542">
        <v>0</v>
      </c>
      <c r="BY97" s="542">
        <v>-41671</v>
      </c>
      <c r="BZ97" s="542">
        <v>0</v>
      </c>
      <c r="CA97" s="542">
        <v>0</v>
      </c>
      <c r="CB97" s="542">
        <v>0</v>
      </c>
      <c r="CC97" s="542">
        <v>-2049</v>
      </c>
      <c r="CD97" s="542">
        <v>0</v>
      </c>
      <c r="CE97" s="542">
        <v>-2049</v>
      </c>
      <c r="CF97" s="542">
        <v>-1519</v>
      </c>
      <c r="CG97" s="542">
        <v>0</v>
      </c>
      <c r="CH97" s="542">
        <v>-1519</v>
      </c>
      <c r="CI97" s="542">
        <v>0</v>
      </c>
      <c r="CJ97" s="542">
        <v>0</v>
      </c>
      <c r="CK97" s="542">
        <v>0</v>
      </c>
      <c r="CL97" s="542">
        <v>0</v>
      </c>
      <c r="CM97" s="542">
        <v>0</v>
      </c>
      <c r="CN97" s="542">
        <v>0</v>
      </c>
      <c r="CO97" s="542">
        <v>0</v>
      </c>
      <c r="CP97" s="542">
        <v>0</v>
      </c>
      <c r="CQ97" s="542">
        <v>0</v>
      </c>
      <c r="CR97" s="542">
        <v>0</v>
      </c>
      <c r="CS97" s="542">
        <v>0</v>
      </c>
      <c r="CT97" s="542">
        <v>0</v>
      </c>
      <c r="CU97" s="542">
        <v>0</v>
      </c>
      <c r="CV97" s="542">
        <v>0</v>
      </c>
      <c r="CW97" s="542">
        <v>0</v>
      </c>
      <c r="CX97" s="542">
        <v>0</v>
      </c>
      <c r="CY97" s="542">
        <v>0</v>
      </c>
      <c r="CZ97" s="542">
        <v>0</v>
      </c>
      <c r="DA97" s="542">
        <v>0</v>
      </c>
      <c r="DB97" s="542">
        <v>0</v>
      </c>
      <c r="DC97" s="542">
        <v>0</v>
      </c>
      <c r="DD97" s="542">
        <v>0</v>
      </c>
      <c r="DE97" s="542">
        <v>0</v>
      </c>
      <c r="DF97" s="542">
        <v>0</v>
      </c>
      <c r="DG97" s="542"/>
      <c r="DH97" s="542">
        <v>0</v>
      </c>
      <c r="DI97" s="542"/>
      <c r="DJ97" s="542">
        <v>0</v>
      </c>
      <c r="DK97" s="542"/>
      <c r="DL97" s="542"/>
      <c r="DM97" s="542">
        <v>-45239</v>
      </c>
      <c r="DN97" s="542">
        <v>0</v>
      </c>
      <c r="DO97" s="542">
        <v>-45239</v>
      </c>
      <c r="DP97" s="542">
        <v>0</v>
      </c>
      <c r="DQ97" s="542">
        <v>0</v>
      </c>
      <c r="DR97" s="542">
        <v>0</v>
      </c>
      <c r="DS97" s="542">
        <v>0</v>
      </c>
      <c r="DT97" s="542">
        <v>0</v>
      </c>
      <c r="DU97" s="542">
        <v>0</v>
      </c>
      <c r="DV97" s="542">
        <v>-18422</v>
      </c>
      <c r="DW97" s="542">
        <v>0</v>
      </c>
      <c r="DX97" s="542">
        <v>-18422</v>
      </c>
      <c r="DY97" s="542">
        <v>-369959</v>
      </c>
      <c r="DZ97" s="542">
        <v>0</v>
      </c>
      <c r="EA97" s="542">
        <v>-369959</v>
      </c>
      <c r="EB97" s="542">
        <v>0</v>
      </c>
      <c r="EC97" s="542">
        <v>0</v>
      </c>
      <c r="ED97" s="542">
        <v>0</v>
      </c>
      <c r="EE97" s="542">
        <v>0</v>
      </c>
      <c r="EF97" s="542">
        <v>0</v>
      </c>
      <c r="EG97" s="542">
        <v>0</v>
      </c>
      <c r="EH97" s="542">
        <v>-388381</v>
      </c>
      <c r="EI97" s="542">
        <v>0</v>
      </c>
      <c r="EJ97" s="542">
        <v>-388381</v>
      </c>
      <c r="EK97" s="542">
        <v>0</v>
      </c>
      <c r="EL97" s="542">
        <v>0</v>
      </c>
      <c r="EM97" s="542">
        <v>0</v>
      </c>
      <c r="EN97" s="542">
        <v>0</v>
      </c>
      <c r="EO97" s="542">
        <v>0</v>
      </c>
      <c r="EP97" s="542">
        <v>0</v>
      </c>
      <c r="EQ97" s="542">
        <v>0</v>
      </c>
      <c r="ER97" s="542">
        <v>0</v>
      </c>
      <c r="ES97" s="542">
        <v>0</v>
      </c>
      <c r="ET97" s="542">
        <v>37215815</v>
      </c>
      <c r="EU97" s="542">
        <v>0</v>
      </c>
      <c r="EV97" s="542">
        <v>37215815</v>
      </c>
      <c r="EW97" s="542">
        <v>216058</v>
      </c>
      <c r="EX97" s="542">
        <v>0</v>
      </c>
      <c r="EY97" s="542">
        <v>216058</v>
      </c>
      <c r="EZ97" s="542">
        <v>-3926110</v>
      </c>
      <c r="FA97" s="542">
        <v>0</v>
      </c>
      <c r="FB97" s="542">
        <v>-3926110</v>
      </c>
      <c r="FC97" s="542">
        <v>-675324</v>
      </c>
      <c r="FD97" s="542">
        <v>0</v>
      </c>
      <c r="FE97" s="542">
        <v>-675324</v>
      </c>
      <c r="FF97" s="542">
        <v>-45239</v>
      </c>
      <c r="FG97" s="542">
        <v>0</v>
      </c>
      <c r="FH97" s="542">
        <v>-45239</v>
      </c>
      <c r="FI97" s="542">
        <v>-388381</v>
      </c>
      <c r="FJ97" s="542">
        <v>0</v>
      </c>
      <c r="FK97" s="542">
        <v>-388381</v>
      </c>
      <c r="FL97" s="542">
        <v>0</v>
      </c>
      <c r="FM97" s="542">
        <v>0</v>
      </c>
      <c r="FN97" s="542">
        <v>0</v>
      </c>
      <c r="FO97" s="542">
        <v>-4818996</v>
      </c>
      <c r="FP97" s="542">
        <v>0</v>
      </c>
      <c r="FQ97" s="542">
        <v>-4818996</v>
      </c>
      <c r="FR97" s="542">
        <v>32396819</v>
      </c>
      <c r="FS97" s="542">
        <v>0</v>
      </c>
      <c r="FT97" s="542">
        <v>32396819</v>
      </c>
    </row>
    <row r="98" spans="1:176" ht="12.75" x14ac:dyDescent="0.2">
      <c r="A98" s="93">
        <v>93</v>
      </c>
      <c r="B98" s="145" t="s">
        <v>64</v>
      </c>
      <c r="C98" s="604" t="s">
        <v>866</v>
      </c>
      <c r="D98" s="142" t="s">
        <v>867</v>
      </c>
      <c r="E98" s="149" t="s">
        <v>63</v>
      </c>
      <c r="F98" s="542">
        <v>-21621</v>
      </c>
      <c r="G98" s="542">
        <v>0</v>
      </c>
      <c r="H98" s="542">
        <v>-21621</v>
      </c>
      <c r="I98" s="542">
        <v>30826</v>
      </c>
      <c r="J98" s="542">
        <v>0</v>
      </c>
      <c r="K98" s="542">
        <v>30826</v>
      </c>
      <c r="L98" s="542">
        <v>0</v>
      </c>
      <c r="M98" s="542">
        <v>0</v>
      </c>
      <c r="N98" s="542">
        <v>0</v>
      </c>
      <c r="O98" s="542">
        <v>36656</v>
      </c>
      <c r="P98" s="542">
        <v>0</v>
      </c>
      <c r="Q98" s="542">
        <v>36656</v>
      </c>
      <c r="R98" s="542">
        <v>45861</v>
      </c>
      <c r="S98" s="542">
        <v>0</v>
      </c>
      <c r="T98" s="542">
        <v>45861</v>
      </c>
      <c r="U98" s="542">
        <v>-1644041</v>
      </c>
      <c r="V98" s="542">
        <v>0</v>
      </c>
      <c r="W98" s="542">
        <v>-1644041</v>
      </c>
      <c r="X98" s="542">
        <v>0</v>
      </c>
      <c r="Y98" s="542">
        <v>0</v>
      </c>
      <c r="Z98" s="542">
        <v>0</v>
      </c>
      <c r="AA98" s="542">
        <v>-103966</v>
      </c>
      <c r="AB98" s="542">
        <v>0</v>
      </c>
      <c r="AC98" s="542">
        <v>-103966</v>
      </c>
      <c r="AD98" s="542">
        <v>38243</v>
      </c>
      <c r="AE98" s="542">
        <v>0</v>
      </c>
      <c r="AF98" s="542">
        <v>38243</v>
      </c>
      <c r="AG98" s="542">
        <v>1327791</v>
      </c>
      <c r="AH98" s="542">
        <v>0</v>
      </c>
      <c r="AI98" s="542">
        <v>1327791</v>
      </c>
      <c r="AJ98" s="542">
        <v>-21666</v>
      </c>
      <c r="AK98" s="542">
        <v>0</v>
      </c>
      <c r="AL98" s="542">
        <v>-21666</v>
      </c>
      <c r="AM98" s="542">
        <v>-2070702</v>
      </c>
      <c r="AN98" s="542">
        <v>0</v>
      </c>
      <c r="AO98" s="542">
        <v>-2070702</v>
      </c>
      <c r="AP98" s="542">
        <v>-1769</v>
      </c>
      <c r="AQ98" s="542">
        <v>0</v>
      </c>
      <c r="AR98" s="542">
        <v>-1769</v>
      </c>
      <c r="AS98" s="542">
        <v>0</v>
      </c>
      <c r="AT98" s="542">
        <v>0</v>
      </c>
      <c r="AU98" s="542">
        <v>0</v>
      </c>
      <c r="AV98" s="542">
        <v>0</v>
      </c>
      <c r="AW98" s="542">
        <v>0</v>
      </c>
      <c r="AX98" s="542">
        <v>0</v>
      </c>
      <c r="AY98" s="542">
        <v>0</v>
      </c>
      <c r="AZ98" s="542">
        <v>0</v>
      </c>
      <c r="BA98" s="542">
        <v>0</v>
      </c>
      <c r="BB98" s="542">
        <v>0</v>
      </c>
      <c r="BC98" s="542">
        <v>0</v>
      </c>
      <c r="BD98" s="542">
        <v>0</v>
      </c>
      <c r="BE98" s="542">
        <v>-2514353</v>
      </c>
      <c r="BF98" s="542">
        <v>0</v>
      </c>
      <c r="BG98" s="542">
        <v>-2514353</v>
      </c>
      <c r="BH98" s="542">
        <v>-47134</v>
      </c>
      <c r="BI98" s="542">
        <v>0</v>
      </c>
      <c r="BJ98" s="542">
        <v>-47134</v>
      </c>
      <c r="BK98" s="542">
        <v>439</v>
      </c>
      <c r="BL98" s="542">
        <v>0</v>
      </c>
      <c r="BM98" s="542">
        <v>439</v>
      </c>
      <c r="BN98" s="542">
        <v>-1885137</v>
      </c>
      <c r="BO98" s="542">
        <v>0</v>
      </c>
      <c r="BP98" s="542">
        <v>-1885137</v>
      </c>
      <c r="BQ98" s="542">
        <v>-125303</v>
      </c>
      <c r="BR98" s="542">
        <v>0</v>
      </c>
      <c r="BS98" s="542">
        <v>-125303</v>
      </c>
      <c r="BT98" s="542">
        <v>-2057135</v>
      </c>
      <c r="BU98" s="542">
        <v>0</v>
      </c>
      <c r="BV98" s="542">
        <v>-2057135</v>
      </c>
      <c r="BW98" s="542">
        <v>-51138</v>
      </c>
      <c r="BX98" s="542">
        <v>0</v>
      </c>
      <c r="BY98" s="542">
        <v>-51138</v>
      </c>
      <c r="BZ98" s="542">
        <v>-93</v>
      </c>
      <c r="CA98" s="542">
        <v>0</v>
      </c>
      <c r="CB98" s="542">
        <v>-93</v>
      </c>
      <c r="CC98" s="542">
        <v>-131104</v>
      </c>
      <c r="CD98" s="542">
        <v>0</v>
      </c>
      <c r="CE98" s="542">
        <v>-131104</v>
      </c>
      <c r="CF98" s="542">
        <v>0</v>
      </c>
      <c r="CG98" s="542">
        <v>0</v>
      </c>
      <c r="CH98" s="542">
        <v>0</v>
      </c>
      <c r="CI98" s="542">
        <v>0</v>
      </c>
      <c r="CJ98" s="542">
        <v>0</v>
      </c>
      <c r="CK98" s="542">
        <v>0</v>
      </c>
      <c r="CL98" s="542">
        <v>0</v>
      </c>
      <c r="CM98" s="542">
        <v>0</v>
      </c>
      <c r="CN98" s="542">
        <v>0</v>
      </c>
      <c r="CO98" s="542">
        <v>0</v>
      </c>
      <c r="CP98" s="542">
        <v>0</v>
      </c>
      <c r="CQ98" s="542">
        <v>0</v>
      </c>
      <c r="CR98" s="542">
        <v>0</v>
      </c>
      <c r="CS98" s="542">
        <v>0</v>
      </c>
      <c r="CT98" s="542">
        <v>0</v>
      </c>
      <c r="CU98" s="542">
        <v>0</v>
      </c>
      <c r="CV98" s="542">
        <v>0</v>
      </c>
      <c r="CW98" s="542">
        <v>0</v>
      </c>
      <c r="CX98" s="542">
        <v>0</v>
      </c>
      <c r="CY98" s="542">
        <v>0</v>
      </c>
      <c r="CZ98" s="542">
        <v>0</v>
      </c>
      <c r="DA98" s="542">
        <v>0</v>
      </c>
      <c r="DB98" s="542">
        <v>0</v>
      </c>
      <c r="DC98" s="542">
        <v>0</v>
      </c>
      <c r="DD98" s="542">
        <v>0</v>
      </c>
      <c r="DE98" s="542">
        <v>0</v>
      </c>
      <c r="DF98" s="542">
        <v>0</v>
      </c>
      <c r="DG98" s="542"/>
      <c r="DH98" s="542">
        <v>0</v>
      </c>
      <c r="DI98" s="542"/>
      <c r="DJ98" s="542">
        <v>0</v>
      </c>
      <c r="DK98" s="542"/>
      <c r="DL98" s="542"/>
      <c r="DM98" s="542">
        <v>-182335</v>
      </c>
      <c r="DN98" s="542">
        <v>0</v>
      </c>
      <c r="DO98" s="542">
        <v>-182335</v>
      </c>
      <c r="DP98" s="542">
        <v>-4181</v>
      </c>
      <c r="DQ98" s="542">
        <v>0</v>
      </c>
      <c r="DR98" s="542">
        <v>-4181</v>
      </c>
      <c r="DS98" s="542">
        <v>0</v>
      </c>
      <c r="DT98" s="542">
        <v>0</v>
      </c>
      <c r="DU98" s="542">
        <v>0</v>
      </c>
      <c r="DV98" s="542">
        <v>0</v>
      </c>
      <c r="DW98" s="542">
        <v>0</v>
      </c>
      <c r="DX98" s="542">
        <v>0</v>
      </c>
      <c r="DY98" s="542">
        <v>-376291</v>
      </c>
      <c r="DZ98" s="542">
        <v>0</v>
      </c>
      <c r="EA98" s="542">
        <v>-376291</v>
      </c>
      <c r="EB98" s="542">
        <v>0</v>
      </c>
      <c r="EC98" s="542">
        <v>0</v>
      </c>
      <c r="ED98" s="542">
        <v>0</v>
      </c>
      <c r="EE98" s="542">
        <v>0</v>
      </c>
      <c r="EF98" s="542">
        <v>0</v>
      </c>
      <c r="EG98" s="542">
        <v>0</v>
      </c>
      <c r="EH98" s="542">
        <v>-380472</v>
      </c>
      <c r="EI98" s="542">
        <v>0</v>
      </c>
      <c r="EJ98" s="542">
        <v>-380472</v>
      </c>
      <c r="EK98" s="542">
        <v>0</v>
      </c>
      <c r="EL98" s="542">
        <v>0</v>
      </c>
      <c r="EM98" s="542">
        <v>0</v>
      </c>
      <c r="EN98" s="542">
        <v>0</v>
      </c>
      <c r="EO98" s="542">
        <v>0</v>
      </c>
      <c r="EP98" s="542">
        <v>0</v>
      </c>
      <c r="EQ98" s="542">
        <v>0</v>
      </c>
      <c r="ER98" s="542">
        <v>0</v>
      </c>
      <c r="ES98" s="542">
        <v>0</v>
      </c>
      <c r="ET98" s="542">
        <v>61219226</v>
      </c>
      <c r="EU98" s="542">
        <v>0</v>
      </c>
      <c r="EV98" s="542">
        <v>61219226</v>
      </c>
      <c r="EW98" s="542">
        <v>45861</v>
      </c>
      <c r="EX98" s="542">
        <v>0</v>
      </c>
      <c r="EY98" s="542">
        <v>45861</v>
      </c>
      <c r="EZ98" s="542">
        <v>-2514353</v>
      </c>
      <c r="FA98" s="542">
        <v>0</v>
      </c>
      <c r="FB98" s="542">
        <v>-2514353</v>
      </c>
      <c r="FC98" s="542">
        <v>-2057135</v>
      </c>
      <c r="FD98" s="542">
        <v>0</v>
      </c>
      <c r="FE98" s="542">
        <v>-2057135</v>
      </c>
      <c r="FF98" s="542">
        <v>-182335</v>
      </c>
      <c r="FG98" s="542">
        <v>0</v>
      </c>
      <c r="FH98" s="542">
        <v>-182335</v>
      </c>
      <c r="FI98" s="542">
        <v>-380472</v>
      </c>
      <c r="FJ98" s="542">
        <v>0</v>
      </c>
      <c r="FK98" s="542">
        <v>-380472</v>
      </c>
      <c r="FL98" s="542">
        <v>0</v>
      </c>
      <c r="FM98" s="542">
        <v>0</v>
      </c>
      <c r="FN98" s="542">
        <v>0</v>
      </c>
      <c r="FO98" s="542">
        <v>-5088434</v>
      </c>
      <c r="FP98" s="542">
        <v>0</v>
      </c>
      <c r="FQ98" s="542">
        <v>-5088434</v>
      </c>
      <c r="FR98" s="542">
        <v>56130792</v>
      </c>
      <c r="FS98" s="542">
        <v>0</v>
      </c>
      <c r="FT98" s="542">
        <v>56130792</v>
      </c>
    </row>
    <row r="99" spans="1:176" ht="12.75" x14ac:dyDescent="0.2">
      <c r="A99" s="93">
        <v>94</v>
      </c>
      <c r="B99" s="145" t="s">
        <v>66</v>
      </c>
      <c r="C99" s="604" t="s">
        <v>866</v>
      </c>
      <c r="D99" s="142" t="s">
        <v>868</v>
      </c>
      <c r="E99" s="149" t="s">
        <v>65</v>
      </c>
      <c r="F99" s="542">
        <v>-106011</v>
      </c>
      <c r="G99" s="542">
        <v>0</v>
      </c>
      <c r="H99" s="542">
        <v>-106011</v>
      </c>
      <c r="I99" s="542">
        <v>64965</v>
      </c>
      <c r="J99" s="542">
        <v>0</v>
      </c>
      <c r="K99" s="542">
        <v>64965</v>
      </c>
      <c r="L99" s="542">
        <v>4311</v>
      </c>
      <c r="M99" s="542">
        <v>0</v>
      </c>
      <c r="N99" s="542">
        <v>4311</v>
      </c>
      <c r="O99" s="542">
        <v>1024</v>
      </c>
      <c r="P99" s="542">
        <v>0</v>
      </c>
      <c r="Q99" s="542">
        <v>1024</v>
      </c>
      <c r="R99" s="542">
        <v>-35711</v>
      </c>
      <c r="S99" s="542">
        <v>0</v>
      </c>
      <c r="T99" s="542">
        <v>-35711</v>
      </c>
      <c r="U99" s="542">
        <v>-2120813</v>
      </c>
      <c r="V99" s="542">
        <v>0</v>
      </c>
      <c r="W99" s="542">
        <v>-2120813</v>
      </c>
      <c r="X99" s="542">
        <v>0</v>
      </c>
      <c r="Y99" s="542">
        <v>0</v>
      </c>
      <c r="Z99" s="542">
        <v>0</v>
      </c>
      <c r="AA99" s="542">
        <v>-168980</v>
      </c>
      <c r="AB99" s="542">
        <v>0</v>
      </c>
      <c r="AC99" s="542">
        <v>-168980</v>
      </c>
      <c r="AD99" s="542">
        <v>0</v>
      </c>
      <c r="AE99" s="542">
        <v>0</v>
      </c>
      <c r="AF99" s="542">
        <v>0</v>
      </c>
      <c r="AG99" s="542">
        <v>460100</v>
      </c>
      <c r="AH99" s="542">
        <v>0</v>
      </c>
      <c r="AI99" s="542">
        <v>460100</v>
      </c>
      <c r="AJ99" s="542">
        <v>-4669.95</v>
      </c>
      <c r="AK99" s="542">
        <v>0</v>
      </c>
      <c r="AL99" s="542">
        <v>-4669.95</v>
      </c>
      <c r="AM99" s="542">
        <v>-1251358</v>
      </c>
      <c r="AN99" s="542">
        <v>0</v>
      </c>
      <c r="AO99" s="542">
        <v>-1251358</v>
      </c>
      <c r="AP99" s="542">
        <v>62374</v>
      </c>
      <c r="AQ99" s="542">
        <v>0</v>
      </c>
      <c r="AR99" s="542">
        <v>62374</v>
      </c>
      <c r="AS99" s="542">
        <v>-74238</v>
      </c>
      <c r="AT99" s="542">
        <v>0</v>
      </c>
      <c r="AU99" s="542">
        <v>-74238</v>
      </c>
      <c r="AV99" s="542">
        <v>0</v>
      </c>
      <c r="AW99" s="542">
        <v>0</v>
      </c>
      <c r="AX99" s="542">
        <v>0</v>
      </c>
      <c r="AY99" s="542">
        <v>-65074</v>
      </c>
      <c r="AZ99" s="542">
        <v>0</v>
      </c>
      <c r="BA99" s="542">
        <v>-65074</v>
      </c>
      <c r="BB99" s="542">
        <v>-13339</v>
      </c>
      <c r="BC99" s="542">
        <v>0</v>
      </c>
      <c r="BD99" s="542">
        <v>-13339</v>
      </c>
      <c r="BE99" s="542">
        <v>-3175998</v>
      </c>
      <c r="BF99" s="542">
        <v>0</v>
      </c>
      <c r="BG99" s="542">
        <v>-3175998</v>
      </c>
      <c r="BH99" s="542">
        <v>0</v>
      </c>
      <c r="BI99" s="542">
        <v>0</v>
      </c>
      <c r="BJ99" s="542">
        <v>0</v>
      </c>
      <c r="BK99" s="542">
        <v>-31773</v>
      </c>
      <c r="BL99" s="542">
        <v>0</v>
      </c>
      <c r="BM99" s="542">
        <v>-31773</v>
      </c>
      <c r="BN99" s="542">
        <v>-463763</v>
      </c>
      <c r="BO99" s="542">
        <v>0</v>
      </c>
      <c r="BP99" s="542">
        <v>-463763</v>
      </c>
      <c r="BQ99" s="542">
        <v>-88912</v>
      </c>
      <c r="BR99" s="542">
        <v>0</v>
      </c>
      <c r="BS99" s="542">
        <v>-88912</v>
      </c>
      <c r="BT99" s="542">
        <v>-584448</v>
      </c>
      <c r="BU99" s="542">
        <v>0</v>
      </c>
      <c r="BV99" s="542">
        <v>-584448</v>
      </c>
      <c r="BW99" s="542">
        <v>-48528</v>
      </c>
      <c r="BX99" s="542">
        <v>0</v>
      </c>
      <c r="BY99" s="542">
        <v>-48528</v>
      </c>
      <c r="BZ99" s="542">
        <v>1065</v>
      </c>
      <c r="CA99" s="542">
        <v>0</v>
      </c>
      <c r="CB99" s="542">
        <v>1065</v>
      </c>
      <c r="CC99" s="542">
        <v>-38014</v>
      </c>
      <c r="CD99" s="542">
        <v>0</v>
      </c>
      <c r="CE99" s="542">
        <v>-38014</v>
      </c>
      <c r="CF99" s="542">
        <v>0</v>
      </c>
      <c r="CG99" s="542">
        <v>0</v>
      </c>
      <c r="CH99" s="542">
        <v>0</v>
      </c>
      <c r="CI99" s="542">
        <v>-2064</v>
      </c>
      <c r="CJ99" s="542">
        <v>0</v>
      </c>
      <c r="CK99" s="542">
        <v>-2064</v>
      </c>
      <c r="CL99" s="542">
        <v>0</v>
      </c>
      <c r="CM99" s="542">
        <v>0</v>
      </c>
      <c r="CN99" s="542">
        <v>0</v>
      </c>
      <c r="CO99" s="542">
        <v>-37815</v>
      </c>
      <c r="CP99" s="542">
        <v>0</v>
      </c>
      <c r="CQ99" s="542">
        <v>-37815</v>
      </c>
      <c r="CR99" s="542">
        <v>1510</v>
      </c>
      <c r="CS99" s="542">
        <v>0</v>
      </c>
      <c r="CT99" s="542">
        <v>1510</v>
      </c>
      <c r="CU99" s="542">
        <v>-3455</v>
      </c>
      <c r="CV99" s="542">
        <v>0</v>
      </c>
      <c r="CW99" s="542">
        <v>-3455</v>
      </c>
      <c r="CX99" s="542">
        <v>0</v>
      </c>
      <c r="CY99" s="542">
        <v>0</v>
      </c>
      <c r="CZ99" s="542">
        <v>0</v>
      </c>
      <c r="DA99" s="542">
        <v>0</v>
      </c>
      <c r="DB99" s="542">
        <v>0</v>
      </c>
      <c r="DC99" s="542">
        <v>0</v>
      </c>
      <c r="DD99" s="542">
        <v>0</v>
      </c>
      <c r="DE99" s="542">
        <v>0</v>
      </c>
      <c r="DF99" s="542">
        <v>0</v>
      </c>
      <c r="DG99" s="542"/>
      <c r="DH99" s="542">
        <v>0</v>
      </c>
      <c r="DI99" s="542"/>
      <c r="DJ99" s="542">
        <v>0</v>
      </c>
      <c r="DK99" s="542"/>
      <c r="DL99" s="542"/>
      <c r="DM99" s="542">
        <v>-127301</v>
      </c>
      <c r="DN99" s="542">
        <v>0</v>
      </c>
      <c r="DO99" s="542">
        <v>-127301</v>
      </c>
      <c r="DP99" s="542">
        <v>0</v>
      </c>
      <c r="DQ99" s="542">
        <v>0</v>
      </c>
      <c r="DR99" s="542">
        <v>0</v>
      </c>
      <c r="DS99" s="542">
        <v>0</v>
      </c>
      <c r="DT99" s="542">
        <v>0</v>
      </c>
      <c r="DU99" s="542">
        <v>0</v>
      </c>
      <c r="DV99" s="542">
        <v>0</v>
      </c>
      <c r="DW99" s="542">
        <v>0</v>
      </c>
      <c r="DX99" s="542">
        <v>0</v>
      </c>
      <c r="DY99" s="542">
        <v>-235880</v>
      </c>
      <c r="DZ99" s="542">
        <v>0</v>
      </c>
      <c r="EA99" s="542">
        <v>-235880</v>
      </c>
      <c r="EB99" s="542">
        <v>0</v>
      </c>
      <c r="EC99" s="542">
        <v>0</v>
      </c>
      <c r="ED99" s="542">
        <v>0</v>
      </c>
      <c r="EE99" s="542">
        <v>0</v>
      </c>
      <c r="EF99" s="542">
        <v>0</v>
      </c>
      <c r="EG99" s="542">
        <v>0</v>
      </c>
      <c r="EH99" s="542">
        <v>-235880</v>
      </c>
      <c r="EI99" s="542">
        <v>0</v>
      </c>
      <c r="EJ99" s="542">
        <v>-235880</v>
      </c>
      <c r="EK99" s="542">
        <v>0</v>
      </c>
      <c r="EL99" s="542">
        <v>0</v>
      </c>
      <c r="EM99" s="542">
        <v>0</v>
      </c>
      <c r="EN99" s="542">
        <v>-202</v>
      </c>
      <c r="EO99" s="542">
        <v>0</v>
      </c>
      <c r="EP99" s="542">
        <v>-202</v>
      </c>
      <c r="EQ99" s="542">
        <v>-202</v>
      </c>
      <c r="ER99" s="542">
        <v>0</v>
      </c>
      <c r="ES99" s="542">
        <v>-202</v>
      </c>
      <c r="ET99" s="542">
        <v>25173117</v>
      </c>
      <c r="EU99" s="542">
        <v>0</v>
      </c>
      <c r="EV99" s="542">
        <v>25173117</v>
      </c>
      <c r="EW99" s="542">
        <v>-35711</v>
      </c>
      <c r="EX99" s="542">
        <v>0</v>
      </c>
      <c r="EY99" s="542">
        <v>-35711</v>
      </c>
      <c r="EZ99" s="542">
        <v>-3175998</v>
      </c>
      <c r="FA99" s="542">
        <v>0</v>
      </c>
      <c r="FB99" s="542">
        <v>-3175998</v>
      </c>
      <c r="FC99" s="542">
        <v>-584448</v>
      </c>
      <c r="FD99" s="542">
        <v>0</v>
      </c>
      <c r="FE99" s="542">
        <v>-584448</v>
      </c>
      <c r="FF99" s="542">
        <v>-127301</v>
      </c>
      <c r="FG99" s="542">
        <v>0</v>
      </c>
      <c r="FH99" s="542">
        <v>-127301</v>
      </c>
      <c r="FI99" s="542">
        <v>-235880</v>
      </c>
      <c r="FJ99" s="542">
        <v>0</v>
      </c>
      <c r="FK99" s="542">
        <v>-235880</v>
      </c>
      <c r="FL99" s="542">
        <v>-202</v>
      </c>
      <c r="FM99" s="542">
        <v>0</v>
      </c>
      <c r="FN99" s="542">
        <v>-202</v>
      </c>
      <c r="FO99" s="542">
        <v>-4159540</v>
      </c>
      <c r="FP99" s="542">
        <v>0</v>
      </c>
      <c r="FQ99" s="542">
        <v>-4159540</v>
      </c>
      <c r="FR99" s="542">
        <v>21013577</v>
      </c>
      <c r="FS99" s="542">
        <v>0</v>
      </c>
      <c r="FT99" s="542">
        <v>21013577</v>
      </c>
    </row>
    <row r="100" spans="1:176" ht="12.75" x14ac:dyDescent="0.2">
      <c r="A100" s="93">
        <v>95</v>
      </c>
      <c r="B100" s="145" t="s">
        <v>68</v>
      </c>
      <c r="C100" s="604" t="s">
        <v>866</v>
      </c>
      <c r="D100" s="142" t="s">
        <v>867</v>
      </c>
      <c r="E100" s="149" t="s">
        <v>67</v>
      </c>
      <c r="F100" s="542">
        <v>-22193</v>
      </c>
      <c r="G100" s="542">
        <v>0</v>
      </c>
      <c r="H100" s="542">
        <v>-22193</v>
      </c>
      <c r="I100" s="542">
        <v>-181044</v>
      </c>
      <c r="J100" s="542">
        <v>0</v>
      </c>
      <c r="K100" s="542">
        <v>-181044</v>
      </c>
      <c r="L100" s="542">
        <v>6251</v>
      </c>
      <c r="M100" s="542">
        <v>0</v>
      </c>
      <c r="N100" s="542">
        <v>6251</v>
      </c>
      <c r="O100" s="542">
        <v>398329</v>
      </c>
      <c r="P100" s="542">
        <v>0</v>
      </c>
      <c r="Q100" s="542">
        <v>398329</v>
      </c>
      <c r="R100" s="542">
        <v>201343</v>
      </c>
      <c r="S100" s="542">
        <v>0</v>
      </c>
      <c r="T100" s="542">
        <v>201343</v>
      </c>
      <c r="U100" s="542">
        <v>-1829416</v>
      </c>
      <c r="V100" s="542">
        <v>0</v>
      </c>
      <c r="W100" s="542">
        <v>-1829416</v>
      </c>
      <c r="X100" s="542">
        <v>0</v>
      </c>
      <c r="Y100" s="542">
        <v>0</v>
      </c>
      <c r="Z100" s="542">
        <v>0</v>
      </c>
      <c r="AA100" s="542">
        <v>-154288</v>
      </c>
      <c r="AB100" s="542">
        <v>0</v>
      </c>
      <c r="AC100" s="542">
        <v>-154288</v>
      </c>
      <c r="AD100" s="542">
        <v>-51442</v>
      </c>
      <c r="AE100" s="542">
        <v>0</v>
      </c>
      <c r="AF100" s="542">
        <v>-51442</v>
      </c>
      <c r="AG100" s="542">
        <v>1303591</v>
      </c>
      <c r="AH100" s="542">
        <v>0</v>
      </c>
      <c r="AI100" s="542">
        <v>1303591</v>
      </c>
      <c r="AJ100" s="542">
        <v>-11804</v>
      </c>
      <c r="AK100" s="542">
        <v>0</v>
      </c>
      <c r="AL100" s="542">
        <v>-11804</v>
      </c>
      <c r="AM100" s="542">
        <v>-3356835</v>
      </c>
      <c r="AN100" s="542">
        <v>0</v>
      </c>
      <c r="AO100" s="542">
        <v>-3356835</v>
      </c>
      <c r="AP100" s="542">
        <v>-77818</v>
      </c>
      <c r="AQ100" s="542">
        <v>0</v>
      </c>
      <c r="AR100" s="542">
        <v>-77818</v>
      </c>
      <c r="AS100" s="542">
        <v>-51748</v>
      </c>
      <c r="AT100" s="542">
        <v>0</v>
      </c>
      <c r="AU100" s="542">
        <v>-51748</v>
      </c>
      <c r="AV100" s="542">
        <v>4695</v>
      </c>
      <c r="AW100" s="542">
        <v>0</v>
      </c>
      <c r="AX100" s="542">
        <v>4695</v>
      </c>
      <c r="AY100" s="542">
        <v>0</v>
      </c>
      <c r="AZ100" s="542">
        <v>0</v>
      </c>
      <c r="BA100" s="542">
        <v>0</v>
      </c>
      <c r="BB100" s="542">
        <v>0</v>
      </c>
      <c r="BC100" s="542">
        <v>0</v>
      </c>
      <c r="BD100" s="542">
        <v>0</v>
      </c>
      <c r="BE100" s="542">
        <v>-4173623</v>
      </c>
      <c r="BF100" s="542">
        <v>0</v>
      </c>
      <c r="BG100" s="542">
        <v>-4173623</v>
      </c>
      <c r="BH100" s="542">
        <v>-87711</v>
      </c>
      <c r="BI100" s="542">
        <v>0</v>
      </c>
      <c r="BJ100" s="542">
        <v>-87711</v>
      </c>
      <c r="BK100" s="542">
        <v>-4304</v>
      </c>
      <c r="BL100" s="542">
        <v>0</v>
      </c>
      <c r="BM100" s="542">
        <v>-4304</v>
      </c>
      <c r="BN100" s="542">
        <v>-3305850</v>
      </c>
      <c r="BO100" s="542">
        <v>0</v>
      </c>
      <c r="BP100" s="542">
        <v>-3305850</v>
      </c>
      <c r="BQ100" s="542">
        <v>-110663</v>
      </c>
      <c r="BR100" s="542">
        <v>0</v>
      </c>
      <c r="BS100" s="542">
        <v>-110663</v>
      </c>
      <c r="BT100" s="542">
        <v>-3508528</v>
      </c>
      <c r="BU100" s="542">
        <v>0</v>
      </c>
      <c r="BV100" s="542">
        <v>-3508528</v>
      </c>
      <c r="BW100" s="542">
        <v>-103884</v>
      </c>
      <c r="BX100" s="542">
        <v>0</v>
      </c>
      <c r="BY100" s="542">
        <v>-103884</v>
      </c>
      <c r="BZ100" s="542">
        <v>-14724</v>
      </c>
      <c r="CA100" s="542">
        <v>0</v>
      </c>
      <c r="CB100" s="542">
        <v>-14724</v>
      </c>
      <c r="CC100" s="542">
        <v>-316939</v>
      </c>
      <c r="CD100" s="542">
        <v>0</v>
      </c>
      <c r="CE100" s="542">
        <v>-316939</v>
      </c>
      <c r="CF100" s="542">
        <v>1796</v>
      </c>
      <c r="CG100" s="542">
        <v>0</v>
      </c>
      <c r="CH100" s="542">
        <v>1796</v>
      </c>
      <c r="CI100" s="542">
        <v>0</v>
      </c>
      <c r="CJ100" s="542">
        <v>0</v>
      </c>
      <c r="CK100" s="542">
        <v>0</v>
      </c>
      <c r="CL100" s="542">
        <v>0</v>
      </c>
      <c r="CM100" s="542">
        <v>0</v>
      </c>
      <c r="CN100" s="542">
        <v>0</v>
      </c>
      <c r="CO100" s="542">
        <v>0</v>
      </c>
      <c r="CP100" s="542">
        <v>0</v>
      </c>
      <c r="CQ100" s="542">
        <v>0</v>
      </c>
      <c r="CR100" s="542">
        <v>0</v>
      </c>
      <c r="CS100" s="542">
        <v>0</v>
      </c>
      <c r="CT100" s="542">
        <v>0</v>
      </c>
      <c r="CU100" s="542">
        <v>0</v>
      </c>
      <c r="CV100" s="542">
        <v>0</v>
      </c>
      <c r="CW100" s="542">
        <v>0</v>
      </c>
      <c r="CX100" s="542">
        <v>0</v>
      </c>
      <c r="CY100" s="542">
        <v>0</v>
      </c>
      <c r="CZ100" s="542">
        <v>0</v>
      </c>
      <c r="DA100" s="542">
        <v>0</v>
      </c>
      <c r="DB100" s="542">
        <v>0</v>
      </c>
      <c r="DC100" s="542">
        <v>0</v>
      </c>
      <c r="DD100" s="542">
        <v>0</v>
      </c>
      <c r="DE100" s="542">
        <v>0</v>
      </c>
      <c r="DF100" s="542">
        <v>0</v>
      </c>
      <c r="DG100" s="542"/>
      <c r="DH100" s="542">
        <v>0</v>
      </c>
      <c r="DI100" s="542"/>
      <c r="DJ100" s="542">
        <v>0</v>
      </c>
      <c r="DK100" s="542"/>
      <c r="DL100" s="542"/>
      <c r="DM100" s="542">
        <v>-433751</v>
      </c>
      <c r="DN100" s="542">
        <v>0</v>
      </c>
      <c r="DO100" s="542">
        <v>-433751</v>
      </c>
      <c r="DP100" s="542">
        <v>-93508</v>
      </c>
      <c r="DQ100" s="542">
        <v>0</v>
      </c>
      <c r="DR100" s="542">
        <v>-93508</v>
      </c>
      <c r="DS100" s="542">
        <v>-8512</v>
      </c>
      <c r="DT100" s="542">
        <v>0</v>
      </c>
      <c r="DU100" s="542">
        <v>-8512</v>
      </c>
      <c r="DV100" s="542">
        <v>-2576</v>
      </c>
      <c r="DW100" s="542">
        <v>0</v>
      </c>
      <c r="DX100" s="542">
        <v>-2576</v>
      </c>
      <c r="DY100" s="542">
        <v>-676101</v>
      </c>
      <c r="DZ100" s="542">
        <v>0</v>
      </c>
      <c r="EA100" s="542">
        <v>-676101</v>
      </c>
      <c r="EB100" s="542">
        <v>-41</v>
      </c>
      <c r="EC100" s="542">
        <v>0</v>
      </c>
      <c r="ED100" s="542">
        <v>-41</v>
      </c>
      <c r="EE100" s="542">
        <v>-23440</v>
      </c>
      <c r="EF100" s="542">
        <v>0</v>
      </c>
      <c r="EG100" s="542">
        <v>-23440</v>
      </c>
      <c r="EH100" s="542">
        <v>-804178</v>
      </c>
      <c r="EI100" s="542">
        <v>0</v>
      </c>
      <c r="EJ100" s="542">
        <v>-804178</v>
      </c>
      <c r="EK100" s="542">
        <v>0</v>
      </c>
      <c r="EL100" s="542">
        <v>0</v>
      </c>
      <c r="EM100" s="542">
        <v>0</v>
      </c>
      <c r="EN100" s="542">
        <v>0</v>
      </c>
      <c r="EO100" s="542">
        <v>0</v>
      </c>
      <c r="EP100" s="542">
        <v>0</v>
      </c>
      <c r="EQ100" s="542">
        <v>0</v>
      </c>
      <c r="ER100" s="542">
        <v>0</v>
      </c>
      <c r="ES100" s="542">
        <v>0</v>
      </c>
      <c r="ET100" s="542">
        <v>62243611</v>
      </c>
      <c r="EU100" s="542">
        <v>0</v>
      </c>
      <c r="EV100" s="542">
        <v>62243611</v>
      </c>
      <c r="EW100" s="542">
        <v>201343</v>
      </c>
      <c r="EX100" s="542">
        <v>0</v>
      </c>
      <c r="EY100" s="542">
        <v>201343</v>
      </c>
      <c r="EZ100" s="542">
        <v>-4173623</v>
      </c>
      <c r="FA100" s="542">
        <v>0</v>
      </c>
      <c r="FB100" s="542">
        <v>-4173623</v>
      </c>
      <c r="FC100" s="542">
        <v>-3508528</v>
      </c>
      <c r="FD100" s="542">
        <v>0</v>
      </c>
      <c r="FE100" s="542">
        <v>-3508528</v>
      </c>
      <c r="FF100" s="542">
        <v>-433751</v>
      </c>
      <c r="FG100" s="542">
        <v>0</v>
      </c>
      <c r="FH100" s="542">
        <v>-433751</v>
      </c>
      <c r="FI100" s="542">
        <v>-804178</v>
      </c>
      <c r="FJ100" s="542">
        <v>0</v>
      </c>
      <c r="FK100" s="542">
        <v>-804178</v>
      </c>
      <c r="FL100" s="542">
        <v>0</v>
      </c>
      <c r="FM100" s="542">
        <v>0</v>
      </c>
      <c r="FN100" s="542">
        <v>0</v>
      </c>
      <c r="FO100" s="542">
        <v>-8718737</v>
      </c>
      <c r="FP100" s="542">
        <v>0</v>
      </c>
      <c r="FQ100" s="542">
        <v>-8718737</v>
      </c>
      <c r="FR100" s="542">
        <v>53524874</v>
      </c>
      <c r="FS100" s="542">
        <v>0</v>
      </c>
      <c r="FT100" s="542">
        <v>53524874</v>
      </c>
    </row>
    <row r="101" spans="1:176" ht="12.75" x14ac:dyDescent="0.2">
      <c r="A101" s="93">
        <v>96</v>
      </c>
      <c r="B101" s="145" t="s">
        <v>70</v>
      </c>
      <c r="C101" s="604" t="s">
        <v>871</v>
      </c>
      <c r="D101" s="142" t="s">
        <v>872</v>
      </c>
      <c r="E101" s="149" t="s">
        <v>69</v>
      </c>
      <c r="F101" s="542">
        <v>-679720</v>
      </c>
      <c r="G101" s="542">
        <v>0</v>
      </c>
      <c r="H101" s="542">
        <v>-679720</v>
      </c>
      <c r="I101" s="542">
        <v>600427</v>
      </c>
      <c r="J101" s="542">
        <v>0</v>
      </c>
      <c r="K101" s="542">
        <v>600427</v>
      </c>
      <c r="L101" s="542">
        <v>46138</v>
      </c>
      <c r="M101" s="542">
        <v>0</v>
      </c>
      <c r="N101" s="542">
        <v>46138</v>
      </c>
      <c r="O101" s="542">
        <v>802881</v>
      </c>
      <c r="P101" s="542">
        <v>0</v>
      </c>
      <c r="Q101" s="542">
        <v>802881</v>
      </c>
      <c r="R101" s="542">
        <v>769726</v>
      </c>
      <c r="S101" s="542">
        <v>0</v>
      </c>
      <c r="T101" s="542">
        <v>769726</v>
      </c>
      <c r="U101" s="542">
        <v>-3851914</v>
      </c>
      <c r="V101" s="542">
        <v>0</v>
      </c>
      <c r="W101" s="542">
        <v>-3851914</v>
      </c>
      <c r="X101" s="542">
        <v>-3967</v>
      </c>
      <c r="Y101" s="542">
        <v>0</v>
      </c>
      <c r="Z101" s="542">
        <v>-3967</v>
      </c>
      <c r="AA101" s="542">
        <v>-140767</v>
      </c>
      <c r="AB101" s="542">
        <v>0</v>
      </c>
      <c r="AC101" s="542">
        <v>-140767</v>
      </c>
      <c r="AD101" s="542">
        <v>0</v>
      </c>
      <c r="AE101" s="542">
        <v>0</v>
      </c>
      <c r="AF101" s="542">
        <v>0</v>
      </c>
      <c r="AG101" s="542">
        <v>2334884</v>
      </c>
      <c r="AH101" s="542">
        <v>0</v>
      </c>
      <c r="AI101" s="542">
        <v>2334884</v>
      </c>
      <c r="AJ101" s="542">
        <v>86853</v>
      </c>
      <c r="AK101" s="542">
        <v>0</v>
      </c>
      <c r="AL101" s="542">
        <v>86853</v>
      </c>
      <c r="AM101" s="542">
        <v>-4963437</v>
      </c>
      <c r="AN101" s="542">
        <v>0</v>
      </c>
      <c r="AO101" s="542">
        <v>-4963437</v>
      </c>
      <c r="AP101" s="542">
        <v>-281996</v>
      </c>
      <c r="AQ101" s="542">
        <v>0</v>
      </c>
      <c r="AR101" s="542">
        <v>-281996</v>
      </c>
      <c r="AS101" s="542">
        <v>-118283</v>
      </c>
      <c r="AT101" s="542">
        <v>0</v>
      </c>
      <c r="AU101" s="542">
        <v>-118283</v>
      </c>
      <c r="AV101" s="542">
        <v>27658</v>
      </c>
      <c r="AW101" s="542">
        <v>0</v>
      </c>
      <c r="AX101" s="542">
        <v>27658</v>
      </c>
      <c r="AY101" s="542">
        <v>0</v>
      </c>
      <c r="AZ101" s="542">
        <v>0</v>
      </c>
      <c r="BA101" s="542">
        <v>0</v>
      </c>
      <c r="BB101" s="542">
        <v>0</v>
      </c>
      <c r="BC101" s="542">
        <v>0</v>
      </c>
      <c r="BD101" s="542">
        <v>0</v>
      </c>
      <c r="BE101" s="542">
        <v>-6907002</v>
      </c>
      <c r="BF101" s="542">
        <v>0</v>
      </c>
      <c r="BG101" s="542">
        <v>-6907002</v>
      </c>
      <c r="BH101" s="542">
        <v>0</v>
      </c>
      <c r="BI101" s="542">
        <v>0</v>
      </c>
      <c r="BJ101" s="542">
        <v>0</v>
      </c>
      <c r="BK101" s="542">
        <v>-79486</v>
      </c>
      <c r="BL101" s="542">
        <v>0</v>
      </c>
      <c r="BM101" s="542">
        <v>-79486</v>
      </c>
      <c r="BN101" s="542">
        <v>-3719501</v>
      </c>
      <c r="BO101" s="542">
        <v>0</v>
      </c>
      <c r="BP101" s="542">
        <v>-3719501</v>
      </c>
      <c r="BQ101" s="542">
        <v>318585</v>
      </c>
      <c r="BR101" s="542">
        <v>0</v>
      </c>
      <c r="BS101" s="542">
        <v>318585</v>
      </c>
      <c r="BT101" s="542">
        <v>-3480402</v>
      </c>
      <c r="BU101" s="542">
        <v>0</v>
      </c>
      <c r="BV101" s="542">
        <v>-3480402</v>
      </c>
      <c r="BW101" s="542">
        <v>-288664</v>
      </c>
      <c r="BX101" s="542">
        <v>0</v>
      </c>
      <c r="BY101" s="542">
        <v>-288664</v>
      </c>
      <c r="BZ101" s="542">
        <v>-4614</v>
      </c>
      <c r="CA101" s="542">
        <v>0</v>
      </c>
      <c r="CB101" s="542">
        <v>-4614</v>
      </c>
      <c r="CC101" s="542">
        <v>-192580</v>
      </c>
      <c r="CD101" s="542">
        <v>0</v>
      </c>
      <c r="CE101" s="542">
        <v>-192580</v>
      </c>
      <c r="CF101" s="542">
        <v>899</v>
      </c>
      <c r="CG101" s="542">
        <v>0</v>
      </c>
      <c r="CH101" s="542">
        <v>899</v>
      </c>
      <c r="CI101" s="542">
        <v>0</v>
      </c>
      <c r="CJ101" s="542">
        <v>0</v>
      </c>
      <c r="CK101" s="542">
        <v>0</v>
      </c>
      <c r="CL101" s="542">
        <v>0</v>
      </c>
      <c r="CM101" s="542">
        <v>0</v>
      </c>
      <c r="CN101" s="542">
        <v>0</v>
      </c>
      <c r="CO101" s="542">
        <v>0</v>
      </c>
      <c r="CP101" s="542">
        <v>0</v>
      </c>
      <c r="CQ101" s="542">
        <v>0</v>
      </c>
      <c r="CR101" s="542">
        <v>0</v>
      </c>
      <c r="CS101" s="542">
        <v>0</v>
      </c>
      <c r="CT101" s="542">
        <v>0</v>
      </c>
      <c r="CU101" s="542">
        <v>0</v>
      </c>
      <c r="CV101" s="542">
        <v>0</v>
      </c>
      <c r="CW101" s="542">
        <v>0</v>
      </c>
      <c r="CX101" s="542">
        <v>0</v>
      </c>
      <c r="CY101" s="542">
        <v>0</v>
      </c>
      <c r="CZ101" s="542">
        <v>0</v>
      </c>
      <c r="DA101" s="542">
        <v>0</v>
      </c>
      <c r="DB101" s="542">
        <v>0</v>
      </c>
      <c r="DC101" s="542">
        <v>0</v>
      </c>
      <c r="DD101" s="542">
        <v>0</v>
      </c>
      <c r="DE101" s="542">
        <v>0</v>
      </c>
      <c r="DF101" s="542">
        <v>0</v>
      </c>
      <c r="DG101" s="542"/>
      <c r="DH101" s="542">
        <v>0</v>
      </c>
      <c r="DI101" s="542"/>
      <c r="DJ101" s="542">
        <v>0</v>
      </c>
      <c r="DK101" s="542"/>
      <c r="DL101" s="542"/>
      <c r="DM101" s="542">
        <v>-484959</v>
      </c>
      <c r="DN101" s="542">
        <v>0</v>
      </c>
      <c r="DO101" s="542">
        <v>-484959</v>
      </c>
      <c r="DP101" s="542">
        <v>0</v>
      </c>
      <c r="DQ101" s="542">
        <v>0</v>
      </c>
      <c r="DR101" s="542">
        <v>0</v>
      </c>
      <c r="DS101" s="542">
        <v>0</v>
      </c>
      <c r="DT101" s="542">
        <v>0</v>
      </c>
      <c r="DU101" s="542">
        <v>0</v>
      </c>
      <c r="DV101" s="542">
        <v>-13494</v>
      </c>
      <c r="DW101" s="542">
        <v>0</v>
      </c>
      <c r="DX101" s="542">
        <v>-13494</v>
      </c>
      <c r="DY101" s="542">
        <v>-1153416</v>
      </c>
      <c r="DZ101" s="542">
        <v>0</v>
      </c>
      <c r="EA101" s="542">
        <v>-1153416</v>
      </c>
      <c r="EB101" s="542">
        <v>0</v>
      </c>
      <c r="EC101" s="542">
        <v>0</v>
      </c>
      <c r="ED101" s="542">
        <v>0</v>
      </c>
      <c r="EE101" s="542">
        <v>0</v>
      </c>
      <c r="EF101" s="542">
        <v>0</v>
      </c>
      <c r="EG101" s="542">
        <v>0</v>
      </c>
      <c r="EH101" s="542">
        <v>-1166910</v>
      </c>
      <c r="EI101" s="542">
        <v>0</v>
      </c>
      <c r="EJ101" s="542">
        <v>-1166910</v>
      </c>
      <c r="EK101" s="542">
        <v>0</v>
      </c>
      <c r="EL101" s="542">
        <v>0</v>
      </c>
      <c r="EM101" s="542">
        <v>0</v>
      </c>
      <c r="EN101" s="542">
        <v>0</v>
      </c>
      <c r="EO101" s="542">
        <v>0</v>
      </c>
      <c r="EP101" s="542">
        <v>0</v>
      </c>
      <c r="EQ101" s="542">
        <v>0</v>
      </c>
      <c r="ER101" s="542">
        <v>0</v>
      </c>
      <c r="ES101" s="542">
        <v>0</v>
      </c>
      <c r="ET101" s="542">
        <v>116177784</v>
      </c>
      <c r="EU101" s="542">
        <v>0</v>
      </c>
      <c r="EV101" s="542">
        <v>116177784</v>
      </c>
      <c r="EW101" s="542">
        <v>769726</v>
      </c>
      <c r="EX101" s="542">
        <v>0</v>
      </c>
      <c r="EY101" s="542">
        <v>769726</v>
      </c>
      <c r="EZ101" s="542">
        <v>-6907002</v>
      </c>
      <c r="FA101" s="542">
        <v>0</v>
      </c>
      <c r="FB101" s="542">
        <v>-6907002</v>
      </c>
      <c r="FC101" s="542">
        <v>-3480402</v>
      </c>
      <c r="FD101" s="542">
        <v>0</v>
      </c>
      <c r="FE101" s="542">
        <v>-3480402</v>
      </c>
      <c r="FF101" s="542">
        <v>-484959</v>
      </c>
      <c r="FG101" s="542">
        <v>0</v>
      </c>
      <c r="FH101" s="542">
        <v>-484959</v>
      </c>
      <c r="FI101" s="542">
        <v>-1166910</v>
      </c>
      <c r="FJ101" s="542">
        <v>0</v>
      </c>
      <c r="FK101" s="542">
        <v>-1166910</v>
      </c>
      <c r="FL101" s="542">
        <v>0</v>
      </c>
      <c r="FM101" s="542">
        <v>0</v>
      </c>
      <c r="FN101" s="542">
        <v>0</v>
      </c>
      <c r="FO101" s="542">
        <v>-11269547</v>
      </c>
      <c r="FP101" s="542">
        <v>0</v>
      </c>
      <c r="FQ101" s="542">
        <v>-11269547</v>
      </c>
      <c r="FR101" s="542">
        <v>104908237</v>
      </c>
      <c r="FS101" s="542">
        <v>0</v>
      </c>
      <c r="FT101" s="542">
        <v>104908237</v>
      </c>
    </row>
    <row r="102" spans="1:176" ht="12.75" x14ac:dyDescent="0.2">
      <c r="A102" s="93">
        <v>97</v>
      </c>
      <c r="B102" s="145" t="s">
        <v>72</v>
      </c>
      <c r="C102" s="604" t="s">
        <v>866</v>
      </c>
      <c r="D102" s="142" t="s">
        <v>870</v>
      </c>
      <c r="E102" s="149" t="s">
        <v>71</v>
      </c>
      <c r="F102" s="542">
        <v>-141950</v>
      </c>
      <c r="G102" s="542">
        <v>0</v>
      </c>
      <c r="H102" s="542">
        <v>-141950</v>
      </c>
      <c r="I102" s="542">
        <v>137698</v>
      </c>
      <c r="J102" s="542">
        <v>0</v>
      </c>
      <c r="K102" s="542">
        <v>137698</v>
      </c>
      <c r="L102" s="542">
        <v>10529</v>
      </c>
      <c r="M102" s="542">
        <v>0</v>
      </c>
      <c r="N102" s="542">
        <v>10529</v>
      </c>
      <c r="O102" s="542">
        <v>1512</v>
      </c>
      <c r="P102" s="542">
        <v>0</v>
      </c>
      <c r="Q102" s="542">
        <v>1512</v>
      </c>
      <c r="R102" s="542">
        <v>7789</v>
      </c>
      <c r="S102" s="542">
        <v>0</v>
      </c>
      <c r="T102" s="542">
        <v>7789</v>
      </c>
      <c r="U102" s="542">
        <v>-2428418</v>
      </c>
      <c r="V102" s="542">
        <v>0</v>
      </c>
      <c r="W102" s="542">
        <v>-2428418</v>
      </c>
      <c r="X102" s="542">
        <v>-2694</v>
      </c>
      <c r="Y102" s="542">
        <v>0</v>
      </c>
      <c r="Z102" s="542">
        <v>-2694</v>
      </c>
      <c r="AA102" s="542">
        <v>-183210</v>
      </c>
      <c r="AB102" s="542">
        <v>0</v>
      </c>
      <c r="AC102" s="542">
        <v>-183210</v>
      </c>
      <c r="AD102" s="542">
        <v>-72769</v>
      </c>
      <c r="AE102" s="542">
        <v>0</v>
      </c>
      <c r="AF102" s="542">
        <v>-72769</v>
      </c>
      <c r="AG102" s="542">
        <v>743110</v>
      </c>
      <c r="AH102" s="542">
        <v>0</v>
      </c>
      <c r="AI102" s="542">
        <v>743110</v>
      </c>
      <c r="AJ102" s="542">
        <v>-15742</v>
      </c>
      <c r="AK102" s="542">
        <v>0</v>
      </c>
      <c r="AL102" s="542">
        <v>-15742</v>
      </c>
      <c r="AM102" s="542">
        <v>-2211686</v>
      </c>
      <c r="AN102" s="542">
        <v>0</v>
      </c>
      <c r="AO102" s="542">
        <v>-2211686</v>
      </c>
      <c r="AP102" s="542">
        <v>-11036</v>
      </c>
      <c r="AQ102" s="542">
        <v>0</v>
      </c>
      <c r="AR102" s="542">
        <v>-11036</v>
      </c>
      <c r="AS102" s="542">
        <v>-25874</v>
      </c>
      <c r="AT102" s="542">
        <v>0</v>
      </c>
      <c r="AU102" s="542">
        <v>-25874</v>
      </c>
      <c r="AV102" s="542">
        <v>0</v>
      </c>
      <c r="AW102" s="542">
        <v>0</v>
      </c>
      <c r="AX102" s="542">
        <v>0</v>
      </c>
      <c r="AY102" s="542">
        <v>-9013</v>
      </c>
      <c r="AZ102" s="542">
        <v>0</v>
      </c>
      <c r="BA102" s="542">
        <v>-9013</v>
      </c>
      <c r="BB102" s="542">
        <v>0</v>
      </c>
      <c r="BC102" s="542">
        <v>0</v>
      </c>
      <c r="BD102" s="542">
        <v>0</v>
      </c>
      <c r="BE102" s="542">
        <v>-4141869</v>
      </c>
      <c r="BF102" s="542">
        <v>0</v>
      </c>
      <c r="BG102" s="542">
        <v>-4141869</v>
      </c>
      <c r="BH102" s="542">
        <v>0</v>
      </c>
      <c r="BI102" s="542">
        <v>0</v>
      </c>
      <c r="BJ102" s="542">
        <v>0</v>
      </c>
      <c r="BK102" s="542">
        <v>0</v>
      </c>
      <c r="BL102" s="542">
        <v>0</v>
      </c>
      <c r="BM102" s="542">
        <v>0</v>
      </c>
      <c r="BN102" s="542">
        <v>-1054349</v>
      </c>
      <c r="BO102" s="542">
        <v>0</v>
      </c>
      <c r="BP102" s="542">
        <v>-1054349</v>
      </c>
      <c r="BQ102" s="542">
        <v>23620</v>
      </c>
      <c r="BR102" s="542">
        <v>0</v>
      </c>
      <c r="BS102" s="542">
        <v>23620</v>
      </c>
      <c r="BT102" s="542">
        <v>-1030729</v>
      </c>
      <c r="BU102" s="542">
        <v>0</v>
      </c>
      <c r="BV102" s="542">
        <v>-1030729</v>
      </c>
      <c r="BW102" s="542">
        <v>-13941</v>
      </c>
      <c r="BX102" s="542">
        <v>0</v>
      </c>
      <c r="BY102" s="542">
        <v>-13941</v>
      </c>
      <c r="BZ102" s="542">
        <v>0</v>
      </c>
      <c r="CA102" s="542">
        <v>0</v>
      </c>
      <c r="CB102" s="542">
        <v>0</v>
      </c>
      <c r="CC102" s="542">
        <v>-59234</v>
      </c>
      <c r="CD102" s="542">
        <v>0</v>
      </c>
      <c r="CE102" s="542">
        <v>-59234</v>
      </c>
      <c r="CF102" s="542">
        <v>-1050</v>
      </c>
      <c r="CG102" s="542">
        <v>0</v>
      </c>
      <c r="CH102" s="542">
        <v>-1050</v>
      </c>
      <c r="CI102" s="542">
        <v>0</v>
      </c>
      <c r="CJ102" s="542">
        <v>0</v>
      </c>
      <c r="CK102" s="542">
        <v>0</v>
      </c>
      <c r="CL102" s="542">
        <v>0</v>
      </c>
      <c r="CM102" s="542">
        <v>0</v>
      </c>
      <c r="CN102" s="542">
        <v>0</v>
      </c>
      <c r="CO102" s="542">
        <v>-5408</v>
      </c>
      <c r="CP102" s="542">
        <v>0</v>
      </c>
      <c r="CQ102" s="542">
        <v>-5408</v>
      </c>
      <c r="CR102" s="542">
        <v>0</v>
      </c>
      <c r="CS102" s="542">
        <v>0</v>
      </c>
      <c r="CT102" s="542">
        <v>0</v>
      </c>
      <c r="CU102" s="542">
        <v>-11298</v>
      </c>
      <c r="CV102" s="542">
        <v>0</v>
      </c>
      <c r="CW102" s="542">
        <v>-11298</v>
      </c>
      <c r="CX102" s="542">
        <v>0</v>
      </c>
      <c r="CY102" s="542">
        <v>0</v>
      </c>
      <c r="CZ102" s="542">
        <v>0</v>
      </c>
      <c r="DA102" s="542">
        <v>0</v>
      </c>
      <c r="DB102" s="542">
        <v>0</v>
      </c>
      <c r="DC102" s="542">
        <v>0</v>
      </c>
      <c r="DD102" s="542">
        <v>0</v>
      </c>
      <c r="DE102" s="542">
        <v>0</v>
      </c>
      <c r="DF102" s="542">
        <v>0</v>
      </c>
      <c r="DG102" s="542"/>
      <c r="DH102" s="542">
        <v>0</v>
      </c>
      <c r="DI102" s="542"/>
      <c r="DJ102" s="542">
        <v>0</v>
      </c>
      <c r="DK102" s="542"/>
      <c r="DL102" s="542"/>
      <c r="DM102" s="542">
        <v>-90931</v>
      </c>
      <c r="DN102" s="542">
        <v>0</v>
      </c>
      <c r="DO102" s="542">
        <v>-90931</v>
      </c>
      <c r="DP102" s="542">
        <v>-40176</v>
      </c>
      <c r="DQ102" s="542">
        <v>0</v>
      </c>
      <c r="DR102" s="542">
        <v>-40176</v>
      </c>
      <c r="DS102" s="542">
        <v>0</v>
      </c>
      <c r="DT102" s="542">
        <v>0</v>
      </c>
      <c r="DU102" s="542">
        <v>0</v>
      </c>
      <c r="DV102" s="542">
        <v>-14420</v>
      </c>
      <c r="DW102" s="542">
        <v>0</v>
      </c>
      <c r="DX102" s="542">
        <v>-14420</v>
      </c>
      <c r="DY102" s="542">
        <v>-476623</v>
      </c>
      <c r="DZ102" s="542">
        <v>0</v>
      </c>
      <c r="EA102" s="542">
        <v>-476623</v>
      </c>
      <c r="EB102" s="542">
        <v>-3955</v>
      </c>
      <c r="EC102" s="542">
        <v>0</v>
      </c>
      <c r="ED102" s="542">
        <v>-3955</v>
      </c>
      <c r="EE102" s="542">
        <v>-8144</v>
      </c>
      <c r="EF102" s="542">
        <v>0</v>
      </c>
      <c r="EG102" s="542">
        <v>-8144</v>
      </c>
      <c r="EH102" s="542">
        <v>-543318</v>
      </c>
      <c r="EI102" s="542">
        <v>0</v>
      </c>
      <c r="EJ102" s="542">
        <v>-543318</v>
      </c>
      <c r="EK102" s="542">
        <v>0</v>
      </c>
      <c r="EL102" s="542">
        <v>0</v>
      </c>
      <c r="EM102" s="542">
        <v>0</v>
      </c>
      <c r="EN102" s="542">
        <v>0</v>
      </c>
      <c r="EO102" s="542">
        <v>0</v>
      </c>
      <c r="EP102" s="542">
        <v>0</v>
      </c>
      <c r="EQ102" s="542">
        <v>0</v>
      </c>
      <c r="ER102" s="542">
        <v>0</v>
      </c>
      <c r="ES102" s="542">
        <v>0</v>
      </c>
      <c r="ET102" s="542">
        <v>40119766</v>
      </c>
      <c r="EU102" s="542">
        <v>0</v>
      </c>
      <c r="EV102" s="542">
        <v>40119766</v>
      </c>
      <c r="EW102" s="542">
        <v>7789</v>
      </c>
      <c r="EX102" s="542">
        <v>0</v>
      </c>
      <c r="EY102" s="542">
        <v>7789</v>
      </c>
      <c r="EZ102" s="542">
        <v>-4141869</v>
      </c>
      <c r="FA102" s="542">
        <v>0</v>
      </c>
      <c r="FB102" s="542">
        <v>-4141869</v>
      </c>
      <c r="FC102" s="542">
        <v>-1030729</v>
      </c>
      <c r="FD102" s="542">
        <v>0</v>
      </c>
      <c r="FE102" s="542">
        <v>-1030729</v>
      </c>
      <c r="FF102" s="542">
        <v>-90931</v>
      </c>
      <c r="FG102" s="542">
        <v>0</v>
      </c>
      <c r="FH102" s="542">
        <v>-90931</v>
      </c>
      <c r="FI102" s="542">
        <v>-543318</v>
      </c>
      <c r="FJ102" s="542">
        <v>0</v>
      </c>
      <c r="FK102" s="542">
        <v>-543318</v>
      </c>
      <c r="FL102" s="542">
        <v>0</v>
      </c>
      <c r="FM102" s="542">
        <v>0</v>
      </c>
      <c r="FN102" s="542">
        <v>0</v>
      </c>
      <c r="FO102" s="542">
        <v>-5799058</v>
      </c>
      <c r="FP102" s="542">
        <v>0</v>
      </c>
      <c r="FQ102" s="542">
        <v>-5799058</v>
      </c>
      <c r="FR102" s="542">
        <v>34320708</v>
      </c>
      <c r="FS102" s="542">
        <v>0</v>
      </c>
      <c r="FT102" s="542">
        <v>34320708</v>
      </c>
    </row>
    <row r="103" spans="1:176" ht="12.75" x14ac:dyDescent="0.2">
      <c r="A103" s="93">
        <v>98</v>
      </c>
      <c r="B103" s="145" t="s">
        <v>74</v>
      </c>
      <c r="C103" s="604" t="s">
        <v>866</v>
      </c>
      <c r="D103" s="142" t="s">
        <v>867</v>
      </c>
      <c r="E103" s="149" t="s">
        <v>880</v>
      </c>
      <c r="F103" s="542">
        <v>-18999</v>
      </c>
      <c r="G103" s="542">
        <v>0</v>
      </c>
      <c r="H103" s="542">
        <v>-18999</v>
      </c>
      <c r="I103" s="542">
        <v>31363</v>
      </c>
      <c r="J103" s="542">
        <v>0</v>
      </c>
      <c r="K103" s="542">
        <v>31363</v>
      </c>
      <c r="L103" s="542">
        <v>4202</v>
      </c>
      <c r="M103" s="542">
        <v>0</v>
      </c>
      <c r="N103" s="542">
        <v>4202</v>
      </c>
      <c r="O103" s="542">
        <v>99178</v>
      </c>
      <c r="P103" s="542">
        <v>0</v>
      </c>
      <c r="Q103" s="542">
        <v>99178</v>
      </c>
      <c r="R103" s="542">
        <v>115744</v>
      </c>
      <c r="S103" s="542">
        <v>0</v>
      </c>
      <c r="T103" s="542">
        <v>115744</v>
      </c>
      <c r="U103" s="542">
        <v>-1073407</v>
      </c>
      <c r="V103" s="542">
        <v>0</v>
      </c>
      <c r="W103" s="542">
        <v>-1073407</v>
      </c>
      <c r="X103" s="542">
        <v>0</v>
      </c>
      <c r="Y103" s="542">
        <v>0</v>
      </c>
      <c r="Z103" s="542">
        <v>0</v>
      </c>
      <c r="AA103" s="542">
        <v>-69368</v>
      </c>
      <c r="AB103" s="542">
        <v>0</v>
      </c>
      <c r="AC103" s="542">
        <v>-69368</v>
      </c>
      <c r="AD103" s="542">
        <v>-35721</v>
      </c>
      <c r="AE103" s="542">
        <v>0</v>
      </c>
      <c r="AF103" s="542">
        <v>-35721</v>
      </c>
      <c r="AG103" s="542">
        <v>574235</v>
      </c>
      <c r="AH103" s="542">
        <v>0</v>
      </c>
      <c r="AI103" s="542">
        <v>574235</v>
      </c>
      <c r="AJ103" s="542">
        <v>-14308</v>
      </c>
      <c r="AK103" s="542">
        <v>0</v>
      </c>
      <c r="AL103" s="542">
        <v>-14308</v>
      </c>
      <c r="AM103" s="542">
        <v>-2710482</v>
      </c>
      <c r="AN103" s="542">
        <v>0</v>
      </c>
      <c r="AO103" s="542">
        <v>-2710482</v>
      </c>
      <c r="AP103" s="542">
        <v>-6408</v>
      </c>
      <c r="AQ103" s="542">
        <v>0</v>
      </c>
      <c r="AR103" s="542">
        <v>-6408</v>
      </c>
      <c r="AS103" s="542">
        <v>-48778</v>
      </c>
      <c r="AT103" s="542">
        <v>0</v>
      </c>
      <c r="AU103" s="542">
        <v>-48778</v>
      </c>
      <c r="AV103" s="542">
        <v>11</v>
      </c>
      <c r="AW103" s="542">
        <v>0</v>
      </c>
      <c r="AX103" s="542">
        <v>11</v>
      </c>
      <c r="AY103" s="542">
        <v>0</v>
      </c>
      <c r="AZ103" s="542">
        <v>0</v>
      </c>
      <c r="BA103" s="542">
        <v>0</v>
      </c>
      <c r="BB103" s="542">
        <v>0</v>
      </c>
      <c r="BC103" s="542">
        <v>0</v>
      </c>
      <c r="BD103" s="542">
        <v>0</v>
      </c>
      <c r="BE103" s="542">
        <v>-3348505</v>
      </c>
      <c r="BF103" s="542">
        <v>0</v>
      </c>
      <c r="BG103" s="542">
        <v>-3348505</v>
      </c>
      <c r="BH103" s="542">
        <v>0</v>
      </c>
      <c r="BI103" s="542">
        <v>0</v>
      </c>
      <c r="BJ103" s="542">
        <v>0</v>
      </c>
      <c r="BK103" s="542">
        <v>-11201</v>
      </c>
      <c r="BL103" s="542">
        <v>0</v>
      </c>
      <c r="BM103" s="542">
        <v>-11201</v>
      </c>
      <c r="BN103" s="542">
        <v>-606924</v>
      </c>
      <c r="BO103" s="542">
        <v>0</v>
      </c>
      <c r="BP103" s="542">
        <v>-606924</v>
      </c>
      <c r="BQ103" s="542">
        <v>-28067</v>
      </c>
      <c r="BR103" s="542">
        <v>0</v>
      </c>
      <c r="BS103" s="542">
        <v>-28067</v>
      </c>
      <c r="BT103" s="542">
        <v>-646192</v>
      </c>
      <c r="BU103" s="542">
        <v>0</v>
      </c>
      <c r="BV103" s="542">
        <v>-646192</v>
      </c>
      <c r="BW103" s="542">
        <v>-87583</v>
      </c>
      <c r="BX103" s="542">
        <v>0</v>
      </c>
      <c r="BY103" s="542">
        <v>-87583</v>
      </c>
      <c r="BZ103" s="542">
        <v>0</v>
      </c>
      <c r="CA103" s="542">
        <v>0</v>
      </c>
      <c r="CB103" s="542">
        <v>0</v>
      </c>
      <c r="CC103" s="542">
        <v>-574</v>
      </c>
      <c r="CD103" s="542">
        <v>0</v>
      </c>
      <c r="CE103" s="542">
        <v>-574</v>
      </c>
      <c r="CF103" s="542">
        <v>0</v>
      </c>
      <c r="CG103" s="542">
        <v>0</v>
      </c>
      <c r="CH103" s="542">
        <v>0</v>
      </c>
      <c r="CI103" s="542">
        <v>-8551</v>
      </c>
      <c r="CJ103" s="542">
        <v>0</v>
      </c>
      <c r="CK103" s="542">
        <v>-8551</v>
      </c>
      <c r="CL103" s="542">
        <v>2</v>
      </c>
      <c r="CM103" s="542">
        <v>0</v>
      </c>
      <c r="CN103" s="542">
        <v>2</v>
      </c>
      <c r="CO103" s="542">
        <v>0</v>
      </c>
      <c r="CP103" s="542">
        <v>0</v>
      </c>
      <c r="CQ103" s="542">
        <v>0</v>
      </c>
      <c r="CR103" s="542">
        <v>0</v>
      </c>
      <c r="CS103" s="542">
        <v>0</v>
      </c>
      <c r="CT103" s="542">
        <v>0</v>
      </c>
      <c r="CU103" s="542">
        <v>0</v>
      </c>
      <c r="CV103" s="542">
        <v>0</v>
      </c>
      <c r="CW103" s="542">
        <v>0</v>
      </c>
      <c r="CX103" s="542">
        <v>0</v>
      </c>
      <c r="CY103" s="542">
        <v>0</v>
      </c>
      <c r="CZ103" s="542">
        <v>0</v>
      </c>
      <c r="DA103" s="542">
        <v>0</v>
      </c>
      <c r="DB103" s="542">
        <v>0</v>
      </c>
      <c r="DC103" s="542">
        <v>0</v>
      </c>
      <c r="DD103" s="542">
        <v>0</v>
      </c>
      <c r="DE103" s="542">
        <v>0</v>
      </c>
      <c r="DF103" s="542">
        <v>0</v>
      </c>
      <c r="DG103" s="542"/>
      <c r="DH103" s="542">
        <v>0</v>
      </c>
      <c r="DI103" s="542"/>
      <c r="DJ103" s="542">
        <v>0</v>
      </c>
      <c r="DK103" s="542"/>
      <c r="DL103" s="542"/>
      <c r="DM103" s="542">
        <v>-96706</v>
      </c>
      <c r="DN103" s="542">
        <v>0</v>
      </c>
      <c r="DO103" s="542">
        <v>-96706</v>
      </c>
      <c r="DP103" s="542">
        <v>-25896</v>
      </c>
      <c r="DQ103" s="542">
        <v>0</v>
      </c>
      <c r="DR103" s="542">
        <v>-25896</v>
      </c>
      <c r="DS103" s="542">
        <v>-8594</v>
      </c>
      <c r="DT103" s="542">
        <v>0</v>
      </c>
      <c r="DU103" s="542">
        <v>-8594</v>
      </c>
      <c r="DV103" s="542">
        <v>-13771</v>
      </c>
      <c r="DW103" s="542">
        <v>0</v>
      </c>
      <c r="DX103" s="542">
        <v>-13771</v>
      </c>
      <c r="DY103" s="542">
        <v>-328479</v>
      </c>
      <c r="DZ103" s="542">
        <v>0</v>
      </c>
      <c r="EA103" s="542">
        <v>-328479</v>
      </c>
      <c r="EB103" s="542">
        <v>0</v>
      </c>
      <c r="EC103" s="542">
        <v>0</v>
      </c>
      <c r="ED103" s="542">
        <v>0</v>
      </c>
      <c r="EE103" s="542">
        <v>0</v>
      </c>
      <c r="EF103" s="542">
        <v>0</v>
      </c>
      <c r="EG103" s="542">
        <v>0</v>
      </c>
      <c r="EH103" s="542">
        <v>-376740</v>
      </c>
      <c r="EI103" s="542">
        <v>0</v>
      </c>
      <c r="EJ103" s="542">
        <v>-376740</v>
      </c>
      <c r="EK103" s="542">
        <v>0</v>
      </c>
      <c r="EL103" s="542">
        <v>0</v>
      </c>
      <c r="EM103" s="542">
        <v>0</v>
      </c>
      <c r="EN103" s="542">
        <v>0</v>
      </c>
      <c r="EO103" s="542">
        <v>0</v>
      </c>
      <c r="EP103" s="542">
        <v>0</v>
      </c>
      <c r="EQ103" s="542">
        <v>0</v>
      </c>
      <c r="ER103" s="542">
        <v>0</v>
      </c>
      <c r="ES103" s="542">
        <v>0</v>
      </c>
      <c r="ET103" s="542">
        <v>27230655</v>
      </c>
      <c r="EU103" s="542">
        <v>0</v>
      </c>
      <c r="EV103" s="542">
        <v>27230655</v>
      </c>
      <c r="EW103" s="542">
        <v>115744</v>
      </c>
      <c r="EX103" s="542">
        <v>0</v>
      </c>
      <c r="EY103" s="542">
        <v>115744</v>
      </c>
      <c r="EZ103" s="542">
        <v>-3348505</v>
      </c>
      <c r="FA103" s="542">
        <v>0</v>
      </c>
      <c r="FB103" s="542">
        <v>-3348505</v>
      </c>
      <c r="FC103" s="542">
        <v>-646192</v>
      </c>
      <c r="FD103" s="542">
        <v>0</v>
      </c>
      <c r="FE103" s="542">
        <v>-646192</v>
      </c>
      <c r="FF103" s="542">
        <v>-96706</v>
      </c>
      <c r="FG103" s="542">
        <v>0</v>
      </c>
      <c r="FH103" s="542">
        <v>-96706</v>
      </c>
      <c r="FI103" s="542">
        <v>-376740</v>
      </c>
      <c r="FJ103" s="542">
        <v>0</v>
      </c>
      <c r="FK103" s="542">
        <v>-376740</v>
      </c>
      <c r="FL103" s="542">
        <v>0</v>
      </c>
      <c r="FM103" s="542">
        <v>0</v>
      </c>
      <c r="FN103" s="542">
        <v>0</v>
      </c>
      <c r="FO103" s="542">
        <v>-4352399</v>
      </c>
      <c r="FP103" s="542">
        <v>0</v>
      </c>
      <c r="FQ103" s="542">
        <v>-4352399</v>
      </c>
      <c r="FR103" s="542">
        <v>22878256</v>
      </c>
      <c r="FS103" s="542">
        <v>0</v>
      </c>
      <c r="FT103" s="542">
        <v>22878256</v>
      </c>
    </row>
    <row r="104" spans="1:176" ht="12.75" x14ac:dyDescent="0.2">
      <c r="A104" s="93">
        <v>99</v>
      </c>
      <c r="B104" s="145" t="s">
        <v>76</v>
      </c>
      <c r="C104" s="604" t="s">
        <v>866</v>
      </c>
      <c r="D104" s="142" t="s">
        <v>869</v>
      </c>
      <c r="E104" s="149" t="s">
        <v>75</v>
      </c>
      <c r="F104" s="542">
        <v>-10398</v>
      </c>
      <c r="G104" s="542">
        <v>0</v>
      </c>
      <c r="H104" s="542">
        <v>-10398</v>
      </c>
      <c r="I104" s="542">
        <v>40357</v>
      </c>
      <c r="J104" s="542">
        <v>0</v>
      </c>
      <c r="K104" s="542">
        <v>40357</v>
      </c>
      <c r="L104" s="542">
        <v>16811</v>
      </c>
      <c r="M104" s="542">
        <v>0</v>
      </c>
      <c r="N104" s="542">
        <v>16811</v>
      </c>
      <c r="O104" s="542">
        <v>13450</v>
      </c>
      <c r="P104" s="542">
        <v>0</v>
      </c>
      <c r="Q104" s="542">
        <v>13450</v>
      </c>
      <c r="R104" s="542">
        <v>60220</v>
      </c>
      <c r="S104" s="542">
        <v>0</v>
      </c>
      <c r="T104" s="542">
        <v>60220</v>
      </c>
      <c r="U104" s="542">
        <v>-2435751</v>
      </c>
      <c r="V104" s="542">
        <v>0</v>
      </c>
      <c r="W104" s="542">
        <v>-2435751</v>
      </c>
      <c r="X104" s="542">
        <v>-1908</v>
      </c>
      <c r="Y104" s="542">
        <v>0</v>
      </c>
      <c r="Z104" s="542">
        <v>-1908</v>
      </c>
      <c r="AA104" s="542">
        <v>-68294</v>
      </c>
      <c r="AB104" s="542">
        <v>0</v>
      </c>
      <c r="AC104" s="542">
        <v>-68294</v>
      </c>
      <c r="AD104" s="542">
        <v>-26528</v>
      </c>
      <c r="AE104" s="542">
        <v>0</v>
      </c>
      <c r="AF104" s="542">
        <v>-26528</v>
      </c>
      <c r="AG104" s="542">
        <v>536511</v>
      </c>
      <c r="AH104" s="542">
        <v>0</v>
      </c>
      <c r="AI104" s="542">
        <v>536511</v>
      </c>
      <c r="AJ104" s="542">
        <v>-10278</v>
      </c>
      <c r="AK104" s="542">
        <v>0</v>
      </c>
      <c r="AL104" s="542">
        <v>-10278</v>
      </c>
      <c r="AM104" s="542">
        <v>-1688213</v>
      </c>
      <c r="AN104" s="542">
        <v>0</v>
      </c>
      <c r="AO104" s="542">
        <v>-1688213</v>
      </c>
      <c r="AP104" s="542">
        <v>-68625</v>
      </c>
      <c r="AQ104" s="542">
        <v>0</v>
      </c>
      <c r="AR104" s="542">
        <v>-68625</v>
      </c>
      <c r="AS104" s="542">
        <v>-83801</v>
      </c>
      <c r="AT104" s="542">
        <v>0</v>
      </c>
      <c r="AU104" s="542">
        <v>-83801</v>
      </c>
      <c r="AV104" s="542">
        <v>0</v>
      </c>
      <c r="AW104" s="542">
        <v>0</v>
      </c>
      <c r="AX104" s="542">
        <v>0</v>
      </c>
      <c r="AY104" s="542">
        <v>-1554</v>
      </c>
      <c r="AZ104" s="542">
        <v>0</v>
      </c>
      <c r="BA104" s="542">
        <v>-1554</v>
      </c>
      <c r="BB104" s="542">
        <v>0</v>
      </c>
      <c r="BC104" s="542">
        <v>0</v>
      </c>
      <c r="BD104" s="542">
        <v>0</v>
      </c>
      <c r="BE104" s="542">
        <v>-3820005</v>
      </c>
      <c r="BF104" s="542">
        <v>0</v>
      </c>
      <c r="BG104" s="542">
        <v>-3820005</v>
      </c>
      <c r="BH104" s="542">
        <v>-4065</v>
      </c>
      <c r="BI104" s="542">
        <v>0</v>
      </c>
      <c r="BJ104" s="542">
        <v>-4065</v>
      </c>
      <c r="BK104" s="542">
        <v>0</v>
      </c>
      <c r="BL104" s="542">
        <v>0</v>
      </c>
      <c r="BM104" s="542">
        <v>0</v>
      </c>
      <c r="BN104" s="542">
        <v>-631295</v>
      </c>
      <c r="BO104" s="542">
        <v>0</v>
      </c>
      <c r="BP104" s="542">
        <v>-631295</v>
      </c>
      <c r="BQ104" s="542">
        <v>-3926</v>
      </c>
      <c r="BR104" s="542">
        <v>0</v>
      </c>
      <c r="BS104" s="542">
        <v>-3926</v>
      </c>
      <c r="BT104" s="542">
        <v>-639286</v>
      </c>
      <c r="BU104" s="542">
        <v>0</v>
      </c>
      <c r="BV104" s="542">
        <v>-639286</v>
      </c>
      <c r="BW104" s="542">
        <v>-16647</v>
      </c>
      <c r="BX104" s="542">
        <v>0</v>
      </c>
      <c r="BY104" s="542">
        <v>-16647</v>
      </c>
      <c r="BZ104" s="542">
        <v>-4166</v>
      </c>
      <c r="CA104" s="542">
        <v>0</v>
      </c>
      <c r="CB104" s="542">
        <v>-4166</v>
      </c>
      <c r="CC104" s="542">
        <v>-67434</v>
      </c>
      <c r="CD104" s="542">
        <v>0</v>
      </c>
      <c r="CE104" s="542">
        <v>-67434</v>
      </c>
      <c r="CF104" s="542">
        <v>95</v>
      </c>
      <c r="CG104" s="542">
        <v>0</v>
      </c>
      <c r="CH104" s="542">
        <v>95</v>
      </c>
      <c r="CI104" s="542">
        <v>0</v>
      </c>
      <c r="CJ104" s="542">
        <v>0</v>
      </c>
      <c r="CK104" s="542">
        <v>0</v>
      </c>
      <c r="CL104" s="542">
        <v>0</v>
      </c>
      <c r="CM104" s="542">
        <v>0</v>
      </c>
      <c r="CN104" s="542">
        <v>0</v>
      </c>
      <c r="CO104" s="542">
        <v>-1193</v>
      </c>
      <c r="CP104" s="542">
        <v>0</v>
      </c>
      <c r="CQ104" s="542">
        <v>-1193</v>
      </c>
      <c r="CR104" s="542">
        <v>0</v>
      </c>
      <c r="CS104" s="542">
        <v>0</v>
      </c>
      <c r="CT104" s="542">
        <v>0</v>
      </c>
      <c r="CU104" s="542">
        <v>0</v>
      </c>
      <c r="CV104" s="542">
        <v>0</v>
      </c>
      <c r="CW104" s="542">
        <v>0</v>
      </c>
      <c r="CX104" s="542">
        <v>0</v>
      </c>
      <c r="CY104" s="542">
        <v>0</v>
      </c>
      <c r="CZ104" s="542">
        <v>0</v>
      </c>
      <c r="DA104" s="542">
        <v>0</v>
      </c>
      <c r="DB104" s="542">
        <v>0</v>
      </c>
      <c r="DC104" s="542">
        <v>0</v>
      </c>
      <c r="DD104" s="542">
        <v>0</v>
      </c>
      <c r="DE104" s="542">
        <v>0</v>
      </c>
      <c r="DF104" s="542">
        <v>0</v>
      </c>
      <c r="DG104" s="542"/>
      <c r="DH104" s="542">
        <v>0</v>
      </c>
      <c r="DI104" s="542"/>
      <c r="DJ104" s="542">
        <v>0</v>
      </c>
      <c r="DK104" s="542"/>
      <c r="DL104" s="542"/>
      <c r="DM104" s="542">
        <v>-89345</v>
      </c>
      <c r="DN104" s="542">
        <v>0</v>
      </c>
      <c r="DO104" s="542">
        <v>-89345</v>
      </c>
      <c r="DP104" s="542">
        <v>0</v>
      </c>
      <c r="DQ104" s="542">
        <v>0</v>
      </c>
      <c r="DR104" s="542">
        <v>0</v>
      </c>
      <c r="DS104" s="542">
        <v>0</v>
      </c>
      <c r="DT104" s="542">
        <v>0</v>
      </c>
      <c r="DU104" s="542">
        <v>0</v>
      </c>
      <c r="DV104" s="542">
        <v>-2581</v>
      </c>
      <c r="DW104" s="542">
        <v>0</v>
      </c>
      <c r="DX104" s="542">
        <v>-2581</v>
      </c>
      <c r="DY104" s="542">
        <v>-210078</v>
      </c>
      <c r="DZ104" s="542">
        <v>0</v>
      </c>
      <c r="EA104" s="542">
        <v>-210078</v>
      </c>
      <c r="EB104" s="542">
        <v>0</v>
      </c>
      <c r="EC104" s="542">
        <v>0</v>
      </c>
      <c r="ED104" s="542">
        <v>0</v>
      </c>
      <c r="EE104" s="542">
        <v>0</v>
      </c>
      <c r="EF104" s="542">
        <v>0</v>
      </c>
      <c r="EG104" s="542">
        <v>0</v>
      </c>
      <c r="EH104" s="542">
        <v>-212659</v>
      </c>
      <c r="EI104" s="542">
        <v>0</v>
      </c>
      <c r="EJ104" s="542">
        <v>-212659</v>
      </c>
      <c r="EK104" s="542">
        <v>0</v>
      </c>
      <c r="EL104" s="542">
        <v>0</v>
      </c>
      <c r="EM104" s="542">
        <v>0</v>
      </c>
      <c r="EN104" s="542">
        <v>0</v>
      </c>
      <c r="EO104" s="542">
        <v>0</v>
      </c>
      <c r="EP104" s="542">
        <v>0</v>
      </c>
      <c r="EQ104" s="542">
        <v>0</v>
      </c>
      <c r="ER104" s="542">
        <v>0</v>
      </c>
      <c r="ES104" s="542">
        <v>0</v>
      </c>
      <c r="ET104" s="542">
        <v>28967908</v>
      </c>
      <c r="EU104" s="542">
        <v>0</v>
      </c>
      <c r="EV104" s="542">
        <v>28967908</v>
      </c>
      <c r="EW104" s="542">
        <v>60220</v>
      </c>
      <c r="EX104" s="542">
        <v>0</v>
      </c>
      <c r="EY104" s="542">
        <v>60220</v>
      </c>
      <c r="EZ104" s="542">
        <v>-3820005</v>
      </c>
      <c r="FA104" s="542">
        <v>0</v>
      </c>
      <c r="FB104" s="542">
        <v>-3820005</v>
      </c>
      <c r="FC104" s="542">
        <v>-639286</v>
      </c>
      <c r="FD104" s="542">
        <v>0</v>
      </c>
      <c r="FE104" s="542">
        <v>-639286</v>
      </c>
      <c r="FF104" s="542">
        <v>-89345</v>
      </c>
      <c r="FG104" s="542">
        <v>0</v>
      </c>
      <c r="FH104" s="542">
        <v>-89345</v>
      </c>
      <c r="FI104" s="542">
        <v>-212659</v>
      </c>
      <c r="FJ104" s="542">
        <v>0</v>
      </c>
      <c r="FK104" s="542">
        <v>-212659</v>
      </c>
      <c r="FL104" s="542">
        <v>0</v>
      </c>
      <c r="FM104" s="542">
        <v>0</v>
      </c>
      <c r="FN104" s="542">
        <v>0</v>
      </c>
      <c r="FO104" s="542">
        <v>-4701075</v>
      </c>
      <c r="FP104" s="542">
        <v>0</v>
      </c>
      <c r="FQ104" s="542">
        <v>-4701075</v>
      </c>
      <c r="FR104" s="542">
        <v>24266833</v>
      </c>
      <c r="FS104" s="542">
        <v>0</v>
      </c>
      <c r="FT104" s="542">
        <v>24266833</v>
      </c>
    </row>
    <row r="105" spans="1:176" ht="12.75" x14ac:dyDescent="0.2">
      <c r="A105" s="93">
        <v>100</v>
      </c>
      <c r="B105" s="145" t="s">
        <v>78</v>
      </c>
      <c r="C105" s="604" t="s">
        <v>866</v>
      </c>
      <c r="D105" s="142" t="s">
        <v>875</v>
      </c>
      <c r="E105" s="149" t="s">
        <v>77</v>
      </c>
      <c r="F105" s="542">
        <v>-91176</v>
      </c>
      <c r="G105" s="542">
        <v>0</v>
      </c>
      <c r="H105" s="542">
        <v>-91176</v>
      </c>
      <c r="I105" s="542">
        <v>257335</v>
      </c>
      <c r="J105" s="542">
        <v>0</v>
      </c>
      <c r="K105" s="542">
        <v>257335</v>
      </c>
      <c r="L105" s="542">
        <v>12123</v>
      </c>
      <c r="M105" s="542">
        <v>0</v>
      </c>
      <c r="N105" s="542">
        <v>12123</v>
      </c>
      <c r="O105" s="542">
        <v>781674</v>
      </c>
      <c r="P105" s="542">
        <v>0</v>
      </c>
      <c r="Q105" s="542">
        <v>781674</v>
      </c>
      <c r="R105" s="542">
        <v>959956</v>
      </c>
      <c r="S105" s="542">
        <v>0</v>
      </c>
      <c r="T105" s="542">
        <v>959956</v>
      </c>
      <c r="U105" s="542">
        <v>-2098155</v>
      </c>
      <c r="V105" s="542">
        <v>0</v>
      </c>
      <c r="W105" s="542">
        <v>-2098155</v>
      </c>
      <c r="X105" s="542">
        <v>-4463</v>
      </c>
      <c r="Y105" s="542">
        <v>0</v>
      </c>
      <c r="Z105" s="542">
        <v>-4463</v>
      </c>
      <c r="AA105" s="542">
        <v>-121798</v>
      </c>
      <c r="AB105" s="542">
        <v>0</v>
      </c>
      <c r="AC105" s="542">
        <v>-121798</v>
      </c>
      <c r="AD105" s="542">
        <v>0</v>
      </c>
      <c r="AE105" s="542">
        <v>0</v>
      </c>
      <c r="AF105" s="542">
        <v>0</v>
      </c>
      <c r="AG105" s="542">
        <v>1859254</v>
      </c>
      <c r="AH105" s="542">
        <v>0</v>
      </c>
      <c r="AI105" s="542">
        <v>1859254</v>
      </c>
      <c r="AJ105" s="542">
        <v>-45225</v>
      </c>
      <c r="AK105" s="542">
        <v>0</v>
      </c>
      <c r="AL105" s="542">
        <v>-45225</v>
      </c>
      <c r="AM105" s="542">
        <v>-5307494</v>
      </c>
      <c r="AN105" s="542">
        <v>0</v>
      </c>
      <c r="AO105" s="542">
        <v>-5307494</v>
      </c>
      <c r="AP105" s="542">
        <v>97062</v>
      </c>
      <c r="AQ105" s="542">
        <v>0</v>
      </c>
      <c r="AR105" s="542">
        <v>97062</v>
      </c>
      <c r="AS105" s="542">
        <v>-33416</v>
      </c>
      <c r="AT105" s="542">
        <v>0</v>
      </c>
      <c r="AU105" s="542">
        <v>-33416</v>
      </c>
      <c r="AV105" s="542">
        <v>0</v>
      </c>
      <c r="AW105" s="542">
        <v>0</v>
      </c>
      <c r="AX105" s="542">
        <v>0</v>
      </c>
      <c r="AY105" s="542">
        <v>0</v>
      </c>
      <c r="AZ105" s="542">
        <v>0</v>
      </c>
      <c r="BA105" s="542">
        <v>0</v>
      </c>
      <c r="BB105" s="542">
        <v>0</v>
      </c>
      <c r="BC105" s="542">
        <v>0</v>
      </c>
      <c r="BD105" s="542">
        <v>0</v>
      </c>
      <c r="BE105" s="542">
        <v>-5649772</v>
      </c>
      <c r="BF105" s="542">
        <v>0</v>
      </c>
      <c r="BG105" s="542">
        <v>-5649772</v>
      </c>
      <c r="BH105" s="542">
        <v>-17710</v>
      </c>
      <c r="BI105" s="542">
        <v>0</v>
      </c>
      <c r="BJ105" s="542">
        <v>-17710</v>
      </c>
      <c r="BK105" s="542">
        <v>-9009</v>
      </c>
      <c r="BL105" s="542">
        <v>0</v>
      </c>
      <c r="BM105" s="542">
        <v>-9009</v>
      </c>
      <c r="BN105" s="542">
        <v>-2515974</v>
      </c>
      <c r="BO105" s="542">
        <v>0</v>
      </c>
      <c r="BP105" s="542">
        <v>-2515974</v>
      </c>
      <c r="BQ105" s="542">
        <v>70382</v>
      </c>
      <c r="BR105" s="542">
        <v>0</v>
      </c>
      <c r="BS105" s="542">
        <v>70382</v>
      </c>
      <c r="BT105" s="542">
        <v>-2472311</v>
      </c>
      <c r="BU105" s="542">
        <v>0</v>
      </c>
      <c r="BV105" s="542">
        <v>-2472311</v>
      </c>
      <c r="BW105" s="542">
        <v>-157670</v>
      </c>
      <c r="BX105" s="542">
        <v>0</v>
      </c>
      <c r="BY105" s="542">
        <v>-157670</v>
      </c>
      <c r="BZ105" s="542">
        <v>-2299</v>
      </c>
      <c r="CA105" s="542">
        <v>0</v>
      </c>
      <c r="CB105" s="542">
        <v>-2299</v>
      </c>
      <c r="CC105" s="542">
        <v>-370428</v>
      </c>
      <c r="CD105" s="542">
        <v>0</v>
      </c>
      <c r="CE105" s="542">
        <v>-370428</v>
      </c>
      <c r="CF105" s="542">
        <v>-761</v>
      </c>
      <c r="CG105" s="542">
        <v>0</v>
      </c>
      <c r="CH105" s="542">
        <v>-761</v>
      </c>
      <c r="CI105" s="542">
        <v>-2928</v>
      </c>
      <c r="CJ105" s="542">
        <v>0</v>
      </c>
      <c r="CK105" s="542">
        <v>-2928</v>
      </c>
      <c r="CL105" s="542">
        <v>0</v>
      </c>
      <c r="CM105" s="542">
        <v>0</v>
      </c>
      <c r="CN105" s="542">
        <v>0</v>
      </c>
      <c r="CO105" s="542">
        <v>0</v>
      </c>
      <c r="CP105" s="542">
        <v>0</v>
      </c>
      <c r="CQ105" s="542">
        <v>0</v>
      </c>
      <c r="CR105" s="542">
        <v>0</v>
      </c>
      <c r="CS105" s="542">
        <v>0</v>
      </c>
      <c r="CT105" s="542">
        <v>0</v>
      </c>
      <c r="CU105" s="542">
        <v>0</v>
      </c>
      <c r="CV105" s="542">
        <v>0</v>
      </c>
      <c r="CW105" s="542">
        <v>0</v>
      </c>
      <c r="CX105" s="542">
        <v>0</v>
      </c>
      <c r="CY105" s="542">
        <v>0</v>
      </c>
      <c r="CZ105" s="542">
        <v>0</v>
      </c>
      <c r="DA105" s="542">
        <v>0</v>
      </c>
      <c r="DB105" s="542">
        <v>0</v>
      </c>
      <c r="DC105" s="542">
        <v>0</v>
      </c>
      <c r="DD105" s="542">
        <v>0</v>
      </c>
      <c r="DE105" s="542">
        <v>0</v>
      </c>
      <c r="DF105" s="542">
        <v>0</v>
      </c>
      <c r="DG105" s="542"/>
      <c r="DH105" s="542">
        <v>0</v>
      </c>
      <c r="DI105" s="542"/>
      <c r="DJ105" s="542">
        <v>0</v>
      </c>
      <c r="DK105" s="542"/>
      <c r="DL105" s="542"/>
      <c r="DM105" s="542">
        <v>-534086</v>
      </c>
      <c r="DN105" s="542">
        <v>0</v>
      </c>
      <c r="DO105" s="542">
        <v>-534086</v>
      </c>
      <c r="DP105" s="542">
        <v>-5515</v>
      </c>
      <c r="DQ105" s="542">
        <v>0</v>
      </c>
      <c r="DR105" s="542">
        <v>-5515</v>
      </c>
      <c r="DS105" s="542">
        <v>1463</v>
      </c>
      <c r="DT105" s="542">
        <v>0</v>
      </c>
      <c r="DU105" s="542">
        <v>1463</v>
      </c>
      <c r="DV105" s="542">
        <v>-7170</v>
      </c>
      <c r="DW105" s="542">
        <v>0</v>
      </c>
      <c r="DX105" s="542">
        <v>-7170</v>
      </c>
      <c r="DY105" s="542">
        <v>-720719</v>
      </c>
      <c r="DZ105" s="542">
        <v>0</v>
      </c>
      <c r="EA105" s="542">
        <v>-720719</v>
      </c>
      <c r="EB105" s="542">
        <v>-1556</v>
      </c>
      <c r="EC105" s="542">
        <v>0</v>
      </c>
      <c r="ED105" s="542">
        <v>-1556</v>
      </c>
      <c r="EE105" s="542">
        <v>-112066</v>
      </c>
      <c r="EF105" s="542">
        <v>0</v>
      </c>
      <c r="EG105" s="542">
        <v>-112066</v>
      </c>
      <c r="EH105" s="542">
        <v>-845563</v>
      </c>
      <c r="EI105" s="542">
        <v>0</v>
      </c>
      <c r="EJ105" s="542">
        <v>-845563</v>
      </c>
      <c r="EK105" s="542">
        <v>-2723</v>
      </c>
      <c r="EL105" s="542">
        <v>0</v>
      </c>
      <c r="EM105" s="542">
        <v>-2723</v>
      </c>
      <c r="EN105" s="542">
        <v>0</v>
      </c>
      <c r="EO105" s="542">
        <v>0</v>
      </c>
      <c r="EP105" s="542">
        <v>0</v>
      </c>
      <c r="EQ105" s="542">
        <v>-2723</v>
      </c>
      <c r="ER105" s="542">
        <v>0</v>
      </c>
      <c r="ES105" s="542">
        <v>-2723</v>
      </c>
      <c r="ET105" s="542">
        <v>85101389</v>
      </c>
      <c r="EU105" s="542">
        <v>0</v>
      </c>
      <c r="EV105" s="542">
        <v>85101389</v>
      </c>
      <c r="EW105" s="542">
        <v>959956</v>
      </c>
      <c r="EX105" s="542">
        <v>0</v>
      </c>
      <c r="EY105" s="542">
        <v>959956</v>
      </c>
      <c r="EZ105" s="542">
        <v>-5649772</v>
      </c>
      <c r="FA105" s="542">
        <v>0</v>
      </c>
      <c r="FB105" s="542">
        <v>-5649772</v>
      </c>
      <c r="FC105" s="542">
        <v>-2472311</v>
      </c>
      <c r="FD105" s="542">
        <v>0</v>
      </c>
      <c r="FE105" s="542">
        <v>-2472311</v>
      </c>
      <c r="FF105" s="542">
        <v>-534086</v>
      </c>
      <c r="FG105" s="542">
        <v>0</v>
      </c>
      <c r="FH105" s="542">
        <v>-534086</v>
      </c>
      <c r="FI105" s="542">
        <v>-845563</v>
      </c>
      <c r="FJ105" s="542">
        <v>0</v>
      </c>
      <c r="FK105" s="542">
        <v>-845563</v>
      </c>
      <c r="FL105" s="542">
        <v>-2723</v>
      </c>
      <c r="FM105" s="542">
        <v>0</v>
      </c>
      <c r="FN105" s="542">
        <v>-2723</v>
      </c>
      <c r="FO105" s="542">
        <v>-8544499</v>
      </c>
      <c r="FP105" s="542">
        <v>0</v>
      </c>
      <c r="FQ105" s="542">
        <v>-8544499</v>
      </c>
      <c r="FR105" s="542">
        <v>76556890</v>
      </c>
      <c r="FS105" s="542">
        <v>0</v>
      </c>
      <c r="FT105" s="542">
        <v>76556890</v>
      </c>
    </row>
    <row r="106" spans="1:176" ht="12.75" x14ac:dyDescent="0.2">
      <c r="A106" s="93">
        <v>101</v>
      </c>
      <c r="B106" s="145" t="s">
        <v>80</v>
      </c>
      <c r="C106" s="604" t="s">
        <v>866</v>
      </c>
      <c r="D106" s="142" t="s">
        <v>867</v>
      </c>
      <c r="E106" s="149" t="s">
        <v>79</v>
      </c>
      <c r="F106" s="542">
        <v>-22050</v>
      </c>
      <c r="G106" s="542">
        <v>-9710</v>
      </c>
      <c r="H106" s="542">
        <v>-31760</v>
      </c>
      <c r="I106" s="542">
        <v>109918</v>
      </c>
      <c r="J106" s="542">
        <v>0</v>
      </c>
      <c r="K106" s="542">
        <v>109918</v>
      </c>
      <c r="L106" s="542">
        <v>5301</v>
      </c>
      <c r="M106" s="542">
        <v>0</v>
      </c>
      <c r="N106" s="542">
        <v>5301</v>
      </c>
      <c r="O106" s="542">
        <v>81081</v>
      </c>
      <c r="P106" s="542">
        <v>0</v>
      </c>
      <c r="Q106" s="542">
        <v>81081</v>
      </c>
      <c r="R106" s="542">
        <v>174250</v>
      </c>
      <c r="S106" s="542">
        <v>-9710</v>
      </c>
      <c r="T106" s="542">
        <v>164540</v>
      </c>
      <c r="U106" s="542">
        <v>-1632035</v>
      </c>
      <c r="V106" s="542">
        <v>-849</v>
      </c>
      <c r="W106" s="542">
        <v>-1632884</v>
      </c>
      <c r="X106" s="542">
        <v>-6253</v>
      </c>
      <c r="Y106" s="542">
        <v>0</v>
      </c>
      <c r="Z106" s="542">
        <v>-6253</v>
      </c>
      <c r="AA106" s="542">
        <v>-75481</v>
      </c>
      <c r="AB106" s="542">
        <v>0</v>
      </c>
      <c r="AC106" s="542">
        <v>-75481</v>
      </c>
      <c r="AD106" s="542">
        <v>-30104</v>
      </c>
      <c r="AE106" s="542">
        <v>0</v>
      </c>
      <c r="AF106" s="542">
        <v>-30104</v>
      </c>
      <c r="AG106" s="542">
        <v>1047787</v>
      </c>
      <c r="AH106" s="542">
        <v>6407</v>
      </c>
      <c r="AI106" s="542">
        <v>1054194</v>
      </c>
      <c r="AJ106" s="542">
        <v>-915.89</v>
      </c>
      <c r="AK106" s="542">
        <v>0</v>
      </c>
      <c r="AL106" s="542">
        <v>-915.89</v>
      </c>
      <c r="AM106" s="542">
        <v>-2612504</v>
      </c>
      <c r="AN106" s="542">
        <v>-25691</v>
      </c>
      <c r="AO106" s="542">
        <v>-2638195</v>
      </c>
      <c r="AP106" s="542">
        <v>-47227</v>
      </c>
      <c r="AQ106" s="542">
        <v>0</v>
      </c>
      <c r="AR106" s="542">
        <v>-47227</v>
      </c>
      <c r="AS106" s="542">
        <v>0</v>
      </c>
      <c r="AT106" s="542">
        <v>0</v>
      </c>
      <c r="AU106" s="542">
        <v>0</v>
      </c>
      <c r="AV106" s="542">
        <v>0</v>
      </c>
      <c r="AW106" s="542">
        <v>0</v>
      </c>
      <c r="AX106" s="542">
        <v>0</v>
      </c>
      <c r="AY106" s="542">
        <v>0</v>
      </c>
      <c r="AZ106" s="542">
        <v>0</v>
      </c>
      <c r="BA106" s="542">
        <v>0</v>
      </c>
      <c r="BB106" s="542">
        <v>0</v>
      </c>
      <c r="BC106" s="542">
        <v>0</v>
      </c>
      <c r="BD106" s="542">
        <v>0</v>
      </c>
      <c r="BE106" s="542">
        <v>-3320376</v>
      </c>
      <c r="BF106" s="542">
        <v>-20133</v>
      </c>
      <c r="BG106" s="542">
        <v>-3340509</v>
      </c>
      <c r="BH106" s="542">
        <v>-42732</v>
      </c>
      <c r="BI106" s="542">
        <v>0</v>
      </c>
      <c r="BJ106" s="542">
        <v>-42732</v>
      </c>
      <c r="BK106" s="542">
        <v>-22</v>
      </c>
      <c r="BL106" s="542">
        <v>0</v>
      </c>
      <c r="BM106" s="542">
        <v>-22</v>
      </c>
      <c r="BN106" s="542">
        <v>-1071426</v>
      </c>
      <c r="BO106" s="542">
        <v>-3546</v>
      </c>
      <c r="BP106" s="542">
        <v>-1074972</v>
      </c>
      <c r="BQ106" s="542">
        <v>330282</v>
      </c>
      <c r="BR106" s="542">
        <v>0</v>
      </c>
      <c r="BS106" s="542">
        <v>330282</v>
      </c>
      <c r="BT106" s="542">
        <v>-783898</v>
      </c>
      <c r="BU106" s="542">
        <v>-3546</v>
      </c>
      <c r="BV106" s="542">
        <v>-787444</v>
      </c>
      <c r="BW106" s="542">
        <v>-143523</v>
      </c>
      <c r="BX106" s="542">
        <v>-6423</v>
      </c>
      <c r="BY106" s="542">
        <v>-149946</v>
      </c>
      <c r="BZ106" s="542">
        <v>9864</v>
      </c>
      <c r="CA106" s="542">
        <v>0</v>
      </c>
      <c r="CB106" s="542">
        <v>9864</v>
      </c>
      <c r="CC106" s="542">
        <v>-421933</v>
      </c>
      <c r="CD106" s="542">
        <v>-17074</v>
      </c>
      <c r="CE106" s="542">
        <v>-439007</v>
      </c>
      <c r="CF106" s="542">
        <v>-16915</v>
      </c>
      <c r="CG106" s="542">
        <v>0</v>
      </c>
      <c r="CH106" s="542">
        <v>-16915</v>
      </c>
      <c r="CI106" s="542">
        <v>0</v>
      </c>
      <c r="CJ106" s="542">
        <v>0</v>
      </c>
      <c r="CK106" s="542">
        <v>0</v>
      </c>
      <c r="CL106" s="542">
        <v>0</v>
      </c>
      <c r="CM106" s="542">
        <v>0</v>
      </c>
      <c r="CN106" s="542">
        <v>0</v>
      </c>
      <c r="CO106" s="542">
        <v>0</v>
      </c>
      <c r="CP106" s="542">
        <v>0</v>
      </c>
      <c r="CQ106" s="542">
        <v>0</v>
      </c>
      <c r="CR106" s="542">
        <v>0</v>
      </c>
      <c r="CS106" s="542">
        <v>0</v>
      </c>
      <c r="CT106" s="542">
        <v>0</v>
      </c>
      <c r="CU106" s="542">
        <v>0</v>
      </c>
      <c r="CV106" s="542">
        <v>0</v>
      </c>
      <c r="CW106" s="542">
        <v>0</v>
      </c>
      <c r="CX106" s="542">
        <v>0</v>
      </c>
      <c r="CY106" s="542">
        <v>0</v>
      </c>
      <c r="CZ106" s="542">
        <v>0</v>
      </c>
      <c r="DA106" s="542">
        <v>0</v>
      </c>
      <c r="DB106" s="542">
        <v>-149351</v>
      </c>
      <c r="DC106" s="542">
        <v>-149351</v>
      </c>
      <c r="DD106" s="542">
        <v>0</v>
      </c>
      <c r="DE106" s="542">
        <v>-9705</v>
      </c>
      <c r="DF106" s="542">
        <v>-9705</v>
      </c>
      <c r="DG106" s="542"/>
      <c r="DH106" s="542">
        <v>-159056</v>
      </c>
      <c r="DI106" s="542"/>
      <c r="DJ106" s="542">
        <v>0</v>
      </c>
      <c r="DK106" s="542"/>
      <c r="DL106" s="542"/>
      <c r="DM106" s="542">
        <v>-572507</v>
      </c>
      <c r="DN106" s="542">
        <v>-182553</v>
      </c>
      <c r="DO106" s="542">
        <v>-755060</v>
      </c>
      <c r="DP106" s="542">
        <v>-1832</v>
      </c>
      <c r="DQ106" s="542">
        <v>0</v>
      </c>
      <c r="DR106" s="542">
        <v>-1832</v>
      </c>
      <c r="DS106" s="542">
        <v>0</v>
      </c>
      <c r="DT106" s="542">
        <v>0</v>
      </c>
      <c r="DU106" s="542">
        <v>0</v>
      </c>
      <c r="DV106" s="542">
        <v>-25363</v>
      </c>
      <c r="DW106" s="542">
        <v>0</v>
      </c>
      <c r="DX106" s="542">
        <v>-25363</v>
      </c>
      <c r="DY106" s="542">
        <v>-340125</v>
      </c>
      <c r="DZ106" s="542">
        <v>0</v>
      </c>
      <c r="EA106" s="542">
        <v>-340125</v>
      </c>
      <c r="EB106" s="542">
        <v>-21175</v>
      </c>
      <c r="EC106" s="542">
        <v>0</v>
      </c>
      <c r="ED106" s="542">
        <v>-21175</v>
      </c>
      <c r="EE106" s="542">
        <v>-23192</v>
      </c>
      <c r="EF106" s="542">
        <v>0</v>
      </c>
      <c r="EG106" s="542">
        <v>-23192</v>
      </c>
      <c r="EH106" s="542">
        <v>-411687</v>
      </c>
      <c r="EI106" s="542">
        <v>0</v>
      </c>
      <c r="EJ106" s="542">
        <v>-411687</v>
      </c>
      <c r="EK106" s="542">
        <v>0</v>
      </c>
      <c r="EL106" s="542">
        <v>0</v>
      </c>
      <c r="EM106" s="542">
        <v>0</v>
      </c>
      <c r="EN106" s="542">
        <v>0</v>
      </c>
      <c r="EO106" s="542">
        <v>0</v>
      </c>
      <c r="EP106" s="542">
        <v>0</v>
      </c>
      <c r="EQ106" s="542">
        <v>0</v>
      </c>
      <c r="ER106" s="542">
        <v>0</v>
      </c>
      <c r="ES106" s="542">
        <v>0</v>
      </c>
      <c r="ET106" s="542">
        <v>46364264</v>
      </c>
      <c r="EU106" s="542">
        <v>292820</v>
      </c>
      <c r="EV106" s="542">
        <v>46657084</v>
      </c>
      <c r="EW106" s="542">
        <v>174250</v>
      </c>
      <c r="EX106" s="542">
        <v>-9710</v>
      </c>
      <c r="EY106" s="542">
        <v>164540</v>
      </c>
      <c r="EZ106" s="542">
        <v>-3320376</v>
      </c>
      <c r="FA106" s="542">
        <v>-20133</v>
      </c>
      <c r="FB106" s="542">
        <v>-3340509</v>
      </c>
      <c r="FC106" s="542">
        <v>-783898</v>
      </c>
      <c r="FD106" s="542">
        <v>-3546</v>
      </c>
      <c r="FE106" s="542">
        <v>-787444</v>
      </c>
      <c r="FF106" s="542">
        <v>-572507</v>
      </c>
      <c r="FG106" s="542">
        <v>-182553</v>
      </c>
      <c r="FH106" s="542">
        <v>-755060</v>
      </c>
      <c r="FI106" s="542">
        <v>-411687</v>
      </c>
      <c r="FJ106" s="542">
        <v>0</v>
      </c>
      <c r="FK106" s="542">
        <v>-411687</v>
      </c>
      <c r="FL106" s="542">
        <v>0</v>
      </c>
      <c r="FM106" s="542">
        <v>0</v>
      </c>
      <c r="FN106" s="542">
        <v>0</v>
      </c>
      <c r="FO106" s="542">
        <v>-4914218</v>
      </c>
      <c r="FP106" s="542">
        <v>-215942</v>
      </c>
      <c r="FQ106" s="542">
        <v>-5130160</v>
      </c>
      <c r="FR106" s="542">
        <v>41450046</v>
      </c>
      <c r="FS106" s="542">
        <v>76878</v>
      </c>
      <c r="FT106" s="542">
        <v>41526924</v>
      </c>
    </row>
    <row r="107" spans="1:176" ht="12.75" x14ac:dyDescent="0.2">
      <c r="A107" s="93">
        <v>102</v>
      </c>
      <c r="B107" s="145" t="s">
        <v>82</v>
      </c>
      <c r="C107" s="604" t="s">
        <v>866</v>
      </c>
      <c r="D107" s="142" t="s">
        <v>870</v>
      </c>
      <c r="E107" s="149" t="s">
        <v>81</v>
      </c>
      <c r="F107" s="542">
        <v>-192902</v>
      </c>
      <c r="G107" s="542">
        <v>0</v>
      </c>
      <c r="H107" s="542">
        <v>-192902</v>
      </c>
      <c r="I107" s="542">
        <v>318897</v>
      </c>
      <c r="J107" s="542">
        <v>0</v>
      </c>
      <c r="K107" s="542">
        <v>318897</v>
      </c>
      <c r="L107" s="542">
        <v>0</v>
      </c>
      <c r="M107" s="542">
        <v>0</v>
      </c>
      <c r="N107" s="542">
        <v>0</v>
      </c>
      <c r="O107" s="542">
        <v>11919</v>
      </c>
      <c r="P107" s="542">
        <v>0</v>
      </c>
      <c r="Q107" s="542">
        <v>11919</v>
      </c>
      <c r="R107" s="542">
        <v>137914</v>
      </c>
      <c r="S107" s="542">
        <v>0</v>
      </c>
      <c r="T107" s="542">
        <v>137914</v>
      </c>
      <c r="U107" s="542">
        <v>-2259938</v>
      </c>
      <c r="V107" s="542">
        <v>0</v>
      </c>
      <c r="W107" s="542">
        <v>-2259938</v>
      </c>
      <c r="X107" s="542">
        <v>0</v>
      </c>
      <c r="Y107" s="542">
        <v>0</v>
      </c>
      <c r="Z107" s="542">
        <v>0</v>
      </c>
      <c r="AA107" s="542">
        <v>-156711</v>
      </c>
      <c r="AB107" s="542">
        <v>0</v>
      </c>
      <c r="AC107" s="542">
        <v>-156711</v>
      </c>
      <c r="AD107" s="542">
        <v>-66413</v>
      </c>
      <c r="AE107" s="542">
        <v>0</v>
      </c>
      <c r="AF107" s="542">
        <v>-66413</v>
      </c>
      <c r="AG107" s="542">
        <v>572138</v>
      </c>
      <c r="AH107" s="542">
        <v>0</v>
      </c>
      <c r="AI107" s="542">
        <v>572138</v>
      </c>
      <c r="AJ107" s="542">
        <v>-12436</v>
      </c>
      <c r="AK107" s="542">
        <v>0</v>
      </c>
      <c r="AL107" s="542">
        <v>-12436</v>
      </c>
      <c r="AM107" s="542">
        <v>-1849787</v>
      </c>
      <c r="AN107" s="542">
        <v>0</v>
      </c>
      <c r="AO107" s="542">
        <v>-1849787</v>
      </c>
      <c r="AP107" s="542">
        <v>-47958</v>
      </c>
      <c r="AQ107" s="542">
        <v>0</v>
      </c>
      <c r="AR107" s="542">
        <v>-47958</v>
      </c>
      <c r="AS107" s="542">
        <v>-28801</v>
      </c>
      <c r="AT107" s="542">
        <v>0</v>
      </c>
      <c r="AU107" s="542">
        <v>-28801</v>
      </c>
      <c r="AV107" s="542">
        <v>0</v>
      </c>
      <c r="AW107" s="542">
        <v>0</v>
      </c>
      <c r="AX107" s="542">
        <v>0</v>
      </c>
      <c r="AY107" s="542">
        <v>-32634</v>
      </c>
      <c r="AZ107" s="542">
        <v>0</v>
      </c>
      <c r="BA107" s="542">
        <v>-32634</v>
      </c>
      <c r="BB107" s="542">
        <v>1178</v>
      </c>
      <c r="BC107" s="542">
        <v>0</v>
      </c>
      <c r="BD107" s="542">
        <v>1178</v>
      </c>
      <c r="BE107" s="542">
        <v>-3814949</v>
      </c>
      <c r="BF107" s="542">
        <v>0</v>
      </c>
      <c r="BG107" s="542">
        <v>-3814949</v>
      </c>
      <c r="BH107" s="542">
        <v>-40755</v>
      </c>
      <c r="BI107" s="542">
        <v>0</v>
      </c>
      <c r="BJ107" s="542">
        <v>-40755</v>
      </c>
      <c r="BK107" s="542">
        <v>-50845</v>
      </c>
      <c r="BL107" s="542">
        <v>0</v>
      </c>
      <c r="BM107" s="542">
        <v>-50845</v>
      </c>
      <c r="BN107" s="542">
        <v>-582415</v>
      </c>
      <c r="BO107" s="542">
        <v>0</v>
      </c>
      <c r="BP107" s="542">
        <v>-582415</v>
      </c>
      <c r="BQ107" s="542">
        <v>85287</v>
      </c>
      <c r="BR107" s="542">
        <v>0</v>
      </c>
      <c r="BS107" s="542">
        <v>85287</v>
      </c>
      <c r="BT107" s="542">
        <v>-588728</v>
      </c>
      <c r="BU107" s="542">
        <v>0</v>
      </c>
      <c r="BV107" s="542">
        <v>-588728</v>
      </c>
      <c r="BW107" s="542">
        <v>-28656</v>
      </c>
      <c r="BX107" s="542">
        <v>0</v>
      </c>
      <c r="BY107" s="542">
        <v>-28656</v>
      </c>
      <c r="BZ107" s="542">
        <v>0</v>
      </c>
      <c r="CA107" s="542">
        <v>0</v>
      </c>
      <c r="CB107" s="542">
        <v>0</v>
      </c>
      <c r="CC107" s="542">
        <v>-69515</v>
      </c>
      <c r="CD107" s="542">
        <v>0</v>
      </c>
      <c r="CE107" s="542">
        <v>-69515</v>
      </c>
      <c r="CF107" s="542">
        <v>-248</v>
      </c>
      <c r="CG107" s="542">
        <v>0</v>
      </c>
      <c r="CH107" s="542">
        <v>-248</v>
      </c>
      <c r="CI107" s="542">
        <v>0</v>
      </c>
      <c r="CJ107" s="542">
        <v>0</v>
      </c>
      <c r="CK107" s="542">
        <v>0</v>
      </c>
      <c r="CL107" s="542">
        <v>0</v>
      </c>
      <c r="CM107" s="542">
        <v>0</v>
      </c>
      <c r="CN107" s="542">
        <v>0</v>
      </c>
      <c r="CO107" s="542">
        <v>-32105</v>
      </c>
      <c r="CP107" s="542">
        <v>0</v>
      </c>
      <c r="CQ107" s="542">
        <v>-32105</v>
      </c>
      <c r="CR107" s="542">
        <v>1178</v>
      </c>
      <c r="CS107" s="542">
        <v>0</v>
      </c>
      <c r="CT107" s="542">
        <v>1178</v>
      </c>
      <c r="CU107" s="542">
        <v>-26585</v>
      </c>
      <c r="CV107" s="542">
        <v>0</v>
      </c>
      <c r="CW107" s="542">
        <v>-26585</v>
      </c>
      <c r="CX107" s="542">
        <v>0</v>
      </c>
      <c r="CY107" s="542">
        <v>0</v>
      </c>
      <c r="CZ107" s="542">
        <v>0</v>
      </c>
      <c r="DA107" s="542">
        <v>0</v>
      </c>
      <c r="DB107" s="542">
        <v>0</v>
      </c>
      <c r="DC107" s="542">
        <v>0</v>
      </c>
      <c r="DD107" s="542">
        <v>0</v>
      </c>
      <c r="DE107" s="542">
        <v>0</v>
      </c>
      <c r="DF107" s="542">
        <v>0</v>
      </c>
      <c r="DG107" s="542"/>
      <c r="DH107" s="542">
        <v>0</v>
      </c>
      <c r="DI107" s="542"/>
      <c r="DJ107" s="542">
        <v>0</v>
      </c>
      <c r="DK107" s="542"/>
      <c r="DL107" s="542"/>
      <c r="DM107" s="542">
        <v>-155931</v>
      </c>
      <c r="DN107" s="542">
        <v>0</v>
      </c>
      <c r="DO107" s="542">
        <v>-155931</v>
      </c>
      <c r="DP107" s="542">
        <v>-259</v>
      </c>
      <c r="DQ107" s="542">
        <v>0</v>
      </c>
      <c r="DR107" s="542">
        <v>-259</v>
      </c>
      <c r="DS107" s="542">
        <v>0</v>
      </c>
      <c r="DT107" s="542">
        <v>0</v>
      </c>
      <c r="DU107" s="542">
        <v>0</v>
      </c>
      <c r="DV107" s="542">
        <v>0</v>
      </c>
      <c r="DW107" s="542">
        <v>0</v>
      </c>
      <c r="DX107" s="542">
        <v>0</v>
      </c>
      <c r="DY107" s="542">
        <v>-333190</v>
      </c>
      <c r="DZ107" s="542">
        <v>0</v>
      </c>
      <c r="EA107" s="542">
        <v>-333190</v>
      </c>
      <c r="EB107" s="542">
        <v>0</v>
      </c>
      <c r="EC107" s="542">
        <v>0</v>
      </c>
      <c r="ED107" s="542">
        <v>0</v>
      </c>
      <c r="EE107" s="542">
        <v>0</v>
      </c>
      <c r="EF107" s="542">
        <v>0</v>
      </c>
      <c r="EG107" s="542">
        <v>0</v>
      </c>
      <c r="EH107" s="542">
        <v>-333449</v>
      </c>
      <c r="EI107" s="542">
        <v>0</v>
      </c>
      <c r="EJ107" s="542">
        <v>-333449</v>
      </c>
      <c r="EK107" s="542">
        <v>0</v>
      </c>
      <c r="EL107" s="542">
        <v>0</v>
      </c>
      <c r="EM107" s="542">
        <v>0</v>
      </c>
      <c r="EN107" s="542">
        <v>0</v>
      </c>
      <c r="EO107" s="542">
        <v>0</v>
      </c>
      <c r="EP107" s="542">
        <v>0</v>
      </c>
      <c r="EQ107" s="542">
        <v>0</v>
      </c>
      <c r="ER107" s="542">
        <v>0</v>
      </c>
      <c r="ES107" s="542">
        <v>0</v>
      </c>
      <c r="ET107" s="542">
        <v>29733471</v>
      </c>
      <c r="EU107" s="542">
        <v>0</v>
      </c>
      <c r="EV107" s="542">
        <v>29733471</v>
      </c>
      <c r="EW107" s="542">
        <v>137914</v>
      </c>
      <c r="EX107" s="542">
        <v>0</v>
      </c>
      <c r="EY107" s="542">
        <v>137914</v>
      </c>
      <c r="EZ107" s="542">
        <v>-3814949</v>
      </c>
      <c r="FA107" s="542">
        <v>0</v>
      </c>
      <c r="FB107" s="542">
        <v>-3814949</v>
      </c>
      <c r="FC107" s="542">
        <v>-588728</v>
      </c>
      <c r="FD107" s="542">
        <v>0</v>
      </c>
      <c r="FE107" s="542">
        <v>-588728</v>
      </c>
      <c r="FF107" s="542">
        <v>-155931</v>
      </c>
      <c r="FG107" s="542">
        <v>0</v>
      </c>
      <c r="FH107" s="542">
        <v>-155931</v>
      </c>
      <c r="FI107" s="542">
        <v>-333449</v>
      </c>
      <c r="FJ107" s="542">
        <v>0</v>
      </c>
      <c r="FK107" s="542">
        <v>-333449</v>
      </c>
      <c r="FL107" s="542">
        <v>0</v>
      </c>
      <c r="FM107" s="542">
        <v>0</v>
      </c>
      <c r="FN107" s="542">
        <v>0</v>
      </c>
      <c r="FO107" s="542">
        <v>-4755143</v>
      </c>
      <c r="FP107" s="542">
        <v>0</v>
      </c>
      <c r="FQ107" s="542">
        <v>-4755143</v>
      </c>
      <c r="FR107" s="542">
        <v>24978328</v>
      </c>
      <c r="FS107" s="542">
        <v>0</v>
      </c>
      <c r="FT107" s="542">
        <v>24978328</v>
      </c>
    </row>
    <row r="108" spans="1:176" ht="12.75" x14ac:dyDescent="0.2">
      <c r="A108" s="93">
        <v>103</v>
      </c>
      <c r="B108" s="145" t="s">
        <v>84</v>
      </c>
      <c r="C108" s="604" t="s">
        <v>866</v>
      </c>
      <c r="D108" s="142" t="s">
        <v>870</v>
      </c>
      <c r="E108" s="149" t="s">
        <v>83</v>
      </c>
      <c r="F108" s="542">
        <v>-11536</v>
      </c>
      <c r="G108" s="542">
        <v>0</v>
      </c>
      <c r="H108" s="542">
        <v>-11536</v>
      </c>
      <c r="I108" s="542">
        <v>7001</v>
      </c>
      <c r="J108" s="542">
        <v>0</v>
      </c>
      <c r="K108" s="542">
        <v>7001</v>
      </c>
      <c r="L108" s="542">
        <v>13650</v>
      </c>
      <c r="M108" s="542">
        <v>0</v>
      </c>
      <c r="N108" s="542">
        <v>13650</v>
      </c>
      <c r="O108" s="542">
        <v>6000</v>
      </c>
      <c r="P108" s="542">
        <v>0</v>
      </c>
      <c r="Q108" s="542">
        <v>6000</v>
      </c>
      <c r="R108" s="542">
        <v>15115</v>
      </c>
      <c r="S108" s="542">
        <v>0</v>
      </c>
      <c r="T108" s="542">
        <v>15115</v>
      </c>
      <c r="U108" s="542">
        <v>-1322561</v>
      </c>
      <c r="V108" s="542">
        <v>0</v>
      </c>
      <c r="W108" s="542">
        <v>-1322561</v>
      </c>
      <c r="X108" s="542">
        <v>0</v>
      </c>
      <c r="Y108" s="542">
        <v>0</v>
      </c>
      <c r="Z108" s="542">
        <v>0</v>
      </c>
      <c r="AA108" s="542">
        <v>-24216</v>
      </c>
      <c r="AB108" s="542">
        <v>0</v>
      </c>
      <c r="AC108" s="542">
        <v>-24216</v>
      </c>
      <c r="AD108" s="542">
        <v>-14498</v>
      </c>
      <c r="AE108" s="542">
        <v>0</v>
      </c>
      <c r="AF108" s="542">
        <v>-14498</v>
      </c>
      <c r="AG108" s="542">
        <v>487623</v>
      </c>
      <c r="AH108" s="542">
        <v>0</v>
      </c>
      <c r="AI108" s="542">
        <v>487623</v>
      </c>
      <c r="AJ108" s="542">
        <v>-1551</v>
      </c>
      <c r="AK108" s="542">
        <v>0</v>
      </c>
      <c r="AL108" s="542">
        <v>-1551</v>
      </c>
      <c r="AM108" s="542">
        <v>-1027234</v>
      </c>
      <c r="AN108" s="542">
        <v>0</v>
      </c>
      <c r="AO108" s="542">
        <v>-1027234</v>
      </c>
      <c r="AP108" s="542">
        <v>-1837</v>
      </c>
      <c r="AQ108" s="542">
        <v>0</v>
      </c>
      <c r="AR108" s="542">
        <v>-1837</v>
      </c>
      <c r="AS108" s="542">
        <v>-10602</v>
      </c>
      <c r="AT108" s="542">
        <v>0</v>
      </c>
      <c r="AU108" s="542">
        <v>-10602</v>
      </c>
      <c r="AV108" s="542">
        <v>0</v>
      </c>
      <c r="AW108" s="542">
        <v>0</v>
      </c>
      <c r="AX108" s="542">
        <v>0</v>
      </c>
      <c r="AY108" s="542">
        <v>-16948</v>
      </c>
      <c r="AZ108" s="542">
        <v>0</v>
      </c>
      <c r="BA108" s="542">
        <v>-16948</v>
      </c>
      <c r="BB108" s="542">
        <v>998</v>
      </c>
      <c r="BC108" s="542">
        <v>0</v>
      </c>
      <c r="BD108" s="542">
        <v>998</v>
      </c>
      <c r="BE108" s="542">
        <v>-1916328</v>
      </c>
      <c r="BF108" s="542">
        <v>0</v>
      </c>
      <c r="BG108" s="542">
        <v>-1916328</v>
      </c>
      <c r="BH108" s="542">
        <v>-48539</v>
      </c>
      <c r="BI108" s="542">
        <v>0</v>
      </c>
      <c r="BJ108" s="542">
        <v>-48539</v>
      </c>
      <c r="BK108" s="542">
        <v>-1010</v>
      </c>
      <c r="BL108" s="542">
        <v>0</v>
      </c>
      <c r="BM108" s="542">
        <v>-1010</v>
      </c>
      <c r="BN108" s="542">
        <v>-493491</v>
      </c>
      <c r="BO108" s="542">
        <v>0</v>
      </c>
      <c r="BP108" s="542">
        <v>-493491</v>
      </c>
      <c r="BQ108" s="542">
        <v>1391</v>
      </c>
      <c r="BR108" s="542">
        <v>0</v>
      </c>
      <c r="BS108" s="542">
        <v>1391</v>
      </c>
      <c r="BT108" s="542">
        <v>-541649</v>
      </c>
      <c r="BU108" s="542">
        <v>0</v>
      </c>
      <c r="BV108" s="542">
        <v>-541649</v>
      </c>
      <c r="BW108" s="542">
        <v>-15079</v>
      </c>
      <c r="BX108" s="542">
        <v>0</v>
      </c>
      <c r="BY108" s="542">
        <v>-15079</v>
      </c>
      <c r="BZ108" s="542">
        <v>-133</v>
      </c>
      <c r="CA108" s="542">
        <v>0</v>
      </c>
      <c r="CB108" s="542">
        <v>-133</v>
      </c>
      <c r="CC108" s="542">
        <v>-619</v>
      </c>
      <c r="CD108" s="542">
        <v>0</v>
      </c>
      <c r="CE108" s="542">
        <v>-619</v>
      </c>
      <c r="CF108" s="542">
        <v>0</v>
      </c>
      <c r="CG108" s="542">
        <v>0</v>
      </c>
      <c r="CH108" s="542">
        <v>0</v>
      </c>
      <c r="CI108" s="542">
        <v>-561</v>
      </c>
      <c r="CJ108" s="542">
        <v>0</v>
      </c>
      <c r="CK108" s="542">
        <v>-561</v>
      </c>
      <c r="CL108" s="542">
        <v>0</v>
      </c>
      <c r="CM108" s="542">
        <v>0</v>
      </c>
      <c r="CN108" s="542">
        <v>0</v>
      </c>
      <c r="CO108" s="542">
        <v>-4091</v>
      </c>
      <c r="CP108" s="542">
        <v>0</v>
      </c>
      <c r="CQ108" s="542">
        <v>-4091</v>
      </c>
      <c r="CR108" s="542">
        <v>0</v>
      </c>
      <c r="CS108" s="542">
        <v>0</v>
      </c>
      <c r="CT108" s="542">
        <v>0</v>
      </c>
      <c r="CU108" s="542">
        <v>0</v>
      </c>
      <c r="CV108" s="542">
        <v>0</v>
      </c>
      <c r="CW108" s="542">
        <v>0</v>
      </c>
      <c r="CX108" s="542">
        <v>0</v>
      </c>
      <c r="CY108" s="542">
        <v>0</v>
      </c>
      <c r="CZ108" s="542">
        <v>0</v>
      </c>
      <c r="DA108" s="542">
        <v>0</v>
      </c>
      <c r="DB108" s="542">
        <v>0</v>
      </c>
      <c r="DC108" s="542">
        <v>0</v>
      </c>
      <c r="DD108" s="542">
        <v>0</v>
      </c>
      <c r="DE108" s="542">
        <v>0</v>
      </c>
      <c r="DF108" s="542">
        <v>0</v>
      </c>
      <c r="DG108" s="542"/>
      <c r="DH108" s="542">
        <v>0</v>
      </c>
      <c r="DI108" s="542"/>
      <c r="DJ108" s="542">
        <v>0</v>
      </c>
      <c r="DK108" s="542"/>
      <c r="DL108" s="542"/>
      <c r="DM108" s="542">
        <v>-20483</v>
      </c>
      <c r="DN108" s="542">
        <v>0</v>
      </c>
      <c r="DO108" s="542">
        <v>-20483</v>
      </c>
      <c r="DP108" s="542">
        <v>0</v>
      </c>
      <c r="DQ108" s="542">
        <v>0</v>
      </c>
      <c r="DR108" s="542">
        <v>0</v>
      </c>
      <c r="DS108" s="542">
        <v>0</v>
      </c>
      <c r="DT108" s="542">
        <v>0</v>
      </c>
      <c r="DU108" s="542">
        <v>0</v>
      </c>
      <c r="DV108" s="542">
        <v>-3437</v>
      </c>
      <c r="DW108" s="542">
        <v>0</v>
      </c>
      <c r="DX108" s="542">
        <v>-3437</v>
      </c>
      <c r="DY108" s="542">
        <v>-244842</v>
      </c>
      <c r="DZ108" s="542">
        <v>0</v>
      </c>
      <c r="EA108" s="542">
        <v>-244842</v>
      </c>
      <c r="EB108" s="542">
        <v>0</v>
      </c>
      <c r="EC108" s="542">
        <v>0</v>
      </c>
      <c r="ED108" s="542">
        <v>0</v>
      </c>
      <c r="EE108" s="542">
        <v>0</v>
      </c>
      <c r="EF108" s="542">
        <v>0</v>
      </c>
      <c r="EG108" s="542">
        <v>0</v>
      </c>
      <c r="EH108" s="542">
        <v>-248279</v>
      </c>
      <c r="EI108" s="542">
        <v>0</v>
      </c>
      <c r="EJ108" s="542">
        <v>-248279</v>
      </c>
      <c r="EK108" s="542">
        <v>0</v>
      </c>
      <c r="EL108" s="542">
        <v>0</v>
      </c>
      <c r="EM108" s="542">
        <v>0</v>
      </c>
      <c r="EN108" s="542">
        <v>0</v>
      </c>
      <c r="EO108" s="542">
        <v>0</v>
      </c>
      <c r="EP108" s="542">
        <v>0</v>
      </c>
      <c r="EQ108" s="542">
        <v>0</v>
      </c>
      <c r="ER108" s="542">
        <v>0</v>
      </c>
      <c r="ES108" s="542">
        <v>0</v>
      </c>
      <c r="ET108" s="542">
        <v>24910391</v>
      </c>
      <c r="EU108" s="542">
        <v>0</v>
      </c>
      <c r="EV108" s="542">
        <v>24910391</v>
      </c>
      <c r="EW108" s="542">
        <v>15115</v>
      </c>
      <c r="EX108" s="542">
        <v>0</v>
      </c>
      <c r="EY108" s="542">
        <v>15115</v>
      </c>
      <c r="EZ108" s="542">
        <v>-1916328</v>
      </c>
      <c r="FA108" s="542">
        <v>0</v>
      </c>
      <c r="FB108" s="542">
        <v>-1916328</v>
      </c>
      <c r="FC108" s="542">
        <v>-541649</v>
      </c>
      <c r="FD108" s="542">
        <v>0</v>
      </c>
      <c r="FE108" s="542">
        <v>-541649</v>
      </c>
      <c r="FF108" s="542">
        <v>-20483</v>
      </c>
      <c r="FG108" s="542">
        <v>0</v>
      </c>
      <c r="FH108" s="542">
        <v>-20483</v>
      </c>
      <c r="FI108" s="542">
        <v>-248279</v>
      </c>
      <c r="FJ108" s="542">
        <v>0</v>
      </c>
      <c r="FK108" s="542">
        <v>-248279</v>
      </c>
      <c r="FL108" s="542">
        <v>0</v>
      </c>
      <c r="FM108" s="542">
        <v>0</v>
      </c>
      <c r="FN108" s="542">
        <v>0</v>
      </c>
      <c r="FO108" s="542">
        <v>-2711624</v>
      </c>
      <c r="FP108" s="542">
        <v>0</v>
      </c>
      <c r="FQ108" s="542">
        <v>-2711624</v>
      </c>
      <c r="FR108" s="542">
        <v>22198767</v>
      </c>
      <c r="FS108" s="542">
        <v>0</v>
      </c>
      <c r="FT108" s="542">
        <v>22198767</v>
      </c>
    </row>
    <row r="109" spans="1:176" ht="12.75" x14ac:dyDescent="0.2">
      <c r="A109" s="93">
        <v>104</v>
      </c>
      <c r="B109" s="145" t="s">
        <v>86</v>
      </c>
      <c r="C109" s="604" t="s">
        <v>866</v>
      </c>
      <c r="D109" s="142" t="s">
        <v>875</v>
      </c>
      <c r="E109" s="149" t="s">
        <v>85</v>
      </c>
      <c r="F109" s="542">
        <v>-60772</v>
      </c>
      <c r="G109" s="542">
        <v>0</v>
      </c>
      <c r="H109" s="542">
        <v>-60772</v>
      </c>
      <c r="I109" s="542">
        <v>-31993</v>
      </c>
      <c r="J109" s="542">
        <v>0</v>
      </c>
      <c r="K109" s="542">
        <v>-31993</v>
      </c>
      <c r="L109" s="542">
        <v>0</v>
      </c>
      <c r="M109" s="542">
        <v>0</v>
      </c>
      <c r="N109" s="542">
        <v>0</v>
      </c>
      <c r="O109" s="542">
        <v>13320</v>
      </c>
      <c r="P109" s="542">
        <v>0</v>
      </c>
      <c r="Q109" s="542">
        <v>13320</v>
      </c>
      <c r="R109" s="542">
        <v>-79445</v>
      </c>
      <c r="S109" s="542">
        <v>0</v>
      </c>
      <c r="T109" s="542">
        <v>-79445</v>
      </c>
      <c r="U109" s="542">
        <v>-2211899</v>
      </c>
      <c r="V109" s="542">
        <v>0</v>
      </c>
      <c r="W109" s="542">
        <v>-2211899</v>
      </c>
      <c r="X109" s="542">
        <v>-7495</v>
      </c>
      <c r="Y109" s="542">
        <v>0</v>
      </c>
      <c r="Z109" s="542">
        <v>-7495</v>
      </c>
      <c r="AA109" s="542">
        <v>-140021</v>
      </c>
      <c r="AB109" s="542">
        <v>0</v>
      </c>
      <c r="AC109" s="542">
        <v>-140021</v>
      </c>
      <c r="AD109" s="542">
        <v>-66466</v>
      </c>
      <c r="AE109" s="542">
        <v>0</v>
      </c>
      <c r="AF109" s="542">
        <v>-66466</v>
      </c>
      <c r="AG109" s="542">
        <v>265858</v>
      </c>
      <c r="AH109" s="542">
        <v>0</v>
      </c>
      <c r="AI109" s="542">
        <v>265858</v>
      </c>
      <c r="AJ109" s="542">
        <v>-1852</v>
      </c>
      <c r="AK109" s="542">
        <v>0</v>
      </c>
      <c r="AL109" s="542">
        <v>-1852</v>
      </c>
      <c r="AM109" s="542">
        <v>-1493883</v>
      </c>
      <c r="AN109" s="542">
        <v>0</v>
      </c>
      <c r="AO109" s="542">
        <v>-1493883</v>
      </c>
      <c r="AP109" s="542">
        <v>8494</v>
      </c>
      <c r="AQ109" s="542">
        <v>0</v>
      </c>
      <c r="AR109" s="542">
        <v>8494</v>
      </c>
      <c r="AS109" s="542">
        <v>-3914</v>
      </c>
      <c r="AT109" s="542">
        <v>0</v>
      </c>
      <c r="AU109" s="542">
        <v>-3914</v>
      </c>
      <c r="AV109" s="542">
        <v>0</v>
      </c>
      <c r="AW109" s="542">
        <v>0</v>
      </c>
      <c r="AX109" s="542">
        <v>0</v>
      </c>
      <c r="AY109" s="542">
        <v>-48660</v>
      </c>
      <c r="AZ109" s="542">
        <v>0</v>
      </c>
      <c r="BA109" s="542">
        <v>-48660</v>
      </c>
      <c r="BB109" s="542">
        <v>1117</v>
      </c>
      <c r="BC109" s="542">
        <v>0</v>
      </c>
      <c r="BD109" s="542">
        <v>1117</v>
      </c>
      <c r="BE109" s="542">
        <v>-3624760</v>
      </c>
      <c r="BF109" s="542">
        <v>0</v>
      </c>
      <c r="BG109" s="542">
        <v>-3624760</v>
      </c>
      <c r="BH109" s="542">
        <v>-21624</v>
      </c>
      <c r="BI109" s="542">
        <v>0</v>
      </c>
      <c r="BJ109" s="542">
        <v>-21624</v>
      </c>
      <c r="BK109" s="542">
        <v>-3635</v>
      </c>
      <c r="BL109" s="542">
        <v>0</v>
      </c>
      <c r="BM109" s="542">
        <v>-3635</v>
      </c>
      <c r="BN109" s="542">
        <v>-429783</v>
      </c>
      <c r="BO109" s="542">
        <v>0</v>
      </c>
      <c r="BP109" s="542">
        <v>-429783</v>
      </c>
      <c r="BQ109" s="542">
        <v>-14421</v>
      </c>
      <c r="BR109" s="542">
        <v>0</v>
      </c>
      <c r="BS109" s="542">
        <v>-14421</v>
      </c>
      <c r="BT109" s="542">
        <v>-469463</v>
      </c>
      <c r="BU109" s="542">
        <v>0</v>
      </c>
      <c r="BV109" s="542">
        <v>-469463</v>
      </c>
      <c r="BW109" s="542">
        <v>-56890</v>
      </c>
      <c r="BX109" s="542">
        <v>0</v>
      </c>
      <c r="BY109" s="542">
        <v>-56890</v>
      </c>
      <c r="BZ109" s="542">
        <v>3162</v>
      </c>
      <c r="CA109" s="542">
        <v>0</v>
      </c>
      <c r="CB109" s="542">
        <v>3162</v>
      </c>
      <c r="CC109" s="542">
        <v>-53148</v>
      </c>
      <c r="CD109" s="542">
        <v>0</v>
      </c>
      <c r="CE109" s="542">
        <v>-53148</v>
      </c>
      <c r="CF109" s="542">
        <v>22855</v>
      </c>
      <c r="CG109" s="542">
        <v>0</v>
      </c>
      <c r="CH109" s="542">
        <v>22855</v>
      </c>
      <c r="CI109" s="542">
        <v>-669</v>
      </c>
      <c r="CJ109" s="542">
        <v>0</v>
      </c>
      <c r="CK109" s="542">
        <v>-669</v>
      </c>
      <c r="CL109" s="542">
        <v>0</v>
      </c>
      <c r="CM109" s="542">
        <v>0</v>
      </c>
      <c r="CN109" s="542">
        <v>0</v>
      </c>
      <c r="CO109" s="542">
        <v>-44600</v>
      </c>
      <c r="CP109" s="542">
        <v>0</v>
      </c>
      <c r="CQ109" s="542">
        <v>-44600</v>
      </c>
      <c r="CR109" s="542">
        <v>2503</v>
      </c>
      <c r="CS109" s="542">
        <v>0</v>
      </c>
      <c r="CT109" s="542">
        <v>2503</v>
      </c>
      <c r="CU109" s="542">
        <v>0</v>
      </c>
      <c r="CV109" s="542">
        <v>0</v>
      </c>
      <c r="CW109" s="542">
        <v>0</v>
      </c>
      <c r="CX109" s="542">
        <v>0</v>
      </c>
      <c r="CY109" s="542">
        <v>0</v>
      </c>
      <c r="CZ109" s="542">
        <v>0</v>
      </c>
      <c r="DA109" s="542">
        <v>0</v>
      </c>
      <c r="DB109" s="542">
        <v>0</v>
      </c>
      <c r="DC109" s="542">
        <v>0</v>
      </c>
      <c r="DD109" s="542">
        <v>0</v>
      </c>
      <c r="DE109" s="542">
        <v>0</v>
      </c>
      <c r="DF109" s="542">
        <v>0</v>
      </c>
      <c r="DG109" s="542"/>
      <c r="DH109" s="542">
        <v>0</v>
      </c>
      <c r="DI109" s="542"/>
      <c r="DJ109" s="542">
        <v>0</v>
      </c>
      <c r="DK109" s="542"/>
      <c r="DL109" s="542"/>
      <c r="DM109" s="542">
        <v>-126787</v>
      </c>
      <c r="DN109" s="542">
        <v>0</v>
      </c>
      <c r="DO109" s="542">
        <v>-126787</v>
      </c>
      <c r="DP109" s="542">
        <v>0</v>
      </c>
      <c r="DQ109" s="542">
        <v>0</v>
      </c>
      <c r="DR109" s="542">
        <v>0</v>
      </c>
      <c r="DS109" s="542">
        <v>0</v>
      </c>
      <c r="DT109" s="542">
        <v>0</v>
      </c>
      <c r="DU109" s="542">
        <v>0</v>
      </c>
      <c r="DV109" s="542">
        <v>-3611</v>
      </c>
      <c r="DW109" s="542">
        <v>0</v>
      </c>
      <c r="DX109" s="542">
        <v>-3611</v>
      </c>
      <c r="DY109" s="542">
        <v>-177834</v>
      </c>
      <c r="DZ109" s="542">
        <v>0</v>
      </c>
      <c r="EA109" s="542">
        <v>-177834</v>
      </c>
      <c r="EB109" s="542">
        <v>-284</v>
      </c>
      <c r="EC109" s="542">
        <v>0</v>
      </c>
      <c r="ED109" s="542">
        <v>-284</v>
      </c>
      <c r="EE109" s="542">
        <v>0</v>
      </c>
      <c r="EF109" s="542">
        <v>0</v>
      </c>
      <c r="EG109" s="542">
        <v>0</v>
      </c>
      <c r="EH109" s="542">
        <v>-181729</v>
      </c>
      <c r="EI109" s="542">
        <v>0</v>
      </c>
      <c r="EJ109" s="542">
        <v>-181729</v>
      </c>
      <c r="EK109" s="542">
        <v>0</v>
      </c>
      <c r="EL109" s="542">
        <v>0</v>
      </c>
      <c r="EM109" s="542">
        <v>0</v>
      </c>
      <c r="EN109" s="542">
        <v>-1233</v>
      </c>
      <c r="EO109" s="542">
        <v>0</v>
      </c>
      <c r="EP109" s="542">
        <v>-1233</v>
      </c>
      <c r="EQ109" s="542">
        <v>-1233</v>
      </c>
      <c r="ER109" s="542">
        <v>0</v>
      </c>
      <c r="ES109" s="542">
        <v>-1233</v>
      </c>
      <c r="ET109" s="542">
        <v>16179057</v>
      </c>
      <c r="EU109" s="542">
        <v>0</v>
      </c>
      <c r="EV109" s="542">
        <v>16179057</v>
      </c>
      <c r="EW109" s="542">
        <v>-79445</v>
      </c>
      <c r="EX109" s="542">
        <v>0</v>
      </c>
      <c r="EY109" s="542">
        <v>-79445</v>
      </c>
      <c r="EZ109" s="542">
        <v>-3624760</v>
      </c>
      <c r="FA109" s="542">
        <v>0</v>
      </c>
      <c r="FB109" s="542">
        <v>-3624760</v>
      </c>
      <c r="FC109" s="542">
        <v>-469463</v>
      </c>
      <c r="FD109" s="542">
        <v>0</v>
      </c>
      <c r="FE109" s="542">
        <v>-469463</v>
      </c>
      <c r="FF109" s="542">
        <v>-126787</v>
      </c>
      <c r="FG109" s="542">
        <v>0</v>
      </c>
      <c r="FH109" s="542">
        <v>-126787</v>
      </c>
      <c r="FI109" s="542">
        <v>-181729</v>
      </c>
      <c r="FJ109" s="542">
        <v>0</v>
      </c>
      <c r="FK109" s="542">
        <v>-181729</v>
      </c>
      <c r="FL109" s="542">
        <v>-1233</v>
      </c>
      <c r="FM109" s="542">
        <v>0</v>
      </c>
      <c r="FN109" s="542">
        <v>-1233</v>
      </c>
      <c r="FO109" s="542">
        <v>-4483417</v>
      </c>
      <c r="FP109" s="542">
        <v>0</v>
      </c>
      <c r="FQ109" s="542">
        <v>-4483417</v>
      </c>
      <c r="FR109" s="542">
        <v>11695640</v>
      </c>
      <c r="FS109" s="542">
        <v>0</v>
      </c>
      <c r="FT109" s="542">
        <v>11695640</v>
      </c>
    </row>
    <row r="110" spans="1:176" ht="12.75" x14ac:dyDescent="0.2">
      <c r="A110" s="93">
        <v>105</v>
      </c>
      <c r="B110" s="145" t="s">
        <v>88</v>
      </c>
      <c r="C110" s="604" t="s">
        <v>866</v>
      </c>
      <c r="D110" s="142" t="s">
        <v>868</v>
      </c>
      <c r="E110" s="149" t="s">
        <v>87</v>
      </c>
      <c r="F110" s="542">
        <v>-88798</v>
      </c>
      <c r="G110" s="542">
        <v>0</v>
      </c>
      <c r="H110" s="542">
        <v>-88798</v>
      </c>
      <c r="I110" s="542">
        <v>11877</v>
      </c>
      <c r="J110" s="542">
        <v>0</v>
      </c>
      <c r="K110" s="542">
        <v>11877</v>
      </c>
      <c r="L110" s="542">
        <v>5243</v>
      </c>
      <c r="M110" s="542">
        <v>0</v>
      </c>
      <c r="N110" s="542">
        <v>5243</v>
      </c>
      <c r="O110" s="542">
        <v>11084</v>
      </c>
      <c r="P110" s="542">
        <v>0</v>
      </c>
      <c r="Q110" s="542">
        <v>11084</v>
      </c>
      <c r="R110" s="542">
        <v>-60594</v>
      </c>
      <c r="S110" s="542">
        <v>0</v>
      </c>
      <c r="T110" s="542">
        <v>-60594</v>
      </c>
      <c r="U110" s="542">
        <v>-2018581</v>
      </c>
      <c r="V110" s="542">
        <v>0</v>
      </c>
      <c r="W110" s="542">
        <v>-2018581</v>
      </c>
      <c r="X110" s="542">
        <v>0</v>
      </c>
      <c r="Y110" s="542">
        <v>0</v>
      </c>
      <c r="Z110" s="542">
        <v>0</v>
      </c>
      <c r="AA110" s="542">
        <v>-107500</v>
      </c>
      <c r="AB110" s="542">
        <v>0</v>
      </c>
      <c r="AC110" s="542">
        <v>-107500</v>
      </c>
      <c r="AD110" s="542">
        <v>-42750</v>
      </c>
      <c r="AE110" s="542">
        <v>0</v>
      </c>
      <c r="AF110" s="542">
        <v>-42750</v>
      </c>
      <c r="AG110" s="542">
        <v>510951</v>
      </c>
      <c r="AH110" s="542">
        <v>44024</v>
      </c>
      <c r="AI110" s="542">
        <v>554975</v>
      </c>
      <c r="AJ110" s="542">
        <v>-3643</v>
      </c>
      <c r="AK110" s="542">
        <v>0</v>
      </c>
      <c r="AL110" s="542">
        <v>-3643</v>
      </c>
      <c r="AM110" s="542">
        <v>-1175386</v>
      </c>
      <c r="AN110" s="542">
        <v>0</v>
      </c>
      <c r="AO110" s="542">
        <v>-1175386</v>
      </c>
      <c r="AP110" s="542">
        <v>-53102</v>
      </c>
      <c r="AQ110" s="542">
        <v>0</v>
      </c>
      <c r="AR110" s="542">
        <v>-53102</v>
      </c>
      <c r="AS110" s="542">
        <v>-6422</v>
      </c>
      <c r="AT110" s="542">
        <v>0</v>
      </c>
      <c r="AU110" s="542">
        <v>-6422</v>
      </c>
      <c r="AV110" s="542">
        <v>0</v>
      </c>
      <c r="AW110" s="542">
        <v>0</v>
      </c>
      <c r="AX110" s="542">
        <v>0</v>
      </c>
      <c r="AY110" s="542">
        <v>-7222</v>
      </c>
      <c r="AZ110" s="542">
        <v>0</v>
      </c>
      <c r="BA110" s="542">
        <v>-7222</v>
      </c>
      <c r="BB110" s="542">
        <v>-4669</v>
      </c>
      <c r="BC110" s="542">
        <v>0</v>
      </c>
      <c r="BD110" s="542">
        <v>-4669</v>
      </c>
      <c r="BE110" s="542">
        <v>-2865574</v>
      </c>
      <c r="BF110" s="542">
        <v>44024</v>
      </c>
      <c r="BG110" s="542">
        <v>-2821550</v>
      </c>
      <c r="BH110" s="542">
        <v>0</v>
      </c>
      <c r="BI110" s="542">
        <v>0</v>
      </c>
      <c r="BJ110" s="542">
        <v>0</v>
      </c>
      <c r="BK110" s="542">
        <v>0</v>
      </c>
      <c r="BL110" s="542">
        <v>0</v>
      </c>
      <c r="BM110" s="542">
        <v>0</v>
      </c>
      <c r="BN110" s="542">
        <v>-624113</v>
      </c>
      <c r="BO110" s="542">
        <v>-5904</v>
      </c>
      <c r="BP110" s="542">
        <v>-630017</v>
      </c>
      <c r="BQ110" s="542">
        <v>65</v>
      </c>
      <c r="BR110" s="542">
        <v>0</v>
      </c>
      <c r="BS110" s="542">
        <v>65</v>
      </c>
      <c r="BT110" s="542">
        <v>-624048</v>
      </c>
      <c r="BU110" s="542">
        <v>-5904</v>
      </c>
      <c r="BV110" s="542">
        <v>-629952</v>
      </c>
      <c r="BW110" s="542">
        <v>-57072</v>
      </c>
      <c r="BX110" s="542">
        <v>0</v>
      </c>
      <c r="BY110" s="542">
        <v>-57072</v>
      </c>
      <c r="BZ110" s="542">
        <v>0</v>
      </c>
      <c r="CA110" s="542">
        <v>0</v>
      </c>
      <c r="CB110" s="542">
        <v>0</v>
      </c>
      <c r="CC110" s="542">
        <v>-21816</v>
      </c>
      <c r="CD110" s="542">
        <v>0</v>
      </c>
      <c r="CE110" s="542">
        <v>-21816</v>
      </c>
      <c r="CF110" s="542">
        <v>1</v>
      </c>
      <c r="CG110" s="542">
        <v>0</v>
      </c>
      <c r="CH110" s="542">
        <v>1</v>
      </c>
      <c r="CI110" s="542">
        <v>-892</v>
      </c>
      <c r="CJ110" s="542">
        <v>0</v>
      </c>
      <c r="CK110" s="542">
        <v>-892</v>
      </c>
      <c r="CL110" s="542">
        <v>0</v>
      </c>
      <c r="CM110" s="542">
        <v>0</v>
      </c>
      <c r="CN110" s="542">
        <v>0</v>
      </c>
      <c r="CO110" s="542">
        <v>-6930</v>
      </c>
      <c r="CP110" s="542">
        <v>0</v>
      </c>
      <c r="CQ110" s="542">
        <v>-6930</v>
      </c>
      <c r="CR110" s="542">
        <v>-4669</v>
      </c>
      <c r="CS110" s="542">
        <v>0</v>
      </c>
      <c r="CT110" s="542">
        <v>-4669</v>
      </c>
      <c r="CU110" s="542">
        <v>-565</v>
      </c>
      <c r="CV110" s="542">
        <v>0</v>
      </c>
      <c r="CW110" s="542">
        <v>-565</v>
      </c>
      <c r="CX110" s="542">
        <v>9295</v>
      </c>
      <c r="CY110" s="542">
        <v>0</v>
      </c>
      <c r="CZ110" s="542">
        <v>9295</v>
      </c>
      <c r="DA110" s="542">
        <v>0</v>
      </c>
      <c r="DB110" s="542">
        <v>0</v>
      </c>
      <c r="DC110" s="542">
        <v>0</v>
      </c>
      <c r="DD110" s="542">
        <v>0</v>
      </c>
      <c r="DE110" s="542">
        <v>0</v>
      </c>
      <c r="DF110" s="542">
        <v>0</v>
      </c>
      <c r="DG110" s="542"/>
      <c r="DH110" s="542">
        <v>0</v>
      </c>
      <c r="DI110" s="542"/>
      <c r="DJ110" s="542">
        <v>0</v>
      </c>
      <c r="DK110" s="542"/>
      <c r="DL110" s="542"/>
      <c r="DM110" s="542">
        <v>-82648</v>
      </c>
      <c r="DN110" s="542">
        <v>0</v>
      </c>
      <c r="DO110" s="542">
        <v>-82648</v>
      </c>
      <c r="DP110" s="542">
        <v>-11310</v>
      </c>
      <c r="DQ110" s="542">
        <v>0</v>
      </c>
      <c r="DR110" s="542">
        <v>-11310</v>
      </c>
      <c r="DS110" s="542">
        <v>0</v>
      </c>
      <c r="DT110" s="542">
        <v>0</v>
      </c>
      <c r="DU110" s="542">
        <v>0</v>
      </c>
      <c r="DV110" s="542">
        <v>-12854</v>
      </c>
      <c r="DW110" s="542">
        <v>0</v>
      </c>
      <c r="DX110" s="542">
        <v>-12854</v>
      </c>
      <c r="DY110" s="542">
        <v>-339083</v>
      </c>
      <c r="DZ110" s="542">
        <v>0</v>
      </c>
      <c r="EA110" s="542">
        <v>-339083</v>
      </c>
      <c r="EB110" s="542">
        <v>0</v>
      </c>
      <c r="EC110" s="542">
        <v>0</v>
      </c>
      <c r="ED110" s="542">
        <v>0</v>
      </c>
      <c r="EE110" s="542">
        <v>0</v>
      </c>
      <c r="EF110" s="542">
        <v>0</v>
      </c>
      <c r="EG110" s="542">
        <v>0</v>
      </c>
      <c r="EH110" s="542">
        <v>-363247</v>
      </c>
      <c r="EI110" s="542">
        <v>0</v>
      </c>
      <c r="EJ110" s="542">
        <v>-363247</v>
      </c>
      <c r="EK110" s="542">
        <v>0</v>
      </c>
      <c r="EL110" s="542">
        <v>0</v>
      </c>
      <c r="EM110" s="542">
        <v>0</v>
      </c>
      <c r="EN110" s="542">
        <v>0</v>
      </c>
      <c r="EO110" s="542">
        <v>0</v>
      </c>
      <c r="EP110" s="542">
        <v>0</v>
      </c>
      <c r="EQ110" s="542">
        <v>0</v>
      </c>
      <c r="ER110" s="542">
        <v>0</v>
      </c>
      <c r="ES110" s="542">
        <v>0</v>
      </c>
      <c r="ET110" s="542">
        <v>26765485</v>
      </c>
      <c r="EU110" s="542">
        <v>1885059</v>
      </c>
      <c r="EV110" s="542">
        <v>28650544</v>
      </c>
      <c r="EW110" s="542">
        <v>-60594</v>
      </c>
      <c r="EX110" s="542">
        <v>0</v>
      </c>
      <c r="EY110" s="542">
        <v>-60594</v>
      </c>
      <c r="EZ110" s="542">
        <v>-2865574</v>
      </c>
      <c r="FA110" s="542">
        <v>44024</v>
      </c>
      <c r="FB110" s="542">
        <v>-2821550</v>
      </c>
      <c r="FC110" s="542">
        <v>-624048</v>
      </c>
      <c r="FD110" s="542">
        <v>-5904</v>
      </c>
      <c r="FE110" s="542">
        <v>-629952</v>
      </c>
      <c r="FF110" s="542">
        <v>-82648</v>
      </c>
      <c r="FG110" s="542">
        <v>0</v>
      </c>
      <c r="FH110" s="542">
        <v>-82648</v>
      </c>
      <c r="FI110" s="542">
        <v>-363247</v>
      </c>
      <c r="FJ110" s="542">
        <v>0</v>
      </c>
      <c r="FK110" s="542">
        <v>-363247</v>
      </c>
      <c r="FL110" s="542">
        <v>0</v>
      </c>
      <c r="FM110" s="542">
        <v>0</v>
      </c>
      <c r="FN110" s="542">
        <v>0</v>
      </c>
      <c r="FO110" s="542">
        <v>-3996111</v>
      </c>
      <c r="FP110" s="542">
        <v>38120</v>
      </c>
      <c r="FQ110" s="542">
        <v>-3957991</v>
      </c>
      <c r="FR110" s="542">
        <v>22769374</v>
      </c>
      <c r="FS110" s="542">
        <v>1923179</v>
      </c>
      <c r="FT110" s="542">
        <v>24692553</v>
      </c>
    </row>
    <row r="111" spans="1:176" ht="12.75" x14ac:dyDescent="0.2">
      <c r="A111" s="93">
        <v>106</v>
      </c>
      <c r="B111" s="145" t="s">
        <v>90</v>
      </c>
      <c r="C111" s="604" t="s">
        <v>873</v>
      </c>
      <c r="D111" s="142" t="s">
        <v>878</v>
      </c>
      <c r="E111" s="149" t="s">
        <v>89</v>
      </c>
      <c r="F111" s="542">
        <v>-101729</v>
      </c>
      <c r="G111" s="542">
        <v>0</v>
      </c>
      <c r="H111" s="542">
        <v>-101729</v>
      </c>
      <c r="I111" s="542">
        <v>335950.9</v>
      </c>
      <c r="J111" s="542">
        <v>0</v>
      </c>
      <c r="K111" s="542">
        <v>335950.9</v>
      </c>
      <c r="L111" s="542">
        <v>28951</v>
      </c>
      <c r="M111" s="542">
        <v>0</v>
      </c>
      <c r="N111" s="542">
        <v>28951</v>
      </c>
      <c r="O111" s="542">
        <v>1065965</v>
      </c>
      <c r="P111" s="542">
        <v>6105</v>
      </c>
      <c r="Q111" s="542">
        <v>1072070</v>
      </c>
      <c r="R111" s="542">
        <v>1329138</v>
      </c>
      <c r="S111" s="542">
        <v>6105</v>
      </c>
      <c r="T111" s="542">
        <v>1335243</v>
      </c>
      <c r="U111" s="542">
        <v>-3733658</v>
      </c>
      <c r="V111" s="542">
        <v>-46589</v>
      </c>
      <c r="W111" s="542">
        <v>-3780247</v>
      </c>
      <c r="X111" s="542">
        <v>-1325</v>
      </c>
      <c r="Y111" s="542">
        <v>0</v>
      </c>
      <c r="Z111" s="542">
        <v>-1325</v>
      </c>
      <c r="AA111" s="542">
        <v>-140381</v>
      </c>
      <c r="AB111" s="542">
        <v>535</v>
      </c>
      <c r="AC111" s="542">
        <v>-139846</v>
      </c>
      <c r="AD111" s="542">
        <v>-75482</v>
      </c>
      <c r="AE111" s="542">
        <v>0</v>
      </c>
      <c r="AF111" s="542">
        <v>-75482</v>
      </c>
      <c r="AG111" s="542">
        <v>2104237</v>
      </c>
      <c r="AH111" s="542">
        <v>46654</v>
      </c>
      <c r="AI111" s="542">
        <v>2150891</v>
      </c>
      <c r="AJ111" s="542">
        <v>-36078</v>
      </c>
      <c r="AK111" s="542">
        <v>-402</v>
      </c>
      <c r="AL111" s="542">
        <v>-36480</v>
      </c>
      <c r="AM111" s="542">
        <v>-3063234</v>
      </c>
      <c r="AN111" s="542">
        <v>-727087</v>
      </c>
      <c r="AO111" s="542">
        <v>-3790321</v>
      </c>
      <c r="AP111" s="542">
        <v>-149791</v>
      </c>
      <c r="AQ111" s="542">
        <v>16428</v>
      </c>
      <c r="AR111" s="542">
        <v>-133363</v>
      </c>
      <c r="AS111" s="542">
        <v>-94245</v>
      </c>
      <c r="AT111" s="542">
        <v>0</v>
      </c>
      <c r="AU111" s="542">
        <v>-94245</v>
      </c>
      <c r="AV111" s="542">
        <v>1709</v>
      </c>
      <c r="AW111" s="542">
        <v>0</v>
      </c>
      <c r="AX111" s="542">
        <v>1709</v>
      </c>
      <c r="AY111" s="542">
        <v>-11160</v>
      </c>
      <c r="AZ111" s="542">
        <v>0</v>
      </c>
      <c r="BA111" s="542">
        <v>-11160</v>
      </c>
      <c r="BB111" s="542">
        <v>0</v>
      </c>
      <c r="BC111" s="542">
        <v>0</v>
      </c>
      <c r="BD111" s="542">
        <v>0</v>
      </c>
      <c r="BE111" s="542">
        <v>-5122601</v>
      </c>
      <c r="BF111" s="542">
        <v>-710461</v>
      </c>
      <c r="BG111" s="542">
        <v>-5833062</v>
      </c>
      <c r="BH111" s="542">
        <v>-25584</v>
      </c>
      <c r="BI111" s="542">
        <v>0</v>
      </c>
      <c r="BJ111" s="542">
        <v>-25584</v>
      </c>
      <c r="BK111" s="542">
        <v>947</v>
      </c>
      <c r="BL111" s="542">
        <v>0</v>
      </c>
      <c r="BM111" s="542">
        <v>947</v>
      </c>
      <c r="BN111" s="542">
        <v>-5130740</v>
      </c>
      <c r="BO111" s="542">
        <v>-25680</v>
      </c>
      <c r="BP111" s="542">
        <v>-5156420</v>
      </c>
      <c r="BQ111" s="542">
        <v>-316056</v>
      </c>
      <c r="BR111" s="542">
        <v>-1105</v>
      </c>
      <c r="BS111" s="542">
        <v>-317161</v>
      </c>
      <c r="BT111" s="542">
        <v>-5471433</v>
      </c>
      <c r="BU111" s="542">
        <v>-26785</v>
      </c>
      <c r="BV111" s="542">
        <v>-5498218</v>
      </c>
      <c r="BW111" s="542">
        <v>-94361</v>
      </c>
      <c r="BX111" s="542">
        <v>-636</v>
      </c>
      <c r="BY111" s="542">
        <v>-94997</v>
      </c>
      <c r="BZ111" s="542">
        <v>-4943</v>
      </c>
      <c r="CA111" s="542">
        <v>0</v>
      </c>
      <c r="CB111" s="542">
        <v>-4943</v>
      </c>
      <c r="CC111" s="542">
        <v>-40753</v>
      </c>
      <c r="CD111" s="542">
        <v>0</v>
      </c>
      <c r="CE111" s="542">
        <v>-40753</v>
      </c>
      <c r="CF111" s="542">
        <v>-311</v>
      </c>
      <c r="CG111" s="542">
        <v>0</v>
      </c>
      <c r="CH111" s="542">
        <v>-311</v>
      </c>
      <c r="CI111" s="542">
        <v>0</v>
      </c>
      <c r="CJ111" s="542">
        <v>0</v>
      </c>
      <c r="CK111" s="542">
        <v>0</v>
      </c>
      <c r="CL111" s="542">
        <v>0</v>
      </c>
      <c r="CM111" s="542">
        <v>0</v>
      </c>
      <c r="CN111" s="542">
        <v>0</v>
      </c>
      <c r="CO111" s="542">
        <v>0</v>
      </c>
      <c r="CP111" s="542">
        <v>0</v>
      </c>
      <c r="CQ111" s="542">
        <v>0</v>
      </c>
      <c r="CR111" s="542">
        <v>0</v>
      </c>
      <c r="CS111" s="542">
        <v>0</v>
      </c>
      <c r="CT111" s="542">
        <v>0</v>
      </c>
      <c r="CU111" s="542">
        <v>0</v>
      </c>
      <c r="CV111" s="542">
        <v>0</v>
      </c>
      <c r="CW111" s="542">
        <v>0</v>
      </c>
      <c r="CX111" s="542">
        <v>0</v>
      </c>
      <c r="CY111" s="542">
        <v>0</v>
      </c>
      <c r="CZ111" s="542">
        <v>0</v>
      </c>
      <c r="DA111" s="542">
        <v>0</v>
      </c>
      <c r="DB111" s="542">
        <v>0</v>
      </c>
      <c r="DC111" s="542">
        <v>0</v>
      </c>
      <c r="DD111" s="542">
        <v>0</v>
      </c>
      <c r="DE111" s="542">
        <v>0</v>
      </c>
      <c r="DF111" s="542">
        <v>0</v>
      </c>
      <c r="DG111" s="542"/>
      <c r="DH111" s="542">
        <v>0</v>
      </c>
      <c r="DI111" s="542"/>
      <c r="DJ111" s="542">
        <v>0</v>
      </c>
      <c r="DK111" s="542"/>
      <c r="DL111" s="542"/>
      <c r="DM111" s="542">
        <v>-140368</v>
      </c>
      <c r="DN111" s="542">
        <v>-636</v>
      </c>
      <c r="DO111" s="542">
        <v>-141004</v>
      </c>
      <c r="DP111" s="542">
        <v>0</v>
      </c>
      <c r="DQ111" s="542">
        <v>0</v>
      </c>
      <c r="DR111" s="542">
        <v>0</v>
      </c>
      <c r="DS111" s="542">
        <v>0</v>
      </c>
      <c r="DT111" s="542">
        <v>0</v>
      </c>
      <c r="DU111" s="542">
        <v>0</v>
      </c>
      <c r="DV111" s="542">
        <v>-98777</v>
      </c>
      <c r="DW111" s="542">
        <v>0</v>
      </c>
      <c r="DX111" s="542">
        <v>-98777</v>
      </c>
      <c r="DY111" s="542">
        <v>-449808</v>
      </c>
      <c r="DZ111" s="542">
        <v>-2875</v>
      </c>
      <c r="EA111" s="542">
        <v>-452683</v>
      </c>
      <c r="EB111" s="542">
        <v>0</v>
      </c>
      <c r="EC111" s="542">
        <v>0</v>
      </c>
      <c r="ED111" s="542">
        <v>0</v>
      </c>
      <c r="EE111" s="542">
        <v>-12775</v>
      </c>
      <c r="EF111" s="542">
        <v>0</v>
      </c>
      <c r="EG111" s="542">
        <v>-12775</v>
      </c>
      <c r="EH111" s="542">
        <v>-561360</v>
      </c>
      <c r="EI111" s="542">
        <v>-2875</v>
      </c>
      <c r="EJ111" s="542">
        <v>-564235</v>
      </c>
      <c r="EK111" s="542">
        <v>0</v>
      </c>
      <c r="EL111" s="542">
        <v>0</v>
      </c>
      <c r="EM111" s="542">
        <v>0</v>
      </c>
      <c r="EN111" s="542">
        <v>0</v>
      </c>
      <c r="EO111" s="542">
        <v>0</v>
      </c>
      <c r="EP111" s="542">
        <v>0</v>
      </c>
      <c r="EQ111" s="542">
        <v>0</v>
      </c>
      <c r="ER111" s="542">
        <v>0</v>
      </c>
      <c r="ES111" s="542">
        <v>0</v>
      </c>
      <c r="ET111" s="542">
        <v>97907789</v>
      </c>
      <c r="EU111" s="542">
        <v>2128025</v>
      </c>
      <c r="EV111" s="542">
        <v>100035814</v>
      </c>
      <c r="EW111" s="542">
        <v>1329138</v>
      </c>
      <c r="EX111" s="542">
        <v>6105</v>
      </c>
      <c r="EY111" s="542">
        <v>1335243</v>
      </c>
      <c r="EZ111" s="542">
        <v>-5122601</v>
      </c>
      <c r="FA111" s="542">
        <v>-710461</v>
      </c>
      <c r="FB111" s="542">
        <v>-5833062</v>
      </c>
      <c r="FC111" s="542">
        <v>-5471433</v>
      </c>
      <c r="FD111" s="542">
        <v>-26785</v>
      </c>
      <c r="FE111" s="542">
        <v>-5498218</v>
      </c>
      <c r="FF111" s="542">
        <v>-140368</v>
      </c>
      <c r="FG111" s="542">
        <v>-636</v>
      </c>
      <c r="FH111" s="542">
        <v>-141004</v>
      </c>
      <c r="FI111" s="542">
        <v>-561360</v>
      </c>
      <c r="FJ111" s="542">
        <v>-2875</v>
      </c>
      <c r="FK111" s="542">
        <v>-564235</v>
      </c>
      <c r="FL111" s="542">
        <v>0</v>
      </c>
      <c r="FM111" s="542">
        <v>0</v>
      </c>
      <c r="FN111" s="542">
        <v>0</v>
      </c>
      <c r="FO111" s="542">
        <v>-9966624</v>
      </c>
      <c r="FP111" s="542">
        <v>-734652</v>
      </c>
      <c r="FQ111" s="542">
        <v>-10701276</v>
      </c>
      <c r="FR111" s="542">
        <v>87941165</v>
      </c>
      <c r="FS111" s="542">
        <v>1393373</v>
      </c>
      <c r="FT111" s="542">
        <v>89334538</v>
      </c>
    </row>
    <row r="112" spans="1:176" ht="12.75" x14ac:dyDescent="0.2">
      <c r="A112" s="93">
        <v>107</v>
      </c>
      <c r="B112" s="145" t="s">
        <v>92</v>
      </c>
      <c r="C112" s="604" t="s">
        <v>866</v>
      </c>
      <c r="D112" s="142" t="s">
        <v>869</v>
      </c>
      <c r="E112" s="149" t="s">
        <v>91</v>
      </c>
      <c r="F112" s="542">
        <v>-16629</v>
      </c>
      <c r="G112" s="542">
        <v>0</v>
      </c>
      <c r="H112" s="542">
        <v>-16629</v>
      </c>
      <c r="I112" s="542">
        <v>27875</v>
      </c>
      <c r="J112" s="542">
        <v>0</v>
      </c>
      <c r="K112" s="542">
        <v>27875</v>
      </c>
      <c r="L112" s="542">
        <v>26954</v>
      </c>
      <c r="M112" s="542">
        <v>0</v>
      </c>
      <c r="N112" s="542">
        <v>26954</v>
      </c>
      <c r="O112" s="542">
        <v>51158</v>
      </c>
      <c r="P112" s="542">
        <v>0</v>
      </c>
      <c r="Q112" s="542">
        <v>51158</v>
      </c>
      <c r="R112" s="542">
        <v>89358</v>
      </c>
      <c r="S112" s="542">
        <v>0</v>
      </c>
      <c r="T112" s="542">
        <v>89358</v>
      </c>
      <c r="U112" s="542">
        <v>-1616554</v>
      </c>
      <c r="V112" s="542">
        <v>0</v>
      </c>
      <c r="W112" s="542">
        <v>-1616554</v>
      </c>
      <c r="X112" s="542">
        <v>0</v>
      </c>
      <c r="Y112" s="542">
        <v>0</v>
      </c>
      <c r="Z112" s="542">
        <v>0</v>
      </c>
      <c r="AA112" s="542">
        <v>-23348</v>
      </c>
      <c r="AB112" s="542">
        <v>0</v>
      </c>
      <c r="AC112" s="542">
        <v>-23348</v>
      </c>
      <c r="AD112" s="542">
        <v>-7833</v>
      </c>
      <c r="AE112" s="542">
        <v>0</v>
      </c>
      <c r="AF112" s="542">
        <v>-7833</v>
      </c>
      <c r="AG112" s="542">
        <v>464510</v>
      </c>
      <c r="AH112" s="542">
        <v>0</v>
      </c>
      <c r="AI112" s="542">
        <v>464510</v>
      </c>
      <c r="AJ112" s="542">
        <v>-19819</v>
      </c>
      <c r="AK112" s="542">
        <v>0</v>
      </c>
      <c r="AL112" s="542">
        <v>-19819</v>
      </c>
      <c r="AM112" s="542">
        <v>-1037889</v>
      </c>
      <c r="AN112" s="542">
        <v>0</v>
      </c>
      <c r="AO112" s="542">
        <v>-1037889</v>
      </c>
      <c r="AP112" s="542">
        <v>182484</v>
      </c>
      <c r="AQ112" s="542">
        <v>0</v>
      </c>
      <c r="AR112" s="542">
        <v>182484</v>
      </c>
      <c r="AS112" s="542">
        <v>-48296</v>
      </c>
      <c r="AT112" s="542">
        <v>0</v>
      </c>
      <c r="AU112" s="542">
        <v>-48296</v>
      </c>
      <c r="AV112" s="542">
        <v>0</v>
      </c>
      <c r="AW112" s="542">
        <v>0</v>
      </c>
      <c r="AX112" s="542">
        <v>0</v>
      </c>
      <c r="AY112" s="542">
        <v>-709</v>
      </c>
      <c r="AZ112" s="542">
        <v>0</v>
      </c>
      <c r="BA112" s="542">
        <v>-709</v>
      </c>
      <c r="BB112" s="542">
        <v>0</v>
      </c>
      <c r="BC112" s="542">
        <v>0</v>
      </c>
      <c r="BD112" s="542">
        <v>0</v>
      </c>
      <c r="BE112" s="542">
        <v>-2099621</v>
      </c>
      <c r="BF112" s="542">
        <v>0</v>
      </c>
      <c r="BG112" s="542">
        <v>-2099621</v>
      </c>
      <c r="BH112" s="542">
        <v>-38851</v>
      </c>
      <c r="BI112" s="542">
        <v>0</v>
      </c>
      <c r="BJ112" s="542">
        <v>-38851</v>
      </c>
      <c r="BK112" s="542">
        <v>-7861</v>
      </c>
      <c r="BL112" s="542">
        <v>0</v>
      </c>
      <c r="BM112" s="542">
        <v>-7861</v>
      </c>
      <c r="BN112" s="542">
        <v>-443769</v>
      </c>
      <c r="BO112" s="542">
        <v>0</v>
      </c>
      <c r="BP112" s="542">
        <v>-443769</v>
      </c>
      <c r="BQ112" s="542">
        <v>-17479</v>
      </c>
      <c r="BR112" s="542">
        <v>0</v>
      </c>
      <c r="BS112" s="542">
        <v>-17479</v>
      </c>
      <c r="BT112" s="542">
        <v>-507960</v>
      </c>
      <c r="BU112" s="542">
        <v>0</v>
      </c>
      <c r="BV112" s="542">
        <v>-507960</v>
      </c>
      <c r="BW112" s="542">
        <v>-82481</v>
      </c>
      <c r="BX112" s="542">
        <v>0</v>
      </c>
      <c r="BY112" s="542">
        <v>-82481</v>
      </c>
      <c r="BZ112" s="542">
        <v>-400</v>
      </c>
      <c r="CA112" s="542">
        <v>0</v>
      </c>
      <c r="CB112" s="542">
        <v>-400</v>
      </c>
      <c r="CC112" s="542">
        <v>-44125</v>
      </c>
      <c r="CD112" s="542">
        <v>0</v>
      </c>
      <c r="CE112" s="542">
        <v>-44125</v>
      </c>
      <c r="CF112" s="542">
        <v>1361</v>
      </c>
      <c r="CG112" s="542">
        <v>0</v>
      </c>
      <c r="CH112" s="542">
        <v>1361</v>
      </c>
      <c r="CI112" s="542">
        <v>-5808</v>
      </c>
      <c r="CJ112" s="542">
        <v>0</v>
      </c>
      <c r="CK112" s="542">
        <v>-5808</v>
      </c>
      <c r="CL112" s="542">
        <v>0</v>
      </c>
      <c r="CM112" s="542">
        <v>0</v>
      </c>
      <c r="CN112" s="542">
        <v>0</v>
      </c>
      <c r="CO112" s="542">
        <v>-5376</v>
      </c>
      <c r="CP112" s="542">
        <v>0</v>
      </c>
      <c r="CQ112" s="542">
        <v>-5376</v>
      </c>
      <c r="CR112" s="542">
        <v>0</v>
      </c>
      <c r="CS112" s="542">
        <v>0</v>
      </c>
      <c r="CT112" s="542">
        <v>0</v>
      </c>
      <c r="CU112" s="542">
        <v>0</v>
      </c>
      <c r="CV112" s="542">
        <v>0</v>
      </c>
      <c r="CW112" s="542">
        <v>0</v>
      </c>
      <c r="CX112" s="542">
        <v>0</v>
      </c>
      <c r="CY112" s="542">
        <v>0</v>
      </c>
      <c r="CZ112" s="542">
        <v>0</v>
      </c>
      <c r="DA112" s="542">
        <v>0</v>
      </c>
      <c r="DB112" s="542">
        <v>0</v>
      </c>
      <c r="DC112" s="542">
        <v>0</v>
      </c>
      <c r="DD112" s="542">
        <v>0</v>
      </c>
      <c r="DE112" s="542">
        <v>0</v>
      </c>
      <c r="DF112" s="542">
        <v>0</v>
      </c>
      <c r="DG112" s="542"/>
      <c r="DH112" s="542">
        <v>0</v>
      </c>
      <c r="DI112" s="542"/>
      <c r="DJ112" s="542">
        <v>0</v>
      </c>
      <c r="DK112" s="542"/>
      <c r="DL112" s="542"/>
      <c r="DM112" s="542">
        <v>-136829</v>
      </c>
      <c r="DN112" s="542">
        <v>0</v>
      </c>
      <c r="DO112" s="542">
        <v>-136829</v>
      </c>
      <c r="DP112" s="542">
        <v>0</v>
      </c>
      <c r="DQ112" s="542">
        <v>0</v>
      </c>
      <c r="DR112" s="542">
        <v>0</v>
      </c>
      <c r="DS112" s="542">
        <v>0</v>
      </c>
      <c r="DT112" s="542">
        <v>0</v>
      </c>
      <c r="DU112" s="542">
        <v>0</v>
      </c>
      <c r="DV112" s="542">
        <v>-14211</v>
      </c>
      <c r="DW112" s="542">
        <v>0</v>
      </c>
      <c r="DX112" s="542">
        <v>-14211</v>
      </c>
      <c r="DY112" s="542">
        <v>-275722</v>
      </c>
      <c r="DZ112" s="542">
        <v>0</v>
      </c>
      <c r="EA112" s="542">
        <v>-275722</v>
      </c>
      <c r="EB112" s="542">
        <v>0</v>
      </c>
      <c r="EC112" s="542">
        <v>0</v>
      </c>
      <c r="ED112" s="542">
        <v>0</v>
      </c>
      <c r="EE112" s="542">
        <v>0</v>
      </c>
      <c r="EF112" s="542">
        <v>0</v>
      </c>
      <c r="EG112" s="542">
        <v>0</v>
      </c>
      <c r="EH112" s="542">
        <v>-289933</v>
      </c>
      <c r="EI112" s="542">
        <v>0</v>
      </c>
      <c r="EJ112" s="542">
        <v>-289933</v>
      </c>
      <c r="EK112" s="542">
        <v>0</v>
      </c>
      <c r="EL112" s="542">
        <v>0</v>
      </c>
      <c r="EM112" s="542">
        <v>0</v>
      </c>
      <c r="EN112" s="542">
        <v>0</v>
      </c>
      <c r="EO112" s="542">
        <v>0</v>
      </c>
      <c r="EP112" s="542">
        <v>0</v>
      </c>
      <c r="EQ112" s="542">
        <v>0</v>
      </c>
      <c r="ER112" s="542">
        <v>0</v>
      </c>
      <c r="ES112" s="542">
        <v>0</v>
      </c>
      <c r="ET112" s="542">
        <v>23686887</v>
      </c>
      <c r="EU112" s="542">
        <v>0</v>
      </c>
      <c r="EV112" s="542">
        <v>23686887</v>
      </c>
      <c r="EW112" s="542">
        <v>89358</v>
      </c>
      <c r="EX112" s="542">
        <v>0</v>
      </c>
      <c r="EY112" s="542">
        <v>89358</v>
      </c>
      <c r="EZ112" s="542">
        <v>-2099621</v>
      </c>
      <c r="FA112" s="542">
        <v>0</v>
      </c>
      <c r="FB112" s="542">
        <v>-2099621</v>
      </c>
      <c r="FC112" s="542">
        <v>-507960</v>
      </c>
      <c r="FD112" s="542">
        <v>0</v>
      </c>
      <c r="FE112" s="542">
        <v>-507960</v>
      </c>
      <c r="FF112" s="542">
        <v>-136829</v>
      </c>
      <c r="FG112" s="542">
        <v>0</v>
      </c>
      <c r="FH112" s="542">
        <v>-136829</v>
      </c>
      <c r="FI112" s="542">
        <v>-289933</v>
      </c>
      <c r="FJ112" s="542">
        <v>0</v>
      </c>
      <c r="FK112" s="542">
        <v>-289933</v>
      </c>
      <c r="FL112" s="542">
        <v>0</v>
      </c>
      <c r="FM112" s="542">
        <v>0</v>
      </c>
      <c r="FN112" s="542">
        <v>0</v>
      </c>
      <c r="FO112" s="542">
        <v>-2944985</v>
      </c>
      <c r="FP112" s="542">
        <v>0</v>
      </c>
      <c r="FQ112" s="542">
        <v>-2944985</v>
      </c>
      <c r="FR112" s="542">
        <v>20741902</v>
      </c>
      <c r="FS112" s="542">
        <v>0</v>
      </c>
      <c r="FT112" s="542">
        <v>20741902</v>
      </c>
    </row>
    <row r="113" spans="1:176" ht="12.75" x14ac:dyDescent="0.2">
      <c r="A113" s="93">
        <v>108</v>
      </c>
      <c r="B113" s="145" t="s">
        <v>94</v>
      </c>
      <c r="C113" s="604" t="s">
        <v>866</v>
      </c>
      <c r="D113" s="142" t="s">
        <v>875</v>
      </c>
      <c r="E113" s="149" t="s">
        <v>93</v>
      </c>
      <c r="F113" s="542">
        <v>-28216</v>
      </c>
      <c r="G113" s="542">
        <v>0</v>
      </c>
      <c r="H113" s="542">
        <v>-28216</v>
      </c>
      <c r="I113" s="542">
        <v>73196</v>
      </c>
      <c r="J113" s="542">
        <v>0</v>
      </c>
      <c r="K113" s="542">
        <v>73196</v>
      </c>
      <c r="L113" s="542">
        <v>5333</v>
      </c>
      <c r="M113" s="542">
        <v>0</v>
      </c>
      <c r="N113" s="542">
        <v>5333</v>
      </c>
      <c r="O113" s="542">
        <v>213636</v>
      </c>
      <c r="P113" s="542">
        <v>0</v>
      </c>
      <c r="Q113" s="542">
        <v>213636</v>
      </c>
      <c r="R113" s="542">
        <v>263949</v>
      </c>
      <c r="S113" s="542">
        <v>0</v>
      </c>
      <c r="T113" s="542">
        <v>263949</v>
      </c>
      <c r="U113" s="542">
        <v>-1855089</v>
      </c>
      <c r="V113" s="542">
        <v>0</v>
      </c>
      <c r="W113" s="542">
        <v>-1855089</v>
      </c>
      <c r="X113" s="542">
        <v>-6946</v>
      </c>
      <c r="Y113" s="542">
        <v>0</v>
      </c>
      <c r="Z113" s="542">
        <v>-6946</v>
      </c>
      <c r="AA113" s="542">
        <v>-88228</v>
      </c>
      <c r="AB113" s="542">
        <v>0</v>
      </c>
      <c r="AC113" s="542">
        <v>-88228</v>
      </c>
      <c r="AD113" s="542">
        <v>-44493</v>
      </c>
      <c r="AE113" s="542">
        <v>0</v>
      </c>
      <c r="AF113" s="542">
        <v>-44493</v>
      </c>
      <c r="AG113" s="542">
        <v>1253659</v>
      </c>
      <c r="AH113" s="542">
        <v>0</v>
      </c>
      <c r="AI113" s="542">
        <v>1253659</v>
      </c>
      <c r="AJ113" s="542">
        <v>-22719</v>
      </c>
      <c r="AK113" s="542">
        <v>0</v>
      </c>
      <c r="AL113" s="542">
        <v>-22719</v>
      </c>
      <c r="AM113" s="542">
        <v>-3200218</v>
      </c>
      <c r="AN113" s="542">
        <v>0</v>
      </c>
      <c r="AO113" s="542">
        <v>-3200218</v>
      </c>
      <c r="AP113" s="542">
        <v>-34334</v>
      </c>
      <c r="AQ113" s="542">
        <v>0</v>
      </c>
      <c r="AR113" s="542">
        <v>-34334</v>
      </c>
      <c r="AS113" s="542">
        <v>-38824</v>
      </c>
      <c r="AT113" s="542">
        <v>0</v>
      </c>
      <c r="AU113" s="542">
        <v>-38824</v>
      </c>
      <c r="AV113" s="542">
        <v>0</v>
      </c>
      <c r="AW113" s="542">
        <v>0</v>
      </c>
      <c r="AX113" s="542">
        <v>0</v>
      </c>
      <c r="AY113" s="542">
        <v>0</v>
      </c>
      <c r="AZ113" s="542">
        <v>0</v>
      </c>
      <c r="BA113" s="542">
        <v>0</v>
      </c>
      <c r="BB113" s="542">
        <v>0</v>
      </c>
      <c r="BC113" s="542">
        <v>0</v>
      </c>
      <c r="BD113" s="542">
        <v>0</v>
      </c>
      <c r="BE113" s="542">
        <v>-3985753</v>
      </c>
      <c r="BF113" s="542">
        <v>0</v>
      </c>
      <c r="BG113" s="542">
        <v>-3985753</v>
      </c>
      <c r="BH113" s="542">
        <v>-134606</v>
      </c>
      <c r="BI113" s="542">
        <v>0</v>
      </c>
      <c r="BJ113" s="542">
        <v>-134606</v>
      </c>
      <c r="BK113" s="542">
        <v>-1340</v>
      </c>
      <c r="BL113" s="542">
        <v>0</v>
      </c>
      <c r="BM113" s="542">
        <v>-1340</v>
      </c>
      <c r="BN113" s="542">
        <v>-2126032</v>
      </c>
      <c r="BO113" s="542">
        <v>0</v>
      </c>
      <c r="BP113" s="542">
        <v>-2126032</v>
      </c>
      <c r="BQ113" s="542">
        <v>-265331</v>
      </c>
      <c r="BR113" s="542">
        <v>0</v>
      </c>
      <c r="BS113" s="542">
        <v>-265331</v>
      </c>
      <c r="BT113" s="542">
        <v>-2527309</v>
      </c>
      <c r="BU113" s="542">
        <v>0</v>
      </c>
      <c r="BV113" s="542">
        <v>-2527309</v>
      </c>
      <c r="BW113" s="542">
        <v>-2338</v>
      </c>
      <c r="BX113" s="542">
        <v>0</v>
      </c>
      <c r="BY113" s="542">
        <v>-2338</v>
      </c>
      <c r="BZ113" s="542">
        <v>0</v>
      </c>
      <c r="CA113" s="542">
        <v>0</v>
      </c>
      <c r="CB113" s="542">
        <v>0</v>
      </c>
      <c r="CC113" s="542">
        <v>-55038</v>
      </c>
      <c r="CD113" s="542">
        <v>0</v>
      </c>
      <c r="CE113" s="542">
        <v>-55038</v>
      </c>
      <c r="CF113" s="542">
        <v>36394</v>
      </c>
      <c r="CG113" s="542">
        <v>0</v>
      </c>
      <c r="CH113" s="542">
        <v>36394</v>
      </c>
      <c r="CI113" s="542">
        <v>0</v>
      </c>
      <c r="CJ113" s="542">
        <v>0</v>
      </c>
      <c r="CK113" s="542">
        <v>0</v>
      </c>
      <c r="CL113" s="542">
        <v>0</v>
      </c>
      <c r="CM113" s="542">
        <v>0</v>
      </c>
      <c r="CN113" s="542">
        <v>0</v>
      </c>
      <c r="CO113" s="542">
        <v>0</v>
      </c>
      <c r="CP113" s="542">
        <v>0</v>
      </c>
      <c r="CQ113" s="542">
        <v>0</v>
      </c>
      <c r="CR113" s="542">
        <v>0</v>
      </c>
      <c r="CS113" s="542">
        <v>0</v>
      </c>
      <c r="CT113" s="542">
        <v>0</v>
      </c>
      <c r="CU113" s="542">
        <v>0</v>
      </c>
      <c r="CV113" s="542">
        <v>0</v>
      </c>
      <c r="CW113" s="542">
        <v>0</v>
      </c>
      <c r="CX113" s="542">
        <v>0</v>
      </c>
      <c r="CY113" s="542">
        <v>0</v>
      </c>
      <c r="CZ113" s="542">
        <v>0</v>
      </c>
      <c r="DA113" s="542">
        <v>0</v>
      </c>
      <c r="DB113" s="542">
        <v>0</v>
      </c>
      <c r="DC113" s="542">
        <v>0</v>
      </c>
      <c r="DD113" s="542">
        <v>0</v>
      </c>
      <c r="DE113" s="542">
        <v>0</v>
      </c>
      <c r="DF113" s="542">
        <v>0</v>
      </c>
      <c r="DG113" s="542"/>
      <c r="DH113" s="542">
        <v>0</v>
      </c>
      <c r="DI113" s="542"/>
      <c r="DJ113" s="542">
        <v>0</v>
      </c>
      <c r="DK113" s="542"/>
      <c r="DL113" s="542"/>
      <c r="DM113" s="542">
        <v>-20982</v>
      </c>
      <c r="DN113" s="542">
        <v>0</v>
      </c>
      <c r="DO113" s="542">
        <v>-20982</v>
      </c>
      <c r="DP113" s="542">
        <v>0</v>
      </c>
      <c r="DQ113" s="542">
        <v>0</v>
      </c>
      <c r="DR113" s="542">
        <v>0</v>
      </c>
      <c r="DS113" s="542">
        <v>0</v>
      </c>
      <c r="DT113" s="542">
        <v>0</v>
      </c>
      <c r="DU113" s="542">
        <v>0</v>
      </c>
      <c r="DV113" s="542">
        <v>-328</v>
      </c>
      <c r="DW113" s="542">
        <v>0</v>
      </c>
      <c r="DX113" s="542">
        <v>-328</v>
      </c>
      <c r="DY113" s="542">
        <v>-221214</v>
      </c>
      <c r="DZ113" s="542">
        <v>0</v>
      </c>
      <c r="EA113" s="542">
        <v>-221214</v>
      </c>
      <c r="EB113" s="542">
        <v>0</v>
      </c>
      <c r="EC113" s="542">
        <v>0</v>
      </c>
      <c r="ED113" s="542">
        <v>0</v>
      </c>
      <c r="EE113" s="542">
        <v>0</v>
      </c>
      <c r="EF113" s="542">
        <v>0</v>
      </c>
      <c r="EG113" s="542">
        <v>0</v>
      </c>
      <c r="EH113" s="542">
        <v>-221542</v>
      </c>
      <c r="EI113" s="542">
        <v>0</v>
      </c>
      <c r="EJ113" s="542">
        <v>-221542</v>
      </c>
      <c r="EK113" s="542">
        <v>0</v>
      </c>
      <c r="EL113" s="542">
        <v>0</v>
      </c>
      <c r="EM113" s="542">
        <v>0</v>
      </c>
      <c r="EN113" s="542">
        <v>0</v>
      </c>
      <c r="EO113" s="542">
        <v>0</v>
      </c>
      <c r="EP113" s="542">
        <v>0</v>
      </c>
      <c r="EQ113" s="542">
        <v>0</v>
      </c>
      <c r="ER113" s="542">
        <v>0</v>
      </c>
      <c r="ES113" s="542">
        <v>0</v>
      </c>
      <c r="ET113" s="542">
        <v>58313363</v>
      </c>
      <c r="EU113" s="542">
        <v>0</v>
      </c>
      <c r="EV113" s="542">
        <v>58313363</v>
      </c>
      <c r="EW113" s="542">
        <v>263949</v>
      </c>
      <c r="EX113" s="542">
        <v>0</v>
      </c>
      <c r="EY113" s="542">
        <v>263949</v>
      </c>
      <c r="EZ113" s="542">
        <v>-3985753</v>
      </c>
      <c r="FA113" s="542">
        <v>0</v>
      </c>
      <c r="FB113" s="542">
        <v>-3985753</v>
      </c>
      <c r="FC113" s="542">
        <v>-2527309</v>
      </c>
      <c r="FD113" s="542">
        <v>0</v>
      </c>
      <c r="FE113" s="542">
        <v>-2527309</v>
      </c>
      <c r="FF113" s="542">
        <v>-20982</v>
      </c>
      <c r="FG113" s="542">
        <v>0</v>
      </c>
      <c r="FH113" s="542">
        <v>-20982</v>
      </c>
      <c r="FI113" s="542">
        <v>-221542</v>
      </c>
      <c r="FJ113" s="542">
        <v>0</v>
      </c>
      <c r="FK113" s="542">
        <v>-221542</v>
      </c>
      <c r="FL113" s="542">
        <v>0</v>
      </c>
      <c r="FM113" s="542">
        <v>0</v>
      </c>
      <c r="FN113" s="542">
        <v>0</v>
      </c>
      <c r="FO113" s="542">
        <v>-6491637</v>
      </c>
      <c r="FP113" s="542">
        <v>0</v>
      </c>
      <c r="FQ113" s="542">
        <v>-6491637</v>
      </c>
      <c r="FR113" s="542">
        <v>51821726</v>
      </c>
      <c r="FS113" s="542">
        <v>0</v>
      </c>
      <c r="FT113" s="542">
        <v>51821726</v>
      </c>
    </row>
    <row r="114" spans="1:176" ht="12.75" x14ac:dyDescent="0.2">
      <c r="A114" s="93">
        <v>109</v>
      </c>
      <c r="B114" s="145" t="s">
        <v>96</v>
      </c>
      <c r="C114" s="604" t="s">
        <v>866</v>
      </c>
      <c r="D114" s="142" t="s">
        <v>867</v>
      </c>
      <c r="E114" s="149" t="s">
        <v>95</v>
      </c>
      <c r="F114" s="542">
        <v>-22405</v>
      </c>
      <c r="G114" s="542">
        <v>-2299</v>
      </c>
      <c r="H114" s="542">
        <v>-24704</v>
      </c>
      <c r="I114" s="542">
        <v>19290</v>
      </c>
      <c r="J114" s="542">
        <v>6622</v>
      </c>
      <c r="K114" s="542">
        <v>25912</v>
      </c>
      <c r="L114" s="542">
        <v>0</v>
      </c>
      <c r="M114" s="542">
        <v>0</v>
      </c>
      <c r="N114" s="542">
        <v>0</v>
      </c>
      <c r="O114" s="542">
        <v>7085</v>
      </c>
      <c r="P114" s="542">
        <v>0</v>
      </c>
      <c r="Q114" s="542">
        <v>7085</v>
      </c>
      <c r="R114" s="542">
        <v>3970</v>
      </c>
      <c r="S114" s="542">
        <v>4323</v>
      </c>
      <c r="T114" s="542">
        <v>8293</v>
      </c>
      <c r="U114" s="542">
        <v>-1283075</v>
      </c>
      <c r="V114" s="542">
        <v>-13380</v>
      </c>
      <c r="W114" s="542">
        <v>-1296455</v>
      </c>
      <c r="X114" s="542">
        <v>0</v>
      </c>
      <c r="Y114" s="542">
        <v>0</v>
      </c>
      <c r="Z114" s="542">
        <v>0</v>
      </c>
      <c r="AA114" s="542">
        <v>-78914</v>
      </c>
      <c r="AB114" s="542">
        <v>1715</v>
      </c>
      <c r="AC114" s="542">
        <v>-77199</v>
      </c>
      <c r="AD114" s="542">
        <v>-19089</v>
      </c>
      <c r="AE114" s="542">
        <v>0</v>
      </c>
      <c r="AF114" s="542">
        <v>-19089</v>
      </c>
      <c r="AG114" s="542">
        <v>347602</v>
      </c>
      <c r="AH114" s="542">
        <v>9066</v>
      </c>
      <c r="AI114" s="542">
        <v>356668</v>
      </c>
      <c r="AJ114" s="542">
        <v>-5157</v>
      </c>
      <c r="AK114" s="542">
        <v>-264</v>
      </c>
      <c r="AL114" s="542">
        <v>-5421</v>
      </c>
      <c r="AM114" s="542">
        <v>-1089641</v>
      </c>
      <c r="AN114" s="542">
        <v>-26689</v>
      </c>
      <c r="AO114" s="542">
        <v>-1116330</v>
      </c>
      <c r="AP114" s="542">
        <v>-143508</v>
      </c>
      <c r="AQ114" s="542">
        <v>0</v>
      </c>
      <c r="AR114" s="542">
        <v>-143508</v>
      </c>
      <c r="AS114" s="542">
        <v>-16283</v>
      </c>
      <c r="AT114" s="542">
        <v>0</v>
      </c>
      <c r="AU114" s="542">
        <v>-16283</v>
      </c>
      <c r="AV114" s="542">
        <v>0</v>
      </c>
      <c r="AW114" s="542">
        <v>0</v>
      </c>
      <c r="AX114" s="542">
        <v>0</v>
      </c>
      <c r="AY114" s="542">
        <v>0</v>
      </c>
      <c r="AZ114" s="542">
        <v>0</v>
      </c>
      <c r="BA114" s="542">
        <v>0</v>
      </c>
      <c r="BB114" s="542">
        <v>0</v>
      </c>
      <c r="BC114" s="542">
        <v>0</v>
      </c>
      <c r="BD114" s="542">
        <v>0</v>
      </c>
      <c r="BE114" s="542">
        <v>-2268976</v>
      </c>
      <c r="BF114" s="542">
        <v>-29552</v>
      </c>
      <c r="BG114" s="542">
        <v>-2298528</v>
      </c>
      <c r="BH114" s="542">
        <v>0</v>
      </c>
      <c r="BI114" s="542">
        <v>0</v>
      </c>
      <c r="BJ114" s="542">
        <v>0</v>
      </c>
      <c r="BK114" s="542">
        <v>0</v>
      </c>
      <c r="BL114" s="542">
        <v>0</v>
      </c>
      <c r="BM114" s="542">
        <v>0</v>
      </c>
      <c r="BN114" s="542">
        <v>-380521</v>
      </c>
      <c r="BO114" s="542">
        <v>-32865</v>
      </c>
      <c r="BP114" s="542">
        <v>-413386</v>
      </c>
      <c r="BQ114" s="542">
        <v>70264</v>
      </c>
      <c r="BR114" s="542">
        <v>-2344</v>
      </c>
      <c r="BS114" s="542">
        <v>67920</v>
      </c>
      <c r="BT114" s="542">
        <v>-310257</v>
      </c>
      <c r="BU114" s="542">
        <v>-35209</v>
      </c>
      <c r="BV114" s="542">
        <v>-345466</v>
      </c>
      <c r="BW114" s="542">
        <v>-91693</v>
      </c>
      <c r="BX114" s="542">
        <v>-6672</v>
      </c>
      <c r="BY114" s="542">
        <v>-98365</v>
      </c>
      <c r="BZ114" s="542">
        <v>-58073</v>
      </c>
      <c r="CA114" s="542">
        <v>0</v>
      </c>
      <c r="CB114" s="542">
        <v>-58073</v>
      </c>
      <c r="CC114" s="542">
        <v>-66135</v>
      </c>
      <c r="CD114" s="542">
        <v>0</v>
      </c>
      <c r="CE114" s="542">
        <v>-66135</v>
      </c>
      <c r="CF114" s="542">
        <v>160744</v>
      </c>
      <c r="CG114" s="542">
        <v>0</v>
      </c>
      <c r="CH114" s="542">
        <v>160744</v>
      </c>
      <c r="CI114" s="542">
        <v>0</v>
      </c>
      <c r="CJ114" s="542">
        <v>0</v>
      </c>
      <c r="CK114" s="542">
        <v>0</v>
      </c>
      <c r="CL114" s="542">
        <v>0</v>
      </c>
      <c r="CM114" s="542">
        <v>0</v>
      </c>
      <c r="CN114" s="542">
        <v>0</v>
      </c>
      <c r="CO114" s="542">
        <v>0</v>
      </c>
      <c r="CP114" s="542">
        <v>0</v>
      </c>
      <c r="CQ114" s="542">
        <v>0</v>
      </c>
      <c r="CR114" s="542">
        <v>0</v>
      </c>
      <c r="CS114" s="542">
        <v>0</v>
      </c>
      <c r="CT114" s="542">
        <v>0</v>
      </c>
      <c r="CU114" s="542">
        <v>0</v>
      </c>
      <c r="CV114" s="542">
        <v>0</v>
      </c>
      <c r="CW114" s="542">
        <v>0</v>
      </c>
      <c r="CX114" s="542">
        <v>0</v>
      </c>
      <c r="CY114" s="542">
        <v>0</v>
      </c>
      <c r="CZ114" s="542">
        <v>0</v>
      </c>
      <c r="DA114" s="542">
        <v>0</v>
      </c>
      <c r="DB114" s="542">
        <v>-79198</v>
      </c>
      <c r="DC114" s="542">
        <v>-79198</v>
      </c>
      <c r="DD114" s="542">
        <v>0</v>
      </c>
      <c r="DE114" s="542">
        <v>-3366</v>
      </c>
      <c r="DF114" s="542">
        <v>-3366</v>
      </c>
      <c r="DG114" s="542"/>
      <c r="DH114" s="542">
        <v>-82564</v>
      </c>
      <c r="DI114" s="542"/>
      <c r="DJ114" s="542">
        <v>0</v>
      </c>
      <c r="DK114" s="542"/>
      <c r="DL114" s="542"/>
      <c r="DM114" s="542">
        <v>-55157</v>
      </c>
      <c r="DN114" s="542">
        <v>-89236</v>
      </c>
      <c r="DO114" s="542">
        <v>-144393</v>
      </c>
      <c r="DP114" s="542">
        <v>-24703</v>
      </c>
      <c r="DQ114" s="542">
        <v>0</v>
      </c>
      <c r="DR114" s="542">
        <v>-24703</v>
      </c>
      <c r="DS114" s="542">
        <v>-4034</v>
      </c>
      <c r="DT114" s="542">
        <v>0</v>
      </c>
      <c r="DU114" s="542">
        <v>-4034</v>
      </c>
      <c r="DV114" s="542">
        <v>-1898</v>
      </c>
      <c r="DW114" s="542">
        <v>0</v>
      </c>
      <c r="DX114" s="542">
        <v>-1898</v>
      </c>
      <c r="DY114" s="542">
        <v>-134674</v>
      </c>
      <c r="DZ114" s="542">
        <v>0</v>
      </c>
      <c r="EA114" s="542">
        <v>-134674</v>
      </c>
      <c r="EB114" s="542">
        <v>0</v>
      </c>
      <c r="EC114" s="542">
        <v>0</v>
      </c>
      <c r="ED114" s="542">
        <v>0</v>
      </c>
      <c r="EE114" s="542">
        <v>-1307</v>
      </c>
      <c r="EF114" s="542">
        <v>0</v>
      </c>
      <c r="EG114" s="542">
        <v>-1307</v>
      </c>
      <c r="EH114" s="542">
        <v>-166616</v>
      </c>
      <c r="EI114" s="542">
        <v>0</v>
      </c>
      <c r="EJ114" s="542">
        <v>-166616</v>
      </c>
      <c r="EK114" s="542">
        <v>0</v>
      </c>
      <c r="EL114" s="542">
        <v>0</v>
      </c>
      <c r="EM114" s="542">
        <v>0</v>
      </c>
      <c r="EN114" s="542">
        <v>-7544</v>
      </c>
      <c r="EO114" s="542">
        <v>0</v>
      </c>
      <c r="EP114" s="542">
        <v>-7544</v>
      </c>
      <c r="EQ114" s="542">
        <v>-7544</v>
      </c>
      <c r="ER114" s="542">
        <v>0</v>
      </c>
      <c r="ES114" s="542">
        <v>-7544</v>
      </c>
      <c r="ET114" s="542">
        <v>18206852</v>
      </c>
      <c r="EU114" s="542">
        <v>458448</v>
      </c>
      <c r="EV114" s="542">
        <v>18665300</v>
      </c>
      <c r="EW114" s="542">
        <v>3970</v>
      </c>
      <c r="EX114" s="542">
        <v>4323</v>
      </c>
      <c r="EY114" s="542">
        <v>8293</v>
      </c>
      <c r="EZ114" s="542">
        <v>-2268976</v>
      </c>
      <c r="FA114" s="542">
        <v>-29552</v>
      </c>
      <c r="FB114" s="542">
        <v>-2298528</v>
      </c>
      <c r="FC114" s="542">
        <v>-310257</v>
      </c>
      <c r="FD114" s="542">
        <v>-35209</v>
      </c>
      <c r="FE114" s="542">
        <v>-345466</v>
      </c>
      <c r="FF114" s="542">
        <v>-55157</v>
      </c>
      <c r="FG114" s="542">
        <v>-89236</v>
      </c>
      <c r="FH114" s="542">
        <v>-144393</v>
      </c>
      <c r="FI114" s="542">
        <v>-166616</v>
      </c>
      <c r="FJ114" s="542">
        <v>0</v>
      </c>
      <c r="FK114" s="542">
        <v>-166616</v>
      </c>
      <c r="FL114" s="542">
        <v>-7544</v>
      </c>
      <c r="FM114" s="542">
        <v>0</v>
      </c>
      <c r="FN114" s="542">
        <v>-7544</v>
      </c>
      <c r="FO114" s="542">
        <v>-2804580</v>
      </c>
      <c r="FP114" s="542">
        <v>-149674</v>
      </c>
      <c r="FQ114" s="542">
        <v>-2954254</v>
      </c>
      <c r="FR114" s="542">
        <v>15402272</v>
      </c>
      <c r="FS114" s="542">
        <v>308774</v>
      </c>
      <c r="FT114" s="542">
        <v>15711046</v>
      </c>
    </row>
    <row r="115" spans="1:176" ht="12.75" x14ac:dyDescent="0.2">
      <c r="A115" s="93">
        <v>110</v>
      </c>
      <c r="B115" s="145" t="s">
        <v>98</v>
      </c>
      <c r="C115" s="604" t="s">
        <v>866</v>
      </c>
      <c r="D115" s="142" t="s">
        <v>867</v>
      </c>
      <c r="E115" s="149" t="s">
        <v>97</v>
      </c>
      <c r="F115" s="542">
        <v>-33870</v>
      </c>
      <c r="G115" s="542">
        <v>0</v>
      </c>
      <c r="H115" s="542">
        <v>-33870</v>
      </c>
      <c r="I115" s="542">
        <v>62834</v>
      </c>
      <c r="J115" s="542">
        <v>0</v>
      </c>
      <c r="K115" s="542">
        <v>62834</v>
      </c>
      <c r="L115" s="542">
        <v>0</v>
      </c>
      <c r="M115" s="542">
        <v>0</v>
      </c>
      <c r="N115" s="542">
        <v>0</v>
      </c>
      <c r="O115" s="542">
        <v>88244</v>
      </c>
      <c r="P115" s="542">
        <v>0</v>
      </c>
      <c r="Q115" s="542">
        <v>88244</v>
      </c>
      <c r="R115" s="542">
        <v>117208</v>
      </c>
      <c r="S115" s="542">
        <v>0</v>
      </c>
      <c r="T115" s="542">
        <v>117208</v>
      </c>
      <c r="U115" s="542">
        <v>-1580032</v>
      </c>
      <c r="V115" s="542">
        <v>0</v>
      </c>
      <c r="W115" s="542">
        <v>-1580032</v>
      </c>
      <c r="X115" s="542">
        <v>0</v>
      </c>
      <c r="Y115" s="542">
        <v>0</v>
      </c>
      <c r="Z115" s="542">
        <v>0</v>
      </c>
      <c r="AA115" s="542">
        <v>-213390</v>
      </c>
      <c r="AB115" s="542">
        <v>0</v>
      </c>
      <c r="AC115" s="542">
        <v>-213390</v>
      </c>
      <c r="AD115" s="542">
        <v>-76583</v>
      </c>
      <c r="AE115" s="542">
        <v>0</v>
      </c>
      <c r="AF115" s="542">
        <v>-76583</v>
      </c>
      <c r="AG115" s="542">
        <v>567974</v>
      </c>
      <c r="AH115" s="542">
        <v>0</v>
      </c>
      <c r="AI115" s="542">
        <v>567974</v>
      </c>
      <c r="AJ115" s="542">
        <v>62149</v>
      </c>
      <c r="AK115" s="542">
        <v>0</v>
      </c>
      <c r="AL115" s="542">
        <v>62149</v>
      </c>
      <c r="AM115" s="542">
        <v>-2390515</v>
      </c>
      <c r="AN115" s="542">
        <v>0</v>
      </c>
      <c r="AO115" s="542">
        <v>-2390515</v>
      </c>
      <c r="AP115" s="542">
        <v>5182</v>
      </c>
      <c r="AQ115" s="542">
        <v>0</v>
      </c>
      <c r="AR115" s="542">
        <v>5182</v>
      </c>
      <c r="AS115" s="542">
        <v>-38088</v>
      </c>
      <c r="AT115" s="542">
        <v>0</v>
      </c>
      <c r="AU115" s="542">
        <v>-38088</v>
      </c>
      <c r="AV115" s="542">
        <v>0</v>
      </c>
      <c r="AW115" s="542">
        <v>0</v>
      </c>
      <c r="AX115" s="542">
        <v>0</v>
      </c>
      <c r="AY115" s="542">
        <v>-9197</v>
      </c>
      <c r="AZ115" s="542">
        <v>0</v>
      </c>
      <c r="BA115" s="542">
        <v>-9197</v>
      </c>
      <c r="BB115" s="542">
        <v>0</v>
      </c>
      <c r="BC115" s="542">
        <v>0</v>
      </c>
      <c r="BD115" s="542">
        <v>0</v>
      </c>
      <c r="BE115" s="542">
        <v>-3595917</v>
      </c>
      <c r="BF115" s="542">
        <v>0</v>
      </c>
      <c r="BG115" s="542">
        <v>-3595917</v>
      </c>
      <c r="BH115" s="542">
        <v>0</v>
      </c>
      <c r="BI115" s="542">
        <v>0</v>
      </c>
      <c r="BJ115" s="542">
        <v>0</v>
      </c>
      <c r="BK115" s="542">
        <v>13573</v>
      </c>
      <c r="BL115" s="542">
        <v>0</v>
      </c>
      <c r="BM115" s="542">
        <v>13573</v>
      </c>
      <c r="BN115" s="542">
        <v>-832185</v>
      </c>
      <c r="BO115" s="542">
        <v>0</v>
      </c>
      <c r="BP115" s="542">
        <v>-832185</v>
      </c>
      <c r="BQ115" s="542">
        <v>-4740</v>
      </c>
      <c r="BR115" s="542">
        <v>0</v>
      </c>
      <c r="BS115" s="542">
        <v>-4740</v>
      </c>
      <c r="BT115" s="542">
        <v>-823352</v>
      </c>
      <c r="BU115" s="542">
        <v>0</v>
      </c>
      <c r="BV115" s="542">
        <v>-823352</v>
      </c>
      <c r="BW115" s="542">
        <v>-127212</v>
      </c>
      <c r="BX115" s="542">
        <v>0</v>
      </c>
      <c r="BY115" s="542">
        <v>-127212</v>
      </c>
      <c r="BZ115" s="542">
        <v>-394</v>
      </c>
      <c r="CA115" s="542">
        <v>0</v>
      </c>
      <c r="CB115" s="542">
        <v>-394</v>
      </c>
      <c r="CC115" s="542">
        <v>-24832</v>
      </c>
      <c r="CD115" s="542">
        <v>0</v>
      </c>
      <c r="CE115" s="542">
        <v>-24832</v>
      </c>
      <c r="CF115" s="542">
        <v>-4767</v>
      </c>
      <c r="CG115" s="542">
        <v>0</v>
      </c>
      <c r="CH115" s="542">
        <v>-4767</v>
      </c>
      <c r="CI115" s="542">
        <v>-219</v>
      </c>
      <c r="CJ115" s="542">
        <v>0</v>
      </c>
      <c r="CK115" s="542">
        <v>-219</v>
      </c>
      <c r="CL115" s="542">
        <v>0</v>
      </c>
      <c r="CM115" s="542">
        <v>0</v>
      </c>
      <c r="CN115" s="542">
        <v>0</v>
      </c>
      <c r="CO115" s="542">
        <v>-2863</v>
      </c>
      <c r="CP115" s="542">
        <v>0</v>
      </c>
      <c r="CQ115" s="542">
        <v>-2863</v>
      </c>
      <c r="CR115" s="542">
        <v>0</v>
      </c>
      <c r="CS115" s="542">
        <v>0</v>
      </c>
      <c r="CT115" s="542">
        <v>0</v>
      </c>
      <c r="CU115" s="542">
        <v>0</v>
      </c>
      <c r="CV115" s="542">
        <v>0</v>
      </c>
      <c r="CW115" s="542">
        <v>0</v>
      </c>
      <c r="CX115" s="542">
        <v>0</v>
      </c>
      <c r="CY115" s="542">
        <v>0</v>
      </c>
      <c r="CZ115" s="542">
        <v>0</v>
      </c>
      <c r="DA115" s="542">
        <v>0</v>
      </c>
      <c r="DB115" s="542">
        <v>0</v>
      </c>
      <c r="DC115" s="542">
        <v>0</v>
      </c>
      <c r="DD115" s="542">
        <v>0</v>
      </c>
      <c r="DE115" s="542">
        <v>0</v>
      </c>
      <c r="DF115" s="542">
        <v>0</v>
      </c>
      <c r="DG115" s="542"/>
      <c r="DH115" s="542">
        <v>0</v>
      </c>
      <c r="DI115" s="542"/>
      <c r="DJ115" s="542">
        <v>0</v>
      </c>
      <c r="DK115" s="542"/>
      <c r="DL115" s="542"/>
      <c r="DM115" s="542">
        <v>-160287</v>
      </c>
      <c r="DN115" s="542">
        <v>0</v>
      </c>
      <c r="DO115" s="542">
        <v>-160287</v>
      </c>
      <c r="DP115" s="542">
        <v>0</v>
      </c>
      <c r="DQ115" s="542">
        <v>0</v>
      </c>
      <c r="DR115" s="542">
        <v>0</v>
      </c>
      <c r="DS115" s="542">
        <v>0</v>
      </c>
      <c r="DT115" s="542">
        <v>0</v>
      </c>
      <c r="DU115" s="542">
        <v>0</v>
      </c>
      <c r="DV115" s="542">
        <v>0</v>
      </c>
      <c r="DW115" s="542">
        <v>0</v>
      </c>
      <c r="DX115" s="542">
        <v>0</v>
      </c>
      <c r="DY115" s="542">
        <v>-377543</v>
      </c>
      <c r="DZ115" s="542">
        <v>0</v>
      </c>
      <c r="EA115" s="542">
        <v>-377543</v>
      </c>
      <c r="EB115" s="542">
        <v>0</v>
      </c>
      <c r="EC115" s="542">
        <v>0</v>
      </c>
      <c r="ED115" s="542">
        <v>0</v>
      </c>
      <c r="EE115" s="542">
        <v>0</v>
      </c>
      <c r="EF115" s="542">
        <v>0</v>
      </c>
      <c r="EG115" s="542">
        <v>0</v>
      </c>
      <c r="EH115" s="542">
        <v>-377543</v>
      </c>
      <c r="EI115" s="542">
        <v>0</v>
      </c>
      <c r="EJ115" s="542">
        <v>-377543</v>
      </c>
      <c r="EK115" s="542">
        <v>0</v>
      </c>
      <c r="EL115" s="542">
        <v>0</v>
      </c>
      <c r="EM115" s="542">
        <v>0</v>
      </c>
      <c r="EN115" s="542">
        <v>0</v>
      </c>
      <c r="EO115" s="542">
        <v>0</v>
      </c>
      <c r="EP115" s="542">
        <v>0</v>
      </c>
      <c r="EQ115" s="542">
        <v>0</v>
      </c>
      <c r="ER115" s="542">
        <v>0</v>
      </c>
      <c r="ES115" s="542">
        <v>0</v>
      </c>
      <c r="ET115" s="542">
        <v>28025657</v>
      </c>
      <c r="EU115" s="542">
        <v>0</v>
      </c>
      <c r="EV115" s="542">
        <v>28025657</v>
      </c>
      <c r="EW115" s="542">
        <v>117208</v>
      </c>
      <c r="EX115" s="542">
        <v>0</v>
      </c>
      <c r="EY115" s="542">
        <v>117208</v>
      </c>
      <c r="EZ115" s="542">
        <v>-3595917</v>
      </c>
      <c r="FA115" s="542">
        <v>0</v>
      </c>
      <c r="FB115" s="542">
        <v>-3595917</v>
      </c>
      <c r="FC115" s="542">
        <v>-823352</v>
      </c>
      <c r="FD115" s="542">
        <v>0</v>
      </c>
      <c r="FE115" s="542">
        <v>-823352</v>
      </c>
      <c r="FF115" s="542">
        <v>-160287</v>
      </c>
      <c r="FG115" s="542">
        <v>0</v>
      </c>
      <c r="FH115" s="542">
        <v>-160287</v>
      </c>
      <c r="FI115" s="542">
        <v>-377543</v>
      </c>
      <c r="FJ115" s="542">
        <v>0</v>
      </c>
      <c r="FK115" s="542">
        <v>-377543</v>
      </c>
      <c r="FL115" s="542">
        <v>0</v>
      </c>
      <c r="FM115" s="542">
        <v>0</v>
      </c>
      <c r="FN115" s="542">
        <v>0</v>
      </c>
      <c r="FO115" s="542">
        <v>-4839891</v>
      </c>
      <c r="FP115" s="542">
        <v>0</v>
      </c>
      <c r="FQ115" s="542">
        <v>-4839891</v>
      </c>
      <c r="FR115" s="542">
        <v>23185766</v>
      </c>
      <c r="FS115" s="542">
        <v>0</v>
      </c>
      <c r="FT115" s="542">
        <v>23185766</v>
      </c>
    </row>
    <row r="116" spans="1:176" ht="12.75" x14ac:dyDescent="0.2">
      <c r="A116" s="93">
        <v>111</v>
      </c>
      <c r="B116" s="145" t="s">
        <v>100</v>
      </c>
      <c r="C116" s="604" t="s">
        <v>866</v>
      </c>
      <c r="D116" s="142" t="s">
        <v>870</v>
      </c>
      <c r="E116" s="149" t="s">
        <v>99</v>
      </c>
      <c r="F116" s="542">
        <v>-885922</v>
      </c>
      <c r="G116" s="542">
        <v>0</v>
      </c>
      <c r="H116" s="542">
        <v>-885922</v>
      </c>
      <c r="I116" s="542">
        <v>-2049769</v>
      </c>
      <c r="J116" s="542">
        <v>0</v>
      </c>
      <c r="K116" s="542">
        <v>-2049769</v>
      </c>
      <c r="L116" s="542">
        <v>5512</v>
      </c>
      <c r="M116" s="542">
        <v>38429</v>
      </c>
      <c r="N116" s="542">
        <v>43941</v>
      </c>
      <c r="O116" s="542">
        <v>50141</v>
      </c>
      <c r="P116" s="542">
        <v>0</v>
      </c>
      <c r="Q116" s="542">
        <v>50141</v>
      </c>
      <c r="R116" s="542">
        <v>-2880038</v>
      </c>
      <c r="S116" s="542">
        <v>38429</v>
      </c>
      <c r="T116" s="542">
        <v>-2841609</v>
      </c>
      <c r="U116" s="542">
        <v>-2662155</v>
      </c>
      <c r="V116" s="542">
        <v>0</v>
      </c>
      <c r="W116" s="542">
        <v>-2662155</v>
      </c>
      <c r="X116" s="542">
        <v>0</v>
      </c>
      <c r="Y116" s="542">
        <v>0</v>
      </c>
      <c r="Z116" s="542">
        <v>0</v>
      </c>
      <c r="AA116" s="542">
        <v>-294242</v>
      </c>
      <c r="AB116" s="542">
        <v>0</v>
      </c>
      <c r="AC116" s="542">
        <v>-294242</v>
      </c>
      <c r="AD116" s="542">
        <v>-105225</v>
      </c>
      <c r="AE116" s="542">
        <v>0</v>
      </c>
      <c r="AF116" s="542">
        <v>-105225</v>
      </c>
      <c r="AG116" s="542">
        <v>659445</v>
      </c>
      <c r="AH116" s="542">
        <v>8412</v>
      </c>
      <c r="AI116" s="542">
        <v>667857</v>
      </c>
      <c r="AJ116" s="542">
        <v>29703</v>
      </c>
      <c r="AK116" s="542">
        <v>-4</v>
      </c>
      <c r="AL116" s="542">
        <v>29699</v>
      </c>
      <c r="AM116" s="542">
        <v>-1645326</v>
      </c>
      <c r="AN116" s="542">
        <v>0</v>
      </c>
      <c r="AO116" s="542">
        <v>-1645326</v>
      </c>
      <c r="AP116" s="542">
        <v>-5161</v>
      </c>
      <c r="AQ116" s="542">
        <v>0</v>
      </c>
      <c r="AR116" s="542">
        <v>-5161</v>
      </c>
      <c r="AS116" s="542">
        <v>-19280</v>
      </c>
      <c r="AT116" s="542">
        <v>0</v>
      </c>
      <c r="AU116" s="542">
        <v>-19280</v>
      </c>
      <c r="AV116" s="542">
        <v>0</v>
      </c>
      <c r="AW116" s="542">
        <v>0</v>
      </c>
      <c r="AX116" s="542">
        <v>0</v>
      </c>
      <c r="AY116" s="542">
        <v>-1441</v>
      </c>
      <c r="AZ116" s="542">
        <v>0</v>
      </c>
      <c r="BA116" s="542">
        <v>-1441</v>
      </c>
      <c r="BB116" s="542">
        <v>0</v>
      </c>
      <c r="BC116" s="542">
        <v>0</v>
      </c>
      <c r="BD116" s="542">
        <v>0</v>
      </c>
      <c r="BE116" s="542">
        <v>-3938457</v>
      </c>
      <c r="BF116" s="542">
        <v>8408</v>
      </c>
      <c r="BG116" s="542">
        <v>-3930049</v>
      </c>
      <c r="BH116" s="542">
        <v>-335</v>
      </c>
      <c r="BI116" s="542">
        <v>0</v>
      </c>
      <c r="BJ116" s="542">
        <v>-335</v>
      </c>
      <c r="BK116" s="542">
        <v>95210</v>
      </c>
      <c r="BL116" s="542">
        <v>0</v>
      </c>
      <c r="BM116" s="542">
        <v>95210</v>
      </c>
      <c r="BN116" s="542">
        <v>-981748</v>
      </c>
      <c r="BO116" s="542">
        <v>-2020</v>
      </c>
      <c r="BP116" s="542">
        <v>-983768</v>
      </c>
      <c r="BQ116" s="542">
        <v>105566</v>
      </c>
      <c r="BR116" s="542">
        <v>0</v>
      </c>
      <c r="BS116" s="542">
        <v>105566</v>
      </c>
      <c r="BT116" s="542">
        <v>-781307</v>
      </c>
      <c r="BU116" s="542">
        <v>-2020</v>
      </c>
      <c r="BV116" s="542">
        <v>-783327</v>
      </c>
      <c r="BW116" s="542">
        <v>-109987</v>
      </c>
      <c r="BX116" s="542">
        <v>0</v>
      </c>
      <c r="BY116" s="542">
        <v>-109987</v>
      </c>
      <c r="BZ116" s="542">
        <v>-365</v>
      </c>
      <c r="CA116" s="542">
        <v>0</v>
      </c>
      <c r="CB116" s="542">
        <v>-365</v>
      </c>
      <c r="CC116" s="542">
        <v>-36524</v>
      </c>
      <c r="CD116" s="542">
        <v>0</v>
      </c>
      <c r="CE116" s="542">
        <v>-36524</v>
      </c>
      <c r="CF116" s="542">
        <v>5462</v>
      </c>
      <c r="CG116" s="542">
        <v>0</v>
      </c>
      <c r="CH116" s="542">
        <v>5462</v>
      </c>
      <c r="CI116" s="542">
        <v>0</v>
      </c>
      <c r="CJ116" s="542">
        <v>0</v>
      </c>
      <c r="CK116" s="542">
        <v>0</v>
      </c>
      <c r="CL116" s="542">
        <v>0</v>
      </c>
      <c r="CM116" s="542">
        <v>0</v>
      </c>
      <c r="CN116" s="542">
        <v>0</v>
      </c>
      <c r="CO116" s="542">
        <v>-783</v>
      </c>
      <c r="CP116" s="542">
        <v>0</v>
      </c>
      <c r="CQ116" s="542">
        <v>-783</v>
      </c>
      <c r="CR116" s="542">
        <v>0</v>
      </c>
      <c r="CS116" s="542">
        <v>0</v>
      </c>
      <c r="CT116" s="542">
        <v>0</v>
      </c>
      <c r="CU116" s="542">
        <v>0</v>
      </c>
      <c r="CV116" s="542">
        <v>0</v>
      </c>
      <c r="CW116" s="542">
        <v>0</v>
      </c>
      <c r="CX116" s="542">
        <v>0</v>
      </c>
      <c r="CY116" s="542">
        <v>0</v>
      </c>
      <c r="CZ116" s="542">
        <v>0</v>
      </c>
      <c r="DA116" s="542">
        <v>0</v>
      </c>
      <c r="DB116" s="542">
        <v>-315326</v>
      </c>
      <c r="DC116" s="542">
        <v>-315326</v>
      </c>
      <c r="DD116" s="542">
        <v>0</v>
      </c>
      <c r="DE116" s="542">
        <v>-212</v>
      </c>
      <c r="DF116" s="542">
        <v>-212</v>
      </c>
      <c r="DG116" s="542"/>
      <c r="DH116" s="542">
        <v>-315538</v>
      </c>
      <c r="DI116" s="542"/>
      <c r="DJ116" s="542">
        <v>0</v>
      </c>
      <c r="DK116" s="542"/>
      <c r="DL116" s="542"/>
      <c r="DM116" s="542">
        <v>-142197</v>
      </c>
      <c r="DN116" s="542">
        <v>-315538</v>
      </c>
      <c r="DO116" s="542">
        <v>-457735</v>
      </c>
      <c r="DP116" s="542">
        <v>0</v>
      </c>
      <c r="DQ116" s="542">
        <v>0</v>
      </c>
      <c r="DR116" s="542">
        <v>0</v>
      </c>
      <c r="DS116" s="542">
        <v>0</v>
      </c>
      <c r="DT116" s="542">
        <v>0</v>
      </c>
      <c r="DU116" s="542">
        <v>0</v>
      </c>
      <c r="DV116" s="542">
        <v>0</v>
      </c>
      <c r="DW116" s="542">
        <v>0</v>
      </c>
      <c r="DX116" s="542">
        <v>0</v>
      </c>
      <c r="DY116" s="542">
        <v>-158964</v>
      </c>
      <c r="DZ116" s="542">
        <v>0</v>
      </c>
      <c r="EA116" s="542">
        <v>-158964</v>
      </c>
      <c r="EB116" s="542">
        <v>0</v>
      </c>
      <c r="EC116" s="542">
        <v>0</v>
      </c>
      <c r="ED116" s="542">
        <v>0</v>
      </c>
      <c r="EE116" s="542">
        <v>0</v>
      </c>
      <c r="EF116" s="542">
        <v>0</v>
      </c>
      <c r="EG116" s="542">
        <v>0</v>
      </c>
      <c r="EH116" s="542">
        <v>-158964</v>
      </c>
      <c r="EI116" s="542">
        <v>0</v>
      </c>
      <c r="EJ116" s="542">
        <v>-158964</v>
      </c>
      <c r="EK116" s="542">
        <v>0</v>
      </c>
      <c r="EL116" s="542">
        <v>0</v>
      </c>
      <c r="EM116" s="542">
        <v>0</v>
      </c>
      <c r="EN116" s="542">
        <v>0</v>
      </c>
      <c r="EO116" s="542">
        <v>0</v>
      </c>
      <c r="EP116" s="542">
        <v>0</v>
      </c>
      <c r="EQ116" s="542">
        <v>0</v>
      </c>
      <c r="ER116" s="542">
        <v>0</v>
      </c>
      <c r="ES116" s="542">
        <v>0</v>
      </c>
      <c r="ET116" s="542">
        <v>33516588</v>
      </c>
      <c r="EU116" s="542">
        <v>378538</v>
      </c>
      <c r="EV116" s="542">
        <v>33895126</v>
      </c>
      <c r="EW116" s="542">
        <v>-2880038</v>
      </c>
      <c r="EX116" s="542">
        <v>38429</v>
      </c>
      <c r="EY116" s="542">
        <v>-2841609</v>
      </c>
      <c r="EZ116" s="542">
        <v>-3938457</v>
      </c>
      <c r="FA116" s="542">
        <v>8408</v>
      </c>
      <c r="FB116" s="542">
        <v>-3930049</v>
      </c>
      <c r="FC116" s="542">
        <v>-781307</v>
      </c>
      <c r="FD116" s="542">
        <v>-2020</v>
      </c>
      <c r="FE116" s="542">
        <v>-783327</v>
      </c>
      <c r="FF116" s="542">
        <v>-142197</v>
      </c>
      <c r="FG116" s="542">
        <v>-315538</v>
      </c>
      <c r="FH116" s="542">
        <v>-457735</v>
      </c>
      <c r="FI116" s="542">
        <v>-158964</v>
      </c>
      <c r="FJ116" s="542">
        <v>0</v>
      </c>
      <c r="FK116" s="542">
        <v>-158964</v>
      </c>
      <c r="FL116" s="542">
        <v>0</v>
      </c>
      <c r="FM116" s="542">
        <v>0</v>
      </c>
      <c r="FN116" s="542">
        <v>0</v>
      </c>
      <c r="FO116" s="542">
        <v>-7900963</v>
      </c>
      <c r="FP116" s="542">
        <v>-270721</v>
      </c>
      <c r="FQ116" s="542">
        <v>-8171684</v>
      </c>
      <c r="FR116" s="542">
        <v>25615625</v>
      </c>
      <c r="FS116" s="542">
        <v>107817</v>
      </c>
      <c r="FT116" s="542">
        <v>25723442</v>
      </c>
    </row>
    <row r="117" spans="1:176" ht="12.75" x14ac:dyDescent="0.2">
      <c r="A117" s="93">
        <v>112</v>
      </c>
      <c r="B117" s="145" t="s">
        <v>102</v>
      </c>
      <c r="C117" s="604" t="s">
        <v>877</v>
      </c>
      <c r="D117" s="142" t="s">
        <v>872</v>
      </c>
      <c r="E117" s="149" t="s">
        <v>101</v>
      </c>
      <c r="F117" s="542">
        <v>-44225</v>
      </c>
      <c r="G117" s="542">
        <v>0</v>
      </c>
      <c r="H117" s="542">
        <v>-44225</v>
      </c>
      <c r="I117" s="542">
        <v>130306</v>
      </c>
      <c r="J117" s="542">
        <v>0</v>
      </c>
      <c r="K117" s="542">
        <v>130306</v>
      </c>
      <c r="L117" s="542">
        <v>16039</v>
      </c>
      <c r="M117" s="542">
        <v>0</v>
      </c>
      <c r="N117" s="542">
        <v>16039</v>
      </c>
      <c r="O117" s="542">
        <v>-53024</v>
      </c>
      <c r="P117" s="542">
        <v>0</v>
      </c>
      <c r="Q117" s="542">
        <v>-53024</v>
      </c>
      <c r="R117" s="542">
        <v>49096</v>
      </c>
      <c r="S117" s="542">
        <v>0</v>
      </c>
      <c r="T117" s="542">
        <v>49096</v>
      </c>
      <c r="U117" s="542">
        <v>-3286105</v>
      </c>
      <c r="V117" s="542">
        <v>0</v>
      </c>
      <c r="W117" s="542">
        <v>-3286105</v>
      </c>
      <c r="X117" s="542">
        <v>0</v>
      </c>
      <c r="Y117" s="542">
        <v>0</v>
      </c>
      <c r="Z117" s="542">
        <v>0</v>
      </c>
      <c r="AA117" s="542">
        <v>-221800</v>
      </c>
      <c r="AB117" s="542">
        <v>0</v>
      </c>
      <c r="AC117" s="542">
        <v>-221800</v>
      </c>
      <c r="AD117" s="542">
        <v>-66954</v>
      </c>
      <c r="AE117" s="542">
        <v>0</v>
      </c>
      <c r="AF117" s="542">
        <v>-66954</v>
      </c>
      <c r="AG117" s="542">
        <v>1651271</v>
      </c>
      <c r="AH117" s="542">
        <v>0</v>
      </c>
      <c r="AI117" s="542">
        <v>1651271</v>
      </c>
      <c r="AJ117" s="542">
        <v>-6583</v>
      </c>
      <c r="AK117" s="542">
        <v>0</v>
      </c>
      <c r="AL117" s="542">
        <v>-6583</v>
      </c>
      <c r="AM117" s="542">
        <v>-7312524</v>
      </c>
      <c r="AN117" s="542">
        <v>0</v>
      </c>
      <c r="AO117" s="542">
        <v>-7312524</v>
      </c>
      <c r="AP117" s="542">
        <v>37051</v>
      </c>
      <c r="AQ117" s="542">
        <v>0</v>
      </c>
      <c r="AR117" s="542">
        <v>37051</v>
      </c>
      <c r="AS117" s="542">
        <v>-117512</v>
      </c>
      <c r="AT117" s="542">
        <v>0</v>
      </c>
      <c r="AU117" s="542">
        <v>-117512</v>
      </c>
      <c r="AV117" s="542">
        <v>0</v>
      </c>
      <c r="AW117" s="542">
        <v>0</v>
      </c>
      <c r="AX117" s="542">
        <v>0</v>
      </c>
      <c r="AY117" s="542">
        <v>0</v>
      </c>
      <c r="AZ117" s="542">
        <v>0</v>
      </c>
      <c r="BA117" s="542">
        <v>0</v>
      </c>
      <c r="BB117" s="542">
        <v>0</v>
      </c>
      <c r="BC117" s="542">
        <v>0</v>
      </c>
      <c r="BD117" s="542">
        <v>0</v>
      </c>
      <c r="BE117" s="542">
        <v>-9256202</v>
      </c>
      <c r="BF117" s="542">
        <v>0</v>
      </c>
      <c r="BG117" s="542">
        <v>-9256202</v>
      </c>
      <c r="BH117" s="542">
        <v>-92427</v>
      </c>
      <c r="BI117" s="542">
        <v>0</v>
      </c>
      <c r="BJ117" s="542">
        <v>-92427</v>
      </c>
      <c r="BK117" s="542">
        <v>40748</v>
      </c>
      <c r="BL117" s="542">
        <v>0</v>
      </c>
      <c r="BM117" s="542">
        <v>40748</v>
      </c>
      <c r="BN117" s="542">
        <v>-2961873</v>
      </c>
      <c r="BO117" s="542">
        <v>0</v>
      </c>
      <c r="BP117" s="542">
        <v>-2961873</v>
      </c>
      <c r="BQ117" s="542">
        <v>-245610</v>
      </c>
      <c r="BR117" s="542">
        <v>0</v>
      </c>
      <c r="BS117" s="542">
        <v>-245610</v>
      </c>
      <c r="BT117" s="542">
        <v>-3259162</v>
      </c>
      <c r="BU117" s="542">
        <v>0</v>
      </c>
      <c r="BV117" s="542">
        <v>-3259162</v>
      </c>
      <c r="BW117" s="542">
        <v>-540451</v>
      </c>
      <c r="BX117" s="542">
        <v>0</v>
      </c>
      <c r="BY117" s="542">
        <v>-540451</v>
      </c>
      <c r="BZ117" s="542">
        <v>-4878</v>
      </c>
      <c r="CA117" s="542">
        <v>0</v>
      </c>
      <c r="CB117" s="542">
        <v>-4878</v>
      </c>
      <c r="CC117" s="542">
        <v>-46997</v>
      </c>
      <c r="CD117" s="542">
        <v>0</v>
      </c>
      <c r="CE117" s="542">
        <v>-46997</v>
      </c>
      <c r="CF117" s="542">
        <v>0</v>
      </c>
      <c r="CG117" s="542">
        <v>0</v>
      </c>
      <c r="CH117" s="542">
        <v>0</v>
      </c>
      <c r="CI117" s="542">
        <v>0</v>
      </c>
      <c r="CJ117" s="542">
        <v>0</v>
      </c>
      <c r="CK117" s="542">
        <v>0</v>
      </c>
      <c r="CL117" s="542">
        <v>0</v>
      </c>
      <c r="CM117" s="542">
        <v>0</v>
      </c>
      <c r="CN117" s="542">
        <v>0</v>
      </c>
      <c r="CO117" s="542">
        <v>0</v>
      </c>
      <c r="CP117" s="542">
        <v>0</v>
      </c>
      <c r="CQ117" s="542">
        <v>0</v>
      </c>
      <c r="CR117" s="542">
        <v>0</v>
      </c>
      <c r="CS117" s="542">
        <v>0</v>
      </c>
      <c r="CT117" s="542">
        <v>0</v>
      </c>
      <c r="CU117" s="542">
        <v>0</v>
      </c>
      <c r="CV117" s="542">
        <v>0</v>
      </c>
      <c r="CW117" s="542">
        <v>0</v>
      </c>
      <c r="CX117" s="542">
        <v>0</v>
      </c>
      <c r="CY117" s="542">
        <v>0</v>
      </c>
      <c r="CZ117" s="542">
        <v>0</v>
      </c>
      <c r="DA117" s="542">
        <v>0</v>
      </c>
      <c r="DB117" s="542">
        <v>0</v>
      </c>
      <c r="DC117" s="542">
        <v>0</v>
      </c>
      <c r="DD117" s="542">
        <v>0</v>
      </c>
      <c r="DE117" s="542">
        <v>0</v>
      </c>
      <c r="DF117" s="542">
        <v>0</v>
      </c>
      <c r="DG117" s="542"/>
      <c r="DH117" s="542">
        <v>0</v>
      </c>
      <c r="DI117" s="542"/>
      <c r="DJ117" s="542">
        <v>0</v>
      </c>
      <c r="DK117" s="542"/>
      <c r="DL117" s="542"/>
      <c r="DM117" s="542">
        <v>-592326</v>
      </c>
      <c r="DN117" s="542">
        <v>0</v>
      </c>
      <c r="DO117" s="542">
        <v>-592326</v>
      </c>
      <c r="DP117" s="542">
        <v>0</v>
      </c>
      <c r="DQ117" s="542">
        <v>0</v>
      </c>
      <c r="DR117" s="542">
        <v>0</v>
      </c>
      <c r="DS117" s="542">
        <v>0</v>
      </c>
      <c r="DT117" s="542">
        <v>0</v>
      </c>
      <c r="DU117" s="542">
        <v>0</v>
      </c>
      <c r="DV117" s="542">
        <v>-186304</v>
      </c>
      <c r="DW117" s="542">
        <v>0</v>
      </c>
      <c r="DX117" s="542">
        <v>-186304</v>
      </c>
      <c r="DY117" s="542">
        <v>-752925</v>
      </c>
      <c r="DZ117" s="542">
        <v>0</v>
      </c>
      <c r="EA117" s="542">
        <v>-752925</v>
      </c>
      <c r="EB117" s="542">
        <v>0</v>
      </c>
      <c r="EC117" s="542">
        <v>0</v>
      </c>
      <c r="ED117" s="542">
        <v>0</v>
      </c>
      <c r="EE117" s="542">
        <v>0</v>
      </c>
      <c r="EF117" s="542">
        <v>0</v>
      </c>
      <c r="EG117" s="542">
        <v>0</v>
      </c>
      <c r="EH117" s="542">
        <v>-939229</v>
      </c>
      <c r="EI117" s="542">
        <v>0</v>
      </c>
      <c r="EJ117" s="542">
        <v>-939229</v>
      </c>
      <c r="EK117" s="542">
        <v>0</v>
      </c>
      <c r="EL117" s="542">
        <v>0</v>
      </c>
      <c r="EM117" s="542">
        <v>0</v>
      </c>
      <c r="EN117" s="542">
        <v>9</v>
      </c>
      <c r="EO117" s="542">
        <v>0</v>
      </c>
      <c r="EP117" s="542">
        <v>9</v>
      </c>
      <c r="EQ117" s="542">
        <v>9</v>
      </c>
      <c r="ER117" s="542">
        <v>0</v>
      </c>
      <c r="ES117" s="542">
        <v>9</v>
      </c>
      <c r="ET117" s="542">
        <v>81309067</v>
      </c>
      <c r="EU117" s="542">
        <v>0</v>
      </c>
      <c r="EV117" s="542">
        <v>81309067</v>
      </c>
      <c r="EW117" s="542">
        <v>49096</v>
      </c>
      <c r="EX117" s="542">
        <v>0</v>
      </c>
      <c r="EY117" s="542">
        <v>49096</v>
      </c>
      <c r="EZ117" s="542">
        <v>-9256202</v>
      </c>
      <c r="FA117" s="542">
        <v>0</v>
      </c>
      <c r="FB117" s="542">
        <v>-9256202</v>
      </c>
      <c r="FC117" s="542">
        <v>-3259162</v>
      </c>
      <c r="FD117" s="542">
        <v>0</v>
      </c>
      <c r="FE117" s="542">
        <v>-3259162</v>
      </c>
      <c r="FF117" s="542">
        <v>-592326</v>
      </c>
      <c r="FG117" s="542">
        <v>0</v>
      </c>
      <c r="FH117" s="542">
        <v>-592326</v>
      </c>
      <c r="FI117" s="542">
        <v>-939229</v>
      </c>
      <c r="FJ117" s="542">
        <v>0</v>
      </c>
      <c r="FK117" s="542">
        <v>-939229</v>
      </c>
      <c r="FL117" s="542">
        <v>9</v>
      </c>
      <c r="FM117" s="542">
        <v>0</v>
      </c>
      <c r="FN117" s="542">
        <v>9</v>
      </c>
      <c r="FO117" s="542">
        <v>-13997814</v>
      </c>
      <c r="FP117" s="542">
        <v>0</v>
      </c>
      <c r="FQ117" s="542">
        <v>-13997814</v>
      </c>
      <c r="FR117" s="542">
        <v>67311253</v>
      </c>
      <c r="FS117" s="542">
        <v>0</v>
      </c>
      <c r="FT117" s="542">
        <v>67311253</v>
      </c>
    </row>
    <row r="118" spans="1:176" ht="12.75" x14ac:dyDescent="0.2">
      <c r="A118" s="93">
        <v>113</v>
      </c>
      <c r="B118" s="145" t="s">
        <v>104</v>
      </c>
      <c r="C118" s="604" t="s">
        <v>866</v>
      </c>
      <c r="D118" s="142" t="s">
        <v>867</v>
      </c>
      <c r="E118" s="149" t="s">
        <v>103</v>
      </c>
      <c r="F118" s="542">
        <v>-22560</v>
      </c>
      <c r="G118" s="542">
        <v>0</v>
      </c>
      <c r="H118" s="542">
        <v>-22560</v>
      </c>
      <c r="I118" s="542">
        <v>24216</v>
      </c>
      <c r="J118" s="542">
        <v>0</v>
      </c>
      <c r="K118" s="542">
        <v>24216</v>
      </c>
      <c r="L118" s="542">
        <v>80311</v>
      </c>
      <c r="M118" s="542">
        <v>0</v>
      </c>
      <c r="N118" s="542">
        <v>80311</v>
      </c>
      <c r="O118" s="542">
        <v>554043</v>
      </c>
      <c r="P118" s="542">
        <v>0</v>
      </c>
      <c r="Q118" s="542">
        <v>554043</v>
      </c>
      <c r="R118" s="542">
        <v>636010</v>
      </c>
      <c r="S118" s="542">
        <v>0</v>
      </c>
      <c r="T118" s="542">
        <v>636010</v>
      </c>
      <c r="U118" s="542">
        <v>-1766364</v>
      </c>
      <c r="V118" s="542">
        <v>0</v>
      </c>
      <c r="W118" s="542">
        <v>-1766364</v>
      </c>
      <c r="X118" s="542">
        <v>0</v>
      </c>
      <c r="Y118" s="542">
        <v>0</v>
      </c>
      <c r="Z118" s="542">
        <v>0</v>
      </c>
      <c r="AA118" s="542">
        <v>-141576</v>
      </c>
      <c r="AB118" s="542">
        <v>0</v>
      </c>
      <c r="AC118" s="542">
        <v>-141576</v>
      </c>
      <c r="AD118" s="542">
        <v>-63325</v>
      </c>
      <c r="AE118" s="542">
        <v>0</v>
      </c>
      <c r="AF118" s="542">
        <v>-63325</v>
      </c>
      <c r="AG118" s="542">
        <v>1961707</v>
      </c>
      <c r="AH118" s="542">
        <v>0</v>
      </c>
      <c r="AI118" s="542">
        <v>1961707</v>
      </c>
      <c r="AJ118" s="542">
        <v>-21299</v>
      </c>
      <c r="AK118" s="542">
        <v>0</v>
      </c>
      <c r="AL118" s="542">
        <v>-21299</v>
      </c>
      <c r="AM118" s="542">
        <v>-7538295</v>
      </c>
      <c r="AN118" s="542">
        <v>0</v>
      </c>
      <c r="AO118" s="542">
        <v>-7538295</v>
      </c>
      <c r="AP118" s="542">
        <v>-107763</v>
      </c>
      <c r="AQ118" s="542">
        <v>0</v>
      </c>
      <c r="AR118" s="542">
        <v>-107763</v>
      </c>
      <c r="AS118" s="542">
        <v>-70247</v>
      </c>
      <c r="AT118" s="542">
        <v>0</v>
      </c>
      <c r="AU118" s="542">
        <v>-70247</v>
      </c>
      <c r="AV118" s="542">
        <v>0</v>
      </c>
      <c r="AW118" s="542">
        <v>0</v>
      </c>
      <c r="AX118" s="542">
        <v>0</v>
      </c>
      <c r="AY118" s="542">
        <v>-20130</v>
      </c>
      <c r="AZ118" s="542">
        <v>0</v>
      </c>
      <c r="BA118" s="542">
        <v>-20130</v>
      </c>
      <c r="BB118" s="542">
        <v>0</v>
      </c>
      <c r="BC118" s="542">
        <v>0</v>
      </c>
      <c r="BD118" s="542">
        <v>0</v>
      </c>
      <c r="BE118" s="542">
        <v>-7703967</v>
      </c>
      <c r="BF118" s="542">
        <v>0</v>
      </c>
      <c r="BG118" s="542">
        <v>-7703967</v>
      </c>
      <c r="BH118" s="542">
        <v>-132360</v>
      </c>
      <c r="BI118" s="542">
        <v>0</v>
      </c>
      <c r="BJ118" s="542">
        <v>-132360</v>
      </c>
      <c r="BK118" s="542">
        <v>-62201</v>
      </c>
      <c r="BL118" s="542">
        <v>0</v>
      </c>
      <c r="BM118" s="542">
        <v>-62201</v>
      </c>
      <c r="BN118" s="542">
        <v>-2158548</v>
      </c>
      <c r="BO118" s="542">
        <v>0</v>
      </c>
      <c r="BP118" s="542">
        <v>-2158548</v>
      </c>
      <c r="BQ118" s="542">
        <v>3465466</v>
      </c>
      <c r="BR118" s="542">
        <v>0</v>
      </c>
      <c r="BS118" s="542">
        <v>3465466</v>
      </c>
      <c r="BT118" s="542">
        <v>1112357</v>
      </c>
      <c r="BU118" s="542">
        <v>0</v>
      </c>
      <c r="BV118" s="542">
        <v>1112357</v>
      </c>
      <c r="BW118" s="542">
        <v>-144593</v>
      </c>
      <c r="BX118" s="542">
        <v>0</v>
      </c>
      <c r="BY118" s="542">
        <v>-144593</v>
      </c>
      <c r="BZ118" s="542">
        <v>-7138</v>
      </c>
      <c r="CA118" s="542">
        <v>0</v>
      </c>
      <c r="CB118" s="542">
        <v>-7138</v>
      </c>
      <c r="CC118" s="542">
        <v>-6299</v>
      </c>
      <c r="CD118" s="542">
        <v>0</v>
      </c>
      <c r="CE118" s="542">
        <v>-6299</v>
      </c>
      <c r="CF118" s="542">
        <v>230</v>
      </c>
      <c r="CG118" s="542">
        <v>0</v>
      </c>
      <c r="CH118" s="542">
        <v>230</v>
      </c>
      <c r="CI118" s="542">
        <v>0</v>
      </c>
      <c r="CJ118" s="542">
        <v>0</v>
      </c>
      <c r="CK118" s="542">
        <v>0</v>
      </c>
      <c r="CL118" s="542">
        <v>0</v>
      </c>
      <c r="CM118" s="542">
        <v>0</v>
      </c>
      <c r="CN118" s="542">
        <v>0</v>
      </c>
      <c r="CO118" s="542">
        <v>-20130</v>
      </c>
      <c r="CP118" s="542">
        <v>0</v>
      </c>
      <c r="CQ118" s="542">
        <v>-20130</v>
      </c>
      <c r="CR118" s="542">
        <v>0</v>
      </c>
      <c r="CS118" s="542">
        <v>0</v>
      </c>
      <c r="CT118" s="542">
        <v>0</v>
      </c>
      <c r="CU118" s="542">
        <v>-24074</v>
      </c>
      <c r="CV118" s="542">
        <v>0</v>
      </c>
      <c r="CW118" s="542">
        <v>-24074</v>
      </c>
      <c r="CX118" s="542">
        <v>0</v>
      </c>
      <c r="CY118" s="542">
        <v>0</v>
      </c>
      <c r="CZ118" s="542">
        <v>0</v>
      </c>
      <c r="DA118" s="542">
        <v>0</v>
      </c>
      <c r="DB118" s="542">
        <v>0</v>
      </c>
      <c r="DC118" s="542">
        <v>0</v>
      </c>
      <c r="DD118" s="542">
        <v>0</v>
      </c>
      <c r="DE118" s="542">
        <v>0</v>
      </c>
      <c r="DF118" s="542">
        <v>0</v>
      </c>
      <c r="DG118" s="542"/>
      <c r="DH118" s="542">
        <v>0</v>
      </c>
      <c r="DI118" s="542"/>
      <c r="DJ118" s="542">
        <v>0</v>
      </c>
      <c r="DK118" s="542"/>
      <c r="DL118" s="542"/>
      <c r="DM118" s="542">
        <v>-202004</v>
      </c>
      <c r="DN118" s="542">
        <v>0</v>
      </c>
      <c r="DO118" s="542">
        <v>-202004</v>
      </c>
      <c r="DP118" s="542">
        <v>0</v>
      </c>
      <c r="DQ118" s="542">
        <v>0</v>
      </c>
      <c r="DR118" s="542">
        <v>0</v>
      </c>
      <c r="DS118" s="542">
        <v>0</v>
      </c>
      <c r="DT118" s="542">
        <v>0</v>
      </c>
      <c r="DU118" s="542">
        <v>0</v>
      </c>
      <c r="DV118" s="542">
        <v>-38049</v>
      </c>
      <c r="DW118" s="542">
        <v>0</v>
      </c>
      <c r="DX118" s="542">
        <v>-38049</v>
      </c>
      <c r="DY118" s="542">
        <v>-349531</v>
      </c>
      <c r="DZ118" s="542">
        <v>0</v>
      </c>
      <c r="EA118" s="542">
        <v>-349531</v>
      </c>
      <c r="EB118" s="542">
        <v>0</v>
      </c>
      <c r="EC118" s="542">
        <v>0</v>
      </c>
      <c r="ED118" s="542">
        <v>0</v>
      </c>
      <c r="EE118" s="542">
        <v>-303745</v>
      </c>
      <c r="EF118" s="542">
        <v>0</v>
      </c>
      <c r="EG118" s="542">
        <v>-303745</v>
      </c>
      <c r="EH118" s="542">
        <v>-691325</v>
      </c>
      <c r="EI118" s="542">
        <v>0</v>
      </c>
      <c r="EJ118" s="542">
        <v>-691325</v>
      </c>
      <c r="EK118" s="542">
        <v>0</v>
      </c>
      <c r="EL118" s="542">
        <v>0</v>
      </c>
      <c r="EM118" s="542">
        <v>0</v>
      </c>
      <c r="EN118" s="542">
        <v>321</v>
      </c>
      <c r="EO118" s="542">
        <v>0</v>
      </c>
      <c r="EP118" s="542">
        <v>321</v>
      </c>
      <c r="EQ118" s="542">
        <v>321</v>
      </c>
      <c r="ER118" s="542">
        <v>0</v>
      </c>
      <c r="ES118" s="542">
        <v>321</v>
      </c>
      <c r="ET118" s="542">
        <v>86612911</v>
      </c>
      <c r="EU118" s="542">
        <v>0</v>
      </c>
      <c r="EV118" s="542">
        <v>86612911</v>
      </c>
      <c r="EW118" s="542">
        <v>636010</v>
      </c>
      <c r="EX118" s="542">
        <v>0</v>
      </c>
      <c r="EY118" s="542">
        <v>636010</v>
      </c>
      <c r="EZ118" s="542">
        <v>-7703967</v>
      </c>
      <c r="FA118" s="542">
        <v>0</v>
      </c>
      <c r="FB118" s="542">
        <v>-7703967</v>
      </c>
      <c r="FC118" s="542">
        <v>1112357</v>
      </c>
      <c r="FD118" s="542">
        <v>0</v>
      </c>
      <c r="FE118" s="542">
        <v>1112357</v>
      </c>
      <c r="FF118" s="542">
        <v>-202004</v>
      </c>
      <c r="FG118" s="542">
        <v>0</v>
      </c>
      <c r="FH118" s="542">
        <v>-202004</v>
      </c>
      <c r="FI118" s="542">
        <v>-691325</v>
      </c>
      <c r="FJ118" s="542">
        <v>0</v>
      </c>
      <c r="FK118" s="542">
        <v>-691325</v>
      </c>
      <c r="FL118" s="542">
        <v>321</v>
      </c>
      <c r="FM118" s="542">
        <v>0</v>
      </c>
      <c r="FN118" s="542">
        <v>321</v>
      </c>
      <c r="FO118" s="542">
        <v>-6848608</v>
      </c>
      <c r="FP118" s="542">
        <v>0</v>
      </c>
      <c r="FQ118" s="542">
        <v>-6848608</v>
      </c>
      <c r="FR118" s="542">
        <v>79764303</v>
      </c>
      <c r="FS118" s="542">
        <v>0</v>
      </c>
      <c r="FT118" s="542">
        <v>79764303</v>
      </c>
    </row>
    <row r="119" spans="1:176" ht="12.75" x14ac:dyDescent="0.2">
      <c r="A119" s="93">
        <v>114</v>
      </c>
      <c r="B119" s="145" t="s">
        <v>106</v>
      </c>
      <c r="C119" s="604" t="s">
        <v>877</v>
      </c>
      <c r="D119" s="142" t="s">
        <v>872</v>
      </c>
      <c r="E119" s="149" t="s">
        <v>105</v>
      </c>
      <c r="F119" s="542">
        <v>-647461</v>
      </c>
      <c r="G119" s="542">
        <v>0</v>
      </c>
      <c r="H119" s="542">
        <v>-647461</v>
      </c>
      <c r="I119" s="542">
        <v>340410</v>
      </c>
      <c r="J119" s="542">
        <v>0</v>
      </c>
      <c r="K119" s="542">
        <v>340410</v>
      </c>
      <c r="L119" s="542">
        <v>14928</v>
      </c>
      <c r="M119" s="542">
        <v>0</v>
      </c>
      <c r="N119" s="542">
        <v>14928</v>
      </c>
      <c r="O119" s="542">
        <v>545</v>
      </c>
      <c r="P119" s="542">
        <v>0</v>
      </c>
      <c r="Q119" s="542">
        <v>545</v>
      </c>
      <c r="R119" s="542">
        <v>-291578</v>
      </c>
      <c r="S119" s="542">
        <v>0</v>
      </c>
      <c r="T119" s="542">
        <v>-291578</v>
      </c>
      <c r="U119" s="542">
        <v>-5377836</v>
      </c>
      <c r="V119" s="542">
        <v>0</v>
      </c>
      <c r="W119" s="542">
        <v>-5377836</v>
      </c>
      <c r="X119" s="542">
        <v>0</v>
      </c>
      <c r="Y119" s="542">
        <v>0</v>
      </c>
      <c r="Z119" s="542">
        <v>0</v>
      </c>
      <c r="AA119" s="542">
        <v>-343992</v>
      </c>
      <c r="AB119" s="542">
        <v>0</v>
      </c>
      <c r="AC119" s="542">
        <v>-343992</v>
      </c>
      <c r="AD119" s="542">
        <v>-197282</v>
      </c>
      <c r="AE119" s="542">
        <v>0</v>
      </c>
      <c r="AF119" s="542">
        <v>-197282</v>
      </c>
      <c r="AG119" s="542">
        <v>1939143</v>
      </c>
      <c r="AH119" s="542">
        <v>0</v>
      </c>
      <c r="AI119" s="542">
        <v>1939143</v>
      </c>
      <c r="AJ119" s="542">
        <v>-5346</v>
      </c>
      <c r="AK119" s="542">
        <v>0</v>
      </c>
      <c r="AL119" s="542">
        <v>-5346</v>
      </c>
      <c r="AM119" s="542">
        <v>-10867209</v>
      </c>
      <c r="AN119" s="542">
        <v>0</v>
      </c>
      <c r="AO119" s="542">
        <v>-10867209</v>
      </c>
      <c r="AP119" s="542">
        <v>-215805</v>
      </c>
      <c r="AQ119" s="542">
        <v>0</v>
      </c>
      <c r="AR119" s="542">
        <v>-215805</v>
      </c>
      <c r="AS119" s="542">
        <v>0</v>
      </c>
      <c r="AT119" s="542">
        <v>0</v>
      </c>
      <c r="AU119" s="542">
        <v>0</v>
      </c>
      <c r="AV119" s="542">
        <v>0</v>
      </c>
      <c r="AW119" s="542">
        <v>0</v>
      </c>
      <c r="AX119" s="542">
        <v>0</v>
      </c>
      <c r="AY119" s="542">
        <v>0</v>
      </c>
      <c r="AZ119" s="542">
        <v>0</v>
      </c>
      <c r="BA119" s="542">
        <v>0</v>
      </c>
      <c r="BB119" s="542">
        <v>0</v>
      </c>
      <c r="BC119" s="542">
        <v>0</v>
      </c>
      <c r="BD119" s="542">
        <v>0</v>
      </c>
      <c r="BE119" s="542">
        <v>-14871045</v>
      </c>
      <c r="BF119" s="542">
        <v>0</v>
      </c>
      <c r="BG119" s="542">
        <v>-14871045</v>
      </c>
      <c r="BH119" s="542">
        <v>0</v>
      </c>
      <c r="BI119" s="542">
        <v>0</v>
      </c>
      <c r="BJ119" s="542">
        <v>0</v>
      </c>
      <c r="BK119" s="542">
        <v>-146116</v>
      </c>
      <c r="BL119" s="542">
        <v>0</v>
      </c>
      <c r="BM119" s="542">
        <v>-146116</v>
      </c>
      <c r="BN119" s="542">
        <v>-3060152</v>
      </c>
      <c r="BO119" s="542">
        <v>0</v>
      </c>
      <c r="BP119" s="542">
        <v>-3060152</v>
      </c>
      <c r="BQ119" s="542">
        <v>-155537</v>
      </c>
      <c r="BR119" s="542">
        <v>0</v>
      </c>
      <c r="BS119" s="542">
        <v>-155537</v>
      </c>
      <c r="BT119" s="542">
        <v>-3361805</v>
      </c>
      <c r="BU119" s="542">
        <v>0</v>
      </c>
      <c r="BV119" s="542">
        <v>-3361805</v>
      </c>
      <c r="BW119" s="542">
        <v>-138093</v>
      </c>
      <c r="BX119" s="542">
        <v>0</v>
      </c>
      <c r="BY119" s="542">
        <v>-138093</v>
      </c>
      <c r="BZ119" s="542">
        <v>-29911</v>
      </c>
      <c r="CA119" s="542">
        <v>0</v>
      </c>
      <c r="CB119" s="542">
        <v>-29911</v>
      </c>
      <c r="CC119" s="542">
        <v>-13329</v>
      </c>
      <c r="CD119" s="542">
        <v>0</v>
      </c>
      <c r="CE119" s="542">
        <v>-13329</v>
      </c>
      <c r="CF119" s="542">
        <v>71207</v>
      </c>
      <c r="CG119" s="542">
        <v>0</v>
      </c>
      <c r="CH119" s="542">
        <v>71207</v>
      </c>
      <c r="CI119" s="542">
        <v>0</v>
      </c>
      <c r="CJ119" s="542">
        <v>0</v>
      </c>
      <c r="CK119" s="542">
        <v>0</v>
      </c>
      <c r="CL119" s="542">
        <v>0</v>
      </c>
      <c r="CM119" s="542">
        <v>0</v>
      </c>
      <c r="CN119" s="542">
        <v>0</v>
      </c>
      <c r="CO119" s="542">
        <v>0</v>
      </c>
      <c r="CP119" s="542">
        <v>0</v>
      </c>
      <c r="CQ119" s="542">
        <v>0</v>
      </c>
      <c r="CR119" s="542">
        <v>0</v>
      </c>
      <c r="CS119" s="542">
        <v>0</v>
      </c>
      <c r="CT119" s="542">
        <v>0</v>
      </c>
      <c r="CU119" s="542">
        <v>0</v>
      </c>
      <c r="CV119" s="542">
        <v>0</v>
      </c>
      <c r="CW119" s="542">
        <v>0</v>
      </c>
      <c r="CX119" s="542">
        <v>0</v>
      </c>
      <c r="CY119" s="542">
        <v>0</v>
      </c>
      <c r="CZ119" s="542">
        <v>0</v>
      </c>
      <c r="DA119" s="542">
        <v>0</v>
      </c>
      <c r="DB119" s="542">
        <v>0</v>
      </c>
      <c r="DC119" s="542">
        <v>0</v>
      </c>
      <c r="DD119" s="542">
        <v>0</v>
      </c>
      <c r="DE119" s="542">
        <v>0</v>
      </c>
      <c r="DF119" s="542">
        <v>0</v>
      </c>
      <c r="DG119" s="542"/>
      <c r="DH119" s="542">
        <v>0</v>
      </c>
      <c r="DI119" s="542"/>
      <c r="DJ119" s="542">
        <v>0</v>
      </c>
      <c r="DK119" s="542"/>
      <c r="DL119" s="542"/>
      <c r="DM119" s="542">
        <v>-110126</v>
      </c>
      <c r="DN119" s="542">
        <v>0</v>
      </c>
      <c r="DO119" s="542">
        <v>-110126</v>
      </c>
      <c r="DP119" s="542">
        <v>0</v>
      </c>
      <c r="DQ119" s="542">
        <v>0</v>
      </c>
      <c r="DR119" s="542">
        <v>0</v>
      </c>
      <c r="DS119" s="542">
        <v>-16556</v>
      </c>
      <c r="DT119" s="542">
        <v>0</v>
      </c>
      <c r="DU119" s="542">
        <v>-16556</v>
      </c>
      <c r="DV119" s="542">
        <v>0</v>
      </c>
      <c r="DW119" s="542">
        <v>0</v>
      </c>
      <c r="DX119" s="542">
        <v>0</v>
      </c>
      <c r="DY119" s="542">
        <v>-1288763</v>
      </c>
      <c r="DZ119" s="542">
        <v>0</v>
      </c>
      <c r="EA119" s="542">
        <v>-1288763</v>
      </c>
      <c r="EB119" s="542">
        <v>0</v>
      </c>
      <c r="EC119" s="542">
        <v>0</v>
      </c>
      <c r="ED119" s="542">
        <v>0</v>
      </c>
      <c r="EE119" s="542">
        <v>0</v>
      </c>
      <c r="EF119" s="542">
        <v>0</v>
      </c>
      <c r="EG119" s="542">
        <v>0</v>
      </c>
      <c r="EH119" s="542">
        <v>-1305319</v>
      </c>
      <c r="EI119" s="542">
        <v>0</v>
      </c>
      <c r="EJ119" s="542">
        <v>-1305319</v>
      </c>
      <c r="EK119" s="542">
        <v>0</v>
      </c>
      <c r="EL119" s="542">
        <v>0</v>
      </c>
      <c r="EM119" s="542">
        <v>0</v>
      </c>
      <c r="EN119" s="542">
        <v>-123249</v>
      </c>
      <c r="EO119" s="542">
        <v>0</v>
      </c>
      <c r="EP119" s="542">
        <v>-123249</v>
      </c>
      <c r="EQ119" s="542">
        <v>-123249</v>
      </c>
      <c r="ER119" s="542">
        <v>0</v>
      </c>
      <c r="ES119" s="542">
        <v>-123249</v>
      </c>
      <c r="ET119" s="542">
        <v>111526216</v>
      </c>
      <c r="EU119" s="542">
        <v>0</v>
      </c>
      <c r="EV119" s="542">
        <v>111526216</v>
      </c>
      <c r="EW119" s="542">
        <v>-291578</v>
      </c>
      <c r="EX119" s="542">
        <v>0</v>
      </c>
      <c r="EY119" s="542">
        <v>-291578</v>
      </c>
      <c r="EZ119" s="542">
        <v>-14871045</v>
      </c>
      <c r="FA119" s="542">
        <v>0</v>
      </c>
      <c r="FB119" s="542">
        <v>-14871045</v>
      </c>
      <c r="FC119" s="542">
        <v>-3361805</v>
      </c>
      <c r="FD119" s="542">
        <v>0</v>
      </c>
      <c r="FE119" s="542">
        <v>-3361805</v>
      </c>
      <c r="FF119" s="542">
        <v>-110126</v>
      </c>
      <c r="FG119" s="542">
        <v>0</v>
      </c>
      <c r="FH119" s="542">
        <v>-110126</v>
      </c>
      <c r="FI119" s="542">
        <v>-1305319</v>
      </c>
      <c r="FJ119" s="542">
        <v>0</v>
      </c>
      <c r="FK119" s="542">
        <v>-1305319</v>
      </c>
      <c r="FL119" s="542">
        <v>-123249</v>
      </c>
      <c r="FM119" s="542">
        <v>0</v>
      </c>
      <c r="FN119" s="542">
        <v>-123249</v>
      </c>
      <c r="FO119" s="542">
        <v>-20063122</v>
      </c>
      <c r="FP119" s="542">
        <v>0</v>
      </c>
      <c r="FQ119" s="542">
        <v>-20063122</v>
      </c>
      <c r="FR119" s="542">
        <v>91463094</v>
      </c>
      <c r="FS119" s="542">
        <v>0</v>
      </c>
      <c r="FT119" s="542">
        <v>91463094</v>
      </c>
    </row>
    <row r="120" spans="1:176" ht="12.75" x14ac:dyDescent="0.2">
      <c r="A120" s="93">
        <v>115</v>
      </c>
      <c r="B120" s="145" t="s">
        <v>108</v>
      </c>
      <c r="C120" s="604" t="s">
        <v>770</v>
      </c>
      <c r="D120" s="142" t="s">
        <v>868</v>
      </c>
      <c r="E120" s="149" t="s">
        <v>697</v>
      </c>
      <c r="F120" s="542">
        <v>-179378</v>
      </c>
      <c r="G120" s="542">
        <v>0</v>
      </c>
      <c r="H120" s="542">
        <v>-179378</v>
      </c>
      <c r="I120" s="542">
        <v>107728</v>
      </c>
      <c r="J120" s="542">
        <v>0</v>
      </c>
      <c r="K120" s="542">
        <v>107728</v>
      </c>
      <c r="L120" s="542">
        <v>2541</v>
      </c>
      <c r="M120" s="542">
        <v>0</v>
      </c>
      <c r="N120" s="542">
        <v>2541</v>
      </c>
      <c r="O120" s="542">
        <v>375025</v>
      </c>
      <c r="P120" s="542">
        <v>0</v>
      </c>
      <c r="Q120" s="542">
        <v>375025</v>
      </c>
      <c r="R120" s="542">
        <v>305916</v>
      </c>
      <c r="S120" s="542">
        <v>0</v>
      </c>
      <c r="T120" s="542">
        <v>305916</v>
      </c>
      <c r="U120" s="542">
        <v>-1880193</v>
      </c>
      <c r="V120" s="542">
        <v>0</v>
      </c>
      <c r="W120" s="542">
        <v>-1880193</v>
      </c>
      <c r="X120" s="542">
        <v>-5025</v>
      </c>
      <c r="Y120" s="542">
        <v>0</v>
      </c>
      <c r="Z120" s="542">
        <v>-5025</v>
      </c>
      <c r="AA120" s="542">
        <v>-96947</v>
      </c>
      <c r="AB120" s="542">
        <v>0</v>
      </c>
      <c r="AC120" s="542">
        <v>-96947</v>
      </c>
      <c r="AD120" s="542">
        <v>-42236</v>
      </c>
      <c r="AE120" s="542">
        <v>0</v>
      </c>
      <c r="AF120" s="542">
        <v>-42236</v>
      </c>
      <c r="AG120" s="542">
        <v>1237275</v>
      </c>
      <c r="AH120" s="542">
        <v>0</v>
      </c>
      <c r="AI120" s="542">
        <v>1237275</v>
      </c>
      <c r="AJ120" s="542">
        <v>60090</v>
      </c>
      <c r="AK120" s="542">
        <v>0</v>
      </c>
      <c r="AL120" s="542">
        <v>60090</v>
      </c>
      <c r="AM120" s="542">
        <v>-2341200</v>
      </c>
      <c r="AN120" s="542">
        <v>0</v>
      </c>
      <c r="AO120" s="542">
        <v>-2341200</v>
      </c>
      <c r="AP120" s="542">
        <v>-162925</v>
      </c>
      <c r="AQ120" s="542">
        <v>0</v>
      </c>
      <c r="AR120" s="542">
        <v>-162925</v>
      </c>
      <c r="AS120" s="542">
        <v>-89170</v>
      </c>
      <c r="AT120" s="542">
        <v>0</v>
      </c>
      <c r="AU120" s="542">
        <v>-89170</v>
      </c>
      <c r="AV120" s="542">
        <v>-117216</v>
      </c>
      <c r="AW120" s="542">
        <v>0</v>
      </c>
      <c r="AX120" s="542">
        <v>-117216</v>
      </c>
      <c r="AY120" s="542">
        <v>-1542</v>
      </c>
      <c r="AZ120" s="542">
        <v>0</v>
      </c>
      <c r="BA120" s="542">
        <v>-1542</v>
      </c>
      <c r="BB120" s="542">
        <v>0</v>
      </c>
      <c r="BC120" s="542">
        <v>0</v>
      </c>
      <c r="BD120" s="542">
        <v>0</v>
      </c>
      <c r="BE120" s="542">
        <v>-3391828</v>
      </c>
      <c r="BF120" s="542">
        <v>0</v>
      </c>
      <c r="BG120" s="542">
        <v>-3391828</v>
      </c>
      <c r="BH120" s="542">
        <v>0</v>
      </c>
      <c r="BI120" s="542">
        <v>0</v>
      </c>
      <c r="BJ120" s="542">
        <v>0</v>
      </c>
      <c r="BK120" s="542">
        <v>37601</v>
      </c>
      <c r="BL120" s="542">
        <v>0</v>
      </c>
      <c r="BM120" s="542">
        <v>37601</v>
      </c>
      <c r="BN120" s="542">
        <v>-2397215</v>
      </c>
      <c r="BO120" s="542">
        <v>0</v>
      </c>
      <c r="BP120" s="542">
        <v>-2397215</v>
      </c>
      <c r="BQ120" s="542">
        <v>226480</v>
      </c>
      <c r="BR120" s="542">
        <v>0</v>
      </c>
      <c r="BS120" s="542">
        <v>226480</v>
      </c>
      <c r="BT120" s="542">
        <v>-2133134</v>
      </c>
      <c r="BU120" s="542">
        <v>0</v>
      </c>
      <c r="BV120" s="542">
        <v>-2133134</v>
      </c>
      <c r="BW120" s="542">
        <v>-75271</v>
      </c>
      <c r="BX120" s="542">
        <v>0</v>
      </c>
      <c r="BY120" s="542">
        <v>-75271</v>
      </c>
      <c r="BZ120" s="542">
        <v>-9291</v>
      </c>
      <c r="CA120" s="542">
        <v>0</v>
      </c>
      <c r="CB120" s="542">
        <v>-9291</v>
      </c>
      <c r="CC120" s="542">
        <v>-243217</v>
      </c>
      <c r="CD120" s="542">
        <v>0</v>
      </c>
      <c r="CE120" s="542">
        <v>-243217</v>
      </c>
      <c r="CF120" s="542">
        <v>24546</v>
      </c>
      <c r="CG120" s="542">
        <v>0</v>
      </c>
      <c r="CH120" s="542">
        <v>24546</v>
      </c>
      <c r="CI120" s="542">
        <v>-13544</v>
      </c>
      <c r="CJ120" s="542">
        <v>0</v>
      </c>
      <c r="CK120" s="542">
        <v>-13544</v>
      </c>
      <c r="CL120" s="542">
        <v>-29304</v>
      </c>
      <c r="CM120" s="542">
        <v>0</v>
      </c>
      <c r="CN120" s="542">
        <v>-29304</v>
      </c>
      <c r="CO120" s="542">
        <v>0</v>
      </c>
      <c r="CP120" s="542">
        <v>0</v>
      </c>
      <c r="CQ120" s="542">
        <v>0</v>
      </c>
      <c r="CR120" s="542">
        <v>0</v>
      </c>
      <c r="CS120" s="542">
        <v>0</v>
      </c>
      <c r="CT120" s="542">
        <v>0</v>
      </c>
      <c r="CU120" s="542">
        <v>0</v>
      </c>
      <c r="CV120" s="542">
        <v>0</v>
      </c>
      <c r="CW120" s="542">
        <v>0</v>
      </c>
      <c r="CX120" s="542">
        <v>0</v>
      </c>
      <c r="CY120" s="542">
        <v>0</v>
      </c>
      <c r="CZ120" s="542">
        <v>0</v>
      </c>
      <c r="DA120" s="542">
        <v>-32629</v>
      </c>
      <c r="DB120" s="542">
        <v>-147966</v>
      </c>
      <c r="DC120" s="542">
        <v>-180595</v>
      </c>
      <c r="DD120" s="542">
        <v>0</v>
      </c>
      <c r="DE120" s="542">
        <v>0</v>
      </c>
      <c r="DF120" s="542">
        <v>0</v>
      </c>
      <c r="DG120" s="542"/>
      <c r="DH120" s="542">
        <v>-147966</v>
      </c>
      <c r="DI120" s="542"/>
      <c r="DJ120" s="542">
        <v>-32629</v>
      </c>
      <c r="DK120" s="542"/>
      <c r="DL120" s="542"/>
      <c r="DM120" s="542">
        <v>-378710</v>
      </c>
      <c r="DN120" s="542">
        <v>-147966</v>
      </c>
      <c r="DO120" s="542">
        <v>-526676</v>
      </c>
      <c r="DP120" s="542">
        <v>0</v>
      </c>
      <c r="DQ120" s="542">
        <v>0</v>
      </c>
      <c r="DR120" s="542">
        <v>0</v>
      </c>
      <c r="DS120" s="542">
        <v>0</v>
      </c>
      <c r="DT120" s="542">
        <v>0</v>
      </c>
      <c r="DU120" s="542">
        <v>0</v>
      </c>
      <c r="DV120" s="542">
        <v>-3740</v>
      </c>
      <c r="DW120" s="542">
        <v>0</v>
      </c>
      <c r="DX120" s="542">
        <v>-3740</v>
      </c>
      <c r="DY120" s="542">
        <v>-394403</v>
      </c>
      <c r="DZ120" s="542">
        <v>0</v>
      </c>
      <c r="EA120" s="542">
        <v>-394403</v>
      </c>
      <c r="EB120" s="542">
        <v>0</v>
      </c>
      <c r="EC120" s="542">
        <v>0</v>
      </c>
      <c r="ED120" s="542">
        <v>0</v>
      </c>
      <c r="EE120" s="542">
        <v>0</v>
      </c>
      <c r="EF120" s="542">
        <v>0</v>
      </c>
      <c r="EG120" s="542">
        <v>0</v>
      </c>
      <c r="EH120" s="542">
        <v>-398143</v>
      </c>
      <c r="EI120" s="542">
        <v>0</v>
      </c>
      <c r="EJ120" s="542">
        <v>-398143</v>
      </c>
      <c r="EK120" s="542">
        <v>0</v>
      </c>
      <c r="EL120" s="542">
        <v>0</v>
      </c>
      <c r="EM120" s="542">
        <v>0</v>
      </c>
      <c r="EN120" s="542">
        <v>0</v>
      </c>
      <c r="EO120" s="542">
        <v>0</v>
      </c>
      <c r="EP120" s="542">
        <v>0</v>
      </c>
      <c r="EQ120" s="542">
        <v>0</v>
      </c>
      <c r="ER120" s="542">
        <v>0</v>
      </c>
      <c r="ES120" s="542">
        <v>0</v>
      </c>
      <c r="ET120" s="542">
        <v>57171668</v>
      </c>
      <c r="EU120" s="542">
        <v>147966</v>
      </c>
      <c r="EV120" s="542">
        <v>57319634</v>
      </c>
      <c r="EW120" s="542">
        <v>305916</v>
      </c>
      <c r="EX120" s="542">
        <v>0</v>
      </c>
      <c r="EY120" s="542">
        <v>305916</v>
      </c>
      <c r="EZ120" s="542">
        <v>-3391828</v>
      </c>
      <c r="FA120" s="542">
        <v>0</v>
      </c>
      <c r="FB120" s="542">
        <v>-3391828</v>
      </c>
      <c r="FC120" s="542">
        <v>-2133134</v>
      </c>
      <c r="FD120" s="542">
        <v>0</v>
      </c>
      <c r="FE120" s="542">
        <v>-2133134</v>
      </c>
      <c r="FF120" s="542">
        <v>-378710</v>
      </c>
      <c r="FG120" s="542">
        <v>-147966</v>
      </c>
      <c r="FH120" s="542">
        <v>-526676</v>
      </c>
      <c r="FI120" s="542">
        <v>-398143</v>
      </c>
      <c r="FJ120" s="542">
        <v>0</v>
      </c>
      <c r="FK120" s="542">
        <v>-398143</v>
      </c>
      <c r="FL120" s="542">
        <v>0</v>
      </c>
      <c r="FM120" s="542">
        <v>0</v>
      </c>
      <c r="FN120" s="542">
        <v>0</v>
      </c>
      <c r="FO120" s="542">
        <v>-5995899</v>
      </c>
      <c r="FP120" s="542">
        <v>-147966</v>
      </c>
      <c r="FQ120" s="542">
        <v>-6143865</v>
      </c>
      <c r="FR120" s="542">
        <v>51175769</v>
      </c>
      <c r="FS120" s="542">
        <v>0</v>
      </c>
      <c r="FT120" s="542">
        <v>51175769</v>
      </c>
    </row>
    <row r="121" spans="1:176" ht="12.75" x14ac:dyDescent="0.2">
      <c r="A121" s="93">
        <v>116</v>
      </c>
      <c r="B121" s="145" t="s">
        <v>110</v>
      </c>
      <c r="C121" s="604" t="s">
        <v>866</v>
      </c>
      <c r="D121" s="142" t="s">
        <v>874</v>
      </c>
      <c r="E121" s="149" t="s">
        <v>109</v>
      </c>
      <c r="F121" s="542">
        <v>-30765</v>
      </c>
      <c r="G121" s="542">
        <v>0</v>
      </c>
      <c r="H121" s="542">
        <v>-30765</v>
      </c>
      <c r="I121" s="542">
        <v>46219</v>
      </c>
      <c r="J121" s="542">
        <v>0</v>
      </c>
      <c r="K121" s="542">
        <v>46219</v>
      </c>
      <c r="L121" s="542">
        <v>1455</v>
      </c>
      <c r="M121" s="542">
        <v>0</v>
      </c>
      <c r="N121" s="542">
        <v>1455</v>
      </c>
      <c r="O121" s="542">
        <v>31343</v>
      </c>
      <c r="P121" s="542">
        <v>0</v>
      </c>
      <c r="Q121" s="542">
        <v>31343</v>
      </c>
      <c r="R121" s="542">
        <v>48252</v>
      </c>
      <c r="S121" s="542">
        <v>0</v>
      </c>
      <c r="T121" s="542">
        <v>48252</v>
      </c>
      <c r="U121" s="542">
        <v>-2611668</v>
      </c>
      <c r="V121" s="542">
        <v>0</v>
      </c>
      <c r="W121" s="542">
        <v>-2611668</v>
      </c>
      <c r="X121" s="542">
        <v>-18130</v>
      </c>
      <c r="Y121" s="542">
        <v>0</v>
      </c>
      <c r="Z121" s="542">
        <v>-18130</v>
      </c>
      <c r="AA121" s="542">
        <v>-152512</v>
      </c>
      <c r="AB121" s="542">
        <v>0</v>
      </c>
      <c r="AC121" s="542">
        <v>-152512</v>
      </c>
      <c r="AD121" s="542">
        <v>-66250</v>
      </c>
      <c r="AE121" s="542">
        <v>0</v>
      </c>
      <c r="AF121" s="542">
        <v>-66250</v>
      </c>
      <c r="AG121" s="542">
        <v>555917</v>
      </c>
      <c r="AH121" s="542">
        <v>0</v>
      </c>
      <c r="AI121" s="542">
        <v>555917</v>
      </c>
      <c r="AJ121" s="542">
        <v>34966</v>
      </c>
      <c r="AK121" s="542">
        <v>0</v>
      </c>
      <c r="AL121" s="542">
        <v>34966</v>
      </c>
      <c r="AM121" s="542">
        <v>-789161</v>
      </c>
      <c r="AN121" s="542">
        <v>0</v>
      </c>
      <c r="AO121" s="542">
        <v>-789161</v>
      </c>
      <c r="AP121" s="542">
        <v>-1191</v>
      </c>
      <c r="AQ121" s="542">
        <v>0</v>
      </c>
      <c r="AR121" s="542">
        <v>-1191</v>
      </c>
      <c r="AS121" s="542">
        <v>-97649</v>
      </c>
      <c r="AT121" s="542">
        <v>0</v>
      </c>
      <c r="AU121" s="542">
        <v>-97649</v>
      </c>
      <c r="AV121" s="542">
        <v>-419</v>
      </c>
      <c r="AW121" s="542">
        <v>0</v>
      </c>
      <c r="AX121" s="542">
        <v>-419</v>
      </c>
      <c r="AY121" s="542">
        <v>-62494</v>
      </c>
      <c r="AZ121" s="542">
        <v>0</v>
      </c>
      <c r="BA121" s="542">
        <v>-62494</v>
      </c>
      <c r="BB121" s="542">
        <v>-456</v>
      </c>
      <c r="BC121" s="542">
        <v>0</v>
      </c>
      <c r="BD121" s="542">
        <v>-456</v>
      </c>
      <c r="BE121" s="542">
        <v>-3124667</v>
      </c>
      <c r="BF121" s="542">
        <v>0</v>
      </c>
      <c r="BG121" s="542">
        <v>-3124667</v>
      </c>
      <c r="BH121" s="542">
        <v>0</v>
      </c>
      <c r="BI121" s="542">
        <v>0</v>
      </c>
      <c r="BJ121" s="542">
        <v>0</v>
      </c>
      <c r="BK121" s="542">
        <v>0</v>
      </c>
      <c r="BL121" s="542">
        <v>0</v>
      </c>
      <c r="BM121" s="542">
        <v>0</v>
      </c>
      <c r="BN121" s="542">
        <v>-495006</v>
      </c>
      <c r="BO121" s="542">
        <v>0</v>
      </c>
      <c r="BP121" s="542">
        <v>-495006</v>
      </c>
      <c r="BQ121" s="542">
        <v>-51447</v>
      </c>
      <c r="BR121" s="542">
        <v>0</v>
      </c>
      <c r="BS121" s="542">
        <v>-51447</v>
      </c>
      <c r="BT121" s="542">
        <v>-546453</v>
      </c>
      <c r="BU121" s="542">
        <v>0</v>
      </c>
      <c r="BV121" s="542">
        <v>-546453</v>
      </c>
      <c r="BW121" s="542">
        <v>-70332</v>
      </c>
      <c r="BX121" s="542">
        <v>0</v>
      </c>
      <c r="BY121" s="542">
        <v>-70332</v>
      </c>
      <c r="BZ121" s="542">
        <v>58</v>
      </c>
      <c r="CA121" s="542">
        <v>0</v>
      </c>
      <c r="CB121" s="542">
        <v>58</v>
      </c>
      <c r="CC121" s="542">
        <v>-24658</v>
      </c>
      <c r="CD121" s="542">
        <v>0</v>
      </c>
      <c r="CE121" s="542">
        <v>-24658</v>
      </c>
      <c r="CF121" s="542">
        <v>-107</v>
      </c>
      <c r="CG121" s="542">
        <v>0</v>
      </c>
      <c r="CH121" s="542">
        <v>-107</v>
      </c>
      <c r="CI121" s="542">
        <v>-1365</v>
      </c>
      <c r="CJ121" s="542">
        <v>0</v>
      </c>
      <c r="CK121" s="542">
        <v>-1365</v>
      </c>
      <c r="CL121" s="542">
        <v>-26</v>
      </c>
      <c r="CM121" s="542">
        <v>0</v>
      </c>
      <c r="CN121" s="542">
        <v>-26</v>
      </c>
      <c r="CO121" s="542">
        <v>-14331</v>
      </c>
      <c r="CP121" s="542">
        <v>0</v>
      </c>
      <c r="CQ121" s="542">
        <v>-14331</v>
      </c>
      <c r="CR121" s="542">
        <v>110</v>
      </c>
      <c r="CS121" s="542">
        <v>0</v>
      </c>
      <c r="CT121" s="542">
        <v>110</v>
      </c>
      <c r="CU121" s="542">
        <v>-364</v>
      </c>
      <c r="CV121" s="542">
        <v>0</v>
      </c>
      <c r="CW121" s="542">
        <v>-364</v>
      </c>
      <c r="CX121" s="542">
        <v>0</v>
      </c>
      <c r="CY121" s="542">
        <v>0</v>
      </c>
      <c r="CZ121" s="542">
        <v>0</v>
      </c>
      <c r="DA121" s="542">
        <v>0</v>
      </c>
      <c r="DB121" s="542">
        <v>0</v>
      </c>
      <c r="DC121" s="542">
        <v>0</v>
      </c>
      <c r="DD121" s="542">
        <v>0</v>
      </c>
      <c r="DE121" s="542">
        <v>0</v>
      </c>
      <c r="DF121" s="542">
        <v>0</v>
      </c>
      <c r="DG121" s="542"/>
      <c r="DH121" s="542">
        <v>0</v>
      </c>
      <c r="DI121" s="542"/>
      <c r="DJ121" s="542">
        <v>0</v>
      </c>
      <c r="DK121" s="542"/>
      <c r="DL121" s="542"/>
      <c r="DM121" s="542">
        <v>-111015</v>
      </c>
      <c r="DN121" s="542">
        <v>0</v>
      </c>
      <c r="DO121" s="542">
        <v>-111015</v>
      </c>
      <c r="DP121" s="542">
        <v>0</v>
      </c>
      <c r="DQ121" s="542">
        <v>0</v>
      </c>
      <c r="DR121" s="542">
        <v>0</v>
      </c>
      <c r="DS121" s="542">
        <v>0</v>
      </c>
      <c r="DT121" s="542">
        <v>0</v>
      </c>
      <c r="DU121" s="542">
        <v>0</v>
      </c>
      <c r="DV121" s="542">
        <v>-2434</v>
      </c>
      <c r="DW121" s="542">
        <v>0</v>
      </c>
      <c r="DX121" s="542">
        <v>-2434</v>
      </c>
      <c r="DY121" s="542">
        <v>-334649</v>
      </c>
      <c r="DZ121" s="542">
        <v>0</v>
      </c>
      <c r="EA121" s="542">
        <v>-334649</v>
      </c>
      <c r="EB121" s="542">
        <v>0</v>
      </c>
      <c r="EC121" s="542">
        <v>0</v>
      </c>
      <c r="ED121" s="542">
        <v>0</v>
      </c>
      <c r="EE121" s="542">
        <v>0</v>
      </c>
      <c r="EF121" s="542">
        <v>0</v>
      </c>
      <c r="EG121" s="542">
        <v>0</v>
      </c>
      <c r="EH121" s="542">
        <v>-337083</v>
      </c>
      <c r="EI121" s="542">
        <v>0</v>
      </c>
      <c r="EJ121" s="542">
        <v>-337083</v>
      </c>
      <c r="EK121" s="542">
        <v>0</v>
      </c>
      <c r="EL121" s="542">
        <v>0</v>
      </c>
      <c r="EM121" s="542">
        <v>0</v>
      </c>
      <c r="EN121" s="542">
        <v>0</v>
      </c>
      <c r="EO121" s="542">
        <v>0</v>
      </c>
      <c r="EP121" s="542">
        <v>0</v>
      </c>
      <c r="EQ121" s="542">
        <v>0</v>
      </c>
      <c r="ER121" s="542">
        <v>0</v>
      </c>
      <c r="ES121" s="542">
        <v>0</v>
      </c>
      <c r="ET121" s="542">
        <v>30817606</v>
      </c>
      <c r="EU121" s="542">
        <v>0</v>
      </c>
      <c r="EV121" s="542">
        <v>30817606</v>
      </c>
      <c r="EW121" s="542">
        <v>48252</v>
      </c>
      <c r="EX121" s="542">
        <v>0</v>
      </c>
      <c r="EY121" s="542">
        <v>48252</v>
      </c>
      <c r="EZ121" s="542">
        <v>-3124667</v>
      </c>
      <c r="FA121" s="542">
        <v>0</v>
      </c>
      <c r="FB121" s="542">
        <v>-3124667</v>
      </c>
      <c r="FC121" s="542">
        <v>-546453</v>
      </c>
      <c r="FD121" s="542">
        <v>0</v>
      </c>
      <c r="FE121" s="542">
        <v>-546453</v>
      </c>
      <c r="FF121" s="542">
        <v>-111015</v>
      </c>
      <c r="FG121" s="542">
        <v>0</v>
      </c>
      <c r="FH121" s="542">
        <v>-111015</v>
      </c>
      <c r="FI121" s="542">
        <v>-337083</v>
      </c>
      <c r="FJ121" s="542">
        <v>0</v>
      </c>
      <c r="FK121" s="542">
        <v>-337083</v>
      </c>
      <c r="FL121" s="542">
        <v>0</v>
      </c>
      <c r="FM121" s="542">
        <v>0</v>
      </c>
      <c r="FN121" s="542">
        <v>0</v>
      </c>
      <c r="FO121" s="542">
        <v>-4070966</v>
      </c>
      <c r="FP121" s="542">
        <v>0</v>
      </c>
      <c r="FQ121" s="542">
        <v>-4070966</v>
      </c>
      <c r="FR121" s="542">
        <v>26746640</v>
      </c>
      <c r="FS121" s="542">
        <v>0</v>
      </c>
      <c r="FT121" s="542">
        <v>26746640</v>
      </c>
    </row>
    <row r="122" spans="1:176" ht="12.75" x14ac:dyDescent="0.2">
      <c r="A122" s="93">
        <v>117</v>
      </c>
      <c r="B122" s="145" t="s">
        <v>112</v>
      </c>
      <c r="C122" s="604" t="s">
        <v>877</v>
      </c>
      <c r="D122" s="142" t="s">
        <v>872</v>
      </c>
      <c r="E122" s="149" t="s">
        <v>698</v>
      </c>
      <c r="F122" s="542">
        <v>-168358</v>
      </c>
      <c r="G122" s="542">
        <v>0</v>
      </c>
      <c r="H122" s="542">
        <v>-168358</v>
      </c>
      <c r="I122" s="542">
        <v>1326941</v>
      </c>
      <c r="J122" s="542">
        <v>0</v>
      </c>
      <c r="K122" s="542">
        <v>1326941</v>
      </c>
      <c r="L122" s="542">
        <v>105253</v>
      </c>
      <c r="M122" s="542">
        <v>0</v>
      </c>
      <c r="N122" s="542">
        <v>105253</v>
      </c>
      <c r="O122" s="542">
        <v>37103</v>
      </c>
      <c r="P122" s="542">
        <v>0</v>
      </c>
      <c r="Q122" s="542">
        <v>37103</v>
      </c>
      <c r="R122" s="542">
        <v>1300939</v>
      </c>
      <c r="S122" s="542">
        <v>0</v>
      </c>
      <c r="T122" s="542">
        <v>1300939</v>
      </c>
      <c r="U122" s="542">
        <v>-2293870</v>
      </c>
      <c r="V122" s="542">
        <v>0</v>
      </c>
      <c r="W122" s="542">
        <v>-2293870</v>
      </c>
      <c r="X122" s="542">
        <v>0</v>
      </c>
      <c r="Y122" s="542">
        <v>0</v>
      </c>
      <c r="Z122" s="542">
        <v>0</v>
      </c>
      <c r="AA122" s="542">
        <v>-474243</v>
      </c>
      <c r="AB122" s="542">
        <v>0</v>
      </c>
      <c r="AC122" s="542">
        <v>-474243</v>
      </c>
      <c r="AD122" s="542">
        <v>-232348</v>
      </c>
      <c r="AE122" s="542">
        <v>0</v>
      </c>
      <c r="AF122" s="542">
        <v>-232348</v>
      </c>
      <c r="AG122" s="542">
        <v>4325842</v>
      </c>
      <c r="AH122" s="542">
        <v>0</v>
      </c>
      <c r="AI122" s="542">
        <v>4325842</v>
      </c>
      <c r="AJ122" s="542">
        <v>-74122</v>
      </c>
      <c r="AK122" s="542">
        <v>0</v>
      </c>
      <c r="AL122" s="542">
        <v>-74122</v>
      </c>
      <c r="AM122" s="542">
        <v>-8888383</v>
      </c>
      <c r="AN122" s="542">
        <v>0</v>
      </c>
      <c r="AO122" s="542">
        <v>-8888383</v>
      </c>
      <c r="AP122" s="542">
        <v>-1363813</v>
      </c>
      <c r="AQ122" s="542">
        <v>0</v>
      </c>
      <c r="AR122" s="542">
        <v>-1363813</v>
      </c>
      <c r="AS122" s="542">
        <v>0</v>
      </c>
      <c r="AT122" s="542">
        <v>0</v>
      </c>
      <c r="AU122" s="542">
        <v>0</v>
      </c>
      <c r="AV122" s="542">
        <v>0</v>
      </c>
      <c r="AW122" s="542">
        <v>0</v>
      </c>
      <c r="AX122" s="542">
        <v>0</v>
      </c>
      <c r="AY122" s="542">
        <v>0</v>
      </c>
      <c r="AZ122" s="542">
        <v>0</v>
      </c>
      <c r="BA122" s="542">
        <v>0</v>
      </c>
      <c r="BB122" s="542">
        <v>0</v>
      </c>
      <c r="BC122" s="542">
        <v>0</v>
      </c>
      <c r="BD122" s="542">
        <v>0</v>
      </c>
      <c r="BE122" s="542">
        <v>-8768589</v>
      </c>
      <c r="BF122" s="542">
        <v>0</v>
      </c>
      <c r="BG122" s="542">
        <v>-8768589</v>
      </c>
      <c r="BH122" s="542">
        <v>-47927</v>
      </c>
      <c r="BI122" s="542">
        <v>0</v>
      </c>
      <c r="BJ122" s="542">
        <v>-47927</v>
      </c>
      <c r="BK122" s="542">
        <v>-3438</v>
      </c>
      <c r="BL122" s="542">
        <v>0</v>
      </c>
      <c r="BM122" s="542">
        <v>-3438</v>
      </c>
      <c r="BN122" s="542">
        <v>-4461278</v>
      </c>
      <c r="BO122" s="542">
        <v>0</v>
      </c>
      <c r="BP122" s="542">
        <v>-4461278</v>
      </c>
      <c r="BQ122" s="542">
        <v>-195059</v>
      </c>
      <c r="BR122" s="542">
        <v>0</v>
      </c>
      <c r="BS122" s="542">
        <v>-195059</v>
      </c>
      <c r="BT122" s="542">
        <v>-4707702</v>
      </c>
      <c r="BU122" s="542">
        <v>0</v>
      </c>
      <c r="BV122" s="542">
        <v>-4707702</v>
      </c>
      <c r="BW122" s="542">
        <v>-47894</v>
      </c>
      <c r="BX122" s="542">
        <v>0</v>
      </c>
      <c r="BY122" s="542">
        <v>-47894</v>
      </c>
      <c r="BZ122" s="542">
        <v>0</v>
      </c>
      <c r="CA122" s="542">
        <v>0</v>
      </c>
      <c r="CB122" s="542">
        <v>0</v>
      </c>
      <c r="CC122" s="542">
        <v>-79688</v>
      </c>
      <c r="CD122" s="542">
        <v>0</v>
      </c>
      <c r="CE122" s="542">
        <v>-79688</v>
      </c>
      <c r="CF122" s="542">
        <v>0</v>
      </c>
      <c r="CG122" s="542">
        <v>0</v>
      </c>
      <c r="CH122" s="542">
        <v>0</v>
      </c>
      <c r="CI122" s="542">
        <v>0</v>
      </c>
      <c r="CJ122" s="542">
        <v>0</v>
      </c>
      <c r="CK122" s="542">
        <v>0</v>
      </c>
      <c r="CL122" s="542">
        <v>0</v>
      </c>
      <c r="CM122" s="542">
        <v>0</v>
      </c>
      <c r="CN122" s="542">
        <v>0</v>
      </c>
      <c r="CO122" s="542">
        <v>0</v>
      </c>
      <c r="CP122" s="542">
        <v>0</v>
      </c>
      <c r="CQ122" s="542">
        <v>0</v>
      </c>
      <c r="CR122" s="542">
        <v>0</v>
      </c>
      <c r="CS122" s="542">
        <v>0</v>
      </c>
      <c r="CT122" s="542">
        <v>0</v>
      </c>
      <c r="CU122" s="542">
        <v>0</v>
      </c>
      <c r="CV122" s="542">
        <v>0</v>
      </c>
      <c r="CW122" s="542">
        <v>0</v>
      </c>
      <c r="CX122" s="542">
        <v>0</v>
      </c>
      <c r="CY122" s="542">
        <v>0</v>
      </c>
      <c r="CZ122" s="542">
        <v>0</v>
      </c>
      <c r="DA122" s="542">
        <v>0</v>
      </c>
      <c r="DB122" s="542">
        <v>0</v>
      </c>
      <c r="DC122" s="542">
        <v>0</v>
      </c>
      <c r="DD122" s="542">
        <v>0</v>
      </c>
      <c r="DE122" s="542">
        <v>0</v>
      </c>
      <c r="DF122" s="542">
        <v>0</v>
      </c>
      <c r="DG122" s="542"/>
      <c r="DH122" s="542">
        <v>0</v>
      </c>
      <c r="DI122" s="542"/>
      <c r="DJ122" s="542">
        <v>0</v>
      </c>
      <c r="DK122" s="542"/>
      <c r="DL122" s="542"/>
      <c r="DM122" s="542">
        <v>-127582</v>
      </c>
      <c r="DN122" s="542">
        <v>0</v>
      </c>
      <c r="DO122" s="542">
        <v>-127582</v>
      </c>
      <c r="DP122" s="542">
        <v>0</v>
      </c>
      <c r="DQ122" s="542">
        <v>0</v>
      </c>
      <c r="DR122" s="542">
        <v>0</v>
      </c>
      <c r="DS122" s="542">
        <v>0</v>
      </c>
      <c r="DT122" s="542">
        <v>0</v>
      </c>
      <c r="DU122" s="542">
        <v>0</v>
      </c>
      <c r="DV122" s="542">
        <v>-25195</v>
      </c>
      <c r="DW122" s="542">
        <v>0</v>
      </c>
      <c r="DX122" s="542">
        <v>-25195</v>
      </c>
      <c r="DY122" s="542">
        <v>-1065363</v>
      </c>
      <c r="DZ122" s="542">
        <v>0</v>
      </c>
      <c r="EA122" s="542">
        <v>-1065363</v>
      </c>
      <c r="EB122" s="542">
        <v>0</v>
      </c>
      <c r="EC122" s="542">
        <v>0</v>
      </c>
      <c r="ED122" s="542">
        <v>0</v>
      </c>
      <c r="EE122" s="542">
        <v>0</v>
      </c>
      <c r="EF122" s="542">
        <v>0</v>
      </c>
      <c r="EG122" s="542">
        <v>0</v>
      </c>
      <c r="EH122" s="542">
        <v>-1090558</v>
      </c>
      <c r="EI122" s="542">
        <v>0</v>
      </c>
      <c r="EJ122" s="542">
        <v>-1090558</v>
      </c>
      <c r="EK122" s="542">
        <v>0</v>
      </c>
      <c r="EL122" s="542">
        <v>0</v>
      </c>
      <c r="EM122" s="542">
        <v>0</v>
      </c>
      <c r="EN122" s="542">
        <v>0</v>
      </c>
      <c r="EO122" s="542">
        <v>0</v>
      </c>
      <c r="EP122" s="542">
        <v>0</v>
      </c>
      <c r="EQ122" s="542">
        <v>0</v>
      </c>
      <c r="ER122" s="542">
        <v>0</v>
      </c>
      <c r="ES122" s="542">
        <v>0</v>
      </c>
      <c r="ET122" s="542">
        <v>205237493</v>
      </c>
      <c r="EU122" s="542">
        <v>0</v>
      </c>
      <c r="EV122" s="542">
        <v>205237493</v>
      </c>
      <c r="EW122" s="542">
        <v>1300939</v>
      </c>
      <c r="EX122" s="542">
        <v>0</v>
      </c>
      <c r="EY122" s="542">
        <v>1300939</v>
      </c>
      <c r="EZ122" s="542">
        <v>-8768589</v>
      </c>
      <c r="FA122" s="542">
        <v>0</v>
      </c>
      <c r="FB122" s="542">
        <v>-8768589</v>
      </c>
      <c r="FC122" s="542">
        <v>-4707702</v>
      </c>
      <c r="FD122" s="542">
        <v>0</v>
      </c>
      <c r="FE122" s="542">
        <v>-4707702</v>
      </c>
      <c r="FF122" s="542">
        <v>-127582</v>
      </c>
      <c r="FG122" s="542">
        <v>0</v>
      </c>
      <c r="FH122" s="542">
        <v>-127582</v>
      </c>
      <c r="FI122" s="542">
        <v>-1090558</v>
      </c>
      <c r="FJ122" s="542">
        <v>0</v>
      </c>
      <c r="FK122" s="542">
        <v>-1090558</v>
      </c>
      <c r="FL122" s="542">
        <v>0</v>
      </c>
      <c r="FM122" s="542">
        <v>0</v>
      </c>
      <c r="FN122" s="542">
        <v>0</v>
      </c>
      <c r="FO122" s="542">
        <v>-13393492</v>
      </c>
      <c r="FP122" s="542">
        <v>0</v>
      </c>
      <c r="FQ122" s="542">
        <v>-13393492</v>
      </c>
      <c r="FR122" s="542">
        <v>191844001</v>
      </c>
      <c r="FS122" s="542">
        <v>0</v>
      </c>
      <c r="FT122" s="542">
        <v>191844001</v>
      </c>
    </row>
    <row r="123" spans="1:176" ht="12.75" x14ac:dyDescent="0.2">
      <c r="A123" s="93">
        <v>118</v>
      </c>
      <c r="B123" s="145" t="s">
        <v>114</v>
      </c>
      <c r="C123" s="604" t="s">
        <v>866</v>
      </c>
      <c r="D123" s="142" t="s">
        <v>869</v>
      </c>
      <c r="E123" s="149" t="s">
        <v>113</v>
      </c>
      <c r="F123" s="542">
        <v>-21658</v>
      </c>
      <c r="G123" s="542">
        <v>0</v>
      </c>
      <c r="H123" s="542">
        <v>-21658</v>
      </c>
      <c r="I123" s="542">
        <v>63850</v>
      </c>
      <c r="J123" s="542">
        <v>0</v>
      </c>
      <c r="K123" s="542">
        <v>63850</v>
      </c>
      <c r="L123" s="542">
        <v>0</v>
      </c>
      <c r="M123" s="542">
        <v>0</v>
      </c>
      <c r="N123" s="542">
        <v>0</v>
      </c>
      <c r="O123" s="542">
        <v>37542</v>
      </c>
      <c r="P123" s="542">
        <v>0</v>
      </c>
      <c r="Q123" s="542">
        <v>37542</v>
      </c>
      <c r="R123" s="542">
        <v>79734</v>
      </c>
      <c r="S123" s="542">
        <v>0</v>
      </c>
      <c r="T123" s="542">
        <v>79734</v>
      </c>
      <c r="U123" s="542">
        <v>-1708013</v>
      </c>
      <c r="V123" s="542">
        <v>0</v>
      </c>
      <c r="W123" s="542">
        <v>-1708013</v>
      </c>
      <c r="X123" s="542">
        <v>0</v>
      </c>
      <c r="Y123" s="542">
        <v>0</v>
      </c>
      <c r="Z123" s="542">
        <v>0</v>
      </c>
      <c r="AA123" s="542">
        <v>-113034</v>
      </c>
      <c r="AB123" s="542">
        <v>0</v>
      </c>
      <c r="AC123" s="542">
        <v>-113034</v>
      </c>
      <c r="AD123" s="542">
        <v>0</v>
      </c>
      <c r="AE123" s="542">
        <v>0</v>
      </c>
      <c r="AF123" s="542">
        <v>0</v>
      </c>
      <c r="AG123" s="542">
        <v>858328</v>
      </c>
      <c r="AH123" s="542">
        <v>0</v>
      </c>
      <c r="AI123" s="542">
        <v>858328</v>
      </c>
      <c r="AJ123" s="542">
        <v>9893</v>
      </c>
      <c r="AK123" s="542">
        <v>0</v>
      </c>
      <c r="AL123" s="542">
        <v>9893</v>
      </c>
      <c r="AM123" s="542">
        <v>-1589551</v>
      </c>
      <c r="AN123" s="542">
        <v>0</v>
      </c>
      <c r="AO123" s="542">
        <v>-1589551</v>
      </c>
      <c r="AP123" s="542">
        <v>17752</v>
      </c>
      <c r="AQ123" s="542">
        <v>0</v>
      </c>
      <c r="AR123" s="542">
        <v>17752</v>
      </c>
      <c r="AS123" s="542">
        <v>-39510</v>
      </c>
      <c r="AT123" s="542">
        <v>0</v>
      </c>
      <c r="AU123" s="542">
        <v>-39510</v>
      </c>
      <c r="AV123" s="542">
        <v>0</v>
      </c>
      <c r="AW123" s="542">
        <v>0</v>
      </c>
      <c r="AX123" s="542">
        <v>0</v>
      </c>
      <c r="AY123" s="542">
        <v>-32688</v>
      </c>
      <c r="AZ123" s="542">
        <v>0</v>
      </c>
      <c r="BA123" s="542">
        <v>-32688</v>
      </c>
      <c r="BB123" s="542">
        <v>729</v>
      </c>
      <c r="BC123" s="542">
        <v>0</v>
      </c>
      <c r="BD123" s="542">
        <v>729</v>
      </c>
      <c r="BE123" s="542">
        <v>-2596094</v>
      </c>
      <c r="BF123" s="542">
        <v>0</v>
      </c>
      <c r="BG123" s="542">
        <v>-2596094</v>
      </c>
      <c r="BH123" s="542">
        <v>-561046</v>
      </c>
      <c r="BI123" s="542">
        <v>0</v>
      </c>
      <c r="BJ123" s="542">
        <v>-561046</v>
      </c>
      <c r="BK123" s="542">
        <v>-260200</v>
      </c>
      <c r="BL123" s="542">
        <v>0</v>
      </c>
      <c r="BM123" s="542">
        <v>-260200</v>
      </c>
      <c r="BN123" s="542">
        <v>-790351</v>
      </c>
      <c r="BO123" s="542">
        <v>0</v>
      </c>
      <c r="BP123" s="542">
        <v>-790351</v>
      </c>
      <c r="BQ123" s="542">
        <v>-11537</v>
      </c>
      <c r="BR123" s="542">
        <v>0</v>
      </c>
      <c r="BS123" s="542">
        <v>-11537</v>
      </c>
      <c r="BT123" s="542">
        <v>-1623134</v>
      </c>
      <c r="BU123" s="542">
        <v>0</v>
      </c>
      <c r="BV123" s="542">
        <v>-1623134</v>
      </c>
      <c r="BW123" s="542">
        <v>-23088</v>
      </c>
      <c r="BX123" s="542">
        <v>0</v>
      </c>
      <c r="BY123" s="542">
        <v>-23088</v>
      </c>
      <c r="BZ123" s="542">
        <v>0</v>
      </c>
      <c r="CA123" s="542">
        <v>0</v>
      </c>
      <c r="CB123" s="542">
        <v>0</v>
      </c>
      <c r="CC123" s="542">
        <v>-33307</v>
      </c>
      <c r="CD123" s="542">
        <v>0</v>
      </c>
      <c r="CE123" s="542">
        <v>-33307</v>
      </c>
      <c r="CF123" s="542">
        <v>-157</v>
      </c>
      <c r="CG123" s="542">
        <v>0</v>
      </c>
      <c r="CH123" s="542">
        <v>-157</v>
      </c>
      <c r="CI123" s="542">
        <v>-9878</v>
      </c>
      <c r="CJ123" s="542">
        <v>0</v>
      </c>
      <c r="CK123" s="542">
        <v>-9878</v>
      </c>
      <c r="CL123" s="542">
        <v>0</v>
      </c>
      <c r="CM123" s="542">
        <v>0</v>
      </c>
      <c r="CN123" s="542">
        <v>0</v>
      </c>
      <c r="CO123" s="542">
        <v>-32687</v>
      </c>
      <c r="CP123" s="542">
        <v>0</v>
      </c>
      <c r="CQ123" s="542">
        <v>-32687</v>
      </c>
      <c r="CR123" s="542">
        <v>729</v>
      </c>
      <c r="CS123" s="542">
        <v>0</v>
      </c>
      <c r="CT123" s="542">
        <v>729</v>
      </c>
      <c r="CU123" s="542">
        <v>0</v>
      </c>
      <c r="CV123" s="542">
        <v>0</v>
      </c>
      <c r="CW123" s="542">
        <v>0</v>
      </c>
      <c r="CX123" s="542">
        <v>0</v>
      </c>
      <c r="CY123" s="542">
        <v>0</v>
      </c>
      <c r="CZ123" s="542">
        <v>0</v>
      </c>
      <c r="DA123" s="542">
        <v>0</v>
      </c>
      <c r="DB123" s="542">
        <v>0</v>
      </c>
      <c r="DC123" s="542">
        <v>0</v>
      </c>
      <c r="DD123" s="542">
        <v>0</v>
      </c>
      <c r="DE123" s="542">
        <v>0</v>
      </c>
      <c r="DF123" s="542">
        <v>0</v>
      </c>
      <c r="DG123" s="542"/>
      <c r="DH123" s="542">
        <v>0</v>
      </c>
      <c r="DI123" s="542"/>
      <c r="DJ123" s="542">
        <v>0</v>
      </c>
      <c r="DK123" s="542"/>
      <c r="DL123" s="542"/>
      <c r="DM123" s="542">
        <v>-98388</v>
      </c>
      <c r="DN123" s="542">
        <v>0</v>
      </c>
      <c r="DO123" s="542">
        <v>-98388</v>
      </c>
      <c r="DP123" s="542">
        <v>-7806</v>
      </c>
      <c r="DQ123" s="542">
        <v>0</v>
      </c>
      <c r="DR123" s="542">
        <v>-7806</v>
      </c>
      <c r="DS123" s="542">
        <v>0</v>
      </c>
      <c r="DT123" s="542">
        <v>0</v>
      </c>
      <c r="DU123" s="542">
        <v>0</v>
      </c>
      <c r="DV123" s="542">
        <v>0</v>
      </c>
      <c r="DW123" s="542">
        <v>0</v>
      </c>
      <c r="DX123" s="542">
        <v>0</v>
      </c>
      <c r="DY123" s="542">
        <v>-251874</v>
      </c>
      <c r="DZ123" s="542">
        <v>0</v>
      </c>
      <c r="EA123" s="542">
        <v>-251874</v>
      </c>
      <c r="EB123" s="542">
        <v>0</v>
      </c>
      <c r="EC123" s="542">
        <v>0</v>
      </c>
      <c r="ED123" s="542">
        <v>0</v>
      </c>
      <c r="EE123" s="542">
        <v>0</v>
      </c>
      <c r="EF123" s="542">
        <v>0</v>
      </c>
      <c r="EG123" s="542">
        <v>0</v>
      </c>
      <c r="EH123" s="542">
        <v>-259680</v>
      </c>
      <c r="EI123" s="542">
        <v>0</v>
      </c>
      <c r="EJ123" s="542">
        <v>-259680</v>
      </c>
      <c r="EK123" s="542">
        <v>0</v>
      </c>
      <c r="EL123" s="542">
        <v>0</v>
      </c>
      <c r="EM123" s="542">
        <v>0</v>
      </c>
      <c r="EN123" s="542">
        <v>0</v>
      </c>
      <c r="EO123" s="542">
        <v>0</v>
      </c>
      <c r="EP123" s="542">
        <v>0</v>
      </c>
      <c r="EQ123" s="542">
        <v>0</v>
      </c>
      <c r="ER123" s="542">
        <v>0</v>
      </c>
      <c r="ES123" s="542">
        <v>0</v>
      </c>
      <c r="ET123" s="542">
        <v>42655738</v>
      </c>
      <c r="EU123" s="542">
        <v>0</v>
      </c>
      <c r="EV123" s="542">
        <v>42655738</v>
      </c>
      <c r="EW123" s="542">
        <v>79734</v>
      </c>
      <c r="EX123" s="542">
        <v>0</v>
      </c>
      <c r="EY123" s="542">
        <v>79734</v>
      </c>
      <c r="EZ123" s="542">
        <v>-2596094</v>
      </c>
      <c r="FA123" s="542">
        <v>0</v>
      </c>
      <c r="FB123" s="542">
        <v>-2596094</v>
      </c>
      <c r="FC123" s="542">
        <v>-1623134</v>
      </c>
      <c r="FD123" s="542">
        <v>0</v>
      </c>
      <c r="FE123" s="542">
        <v>-1623134</v>
      </c>
      <c r="FF123" s="542">
        <v>-98388</v>
      </c>
      <c r="FG123" s="542">
        <v>0</v>
      </c>
      <c r="FH123" s="542">
        <v>-98388</v>
      </c>
      <c r="FI123" s="542">
        <v>-259680</v>
      </c>
      <c r="FJ123" s="542">
        <v>0</v>
      </c>
      <c r="FK123" s="542">
        <v>-259680</v>
      </c>
      <c r="FL123" s="542">
        <v>0</v>
      </c>
      <c r="FM123" s="542">
        <v>0</v>
      </c>
      <c r="FN123" s="542">
        <v>0</v>
      </c>
      <c r="FO123" s="542">
        <v>-4497562</v>
      </c>
      <c r="FP123" s="542">
        <v>0</v>
      </c>
      <c r="FQ123" s="542">
        <v>-4497562</v>
      </c>
      <c r="FR123" s="542">
        <v>38158176</v>
      </c>
      <c r="FS123" s="542">
        <v>0</v>
      </c>
      <c r="FT123" s="542">
        <v>38158176</v>
      </c>
    </row>
    <row r="124" spans="1:176" ht="12.75" x14ac:dyDescent="0.2">
      <c r="A124" s="93">
        <v>119</v>
      </c>
      <c r="B124" s="145" t="s">
        <v>116</v>
      </c>
      <c r="C124" s="604" t="s">
        <v>871</v>
      </c>
      <c r="D124" s="142" t="s">
        <v>872</v>
      </c>
      <c r="E124" s="149" t="s">
        <v>115</v>
      </c>
      <c r="F124" s="542">
        <v>-109125</v>
      </c>
      <c r="G124" s="542">
        <v>0</v>
      </c>
      <c r="H124" s="542">
        <v>-109125</v>
      </c>
      <c r="I124" s="542">
        <v>96489</v>
      </c>
      <c r="J124" s="542">
        <v>0</v>
      </c>
      <c r="K124" s="542">
        <v>96489</v>
      </c>
      <c r="L124" s="542">
        <v>31180</v>
      </c>
      <c r="M124" s="542">
        <v>0</v>
      </c>
      <c r="N124" s="542">
        <v>31180</v>
      </c>
      <c r="O124" s="542">
        <v>1468436</v>
      </c>
      <c r="P124" s="542">
        <v>0</v>
      </c>
      <c r="Q124" s="542">
        <v>1468436</v>
      </c>
      <c r="R124" s="542">
        <v>1486980</v>
      </c>
      <c r="S124" s="542">
        <v>0</v>
      </c>
      <c r="T124" s="542">
        <v>1486980</v>
      </c>
      <c r="U124" s="542">
        <v>-4142175</v>
      </c>
      <c r="V124" s="542">
        <v>0</v>
      </c>
      <c r="W124" s="542">
        <v>-4142175</v>
      </c>
      <c r="X124" s="542">
        <v>0</v>
      </c>
      <c r="Y124" s="542">
        <v>0</v>
      </c>
      <c r="Z124" s="542">
        <v>0</v>
      </c>
      <c r="AA124" s="542">
        <v>-235196</v>
      </c>
      <c r="AB124" s="542">
        <v>0</v>
      </c>
      <c r="AC124" s="542">
        <v>-235196</v>
      </c>
      <c r="AD124" s="542">
        <v>0</v>
      </c>
      <c r="AE124" s="542">
        <v>0</v>
      </c>
      <c r="AF124" s="542">
        <v>0</v>
      </c>
      <c r="AG124" s="542">
        <v>1333058</v>
      </c>
      <c r="AH124" s="542">
        <v>0</v>
      </c>
      <c r="AI124" s="542">
        <v>1333058</v>
      </c>
      <c r="AJ124" s="542">
        <v>40793</v>
      </c>
      <c r="AK124" s="542">
        <v>0</v>
      </c>
      <c r="AL124" s="542">
        <v>40793</v>
      </c>
      <c r="AM124" s="542">
        <v>-5070761</v>
      </c>
      <c r="AN124" s="542">
        <v>0</v>
      </c>
      <c r="AO124" s="542">
        <v>-5070761</v>
      </c>
      <c r="AP124" s="542">
        <v>28895</v>
      </c>
      <c r="AQ124" s="542">
        <v>0</v>
      </c>
      <c r="AR124" s="542">
        <v>28895</v>
      </c>
      <c r="AS124" s="542">
        <v>-24832</v>
      </c>
      <c r="AT124" s="542">
        <v>0</v>
      </c>
      <c r="AU124" s="542">
        <v>-24832</v>
      </c>
      <c r="AV124" s="542">
        <v>0</v>
      </c>
      <c r="AW124" s="542">
        <v>0</v>
      </c>
      <c r="AX124" s="542">
        <v>0</v>
      </c>
      <c r="AY124" s="542">
        <v>0</v>
      </c>
      <c r="AZ124" s="542">
        <v>0</v>
      </c>
      <c r="BA124" s="542">
        <v>0</v>
      </c>
      <c r="BB124" s="542">
        <v>0</v>
      </c>
      <c r="BC124" s="542">
        <v>0</v>
      </c>
      <c r="BD124" s="542">
        <v>0</v>
      </c>
      <c r="BE124" s="542">
        <v>-8070218</v>
      </c>
      <c r="BF124" s="542">
        <v>0</v>
      </c>
      <c r="BG124" s="542">
        <v>-8070218</v>
      </c>
      <c r="BH124" s="542">
        <v>-3321</v>
      </c>
      <c r="BI124" s="542">
        <v>0</v>
      </c>
      <c r="BJ124" s="542">
        <v>-3321</v>
      </c>
      <c r="BK124" s="542">
        <v>48735</v>
      </c>
      <c r="BL124" s="542">
        <v>0</v>
      </c>
      <c r="BM124" s="542">
        <v>48735</v>
      </c>
      <c r="BN124" s="542">
        <v>-1728967</v>
      </c>
      <c r="BO124" s="542">
        <v>0</v>
      </c>
      <c r="BP124" s="542">
        <v>-1728967</v>
      </c>
      <c r="BQ124" s="542">
        <v>-112954</v>
      </c>
      <c r="BR124" s="542">
        <v>0</v>
      </c>
      <c r="BS124" s="542">
        <v>-112954</v>
      </c>
      <c r="BT124" s="542">
        <v>-1796507</v>
      </c>
      <c r="BU124" s="542">
        <v>0</v>
      </c>
      <c r="BV124" s="542">
        <v>-1796507</v>
      </c>
      <c r="BW124" s="542">
        <v>-455895</v>
      </c>
      <c r="BX124" s="542">
        <v>0</v>
      </c>
      <c r="BY124" s="542">
        <v>-455895</v>
      </c>
      <c r="BZ124" s="542">
        <v>10137</v>
      </c>
      <c r="CA124" s="542">
        <v>0</v>
      </c>
      <c r="CB124" s="542">
        <v>10137</v>
      </c>
      <c r="CC124" s="542">
        <v>-211663</v>
      </c>
      <c r="CD124" s="542">
        <v>0</v>
      </c>
      <c r="CE124" s="542">
        <v>-211663</v>
      </c>
      <c r="CF124" s="542">
        <v>-19977</v>
      </c>
      <c r="CG124" s="542">
        <v>0</v>
      </c>
      <c r="CH124" s="542">
        <v>-19977</v>
      </c>
      <c r="CI124" s="542">
        <v>0</v>
      </c>
      <c r="CJ124" s="542">
        <v>0</v>
      </c>
      <c r="CK124" s="542">
        <v>0</v>
      </c>
      <c r="CL124" s="542">
        <v>0</v>
      </c>
      <c r="CM124" s="542">
        <v>0</v>
      </c>
      <c r="CN124" s="542">
        <v>0</v>
      </c>
      <c r="CO124" s="542">
        <v>0</v>
      </c>
      <c r="CP124" s="542">
        <v>0</v>
      </c>
      <c r="CQ124" s="542">
        <v>0</v>
      </c>
      <c r="CR124" s="542">
        <v>0</v>
      </c>
      <c r="CS124" s="542">
        <v>0</v>
      </c>
      <c r="CT124" s="542">
        <v>0</v>
      </c>
      <c r="CU124" s="542">
        <v>0</v>
      </c>
      <c r="CV124" s="542">
        <v>0</v>
      </c>
      <c r="CW124" s="542">
        <v>0</v>
      </c>
      <c r="CX124" s="542">
        <v>0</v>
      </c>
      <c r="CY124" s="542">
        <v>0</v>
      </c>
      <c r="CZ124" s="542">
        <v>0</v>
      </c>
      <c r="DA124" s="542">
        <v>0</v>
      </c>
      <c r="DB124" s="542">
        <v>0</v>
      </c>
      <c r="DC124" s="542">
        <v>0</v>
      </c>
      <c r="DD124" s="542">
        <v>0</v>
      </c>
      <c r="DE124" s="542">
        <v>0</v>
      </c>
      <c r="DF124" s="542">
        <v>0</v>
      </c>
      <c r="DG124" s="542"/>
      <c r="DH124" s="542">
        <v>0</v>
      </c>
      <c r="DI124" s="542"/>
      <c r="DJ124" s="542">
        <v>0</v>
      </c>
      <c r="DK124" s="542"/>
      <c r="DL124" s="542"/>
      <c r="DM124" s="542">
        <v>-677398</v>
      </c>
      <c r="DN124" s="542">
        <v>0</v>
      </c>
      <c r="DO124" s="542">
        <v>-677398</v>
      </c>
      <c r="DP124" s="542">
        <v>-51642</v>
      </c>
      <c r="DQ124" s="542">
        <v>0</v>
      </c>
      <c r="DR124" s="542">
        <v>-51642</v>
      </c>
      <c r="DS124" s="542">
        <v>-6895</v>
      </c>
      <c r="DT124" s="542">
        <v>0</v>
      </c>
      <c r="DU124" s="542">
        <v>-6895</v>
      </c>
      <c r="DV124" s="542">
        <v>-363</v>
      </c>
      <c r="DW124" s="542">
        <v>0</v>
      </c>
      <c r="DX124" s="542">
        <v>-363</v>
      </c>
      <c r="DY124" s="542">
        <v>-1908792</v>
      </c>
      <c r="DZ124" s="542">
        <v>0</v>
      </c>
      <c r="EA124" s="542">
        <v>-1908792</v>
      </c>
      <c r="EB124" s="542">
        <v>0</v>
      </c>
      <c r="EC124" s="542">
        <v>0</v>
      </c>
      <c r="ED124" s="542">
        <v>0</v>
      </c>
      <c r="EE124" s="542">
        <v>0</v>
      </c>
      <c r="EF124" s="542">
        <v>0</v>
      </c>
      <c r="EG124" s="542">
        <v>0</v>
      </c>
      <c r="EH124" s="542">
        <v>-1967692</v>
      </c>
      <c r="EI124" s="542">
        <v>0</v>
      </c>
      <c r="EJ124" s="542">
        <v>-1967692</v>
      </c>
      <c r="EK124" s="542">
        <v>0</v>
      </c>
      <c r="EL124" s="542">
        <v>0</v>
      </c>
      <c r="EM124" s="542">
        <v>0</v>
      </c>
      <c r="EN124" s="542">
        <v>9259</v>
      </c>
      <c r="EO124" s="542">
        <v>0</v>
      </c>
      <c r="EP124" s="542">
        <v>9259</v>
      </c>
      <c r="EQ124" s="542">
        <v>9259</v>
      </c>
      <c r="ER124" s="542">
        <v>0</v>
      </c>
      <c r="ES124" s="542">
        <v>9259</v>
      </c>
      <c r="ET124" s="542">
        <v>73824552</v>
      </c>
      <c r="EU124" s="542">
        <v>0</v>
      </c>
      <c r="EV124" s="542">
        <v>73824552</v>
      </c>
      <c r="EW124" s="542">
        <v>1486980</v>
      </c>
      <c r="EX124" s="542">
        <v>0</v>
      </c>
      <c r="EY124" s="542">
        <v>1486980</v>
      </c>
      <c r="EZ124" s="542">
        <v>-8070218</v>
      </c>
      <c r="FA124" s="542">
        <v>0</v>
      </c>
      <c r="FB124" s="542">
        <v>-8070218</v>
      </c>
      <c r="FC124" s="542">
        <v>-1796507</v>
      </c>
      <c r="FD124" s="542">
        <v>0</v>
      </c>
      <c r="FE124" s="542">
        <v>-1796507</v>
      </c>
      <c r="FF124" s="542">
        <v>-677398</v>
      </c>
      <c r="FG124" s="542">
        <v>0</v>
      </c>
      <c r="FH124" s="542">
        <v>-677398</v>
      </c>
      <c r="FI124" s="542">
        <v>-1967692</v>
      </c>
      <c r="FJ124" s="542">
        <v>0</v>
      </c>
      <c r="FK124" s="542">
        <v>-1967692</v>
      </c>
      <c r="FL124" s="542">
        <v>9259</v>
      </c>
      <c r="FM124" s="542">
        <v>0</v>
      </c>
      <c r="FN124" s="542">
        <v>9259</v>
      </c>
      <c r="FO124" s="542">
        <v>-11015576</v>
      </c>
      <c r="FP124" s="542">
        <v>0</v>
      </c>
      <c r="FQ124" s="542">
        <v>-11015576</v>
      </c>
      <c r="FR124" s="542">
        <v>62808976</v>
      </c>
      <c r="FS124" s="542">
        <v>0</v>
      </c>
      <c r="FT124" s="542">
        <v>62808976</v>
      </c>
    </row>
    <row r="125" spans="1:176" ht="12.75" x14ac:dyDescent="0.2">
      <c r="A125" s="93">
        <v>120</v>
      </c>
      <c r="B125" s="145" t="s">
        <v>118</v>
      </c>
      <c r="C125" s="604" t="s">
        <v>866</v>
      </c>
      <c r="D125" s="142" t="s">
        <v>870</v>
      </c>
      <c r="E125" s="149" t="s">
        <v>117</v>
      </c>
      <c r="F125" s="542">
        <v>-43121</v>
      </c>
      <c r="G125" s="542">
        <v>0</v>
      </c>
      <c r="H125" s="542">
        <v>-43121</v>
      </c>
      <c r="I125" s="542">
        <v>122819</v>
      </c>
      <c r="J125" s="542">
        <v>83</v>
      </c>
      <c r="K125" s="542">
        <v>122902</v>
      </c>
      <c r="L125" s="542">
        <v>67248</v>
      </c>
      <c r="M125" s="542">
        <v>0</v>
      </c>
      <c r="N125" s="542">
        <v>67248</v>
      </c>
      <c r="O125" s="542">
        <v>183616</v>
      </c>
      <c r="P125" s="542">
        <v>492</v>
      </c>
      <c r="Q125" s="542">
        <v>184108</v>
      </c>
      <c r="R125" s="542">
        <v>330562</v>
      </c>
      <c r="S125" s="542">
        <v>575</v>
      </c>
      <c r="T125" s="542">
        <v>331137</v>
      </c>
      <c r="U125" s="542">
        <v>-805962</v>
      </c>
      <c r="V125" s="542">
        <v>-36652</v>
      </c>
      <c r="W125" s="542">
        <v>-842614</v>
      </c>
      <c r="X125" s="542">
        <v>-5971</v>
      </c>
      <c r="Y125" s="542">
        <v>0</v>
      </c>
      <c r="Z125" s="542">
        <v>-5971</v>
      </c>
      <c r="AA125" s="542">
        <v>-56009</v>
      </c>
      <c r="AB125" s="542">
        <v>-2850</v>
      </c>
      <c r="AC125" s="542">
        <v>-58859</v>
      </c>
      <c r="AD125" s="542">
        <v>-24313</v>
      </c>
      <c r="AE125" s="542">
        <v>-4552</v>
      </c>
      <c r="AF125" s="542">
        <v>-28865</v>
      </c>
      <c r="AG125" s="542">
        <v>1028675</v>
      </c>
      <c r="AH125" s="542">
        <v>82368</v>
      </c>
      <c r="AI125" s="542">
        <v>1111043</v>
      </c>
      <c r="AJ125" s="542">
        <v>-28365</v>
      </c>
      <c r="AK125" s="542">
        <v>-3385</v>
      </c>
      <c r="AL125" s="542">
        <v>-31750</v>
      </c>
      <c r="AM125" s="542">
        <v>-2432268</v>
      </c>
      <c r="AN125" s="542">
        <v>0</v>
      </c>
      <c r="AO125" s="542">
        <v>-2432268</v>
      </c>
      <c r="AP125" s="542">
        <v>23563</v>
      </c>
      <c r="AQ125" s="542">
        <v>0</v>
      </c>
      <c r="AR125" s="542">
        <v>23563</v>
      </c>
      <c r="AS125" s="542">
        <v>-65028</v>
      </c>
      <c r="AT125" s="542">
        <v>0</v>
      </c>
      <c r="AU125" s="542">
        <v>-65028</v>
      </c>
      <c r="AV125" s="542">
        <v>2316</v>
      </c>
      <c r="AW125" s="542">
        <v>0</v>
      </c>
      <c r="AX125" s="542">
        <v>2316</v>
      </c>
      <c r="AY125" s="542">
        <v>0</v>
      </c>
      <c r="AZ125" s="542">
        <v>0</v>
      </c>
      <c r="BA125" s="542">
        <v>0</v>
      </c>
      <c r="BB125" s="542">
        <v>0</v>
      </c>
      <c r="BC125" s="542">
        <v>0</v>
      </c>
      <c r="BD125" s="542">
        <v>0</v>
      </c>
      <c r="BE125" s="542">
        <v>-2333078</v>
      </c>
      <c r="BF125" s="542">
        <v>39481</v>
      </c>
      <c r="BG125" s="542">
        <v>-2293597</v>
      </c>
      <c r="BH125" s="542">
        <v>-18541</v>
      </c>
      <c r="BI125" s="542">
        <v>0</v>
      </c>
      <c r="BJ125" s="542">
        <v>-18541</v>
      </c>
      <c r="BK125" s="542">
        <v>988</v>
      </c>
      <c r="BL125" s="542">
        <v>0</v>
      </c>
      <c r="BM125" s="542">
        <v>988</v>
      </c>
      <c r="BN125" s="542">
        <v>-1281844</v>
      </c>
      <c r="BO125" s="542">
        <v>-1210659</v>
      </c>
      <c r="BP125" s="542">
        <v>-2492503</v>
      </c>
      <c r="BQ125" s="542">
        <v>-172680</v>
      </c>
      <c r="BR125" s="542">
        <v>20603</v>
      </c>
      <c r="BS125" s="542">
        <v>-152077</v>
      </c>
      <c r="BT125" s="542">
        <v>-1472077</v>
      </c>
      <c r="BU125" s="542">
        <v>-1190056</v>
      </c>
      <c r="BV125" s="542">
        <v>-2662133</v>
      </c>
      <c r="BW125" s="542">
        <v>-33257</v>
      </c>
      <c r="BX125" s="542">
        <v>0</v>
      </c>
      <c r="BY125" s="542">
        <v>-33257</v>
      </c>
      <c r="BZ125" s="542">
        <v>504</v>
      </c>
      <c r="CA125" s="542">
        <v>0</v>
      </c>
      <c r="CB125" s="542">
        <v>504</v>
      </c>
      <c r="CC125" s="542">
        <v>-7656</v>
      </c>
      <c r="CD125" s="542">
        <v>0</v>
      </c>
      <c r="CE125" s="542">
        <v>-7656</v>
      </c>
      <c r="CF125" s="542">
        <v>0</v>
      </c>
      <c r="CG125" s="542">
        <v>0</v>
      </c>
      <c r="CH125" s="542">
        <v>0</v>
      </c>
      <c r="CI125" s="542">
        <v>0</v>
      </c>
      <c r="CJ125" s="542">
        <v>0</v>
      </c>
      <c r="CK125" s="542">
        <v>0</v>
      </c>
      <c r="CL125" s="542">
        <v>0</v>
      </c>
      <c r="CM125" s="542">
        <v>0</v>
      </c>
      <c r="CN125" s="542">
        <v>0</v>
      </c>
      <c r="CO125" s="542">
        <v>0</v>
      </c>
      <c r="CP125" s="542">
        <v>0</v>
      </c>
      <c r="CQ125" s="542">
        <v>0</v>
      </c>
      <c r="CR125" s="542">
        <v>0</v>
      </c>
      <c r="CS125" s="542">
        <v>0</v>
      </c>
      <c r="CT125" s="542">
        <v>0</v>
      </c>
      <c r="CU125" s="542">
        <v>0</v>
      </c>
      <c r="CV125" s="542">
        <v>0</v>
      </c>
      <c r="CW125" s="542">
        <v>0</v>
      </c>
      <c r="CX125" s="542">
        <v>0</v>
      </c>
      <c r="CY125" s="542">
        <v>0</v>
      </c>
      <c r="CZ125" s="542">
        <v>0</v>
      </c>
      <c r="DA125" s="542">
        <v>0</v>
      </c>
      <c r="DB125" s="542">
        <v>-26037</v>
      </c>
      <c r="DC125" s="542">
        <v>-26037</v>
      </c>
      <c r="DD125" s="542">
        <v>0</v>
      </c>
      <c r="DE125" s="542">
        <v>-11945</v>
      </c>
      <c r="DF125" s="542">
        <v>-11945</v>
      </c>
      <c r="DG125" s="542"/>
      <c r="DH125" s="542">
        <v>0</v>
      </c>
      <c r="DI125" s="542"/>
      <c r="DJ125" s="542">
        <v>0</v>
      </c>
      <c r="DK125" s="542"/>
      <c r="DL125" s="542"/>
      <c r="DM125" s="542">
        <v>-40409</v>
      </c>
      <c r="DN125" s="542">
        <v>-37982</v>
      </c>
      <c r="DO125" s="542">
        <v>-78391</v>
      </c>
      <c r="DP125" s="542">
        <v>0</v>
      </c>
      <c r="DQ125" s="542">
        <v>0</v>
      </c>
      <c r="DR125" s="542">
        <v>0</v>
      </c>
      <c r="DS125" s="542">
        <v>0</v>
      </c>
      <c r="DT125" s="542">
        <v>0</v>
      </c>
      <c r="DU125" s="542">
        <v>0</v>
      </c>
      <c r="DV125" s="542">
        <v>-9636</v>
      </c>
      <c r="DW125" s="542">
        <v>0</v>
      </c>
      <c r="DX125" s="542">
        <v>-9636</v>
      </c>
      <c r="DY125" s="542">
        <v>-172120</v>
      </c>
      <c r="DZ125" s="542">
        <v>0</v>
      </c>
      <c r="EA125" s="542">
        <v>-172120</v>
      </c>
      <c r="EB125" s="542">
        <v>0</v>
      </c>
      <c r="EC125" s="542">
        <v>0</v>
      </c>
      <c r="ED125" s="542">
        <v>0</v>
      </c>
      <c r="EE125" s="542">
        <v>0</v>
      </c>
      <c r="EF125" s="542">
        <v>0</v>
      </c>
      <c r="EG125" s="542">
        <v>0</v>
      </c>
      <c r="EH125" s="542">
        <v>-181756</v>
      </c>
      <c r="EI125" s="542">
        <v>0</v>
      </c>
      <c r="EJ125" s="542">
        <v>-181756</v>
      </c>
      <c r="EK125" s="542">
        <v>0</v>
      </c>
      <c r="EL125" s="542">
        <v>0</v>
      </c>
      <c r="EM125" s="542">
        <v>0</v>
      </c>
      <c r="EN125" s="542">
        <v>0</v>
      </c>
      <c r="EO125" s="542">
        <v>0</v>
      </c>
      <c r="EP125" s="542">
        <v>0</v>
      </c>
      <c r="EQ125" s="542">
        <v>0</v>
      </c>
      <c r="ER125" s="542">
        <v>0</v>
      </c>
      <c r="ES125" s="542">
        <v>0</v>
      </c>
      <c r="ET125" s="542">
        <v>46112094</v>
      </c>
      <c r="EU125" s="542">
        <v>3544251</v>
      </c>
      <c r="EV125" s="542">
        <v>49656345</v>
      </c>
      <c r="EW125" s="542">
        <v>330562</v>
      </c>
      <c r="EX125" s="542">
        <v>575</v>
      </c>
      <c r="EY125" s="542">
        <v>331137</v>
      </c>
      <c r="EZ125" s="542">
        <v>-2333078</v>
      </c>
      <c r="FA125" s="542">
        <v>39481</v>
      </c>
      <c r="FB125" s="542">
        <v>-2293597</v>
      </c>
      <c r="FC125" s="542">
        <v>-1472077</v>
      </c>
      <c r="FD125" s="542">
        <v>-1190056</v>
      </c>
      <c r="FE125" s="542">
        <v>-2662133</v>
      </c>
      <c r="FF125" s="542">
        <v>-40409</v>
      </c>
      <c r="FG125" s="542">
        <v>-37982</v>
      </c>
      <c r="FH125" s="542">
        <v>-78391</v>
      </c>
      <c r="FI125" s="542">
        <v>-181756</v>
      </c>
      <c r="FJ125" s="542">
        <v>0</v>
      </c>
      <c r="FK125" s="542">
        <v>-181756</v>
      </c>
      <c r="FL125" s="542">
        <v>0</v>
      </c>
      <c r="FM125" s="542">
        <v>0</v>
      </c>
      <c r="FN125" s="542">
        <v>0</v>
      </c>
      <c r="FO125" s="542">
        <v>-3696758</v>
      </c>
      <c r="FP125" s="542">
        <v>-1187982</v>
      </c>
      <c r="FQ125" s="542">
        <v>-4884740</v>
      </c>
      <c r="FR125" s="542">
        <v>42415336</v>
      </c>
      <c r="FS125" s="542">
        <v>2356269</v>
      </c>
      <c r="FT125" s="542">
        <v>44771605</v>
      </c>
    </row>
    <row r="126" spans="1:176" ht="12.75" x14ac:dyDescent="0.2">
      <c r="A126" s="93">
        <v>121</v>
      </c>
      <c r="B126" s="145" t="s">
        <v>120</v>
      </c>
      <c r="C126" s="604" t="s">
        <v>866</v>
      </c>
      <c r="D126" s="142" t="s">
        <v>874</v>
      </c>
      <c r="E126" s="149" t="s">
        <v>119</v>
      </c>
      <c r="F126" s="542">
        <v>-37744</v>
      </c>
      <c r="G126" s="542">
        <v>0</v>
      </c>
      <c r="H126" s="542">
        <v>-37744</v>
      </c>
      <c r="I126" s="542">
        <v>151705</v>
      </c>
      <c r="J126" s="542">
        <v>0</v>
      </c>
      <c r="K126" s="542">
        <v>151705</v>
      </c>
      <c r="L126" s="542">
        <v>49403</v>
      </c>
      <c r="M126" s="542">
        <v>0</v>
      </c>
      <c r="N126" s="542">
        <v>49403</v>
      </c>
      <c r="O126" s="542">
        <v>0</v>
      </c>
      <c r="P126" s="542">
        <v>0</v>
      </c>
      <c r="Q126" s="542">
        <v>0</v>
      </c>
      <c r="R126" s="542">
        <v>163364</v>
      </c>
      <c r="S126" s="542">
        <v>0</v>
      </c>
      <c r="T126" s="542">
        <v>163364</v>
      </c>
      <c r="U126" s="542">
        <v>-4617365</v>
      </c>
      <c r="V126" s="542">
        <v>0</v>
      </c>
      <c r="W126" s="542">
        <v>-4617365</v>
      </c>
      <c r="X126" s="542">
        <v>-22446</v>
      </c>
      <c r="Y126" s="542">
        <v>0</v>
      </c>
      <c r="Z126" s="542">
        <v>-22446</v>
      </c>
      <c r="AA126" s="542">
        <v>-243108</v>
      </c>
      <c r="AB126" s="542">
        <v>0</v>
      </c>
      <c r="AC126" s="542">
        <v>-243108</v>
      </c>
      <c r="AD126" s="542">
        <v>-112883</v>
      </c>
      <c r="AE126" s="542">
        <v>0</v>
      </c>
      <c r="AF126" s="542">
        <v>-112883</v>
      </c>
      <c r="AG126" s="542">
        <v>1335820</v>
      </c>
      <c r="AH126" s="542">
        <v>0</v>
      </c>
      <c r="AI126" s="542">
        <v>1335820</v>
      </c>
      <c r="AJ126" s="542">
        <v>1091</v>
      </c>
      <c r="AK126" s="542">
        <v>0</v>
      </c>
      <c r="AL126" s="542">
        <v>1091</v>
      </c>
      <c r="AM126" s="542">
        <v>-2960399</v>
      </c>
      <c r="AN126" s="542">
        <v>0</v>
      </c>
      <c r="AO126" s="542">
        <v>-2960399</v>
      </c>
      <c r="AP126" s="542">
        <v>60630</v>
      </c>
      <c r="AQ126" s="542">
        <v>0</v>
      </c>
      <c r="AR126" s="542">
        <v>60630</v>
      </c>
      <c r="AS126" s="542">
        <v>-120211</v>
      </c>
      <c r="AT126" s="542">
        <v>0</v>
      </c>
      <c r="AU126" s="542">
        <v>-120211</v>
      </c>
      <c r="AV126" s="542">
        <v>-1679</v>
      </c>
      <c r="AW126" s="542">
        <v>0</v>
      </c>
      <c r="AX126" s="542">
        <v>-1679</v>
      </c>
      <c r="AY126" s="542">
        <v>-54233</v>
      </c>
      <c r="AZ126" s="542">
        <v>0</v>
      </c>
      <c r="BA126" s="542">
        <v>-54233</v>
      </c>
      <c r="BB126" s="542">
        <v>-2921</v>
      </c>
      <c r="BC126" s="542">
        <v>0</v>
      </c>
      <c r="BD126" s="542">
        <v>-2921</v>
      </c>
      <c r="BE126" s="542">
        <v>-6602375</v>
      </c>
      <c r="BF126" s="542">
        <v>0</v>
      </c>
      <c r="BG126" s="542">
        <v>-6602375</v>
      </c>
      <c r="BH126" s="542">
        <v>0</v>
      </c>
      <c r="BI126" s="542">
        <v>0</v>
      </c>
      <c r="BJ126" s="542">
        <v>0</v>
      </c>
      <c r="BK126" s="542">
        <v>-6113</v>
      </c>
      <c r="BL126" s="542">
        <v>0</v>
      </c>
      <c r="BM126" s="542">
        <v>-6113</v>
      </c>
      <c r="BN126" s="542">
        <v>-1529911</v>
      </c>
      <c r="BO126" s="542">
        <v>0</v>
      </c>
      <c r="BP126" s="542">
        <v>-1529911</v>
      </c>
      <c r="BQ126" s="542">
        <v>-17311</v>
      </c>
      <c r="BR126" s="542">
        <v>0</v>
      </c>
      <c r="BS126" s="542">
        <v>-17311</v>
      </c>
      <c r="BT126" s="542">
        <v>-1553335</v>
      </c>
      <c r="BU126" s="542">
        <v>0</v>
      </c>
      <c r="BV126" s="542">
        <v>-1553335</v>
      </c>
      <c r="BW126" s="542">
        <v>-28443</v>
      </c>
      <c r="BX126" s="542">
        <v>0</v>
      </c>
      <c r="BY126" s="542">
        <v>-28443</v>
      </c>
      <c r="BZ126" s="542">
        <v>869</v>
      </c>
      <c r="CA126" s="542">
        <v>0</v>
      </c>
      <c r="CB126" s="542">
        <v>869</v>
      </c>
      <c r="CC126" s="542">
        <v>-158964</v>
      </c>
      <c r="CD126" s="542">
        <v>0</v>
      </c>
      <c r="CE126" s="542">
        <v>-158964</v>
      </c>
      <c r="CF126" s="542">
        <v>-925</v>
      </c>
      <c r="CG126" s="542">
        <v>0</v>
      </c>
      <c r="CH126" s="542">
        <v>-925</v>
      </c>
      <c r="CI126" s="542">
        <v>0</v>
      </c>
      <c r="CJ126" s="542">
        <v>0</v>
      </c>
      <c r="CK126" s="542">
        <v>0</v>
      </c>
      <c r="CL126" s="542">
        <v>0</v>
      </c>
      <c r="CM126" s="542">
        <v>0</v>
      </c>
      <c r="CN126" s="542">
        <v>0</v>
      </c>
      <c r="CO126" s="542">
        <v>-13606</v>
      </c>
      <c r="CP126" s="542">
        <v>0</v>
      </c>
      <c r="CQ126" s="542">
        <v>-13606</v>
      </c>
      <c r="CR126" s="542">
        <v>-96</v>
      </c>
      <c r="CS126" s="542">
        <v>0</v>
      </c>
      <c r="CT126" s="542">
        <v>-96</v>
      </c>
      <c r="CU126" s="542">
        <v>-27399</v>
      </c>
      <c r="CV126" s="542">
        <v>0</v>
      </c>
      <c r="CW126" s="542">
        <v>-27399</v>
      </c>
      <c r="CX126" s="542">
        <v>383</v>
      </c>
      <c r="CY126" s="542">
        <v>0</v>
      </c>
      <c r="CZ126" s="542">
        <v>383</v>
      </c>
      <c r="DA126" s="542">
        <v>0</v>
      </c>
      <c r="DB126" s="542">
        <v>0</v>
      </c>
      <c r="DC126" s="542">
        <v>0</v>
      </c>
      <c r="DD126" s="542">
        <v>0</v>
      </c>
      <c r="DE126" s="542">
        <v>0</v>
      </c>
      <c r="DF126" s="542">
        <v>0</v>
      </c>
      <c r="DG126" s="542"/>
      <c r="DH126" s="542">
        <v>0</v>
      </c>
      <c r="DI126" s="542"/>
      <c r="DJ126" s="542">
        <v>0</v>
      </c>
      <c r="DK126" s="542"/>
      <c r="DL126" s="542"/>
      <c r="DM126" s="542">
        <v>-228181</v>
      </c>
      <c r="DN126" s="542">
        <v>0</v>
      </c>
      <c r="DO126" s="542">
        <v>-228181</v>
      </c>
      <c r="DP126" s="542">
        <v>-49350</v>
      </c>
      <c r="DQ126" s="542">
        <v>0</v>
      </c>
      <c r="DR126" s="542">
        <v>-49350</v>
      </c>
      <c r="DS126" s="542">
        <v>-14695</v>
      </c>
      <c r="DT126" s="542">
        <v>0</v>
      </c>
      <c r="DU126" s="542">
        <v>-14695</v>
      </c>
      <c r="DV126" s="542">
        <v>-16214</v>
      </c>
      <c r="DW126" s="542">
        <v>0</v>
      </c>
      <c r="DX126" s="542">
        <v>-16214</v>
      </c>
      <c r="DY126" s="542">
        <v>-830168</v>
      </c>
      <c r="DZ126" s="542">
        <v>0</v>
      </c>
      <c r="EA126" s="542">
        <v>-830168</v>
      </c>
      <c r="EB126" s="542">
        <v>0</v>
      </c>
      <c r="EC126" s="542">
        <v>0</v>
      </c>
      <c r="ED126" s="542">
        <v>0</v>
      </c>
      <c r="EE126" s="542">
        <v>0</v>
      </c>
      <c r="EF126" s="542">
        <v>0</v>
      </c>
      <c r="EG126" s="542">
        <v>0</v>
      </c>
      <c r="EH126" s="542">
        <v>-910427</v>
      </c>
      <c r="EI126" s="542">
        <v>0</v>
      </c>
      <c r="EJ126" s="542">
        <v>-910427</v>
      </c>
      <c r="EK126" s="542">
        <v>0</v>
      </c>
      <c r="EL126" s="542">
        <v>0</v>
      </c>
      <c r="EM126" s="542">
        <v>0</v>
      </c>
      <c r="EN126" s="542">
        <v>274</v>
      </c>
      <c r="EO126" s="542">
        <v>0</v>
      </c>
      <c r="EP126" s="542">
        <v>274</v>
      </c>
      <c r="EQ126" s="542">
        <v>274</v>
      </c>
      <c r="ER126" s="542">
        <v>0</v>
      </c>
      <c r="ES126" s="542">
        <v>274</v>
      </c>
      <c r="ET126" s="542">
        <v>70448786</v>
      </c>
      <c r="EU126" s="542">
        <v>0</v>
      </c>
      <c r="EV126" s="542">
        <v>70448786</v>
      </c>
      <c r="EW126" s="542">
        <v>163364</v>
      </c>
      <c r="EX126" s="542">
        <v>0</v>
      </c>
      <c r="EY126" s="542">
        <v>163364</v>
      </c>
      <c r="EZ126" s="542">
        <v>-6602375</v>
      </c>
      <c r="FA126" s="542">
        <v>0</v>
      </c>
      <c r="FB126" s="542">
        <v>-6602375</v>
      </c>
      <c r="FC126" s="542">
        <v>-1553335</v>
      </c>
      <c r="FD126" s="542">
        <v>0</v>
      </c>
      <c r="FE126" s="542">
        <v>-1553335</v>
      </c>
      <c r="FF126" s="542">
        <v>-228181</v>
      </c>
      <c r="FG126" s="542">
        <v>0</v>
      </c>
      <c r="FH126" s="542">
        <v>-228181</v>
      </c>
      <c r="FI126" s="542">
        <v>-910427</v>
      </c>
      <c r="FJ126" s="542">
        <v>0</v>
      </c>
      <c r="FK126" s="542">
        <v>-910427</v>
      </c>
      <c r="FL126" s="542">
        <v>274</v>
      </c>
      <c r="FM126" s="542">
        <v>0</v>
      </c>
      <c r="FN126" s="542">
        <v>274</v>
      </c>
      <c r="FO126" s="542">
        <v>-9130680</v>
      </c>
      <c r="FP126" s="542">
        <v>0</v>
      </c>
      <c r="FQ126" s="542">
        <v>-9130680</v>
      </c>
      <c r="FR126" s="542">
        <v>61318106</v>
      </c>
      <c r="FS126" s="542">
        <v>0</v>
      </c>
      <c r="FT126" s="542">
        <v>61318106</v>
      </c>
    </row>
    <row r="127" spans="1:176" ht="12.75" x14ac:dyDescent="0.2">
      <c r="A127" s="93">
        <v>122</v>
      </c>
      <c r="B127" s="145" t="s">
        <v>122</v>
      </c>
      <c r="C127" s="604" t="s">
        <v>871</v>
      </c>
      <c r="D127" s="142" t="s">
        <v>872</v>
      </c>
      <c r="E127" s="149" t="s">
        <v>121</v>
      </c>
      <c r="F127" s="542">
        <v>-45983</v>
      </c>
      <c r="G127" s="542">
        <v>0</v>
      </c>
      <c r="H127" s="542">
        <v>-45983</v>
      </c>
      <c r="I127" s="542">
        <v>84121</v>
      </c>
      <c r="J127" s="542">
        <v>0</v>
      </c>
      <c r="K127" s="542">
        <v>84121</v>
      </c>
      <c r="L127" s="542">
        <v>8403</v>
      </c>
      <c r="M127" s="542">
        <v>0</v>
      </c>
      <c r="N127" s="542">
        <v>8403</v>
      </c>
      <c r="O127" s="542">
        <v>244875</v>
      </c>
      <c r="P127" s="542">
        <v>0</v>
      </c>
      <c r="Q127" s="542">
        <v>244875</v>
      </c>
      <c r="R127" s="542">
        <v>291416</v>
      </c>
      <c r="S127" s="542">
        <v>0</v>
      </c>
      <c r="T127" s="542">
        <v>291416</v>
      </c>
      <c r="U127" s="542">
        <v>-2895139</v>
      </c>
      <c r="V127" s="542">
        <v>0</v>
      </c>
      <c r="W127" s="542">
        <v>-2895139</v>
      </c>
      <c r="X127" s="542">
        <v>0</v>
      </c>
      <c r="Y127" s="542">
        <v>0</v>
      </c>
      <c r="Z127" s="542">
        <v>0</v>
      </c>
      <c r="AA127" s="542">
        <v>-176078</v>
      </c>
      <c r="AB127" s="542">
        <v>0</v>
      </c>
      <c r="AC127" s="542">
        <v>-176078</v>
      </c>
      <c r="AD127" s="542">
        <v>0</v>
      </c>
      <c r="AE127" s="542">
        <v>0</v>
      </c>
      <c r="AF127" s="542">
        <v>0</v>
      </c>
      <c r="AG127" s="542">
        <v>997547</v>
      </c>
      <c r="AH127" s="542">
        <v>0</v>
      </c>
      <c r="AI127" s="542">
        <v>997547</v>
      </c>
      <c r="AJ127" s="542">
        <v>82439</v>
      </c>
      <c r="AK127" s="542">
        <v>0</v>
      </c>
      <c r="AL127" s="542">
        <v>82439</v>
      </c>
      <c r="AM127" s="542">
        <v>-4403752</v>
      </c>
      <c r="AN127" s="542">
        <v>0</v>
      </c>
      <c r="AO127" s="542">
        <v>-4403752</v>
      </c>
      <c r="AP127" s="542">
        <v>35968</v>
      </c>
      <c r="AQ127" s="542">
        <v>0</v>
      </c>
      <c r="AR127" s="542">
        <v>35968</v>
      </c>
      <c r="AS127" s="542">
        <v>-180262</v>
      </c>
      <c r="AT127" s="542">
        <v>0</v>
      </c>
      <c r="AU127" s="542">
        <v>-180262</v>
      </c>
      <c r="AV127" s="542">
        <v>-13536</v>
      </c>
      <c r="AW127" s="542">
        <v>0</v>
      </c>
      <c r="AX127" s="542">
        <v>-13536</v>
      </c>
      <c r="AY127" s="542">
        <v>0</v>
      </c>
      <c r="AZ127" s="542">
        <v>0</v>
      </c>
      <c r="BA127" s="542">
        <v>0</v>
      </c>
      <c r="BB127" s="542">
        <v>0</v>
      </c>
      <c r="BC127" s="542">
        <v>0</v>
      </c>
      <c r="BD127" s="542">
        <v>0</v>
      </c>
      <c r="BE127" s="542">
        <v>-6552813</v>
      </c>
      <c r="BF127" s="542">
        <v>0</v>
      </c>
      <c r="BG127" s="542">
        <v>-6552813</v>
      </c>
      <c r="BH127" s="542">
        <v>0</v>
      </c>
      <c r="BI127" s="542">
        <v>0</v>
      </c>
      <c r="BJ127" s="542">
        <v>0</v>
      </c>
      <c r="BK127" s="542">
        <v>33069</v>
      </c>
      <c r="BL127" s="542">
        <v>0</v>
      </c>
      <c r="BM127" s="542">
        <v>33069</v>
      </c>
      <c r="BN127" s="542">
        <v>-1650775</v>
      </c>
      <c r="BO127" s="542">
        <v>0</v>
      </c>
      <c r="BP127" s="542">
        <v>-1650775</v>
      </c>
      <c r="BQ127" s="542">
        <v>-216191</v>
      </c>
      <c r="BR127" s="542">
        <v>0</v>
      </c>
      <c r="BS127" s="542">
        <v>-216191</v>
      </c>
      <c r="BT127" s="542">
        <v>-1833897</v>
      </c>
      <c r="BU127" s="542">
        <v>0</v>
      </c>
      <c r="BV127" s="542">
        <v>-1833897</v>
      </c>
      <c r="BW127" s="542">
        <v>-44780</v>
      </c>
      <c r="BX127" s="542">
        <v>0</v>
      </c>
      <c r="BY127" s="542">
        <v>-44780</v>
      </c>
      <c r="BZ127" s="542">
        <v>-120</v>
      </c>
      <c r="CA127" s="542">
        <v>0</v>
      </c>
      <c r="CB127" s="542">
        <v>-120</v>
      </c>
      <c r="CC127" s="542">
        <v>-16556</v>
      </c>
      <c r="CD127" s="542">
        <v>0</v>
      </c>
      <c r="CE127" s="542">
        <v>-16556</v>
      </c>
      <c r="CF127" s="542">
        <v>2414</v>
      </c>
      <c r="CG127" s="542">
        <v>0</v>
      </c>
      <c r="CH127" s="542">
        <v>2414</v>
      </c>
      <c r="CI127" s="542">
        <v>0</v>
      </c>
      <c r="CJ127" s="542">
        <v>0</v>
      </c>
      <c r="CK127" s="542">
        <v>0</v>
      </c>
      <c r="CL127" s="542">
        <v>0</v>
      </c>
      <c r="CM127" s="542">
        <v>0</v>
      </c>
      <c r="CN127" s="542">
        <v>0</v>
      </c>
      <c r="CO127" s="542">
        <v>0</v>
      </c>
      <c r="CP127" s="542">
        <v>0</v>
      </c>
      <c r="CQ127" s="542">
        <v>0</v>
      </c>
      <c r="CR127" s="542">
        <v>0</v>
      </c>
      <c r="CS127" s="542">
        <v>0</v>
      </c>
      <c r="CT127" s="542">
        <v>0</v>
      </c>
      <c r="CU127" s="542">
        <v>0</v>
      </c>
      <c r="CV127" s="542">
        <v>0</v>
      </c>
      <c r="CW127" s="542">
        <v>0</v>
      </c>
      <c r="CX127" s="542">
        <v>0</v>
      </c>
      <c r="CY127" s="542">
        <v>0</v>
      </c>
      <c r="CZ127" s="542">
        <v>0</v>
      </c>
      <c r="DA127" s="542">
        <v>0</v>
      </c>
      <c r="DB127" s="542">
        <v>0</v>
      </c>
      <c r="DC127" s="542">
        <v>0</v>
      </c>
      <c r="DD127" s="542">
        <v>0</v>
      </c>
      <c r="DE127" s="542">
        <v>0</v>
      </c>
      <c r="DF127" s="542">
        <v>0</v>
      </c>
      <c r="DG127" s="542"/>
      <c r="DH127" s="542">
        <v>0</v>
      </c>
      <c r="DI127" s="542"/>
      <c r="DJ127" s="542">
        <v>0</v>
      </c>
      <c r="DK127" s="542"/>
      <c r="DL127" s="542"/>
      <c r="DM127" s="542">
        <v>-59042</v>
      </c>
      <c r="DN127" s="542">
        <v>0</v>
      </c>
      <c r="DO127" s="542">
        <v>-59042</v>
      </c>
      <c r="DP127" s="542">
        <v>0</v>
      </c>
      <c r="DQ127" s="542">
        <v>0</v>
      </c>
      <c r="DR127" s="542">
        <v>0</v>
      </c>
      <c r="DS127" s="542">
        <v>0</v>
      </c>
      <c r="DT127" s="542">
        <v>0</v>
      </c>
      <c r="DU127" s="542">
        <v>0</v>
      </c>
      <c r="DV127" s="542">
        <v>-7782</v>
      </c>
      <c r="DW127" s="542">
        <v>0</v>
      </c>
      <c r="DX127" s="542">
        <v>-7782</v>
      </c>
      <c r="DY127" s="542">
        <v>-874735</v>
      </c>
      <c r="DZ127" s="542">
        <v>0</v>
      </c>
      <c r="EA127" s="542">
        <v>-874735</v>
      </c>
      <c r="EB127" s="542">
        <v>0</v>
      </c>
      <c r="EC127" s="542">
        <v>0</v>
      </c>
      <c r="ED127" s="542">
        <v>0</v>
      </c>
      <c r="EE127" s="542">
        <v>0</v>
      </c>
      <c r="EF127" s="542">
        <v>0</v>
      </c>
      <c r="EG127" s="542">
        <v>0</v>
      </c>
      <c r="EH127" s="542">
        <v>-882517</v>
      </c>
      <c r="EI127" s="542">
        <v>0</v>
      </c>
      <c r="EJ127" s="542">
        <v>-882517</v>
      </c>
      <c r="EK127" s="542">
        <v>0</v>
      </c>
      <c r="EL127" s="542">
        <v>0</v>
      </c>
      <c r="EM127" s="542">
        <v>0</v>
      </c>
      <c r="EN127" s="542">
        <v>0</v>
      </c>
      <c r="EO127" s="542">
        <v>0</v>
      </c>
      <c r="EP127" s="542">
        <v>0</v>
      </c>
      <c r="EQ127" s="542">
        <v>0</v>
      </c>
      <c r="ER127" s="542">
        <v>0</v>
      </c>
      <c r="ES127" s="542">
        <v>0</v>
      </c>
      <c r="ET127" s="542">
        <v>58112231</v>
      </c>
      <c r="EU127" s="542">
        <v>0</v>
      </c>
      <c r="EV127" s="542">
        <v>58112231</v>
      </c>
      <c r="EW127" s="542">
        <v>291416</v>
      </c>
      <c r="EX127" s="542">
        <v>0</v>
      </c>
      <c r="EY127" s="542">
        <v>291416</v>
      </c>
      <c r="EZ127" s="542">
        <v>-6552813</v>
      </c>
      <c r="FA127" s="542">
        <v>0</v>
      </c>
      <c r="FB127" s="542">
        <v>-6552813</v>
      </c>
      <c r="FC127" s="542">
        <v>-1833897</v>
      </c>
      <c r="FD127" s="542">
        <v>0</v>
      </c>
      <c r="FE127" s="542">
        <v>-1833897</v>
      </c>
      <c r="FF127" s="542">
        <v>-59042</v>
      </c>
      <c r="FG127" s="542">
        <v>0</v>
      </c>
      <c r="FH127" s="542">
        <v>-59042</v>
      </c>
      <c r="FI127" s="542">
        <v>-882517</v>
      </c>
      <c r="FJ127" s="542">
        <v>0</v>
      </c>
      <c r="FK127" s="542">
        <v>-882517</v>
      </c>
      <c r="FL127" s="542">
        <v>0</v>
      </c>
      <c r="FM127" s="542">
        <v>0</v>
      </c>
      <c r="FN127" s="542">
        <v>0</v>
      </c>
      <c r="FO127" s="542">
        <v>-9036853</v>
      </c>
      <c r="FP127" s="542">
        <v>0</v>
      </c>
      <c r="FQ127" s="542">
        <v>-9036853</v>
      </c>
      <c r="FR127" s="542">
        <v>49075378</v>
      </c>
      <c r="FS127" s="542">
        <v>0</v>
      </c>
      <c r="FT127" s="542">
        <v>49075378</v>
      </c>
    </row>
    <row r="128" spans="1:176" ht="12.75" x14ac:dyDescent="0.2">
      <c r="A128" s="93">
        <v>123</v>
      </c>
      <c r="B128" s="145" t="s">
        <v>124</v>
      </c>
      <c r="C128" s="604" t="s">
        <v>866</v>
      </c>
      <c r="D128" s="142" t="s">
        <v>867</v>
      </c>
      <c r="E128" s="149" t="s">
        <v>123</v>
      </c>
      <c r="F128" s="542">
        <v>-30540</v>
      </c>
      <c r="G128" s="542">
        <v>0</v>
      </c>
      <c r="H128" s="542">
        <v>-30540</v>
      </c>
      <c r="I128" s="542">
        <v>-51719.08</v>
      </c>
      <c r="J128" s="542">
        <v>0</v>
      </c>
      <c r="K128" s="542">
        <v>-51719.08</v>
      </c>
      <c r="L128" s="542">
        <v>2645.89</v>
      </c>
      <c r="M128" s="542">
        <v>0</v>
      </c>
      <c r="N128" s="542">
        <v>2645.89</v>
      </c>
      <c r="O128" s="542">
        <v>60823.68</v>
      </c>
      <c r="P128" s="542">
        <v>0</v>
      </c>
      <c r="Q128" s="542">
        <v>60823.68</v>
      </c>
      <c r="R128" s="542">
        <v>-18790</v>
      </c>
      <c r="S128" s="542">
        <v>0</v>
      </c>
      <c r="T128" s="542">
        <v>-18790</v>
      </c>
      <c r="U128" s="542">
        <v>-1052807</v>
      </c>
      <c r="V128" s="542">
        <v>0</v>
      </c>
      <c r="W128" s="542">
        <v>-1052807</v>
      </c>
      <c r="X128" s="542">
        <v>0</v>
      </c>
      <c r="Y128" s="542">
        <v>0</v>
      </c>
      <c r="Z128" s="542">
        <v>0</v>
      </c>
      <c r="AA128" s="542">
        <v>-57582.64</v>
      </c>
      <c r="AB128" s="542">
        <v>0</v>
      </c>
      <c r="AC128" s="542">
        <v>-57582.64</v>
      </c>
      <c r="AD128" s="542">
        <v>0</v>
      </c>
      <c r="AE128" s="542">
        <v>0</v>
      </c>
      <c r="AF128" s="542">
        <v>0</v>
      </c>
      <c r="AG128" s="542">
        <v>690569</v>
      </c>
      <c r="AH128" s="542">
        <v>0</v>
      </c>
      <c r="AI128" s="542">
        <v>690569</v>
      </c>
      <c r="AJ128" s="542">
        <v>-8128</v>
      </c>
      <c r="AK128" s="542">
        <v>0</v>
      </c>
      <c r="AL128" s="542">
        <v>-8128</v>
      </c>
      <c r="AM128" s="542">
        <v>-1273326.5</v>
      </c>
      <c r="AN128" s="542">
        <v>0</v>
      </c>
      <c r="AO128" s="542">
        <v>-1273326.5</v>
      </c>
      <c r="AP128" s="542">
        <v>36371.39</v>
      </c>
      <c r="AQ128" s="542">
        <v>0</v>
      </c>
      <c r="AR128" s="542">
        <v>36371.39</v>
      </c>
      <c r="AS128" s="542">
        <v>-35301.68</v>
      </c>
      <c r="AT128" s="542">
        <v>0</v>
      </c>
      <c r="AU128" s="542">
        <v>-35301.68</v>
      </c>
      <c r="AV128" s="542">
        <v>0</v>
      </c>
      <c r="AW128" s="542">
        <v>0</v>
      </c>
      <c r="AX128" s="542">
        <v>0</v>
      </c>
      <c r="AY128" s="542">
        <v>-2807.65</v>
      </c>
      <c r="AZ128" s="542">
        <v>0</v>
      </c>
      <c r="BA128" s="542">
        <v>-2807.65</v>
      </c>
      <c r="BB128" s="542">
        <v>0</v>
      </c>
      <c r="BC128" s="542">
        <v>0</v>
      </c>
      <c r="BD128" s="542">
        <v>0</v>
      </c>
      <c r="BE128" s="542">
        <v>-1703013</v>
      </c>
      <c r="BF128" s="542">
        <v>0</v>
      </c>
      <c r="BG128" s="542">
        <v>-1703013</v>
      </c>
      <c r="BH128" s="542">
        <v>-50172.88</v>
      </c>
      <c r="BI128" s="542">
        <v>0</v>
      </c>
      <c r="BJ128" s="542">
        <v>-50172.88</v>
      </c>
      <c r="BK128" s="542">
        <v>-18872.990000000002</v>
      </c>
      <c r="BL128" s="542">
        <v>0</v>
      </c>
      <c r="BM128" s="542">
        <v>-18872.990000000002</v>
      </c>
      <c r="BN128" s="542">
        <v>-2471069.9</v>
      </c>
      <c r="BO128" s="542">
        <v>0</v>
      </c>
      <c r="BP128" s="542">
        <v>-2471069.9</v>
      </c>
      <c r="BQ128" s="542">
        <v>-159556</v>
      </c>
      <c r="BR128" s="542">
        <v>0</v>
      </c>
      <c r="BS128" s="542">
        <v>-159556</v>
      </c>
      <c r="BT128" s="542">
        <v>-2699672</v>
      </c>
      <c r="BU128" s="542">
        <v>0</v>
      </c>
      <c r="BV128" s="542">
        <v>-2699672</v>
      </c>
      <c r="BW128" s="542">
        <v>-56523.46</v>
      </c>
      <c r="BX128" s="542">
        <v>0</v>
      </c>
      <c r="BY128" s="542">
        <v>-56523.46</v>
      </c>
      <c r="BZ128" s="542">
        <v>43.72</v>
      </c>
      <c r="CA128" s="542">
        <v>0</v>
      </c>
      <c r="CB128" s="542">
        <v>43.72</v>
      </c>
      <c r="CC128" s="542">
        <v>-22001.59</v>
      </c>
      <c r="CD128" s="542">
        <v>0</v>
      </c>
      <c r="CE128" s="542">
        <v>-22001.59</v>
      </c>
      <c r="CF128" s="542">
        <v>0</v>
      </c>
      <c r="CG128" s="542">
        <v>0</v>
      </c>
      <c r="CH128" s="542">
        <v>0</v>
      </c>
      <c r="CI128" s="542">
        <v>0</v>
      </c>
      <c r="CJ128" s="542">
        <v>0</v>
      </c>
      <c r="CK128" s="542">
        <v>0</v>
      </c>
      <c r="CL128" s="542">
        <v>0</v>
      </c>
      <c r="CM128" s="542">
        <v>0</v>
      </c>
      <c r="CN128" s="542">
        <v>0</v>
      </c>
      <c r="CO128" s="542">
        <v>-2807.65</v>
      </c>
      <c r="CP128" s="542">
        <v>0</v>
      </c>
      <c r="CQ128" s="542">
        <v>-2807.65</v>
      </c>
      <c r="CR128" s="542">
        <v>0</v>
      </c>
      <c r="CS128" s="542">
        <v>0</v>
      </c>
      <c r="CT128" s="542">
        <v>0</v>
      </c>
      <c r="CU128" s="542">
        <v>0</v>
      </c>
      <c r="CV128" s="542">
        <v>0</v>
      </c>
      <c r="CW128" s="542">
        <v>0</v>
      </c>
      <c r="CX128" s="542">
        <v>0</v>
      </c>
      <c r="CY128" s="542">
        <v>0</v>
      </c>
      <c r="CZ128" s="542">
        <v>0</v>
      </c>
      <c r="DA128" s="542">
        <v>0</v>
      </c>
      <c r="DB128" s="542">
        <v>0</v>
      </c>
      <c r="DC128" s="542">
        <v>0</v>
      </c>
      <c r="DD128" s="542">
        <v>0</v>
      </c>
      <c r="DE128" s="542">
        <v>0</v>
      </c>
      <c r="DF128" s="542">
        <v>0</v>
      </c>
      <c r="DG128" s="542"/>
      <c r="DH128" s="542">
        <v>0</v>
      </c>
      <c r="DI128" s="542"/>
      <c r="DJ128" s="542">
        <v>0</v>
      </c>
      <c r="DK128" s="542"/>
      <c r="DL128" s="542"/>
      <c r="DM128" s="542">
        <v>-81289</v>
      </c>
      <c r="DN128" s="542">
        <v>0</v>
      </c>
      <c r="DO128" s="542">
        <v>-81289</v>
      </c>
      <c r="DP128" s="542">
        <v>0</v>
      </c>
      <c r="DQ128" s="542">
        <v>0</v>
      </c>
      <c r="DR128" s="542">
        <v>0</v>
      </c>
      <c r="DS128" s="542">
        <v>0</v>
      </c>
      <c r="DT128" s="542">
        <v>0</v>
      </c>
      <c r="DU128" s="542">
        <v>0</v>
      </c>
      <c r="DV128" s="542">
        <v>0</v>
      </c>
      <c r="DW128" s="542">
        <v>0</v>
      </c>
      <c r="DX128" s="542">
        <v>0</v>
      </c>
      <c r="DY128" s="542">
        <v>-306950.78000000003</v>
      </c>
      <c r="DZ128" s="542">
        <v>0</v>
      </c>
      <c r="EA128" s="542">
        <v>-306950.78000000003</v>
      </c>
      <c r="EB128" s="542">
        <v>0</v>
      </c>
      <c r="EC128" s="542">
        <v>0</v>
      </c>
      <c r="ED128" s="542">
        <v>0</v>
      </c>
      <c r="EE128" s="542">
        <v>0</v>
      </c>
      <c r="EF128" s="542">
        <v>0</v>
      </c>
      <c r="EG128" s="542">
        <v>0</v>
      </c>
      <c r="EH128" s="542">
        <v>-306951</v>
      </c>
      <c r="EI128" s="542">
        <v>0</v>
      </c>
      <c r="EJ128" s="542">
        <v>-306951</v>
      </c>
      <c r="EK128" s="542">
        <v>0</v>
      </c>
      <c r="EL128" s="542">
        <v>0</v>
      </c>
      <c r="EM128" s="542">
        <v>0</v>
      </c>
      <c r="EN128" s="542">
        <v>0</v>
      </c>
      <c r="EO128" s="542">
        <v>0</v>
      </c>
      <c r="EP128" s="542">
        <v>0</v>
      </c>
      <c r="EQ128" s="542">
        <v>0</v>
      </c>
      <c r="ER128" s="542">
        <v>0</v>
      </c>
      <c r="ES128" s="542">
        <v>0</v>
      </c>
      <c r="ET128" s="542">
        <v>33445463</v>
      </c>
      <c r="EU128" s="542">
        <v>0</v>
      </c>
      <c r="EV128" s="542">
        <v>33445463</v>
      </c>
      <c r="EW128" s="542">
        <v>-18790</v>
      </c>
      <c r="EX128" s="542">
        <v>0</v>
      </c>
      <c r="EY128" s="542">
        <v>-18790</v>
      </c>
      <c r="EZ128" s="542">
        <v>-1703013</v>
      </c>
      <c r="FA128" s="542">
        <v>0</v>
      </c>
      <c r="FB128" s="542">
        <v>-1703013</v>
      </c>
      <c r="FC128" s="542">
        <v>-2699672</v>
      </c>
      <c r="FD128" s="542">
        <v>0</v>
      </c>
      <c r="FE128" s="542">
        <v>-2699672</v>
      </c>
      <c r="FF128" s="542">
        <v>-81289</v>
      </c>
      <c r="FG128" s="542">
        <v>0</v>
      </c>
      <c r="FH128" s="542">
        <v>-81289</v>
      </c>
      <c r="FI128" s="542">
        <v>-306951</v>
      </c>
      <c r="FJ128" s="542">
        <v>0</v>
      </c>
      <c r="FK128" s="542">
        <v>-306951</v>
      </c>
      <c r="FL128" s="542">
        <v>0</v>
      </c>
      <c r="FM128" s="542">
        <v>0</v>
      </c>
      <c r="FN128" s="542">
        <v>0</v>
      </c>
      <c r="FO128" s="542">
        <v>-4809715</v>
      </c>
      <c r="FP128" s="542">
        <v>0</v>
      </c>
      <c r="FQ128" s="542">
        <v>-4809715</v>
      </c>
      <c r="FR128" s="542">
        <v>28635748</v>
      </c>
      <c r="FS128" s="542">
        <v>0</v>
      </c>
      <c r="FT128" s="542">
        <v>28635748</v>
      </c>
    </row>
    <row r="129" spans="1:176" ht="12.75" x14ac:dyDescent="0.2">
      <c r="A129" s="93">
        <v>124</v>
      </c>
      <c r="B129" s="145" t="s">
        <v>126</v>
      </c>
      <c r="C129" s="604" t="s">
        <v>770</v>
      </c>
      <c r="D129" s="142" t="s">
        <v>878</v>
      </c>
      <c r="E129" s="149" t="s">
        <v>699</v>
      </c>
      <c r="F129" s="542">
        <v>-8142749</v>
      </c>
      <c r="G129" s="542">
        <v>0</v>
      </c>
      <c r="H129" s="542">
        <v>-8142749</v>
      </c>
      <c r="I129" s="542">
        <v>50072</v>
      </c>
      <c r="J129" s="542">
        <v>0</v>
      </c>
      <c r="K129" s="542">
        <v>50072</v>
      </c>
      <c r="L129" s="542">
        <v>12962</v>
      </c>
      <c r="M129" s="542">
        <v>0</v>
      </c>
      <c r="N129" s="542">
        <v>12962</v>
      </c>
      <c r="O129" s="542">
        <v>82030</v>
      </c>
      <c r="P129" s="542">
        <v>0</v>
      </c>
      <c r="Q129" s="542">
        <v>82030</v>
      </c>
      <c r="R129" s="542">
        <v>-7997685</v>
      </c>
      <c r="S129" s="542">
        <v>0</v>
      </c>
      <c r="T129" s="542">
        <v>-7997685</v>
      </c>
      <c r="U129" s="542">
        <v>-1931239</v>
      </c>
      <c r="V129" s="542">
        <v>0</v>
      </c>
      <c r="W129" s="542">
        <v>-1931239</v>
      </c>
      <c r="X129" s="542">
        <v>0</v>
      </c>
      <c r="Y129" s="542">
        <v>0</v>
      </c>
      <c r="Z129" s="542">
        <v>0</v>
      </c>
      <c r="AA129" s="542">
        <v>-47369</v>
      </c>
      <c r="AB129" s="542">
        <v>0</v>
      </c>
      <c r="AC129" s="542">
        <v>-47369</v>
      </c>
      <c r="AD129" s="542">
        <v>-28828</v>
      </c>
      <c r="AE129" s="542">
        <v>0</v>
      </c>
      <c r="AF129" s="542">
        <v>-28828</v>
      </c>
      <c r="AG129" s="542">
        <v>966908</v>
      </c>
      <c r="AH129" s="542">
        <v>1786</v>
      </c>
      <c r="AI129" s="542">
        <v>968694</v>
      </c>
      <c r="AJ129" s="542">
        <v>6430</v>
      </c>
      <c r="AK129" s="542">
        <v>0</v>
      </c>
      <c r="AL129" s="542">
        <v>6430</v>
      </c>
      <c r="AM129" s="542">
        <v>-1925020</v>
      </c>
      <c r="AN129" s="542">
        <v>0</v>
      </c>
      <c r="AO129" s="542">
        <v>-1925020</v>
      </c>
      <c r="AP129" s="542">
        <v>55879</v>
      </c>
      <c r="AQ129" s="542">
        <v>0</v>
      </c>
      <c r="AR129" s="542">
        <v>55879</v>
      </c>
      <c r="AS129" s="542">
        <v>-48499</v>
      </c>
      <c r="AT129" s="542">
        <v>0</v>
      </c>
      <c r="AU129" s="542">
        <v>-48499</v>
      </c>
      <c r="AV129" s="542">
        <v>0</v>
      </c>
      <c r="AW129" s="542">
        <v>0</v>
      </c>
      <c r="AX129" s="542">
        <v>0</v>
      </c>
      <c r="AY129" s="542">
        <v>0</v>
      </c>
      <c r="AZ129" s="542">
        <v>0</v>
      </c>
      <c r="BA129" s="542">
        <v>0</v>
      </c>
      <c r="BB129" s="542">
        <v>0</v>
      </c>
      <c r="BC129" s="542">
        <v>0</v>
      </c>
      <c r="BD129" s="542">
        <v>0</v>
      </c>
      <c r="BE129" s="542">
        <v>-2922910</v>
      </c>
      <c r="BF129" s="542">
        <v>1786</v>
      </c>
      <c r="BG129" s="542">
        <v>-2921124</v>
      </c>
      <c r="BH129" s="542">
        <v>-65732</v>
      </c>
      <c r="BI129" s="542">
        <v>0</v>
      </c>
      <c r="BJ129" s="542">
        <v>-65732</v>
      </c>
      <c r="BK129" s="542">
        <v>-12595</v>
      </c>
      <c r="BL129" s="542">
        <v>0</v>
      </c>
      <c r="BM129" s="542">
        <v>-12595</v>
      </c>
      <c r="BN129" s="542">
        <v>-1324426</v>
      </c>
      <c r="BO129" s="542">
        <v>0</v>
      </c>
      <c r="BP129" s="542">
        <v>-1324426</v>
      </c>
      <c r="BQ129" s="542">
        <v>31447</v>
      </c>
      <c r="BR129" s="542">
        <v>0</v>
      </c>
      <c r="BS129" s="542">
        <v>31447</v>
      </c>
      <c r="BT129" s="542">
        <v>-1371306</v>
      </c>
      <c r="BU129" s="542">
        <v>0</v>
      </c>
      <c r="BV129" s="542">
        <v>-1371306</v>
      </c>
      <c r="BW129" s="542">
        <v>-127126</v>
      </c>
      <c r="BX129" s="542">
        <v>0</v>
      </c>
      <c r="BY129" s="542">
        <v>-127126</v>
      </c>
      <c r="BZ129" s="542">
        <v>7442</v>
      </c>
      <c r="CA129" s="542">
        <v>0</v>
      </c>
      <c r="CB129" s="542">
        <v>7442</v>
      </c>
      <c r="CC129" s="542">
        <v>-38894</v>
      </c>
      <c r="CD129" s="542">
        <v>0</v>
      </c>
      <c r="CE129" s="542">
        <v>-38894</v>
      </c>
      <c r="CF129" s="542">
        <v>0</v>
      </c>
      <c r="CG129" s="542">
        <v>0</v>
      </c>
      <c r="CH129" s="542">
        <v>0</v>
      </c>
      <c r="CI129" s="542">
        <v>-2964</v>
      </c>
      <c r="CJ129" s="542">
        <v>0</v>
      </c>
      <c r="CK129" s="542">
        <v>-2964</v>
      </c>
      <c r="CL129" s="542">
        <v>0</v>
      </c>
      <c r="CM129" s="542">
        <v>0</v>
      </c>
      <c r="CN129" s="542">
        <v>0</v>
      </c>
      <c r="CO129" s="542">
        <v>0</v>
      </c>
      <c r="CP129" s="542">
        <v>0</v>
      </c>
      <c r="CQ129" s="542">
        <v>0</v>
      </c>
      <c r="CR129" s="542">
        <v>0</v>
      </c>
      <c r="CS129" s="542">
        <v>0</v>
      </c>
      <c r="CT129" s="542">
        <v>0</v>
      </c>
      <c r="CU129" s="542">
        <v>0</v>
      </c>
      <c r="CV129" s="542">
        <v>0</v>
      </c>
      <c r="CW129" s="542">
        <v>0</v>
      </c>
      <c r="CX129" s="542">
        <v>0</v>
      </c>
      <c r="CY129" s="542">
        <v>0</v>
      </c>
      <c r="CZ129" s="542">
        <v>0</v>
      </c>
      <c r="DA129" s="542">
        <v>0</v>
      </c>
      <c r="DB129" s="542">
        <v>-82729</v>
      </c>
      <c r="DC129" s="542">
        <v>-82729</v>
      </c>
      <c r="DD129" s="542">
        <v>0</v>
      </c>
      <c r="DE129" s="542">
        <v>0</v>
      </c>
      <c r="DF129" s="542">
        <v>0</v>
      </c>
      <c r="DG129" s="542"/>
      <c r="DH129" s="542">
        <v>-82729</v>
      </c>
      <c r="DI129" s="542"/>
      <c r="DJ129" s="542">
        <v>0</v>
      </c>
      <c r="DK129" s="542"/>
      <c r="DL129" s="542"/>
      <c r="DM129" s="542">
        <v>-161542</v>
      </c>
      <c r="DN129" s="542">
        <v>-82729</v>
      </c>
      <c r="DO129" s="542">
        <v>-244271</v>
      </c>
      <c r="DP129" s="542">
        <v>0</v>
      </c>
      <c r="DQ129" s="542">
        <v>0</v>
      </c>
      <c r="DR129" s="542">
        <v>0</v>
      </c>
      <c r="DS129" s="542">
        <v>0</v>
      </c>
      <c r="DT129" s="542">
        <v>0</v>
      </c>
      <c r="DU129" s="542">
        <v>0</v>
      </c>
      <c r="DV129" s="542">
        <v>0</v>
      </c>
      <c r="DW129" s="542">
        <v>0</v>
      </c>
      <c r="DX129" s="542">
        <v>0</v>
      </c>
      <c r="DY129" s="542">
        <v>-256183</v>
      </c>
      <c r="DZ129" s="542">
        <v>0</v>
      </c>
      <c r="EA129" s="542">
        <v>-256183</v>
      </c>
      <c r="EB129" s="542">
        <v>0</v>
      </c>
      <c r="EC129" s="542">
        <v>0</v>
      </c>
      <c r="ED129" s="542">
        <v>0</v>
      </c>
      <c r="EE129" s="542">
        <v>0</v>
      </c>
      <c r="EF129" s="542">
        <v>0</v>
      </c>
      <c r="EG129" s="542">
        <v>0</v>
      </c>
      <c r="EH129" s="542">
        <v>-256183</v>
      </c>
      <c r="EI129" s="542">
        <v>0</v>
      </c>
      <c r="EJ129" s="542">
        <v>-256183</v>
      </c>
      <c r="EK129" s="542">
        <v>0</v>
      </c>
      <c r="EL129" s="542">
        <v>0</v>
      </c>
      <c r="EM129" s="542">
        <v>0</v>
      </c>
      <c r="EN129" s="542">
        <v>0</v>
      </c>
      <c r="EO129" s="542">
        <v>0</v>
      </c>
      <c r="EP129" s="542">
        <v>0</v>
      </c>
      <c r="EQ129" s="542">
        <v>0</v>
      </c>
      <c r="ER129" s="542">
        <v>0</v>
      </c>
      <c r="ES129" s="542">
        <v>0</v>
      </c>
      <c r="ET129" s="542">
        <v>45580163</v>
      </c>
      <c r="EU129" s="542">
        <v>80943</v>
      </c>
      <c r="EV129" s="542">
        <v>45661106</v>
      </c>
      <c r="EW129" s="542">
        <v>-7997685</v>
      </c>
      <c r="EX129" s="542">
        <v>0</v>
      </c>
      <c r="EY129" s="542">
        <v>-7997685</v>
      </c>
      <c r="EZ129" s="542">
        <v>-2922910</v>
      </c>
      <c r="FA129" s="542">
        <v>1786</v>
      </c>
      <c r="FB129" s="542">
        <v>-2921124</v>
      </c>
      <c r="FC129" s="542">
        <v>-1371306</v>
      </c>
      <c r="FD129" s="542">
        <v>0</v>
      </c>
      <c r="FE129" s="542">
        <v>-1371306</v>
      </c>
      <c r="FF129" s="542">
        <v>-161542</v>
      </c>
      <c r="FG129" s="542">
        <v>-82729</v>
      </c>
      <c r="FH129" s="542">
        <v>-244271</v>
      </c>
      <c r="FI129" s="542">
        <v>-256183</v>
      </c>
      <c r="FJ129" s="542">
        <v>0</v>
      </c>
      <c r="FK129" s="542">
        <v>-256183</v>
      </c>
      <c r="FL129" s="542">
        <v>0</v>
      </c>
      <c r="FM129" s="542">
        <v>0</v>
      </c>
      <c r="FN129" s="542">
        <v>0</v>
      </c>
      <c r="FO129" s="542">
        <v>-12709626</v>
      </c>
      <c r="FP129" s="542">
        <v>-80943</v>
      </c>
      <c r="FQ129" s="542">
        <v>-12790569</v>
      </c>
      <c r="FR129" s="542">
        <v>32870537</v>
      </c>
      <c r="FS129" s="542">
        <v>0</v>
      </c>
      <c r="FT129" s="542">
        <v>32870537</v>
      </c>
    </row>
    <row r="130" spans="1:176" ht="12.75" x14ac:dyDescent="0.2">
      <c r="A130" s="93">
        <v>125</v>
      </c>
      <c r="B130" s="145" t="s">
        <v>128</v>
      </c>
      <c r="C130" s="604" t="s">
        <v>866</v>
      </c>
      <c r="D130" s="142" t="s">
        <v>867</v>
      </c>
      <c r="E130" s="149" t="s">
        <v>127</v>
      </c>
      <c r="F130" s="542">
        <v>-55787</v>
      </c>
      <c r="G130" s="542">
        <v>0</v>
      </c>
      <c r="H130" s="542">
        <v>-55787</v>
      </c>
      <c r="I130" s="542">
        <v>178288</v>
      </c>
      <c r="J130" s="542">
        <v>0</v>
      </c>
      <c r="K130" s="542">
        <v>178288</v>
      </c>
      <c r="L130" s="542">
        <v>38030</v>
      </c>
      <c r="M130" s="542">
        <v>0</v>
      </c>
      <c r="N130" s="542">
        <v>38030</v>
      </c>
      <c r="O130" s="542">
        <v>0</v>
      </c>
      <c r="P130" s="542">
        <v>0</v>
      </c>
      <c r="Q130" s="542">
        <v>0</v>
      </c>
      <c r="R130" s="542">
        <v>160531</v>
      </c>
      <c r="S130" s="542">
        <v>0</v>
      </c>
      <c r="T130" s="542">
        <v>160531</v>
      </c>
      <c r="U130" s="542">
        <v>-2350095</v>
      </c>
      <c r="V130" s="542">
        <v>0</v>
      </c>
      <c r="W130" s="542">
        <v>-2350095</v>
      </c>
      <c r="X130" s="542">
        <v>0</v>
      </c>
      <c r="Y130" s="542">
        <v>0</v>
      </c>
      <c r="Z130" s="542">
        <v>0</v>
      </c>
      <c r="AA130" s="542">
        <v>-53104</v>
      </c>
      <c r="AB130" s="542">
        <v>0</v>
      </c>
      <c r="AC130" s="542">
        <v>-53104</v>
      </c>
      <c r="AD130" s="542">
        <v>-30268</v>
      </c>
      <c r="AE130" s="542">
        <v>0</v>
      </c>
      <c r="AF130" s="542">
        <v>-30268</v>
      </c>
      <c r="AG130" s="542">
        <v>502792</v>
      </c>
      <c r="AH130" s="542">
        <v>0</v>
      </c>
      <c r="AI130" s="542">
        <v>502792</v>
      </c>
      <c r="AJ130" s="542">
        <v>66245</v>
      </c>
      <c r="AK130" s="542">
        <v>0</v>
      </c>
      <c r="AL130" s="542">
        <v>66245</v>
      </c>
      <c r="AM130" s="542">
        <v>-2297221</v>
      </c>
      <c r="AN130" s="542">
        <v>0</v>
      </c>
      <c r="AO130" s="542">
        <v>-2297221</v>
      </c>
      <c r="AP130" s="542">
        <v>-14976</v>
      </c>
      <c r="AQ130" s="542">
        <v>0</v>
      </c>
      <c r="AR130" s="542">
        <v>-14976</v>
      </c>
      <c r="AS130" s="542">
        <v>-34800</v>
      </c>
      <c r="AT130" s="542">
        <v>0</v>
      </c>
      <c r="AU130" s="542">
        <v>-34800</v>
      </c>
      <c r="AV130" s="542">
        <v>678</v>
      </c>
      <c r="AW130" s="542">
        <v>0</v>
      </c>
      <c r="AX130" s="542">
        <v>678</v>
      </c>
      <c r="AY130" s="542">
        <v>0</v>
      </c>
      <c r="AZ130" s="542">
        <v>0</v>
      </c>
      <c r="BA130" s="542">
        <v>0</v>
      </c>
      <c r="BB130" s="542">
        <v>0</v>
      </c>
      <c r="BC130" s="542">
        <v>0</v>
      </c>
      <c r="BD130" s="542">
        <v>0</v>
      </c>
      <c r="BE130" s="542">
        <v>-4180481</v>
      </c>
      <c r="BF130" s="542">
        <v>0</v>
      </c>
      <c r="BG130" s="542">
        <v>-4180481</v>
      </c>
      <c r="BH130" s="542">
        <v>-4955</v>
      </c>
      <c r="BI130" s="542">
        <v>0</v>
      </c>
      <c r="BJ130" s="542">
        <v>-4955</v>
      </c>
      <c r="BK130" s="542">
        <v>0</v>
      </c>
      <c r="BL130" s="542">
        <v>0</v>
      </c>
      <c r="BM130" s="542">
        <v>0</v>
      </c>
      <c r="BN130" s="542">
        <v>-542867</v>
      </c>
      <c r="BO130" s="542">
        <v>0</v>
      </c>
      <c r="BP130" s="542">
        <v>-542867</v>
      </c>
      <c r="BQ130" s="542">
        <v>-14463</v>
      </c>
      <c r="BR130" s="542">
        <v>0</v>
      </c>
      <c r="BS130" s="542">
        <v>-14463</v>
      </c>
      <c r="BT130" s="542">
        <v>-562285</v>
      </c>
      <c r="BU130" s="542">
        <v>0</v>
      </c>
      <c r="BV130" s="542">
        <v>-562285</v>
      </c>
      <c r="BW130" s="542">
        <v>-120670</v>
      </c>
      <c r="BX130" s="542">
        <v>0</v>
      </c>
      <c r="BY130" s="542">
        <v>-120670</v>
      </c>
      <c r="BZ130" s="542">
        <v>-414</v>
      </c>
      <c r="CA130" s="542">
        <v>0</v>
      </c>
      <c r="CB130" s="542">
        <v>-414</v>
      </c>
      <c r="CC130" s="542">
        <v>-153700</v>
      </c>
      <c r="CD130" s="542">
        <v>0</v>
      </c>
      <c r="CE130" s="542">
        <v>-153700</v>
      </c>
      <c r="CF130" s="542">
        <v>-6830</v>
      </c>
      <c r="CG130" s="542">
        <v>0</v>
      </c>
      <c r="CH130" s="542">
        <v>-6830</v>
      </c>
      <c r="CI130" s="542">
        <v>-2302</v>
      </c>
      <c r="CJ130" s="542">
        <v>0</v>
      </c>
      <c r="CK130" s="542">
        <v>-2302</v>
      </c>
      <c r="CL130" s="542">
        <v>0</v>
      </c>
      <c r="CM130" s="542">
        <v>0</v>
      </c>
      <c r="CN130" s="542">
        <v>0</v>
      </c>
      <c r="CO130" s="542">
        <v>0</v>
      </c>
      <c r="CP130" s="542">
        <v>0</v>
      </c>
      <c r="CQ130" s="542">
        <v>0</v>
      </c>
      <c r="CR130" s="542">
        <v>0</v>
      </c>
      <c r="CS130" s="542">
        <v>0</v>
      </c>
      <c r="CT130" s="542">
        <v>0</v>
      </c>
      <c r="CU130" s="542">
        <v>0</v>
      </c>
      <c r="CV130" s="542">
        <v>0</v>
      </c>
      <c r="CW130" s="542">
        <v>0</v>
      </c>
      <c r="CX130" s="542">
        <v>0</v>
      </c>
      <c r="CY130" s="542">
        <v>0</v>
      </c>
      <c r="CZ130" s="542">
        <v>0</v>
      </c>
      <c r="DA130" s="542">
        <v>0</v>
      </c>
      <c r="DB130" s="542">
        <v>0</v>
      </c>
      <c r="DC130" s="542">
        <v>0</v>
      </c>
      <c r="DD130" s="542">
        <v>0</v>
      </c>
      <c r="DE130" s="542">
        <v>0</v>
      </c>
      <c r="DF130" s="542">
        <v>0</v>
      </c>
      <c r="DG130" s="542"/>
      <c r="DH130" s="542">
        <v>0</v>
      </c>
      <c r="DI130" s="542"/>
      <c r="DJ130" s="542">
        <v>0</v>
      </c>
      <c r="DK130" s="542"/>
      <c r="DL130" s="542"/>
      <c r="DM130" s="542">
        <v>-283916</v>
      </c>
      <c r="DN130" s="542">
        <v>0</v>
      </c>
      <c r="DO130" s="542">
        <v>-283916</v>
      </c>
      <c r="DP130" s="542">
        <v>0</v>
      </c>
      <c r="DQ130" s="542">
        <v>0</v>
      </c>
      <c r="DR130" s="542">
        <v>0</v>
      </c>
      <c r="DS130" s="542">
        <v>0</v>
      </c>
      <c r="DT130" s="542">
        <v>0</v>
      </c>
      <c r="DU130" s="542">
        <v>0</v>
      </c>
      <c r="DV130" s="542">
        <v>0</v>
      </c>
      <c r="DW130" s="542">
        <v>0</v>
      </c>
      <c r="DX130" s="542">
        <v>0</v>
      </c>
      <c r="DY130" s="542">
        <v>-345736</v>
      </c>
      <c r="DZ130" s="542">
        <v>0</v>
      </c>
      <c r="EA130" s="542">
        <v>-345736</v>
      </c>
      <c r="EB130" s="542">
        <v>0</v>
      </c>
      <c r="EC130" s="542">
        <v>0</v>
      </c>
      <c r="ED130" s="542">
        <v>0</v>
      </c>
      <c r="EE130" s="542">
        <v>0</v>
      </c>
      <c r="EF130" s="542">
        <v>0</v>
      </c>
      <c r="EG130" s="542">
        <v>0</v>
      </c>
      <c r="EH130" s="542">
        <v>-345736</v>
      </c>
      <c r="EI130" s="542">
        <v>0</v>
      </c>
      <c r="EJ130" s="542">
        <v>-345736</v>
      </c>
      <c r="EK130" s="542">
        <v>0</v>
      </c>
      <c r="EL130" s="542">
        <v>0</v>
      </c>
      <c r="EM130" s="542">
        <v>0</v>
      </c>
      <c r="EN130" s="542">
        <v>0</v>
      </c>
      <c r="EO130" s="542">
        <v>0</v>
      </c>
      <c r="EP130" s="542">
        <v>0</v>
      </c>
      <c r="EQ130" s="542">
        <v>0</v>
      </c>
      <c r="ER130" s="542">
        <v>0</v>
      </c>
      <c r="ES130" s="542">
        <v>0</v>
      </c>
      <c r="ET130" s="542">
        <v>25385355</v>
      </c>
      <c r="EU130" s="542">
        <v>0</v>
      </c>
      <c r="EV130" s="542">
        <v>25385355</v>
      </c>
      <c r="EW130" s="542">
        <v>160531</v>
      </c>
      <c r="EX130" s="542">
        <v>0</v>
      </c>
      <c r="EY130" s="542">
        <v>160531</v>
      </c>
      <c r="EZ130" s="542">
        <v>-4180481</v>
      </c>
      <c r="FA130" s="542">
        <v>0</v>
      </c>
      <c r="FB130" s="542">
        <v>-4180481</v>
      </c>
      <c r="FC130" s="542">
        <v>-562285</v>
      </c>
      <c r="FD130" s="542">
        <v>0</v>
      </c>
      <c r="FE130" s="542">
        <v>-562285</v>
      </c>
      <c r="FF130" s="542">
        <v>-283916</v>
      </c>
      <c r="FG130" s="542">
        <v>0</v>
      </c>
      <c r="FH130" s="542">
        <v>-283916</v>
      </c>
      <c r="FI130" s="542">
        <v>-345736</v>
      </c>
      <c r="FJ130" s="542">
        <v>0</v>
      </c>
      <c r="FK130" s="542">
        <v>-345736</v>
      </c>
      <c r="FL130" s="542">
        <v>0</v>
      </c>
      <c r="FM130" s="542">
        <v>0</v>
      </c>
      <c r="FN130" s="542">
        <v>0</v>
      </c>
      <c r="FO130" s="542">
        <v>-5211887</v>
      </c>
      <c r="FP130" s="542">
        <v>0</v>
      </c>
      <c r="FQ130" s="542">
        <v>-5211887</v>
      </c>
      <c r="FR130" s="542">
        <v>20173468</v>
      </c>
      <c r="FS130" s="542">
        <v>0</v>
      </c>
      <c r="FT130" s="542">
        <v>20173468</v>
      </c>
    </row>
    <row r="131" spans="1:176" ht="12.75" x14ac:dyDescent="0.2">
      <c r="A131" s="93">
        <v>126</v>
      </c>
      <c r="B131" s="145" t="s">
        <v>130</v>
      </c>
      <c r="C131" s="604" t="s">
        <v>866</v>
      </c>
      <c r="D131" s="142" t="s">
        <v>867</v>
      </c>
      <c r="E131" s="149" t="s">
        <v>129</v>
      </c>
      <c r="F131" s="542">
        <v>-32387</v>
      </c>
      <c r="G131" s="542">
        <v>0</v>
      </c>
      <c r="H131" s="542">
        <v>-32387</v>
      </c>
      <c r="I131" s="542">
        <v>198240</v>
      </c>
      <c r="J131" s="542">
        <v>0</v>
      </c>
      <c r="K131" s="542">
        <v>198240</v>
      </c>
      <c r="L131" s="542">
        <v>6781</v>
      </c>
      <c r="M131" s="542">
        <v>0</v>
      </c>
      <c r="N131" s="542">
        <v>6781</v>
      </c>
      <c r="O131" s="542">
        <v>9783</v>
      </c>
      <c r="P131" s="542">
        <v>0</v>
      </c>
      <c r="Q131" s="542">
        <v>9783</v>
      </c>
      <c r="R131" s="542">
        <v>182417</v>
      </c>
      <c r="S131" s="542">
        <v>0</v>
      </c>
      <c r="T131" s="542">
        <v>182417</v>
      </c>
      <c r="U131" s="542">
        <v>-2023788</v>
      </c>
      <c r="V131" s="542">
        <v>0</v>
      </c>
      <c r="W131" s="542">
        <v>-2023788</v>
      </c>
      <c r="X131" s="542">
        <v>-1837</v>
      </c>
      <c r="Y131" s="542">
        <v>0</v>
      </c>
      <c r="Z131" s="542">
        <v>-1837</v>
      </c>
      <c r="AA131" s="542">
        <v>-62631</v>
      </c>
      <c r="AB131" s="542">
        <v>0</v>
      </c>
      <c r="AC131" s="542">
        <v>-62631</v>
      </c>
      <c r="AD131" s="542">
        <v>-23354</v>
      </c>
      <c r="AE131" s="542">
        <v>0</v>
      </c>
      <c r="AF131" s="542">
        <v>-23354</v>
      </c>
      <c r="AG131" s="542">
        <v>735988</v>
      </c>
      <c r="AH131" s="542">
        <v>0</v>
      </c>
      <c r="AI131" s="542">
        <v>735988</v>
      </c>
      <c r="AJ131" s="542">
        <v>779</v>
      </c>
      <c r="AK131" s="542">
        <v>0</v>
      </c>
      <c r="AL131" s="542">
        <v>779</v>
      </c>
      <c r="AM131" s="542">
        <v>-1848044</v>
      </c>
      <c r="AN131" s="542">
        <v>0</v>
      </c>
      <c r="AO131" s="542">
        <v>-1848044</v>
      </c>
      <c r="AP131" s="542">
        <v>1046</v>
      </c>
      <c r="AQ131" s="542">
        <v>0</v>
      </c>
      <c r="AR131" s="542">
        <v>1046</v>
      </c>
      <c r="AS131" s="542">
        <v>-3904</v>
      </c>
      <c r="AT131" s="542">
        <v>0</v>
      </c>
      <c r="AU131" s="542">
        <v>-3904</v>
      </c>
      <c r="AV131" s="542">
        <v>0</v>
      </c>
      <c r="AW131" s="542">
        <v>0</v>
      </c>
      <c r="AX131" s="542">
        <v>0</v>
      </c>
      <c r="AY131" s="542">
        <v>-1928</v>
      </c>
      <c r="AZ131" s="542">
        <v>0</v>
      </c>
      <c r="BA131" s="542">
        <v>-1928</v>
      </c>
      <c r="BB131" s="542">
        <v>0</v>
      </c>
      <c r="BC131" s="542">
        <v>0</v>
      </c>
      <c r="BD131" s="542">
        <v>0</v>
      </c>
      <c r="BE131" s="542">
        <v>-3202482</v>
      </c>
      <c r="BF131" s="542">
        <v>0</v>
      </c>
      <c r="BG131" s="542">
        <v>-3202482</v>
      </c>
      <c r="BH131" s="542">
        <v>-29309</v>
      </c>
      <c r="BI131" s="542">
        <v>0</v>
      </c>
      <c r="BJ131" s="542">
        <v>-29309</v>
      </c>
      <c r="BK131" s="542">
        <v>0</v>
      </c>
      <c r="BL131" s="542">
        <v>0</v>
      </c>
      <c r="BM131" s="542">
        <v>0</v>
      </c>
      <c r="BN131" s="542">
        <v>-679325</v>
      </c>
      <c r="BO131" s="542">
        <v>0</v>
      </c>
      <c r="BP131" s="542">
        <v>-679325</v>
      </c>
      <c r="BQ131" s="542">
        <v>-18614</v>
      </c>
      <c r="BR131" s="542">
        <v>0</v>
      </c>
      <c r="BS131" s="542">
        <v>-18614</v>
      </c>
      <c r="BT131" s="542">
        <v>-727248</v>
      </c>
      <c r="BU131" s="542">
        <v>0</v>
      </c>
      <c r="BV131" s="542">
        <v>-727248</v>
      </c>
      <c r="BW131" s="542">
        <v>-97831</v>
      </c>
      <c r="BX131" s="542">
        <v>0</v>
      </c>
      <c r="BY131" s="542">
        <v>-97831</v>
      </c>
      <c r="BZ131" s="542">
        <v>2453</v>
      </c>
      <c r="CA131" s="542">
        <v>0</v>
      </c>
      <c r="CB131" s="542">
        <v>2453</v>
      </c>
      <c r="CC131" s="542">
        <v>-90422</v>
      </c>
      <c r="CD131" s="542">
        <v>0</v>
      </c>
      <c r="CE131" s="542">
        <v>-90422</v>
      </c>
      <c r="CF131" s="542">
        <v>-273</v>
      </c>
      <c r="CG131" s="542">
        <v>0</v>
      </c>
      <c r="CH131" s="542">
        <v>-273</v>
      </c>
      <c r="CI131" s="542">
        <v>0</v>
      </c>
      <c r="CJ131" s="542">
        <v>0</v>
      </c>
      <c r="CK131" s="542">
        <v>0</v>
      </c>
      <c r="CL131" s="542">
        <v>0</v>
      </c>
      <c r="CM131" s="542">
        <v>0</v>
      </c>
      <c r="CN131" s="542">
        <v>0</v>
      </c>
      <c r="CO131" s="542">
        <v>-1928</v>
      </c>
      <c r="CP131" s="542">
        <v>0</v>
      </c>
      <c r="CQ131" s="542">
        <v>-1928</v>
      </c>
      <c r="CR131" s="542">
        <v>0</v>
      </c>
      <c r="CS131" s="542">
        <v>0</v>
      </c>
      <c r="CT131" s="542">
        <v>0</v>
      </c>
      <c r="CU131" s="542">
        <v>0</v>
      </c>
      <c r="CV131" s="542">
        <v>0</v>
      </c>
      <c r="CW131" s="542">
        <v>0</v>
      </c>
      <c r="CX131" s="542">
        <v>0</v>
      </c>
      <c r="CY131" s="542">
        <v>0</v>
      </c>
      <c r="CZ131" s="542">
        <v>0</v>
      </c>
      <c r="DA131" s="542">
        <v>0</v>
      </c>
      <c r="DB131" s="542">
        <v>0</v>
      </c>
      <c r="DC131" s="542">
        <v>0</v>
      </c>
      <c r="DD131" s="542">
        <v>0</v>
      </c>
      <c r="DE131" s="542">
        <v>0</v>
      </c>
      <c r="DF131" s="542">
        <v>0</v>
      </c>
      <c r="DG131" s="542"/>
      <c r="DH131" s="542">
        <v>0</v>
      </c>
      <c r="DI131" s="542"/>
      <c r="DJ131" s="542">
        <v>0</v>
      </c>
      <c r="DK131" s="542"/>
      <c r="DL131" s="542"/>
      <c r="DM131" s="542">
        <v>-188001</v>
      </c>
      <c r="DN131" s="542">
        <v>0</v>
      </c>
      <c r="DO131" s="542">
        <v>-188001</v>
      </c>
      <c r="DP131" s="542">
        <v>0</v>
      </c>
      <c r="DQ131" s="542">
        <v>0</v>
      </c>
      <c r="DR131" s="542">
        <v>0</v>
      </c>
      <c r="DS131" s="542">
        <v>0</v>
      </c>
      <c r="DT131" s="542">
        <v>0</v>
      </c>
      <c r="DU131" s="542">
        <v>0</v>
      </c>
      <c r="DV131" s="542">
        <v>-4863</v>
      </c>
      <c r="DW131" s="542">
        <v>0</v>
      </c>
      <c r="DX131" s="542">
        <v>-4863</v>
      </c>
      <c r="DY131" s="542">
        <v>-403224</v>
      </c>
      <c r="DZ131" s="542">
        <v>0</v>
      </c>
      <c r="EA131" s="542">
        <v>-403224</v>
      </c>
      <c r="EB131" s="542">
        <v>-81</v>
      </c>
      <c r="EC131" s="542">
        <v>0</v>
      </c>
      <c r="ED131" s="542">
        <v>-81</v>
      </c>
      <c r="EE131" s="542">
        <v>-41275</v>
      </c>
      <c r="EF131" s="542">
        <v>0</v>
      </c>
      <c r="EG131" s="542">
        <v>-41275</v>
      </c>
      <c r="EH131" s="542">
        <v>-449443</v>
      </c>
      <c r="EI131" s="542">
        <v>0</v>
      </c>
      <c r="EJ131" s="542">
        <v>-449443</v>
      </c>
      <c r="EK131" s="542">
        <v>0</v>
      </c>
      <c r="EL131" s="542">
        <v>0</v>
      </c>
      <c r="EM131" s="542">
        <v>0</v>
      </c>
      <c r="EN131" s="542">
        <v>0</v>
      </c>
      <c r="EO131" s="542">
        <v>0</v>
      </c>
      <c r="EP131" s="542">
        <v>0</v>
      </c>
      <c r="EQ131" s="542">
        <v>0</v>
      </c>
      <c r="ER131" s="542">
        <v>0</v>
      </c>
      <c r="ES131" s="542">
        <v>0</v>
      </c>
      <c r="ET131" s="542">
        <v>37430449</v>
      </c>
      <c r="EU131" s="542">
        <v>0</v>
      </c>
      <c r="EV131" s="542">
        <v>37430449</v>
      </c>
      <c r="EW131" s="542">
        <v>182417</v>
      </c>
      <c r="EX131" s="542">
        <v>0</v>
      </c>
      <c r="EY131" s="542">
        <v>182417</v>
      </c>
      <c r="EZ131" s="542">
        <v>-3202482</v>
      </c>
      <c r="FA131" s="542">
        <v>0</v>
      </c>
      <c r="FB131" s="542">
        <v>-3202482</v>
      </c>
      <c r="FC131" s="542">
        <v>-727248</v>
      </c>
      <c r="FD131" s="542">
        <v>0</v>
      </c>
      <c r="FE131" s="542">
        <v>-727248</v>
      </c>
      <c r="FF131" s="542">
        <v>-188001</v>
      </c>
      <c r="FG131" s="542">
        <v>0</v>
      </c>
      <c r="FH131" s="542">
        <v>-188001</v>
      </c>
      <c r="FI131" s="542">
        <v>-449443</v>
      </c>
      <c r="FJ131" s="542">
        <v>0</v>
      </c>
      <c r="FK131" s="542">
        <v>-449443</v>
      </c>
      <c r="FL131" s="542">
        <v>0</v>
      </c>
      <c r="FM131" s="542">
        <v>0</v>
      </c>
      <c r="FN131" s="542">
        <v>0</v>
      </c>
      <c r="FO131" s="542">
        <v>-4384757</v>
      </c>
      <c r="FP131" s="542">
        <v>0</v>
      </c>
      <c r="FQ131" s="542">
        <v>-4384757</v>
      </c>
      <c r="FR131" s="542">
        <v>33045692</v>
      </c>
      <c r="FS131" s="542">
        <v>0</v>
      </c>
      <c r="FT131" s="542">
        <v>33045692</v>
      </c>
    </row>
    <row r="132" spans="1:176" ht="12.75" x14ac:dyDescent="0.2">
      <c r="A132" s="93">
        <v>127</v>
      </c>
      <c r="B132" s="145" t="s">
        <v>132</v>
      </c>
      <c r="C132" s="604" t="s">
        <v>871</v>
      </c>
      <c r="D132" s="142" t="s">
        <v>872</v>
      </c>
      <c r="E132" s="149" t="s">
        <v>131</v>
      </c>
      <c r="F132" s="542">
        <v>-55124</v>
      </c>
      <c r="G132" s="542">
        <v>0</v>
      </c>
      <c r="H132" s="542">
        <v>-55124</v>
      </c>
      <c r="I132" s="542">
        <v>-474651</v>
      </c>
      <c r="J132" s="542">
        <v>0</v>
      </c>
      <c r="K132" s="542">
        <v>-474651</v>
      </c>
      <c r="L132" s="542">
        <v>2112</v>
      </c>
      <c r="M132" s="542">
        <v>0</v>
      </c>
      <c r="N132" s="542">
        <v>2112</v>
      </c>
      <c r="O132" s="542">
        <v>127461</v>
      </c>
      <c r="P132" s="542">
        <v>0</v>
      </c>
      <c r="Q132" s="542">
        <v>127461</v>
      </c>
      <c r="R132" s="542">
        <v>-400202</v>
      </c>
      <c r="S132" s="542">
        <v>0</v>
      </c>
      <c r="T132" s="542">
        <v>-400202</v>
      </c>
      <c r="U132" s="542">
        <v>-3436680</v>
      </c>
      <c r="V132" s="542">
        <v>0</v>
      </c>
      <c r="W132" s="542">
        <v>-3436680</v>
      </c>
      <c r="X132" s="542">
        <v>-14673.03</v>
      </c>
      <c r="Y132" s="542">
        <v>0</v>
      </c>
      <c r="Z132" s="542">
        <v>-14673.03</v>
      </c>
      <c r="AA132" s="542">
        <v>-341285</v>
      </c>
      <c r="AB132" s="542">
        <v>0</v>
      </c>
      <c r="AC132" s="542">
        <v>-341285</v>
      </c>
      <c r="AD132" s="542">
        <v>0</v>
      </c>
      <c r="AE132" s="542">
        <v>0</v>
      </c>
      <c r="AF132" s="542">
        <v>0</v>
      </c>
      <c r="AG132" s="542">
        <v>1623251</v>
      </c>
      <c r="AH132" s="542">
        <v>0</v>
      </c>
      <c r="AI132" s="542">
        <v>1623251</v>
      </c>
      <c r="AJ132" s="542">
        <v>-64992</v>
      </c>
      <c r="AK132" s="542">
        <v>0</v>
      </c>
      <c r="AL132" s="542">
        <v>-64992</v>
      </c>
      <c r="AM132" s="542">
        <v>-4376704</v>
      </c>
      <c r="AN132" s="542">
        <v>0</v>
      </c>
      <c r="AO132" s="542">
        <v>-4376704</v>
      </c>
      <c r="AP132" s="542">
        <v>10900</v>
      </c>
      <c r="AQ132" s="542">
        <v>0</v>
      </c>
      <c r="AR132" s="542">
        <v>10900</v>
      </c>
      <c r="AS132" s="542">
        <v>-319932</v>
      </c>
      <c r="AT132" s="542">
        <v>0</v>
      </c>
      <c r="AU132" s="542">
        <v>-319932</v>
      </c>
      <c r="AV132" s="542">
        <v>0</v>
      </c>
      <c r="AW132" s="542">
        <v>0</v>
      </c>
      <c r="AX132" s="542">
        <v>0</v>
      </c>
      <c r="AY132" s="542">
        <v>0</v>
      </c>
      <c r="AZ132" s="542">
        <v>0</v>
      </c>
      <c r="BA132" s="542">
        <v>0</v>
      </c>
      <c r="BB132" s="542">
        <v>0</v>
      </c>
      <c r="BC132" s="542">
        <v>0</v>
      </c>
      <c r="BD132" s="542">
        <v>0</v>
      </c>
      <c r="BE132" s="542">
        <v>-6905442</v>
      </c>
      <c r="BF132" s="542">
        <v>0</v>
      </c>
      <c r="BG132" s="542">
        <v>-6905442</v>
      </c>
      <c r="BH132" s="542">
        <v>-44896</v>
      </c>
      <c r="BI132" s="542">
        <v>0</v>
      </c>
      <c r="BJ132" s="542">
        <v>-44896</v>
      </c>
      <c r="BK132" s="542">
        <v>-40252</v>
      </c>
      <c r="BL132" s="542">
        <v>0</v>
      </c>
      <c r="BM132" s="542">
        <v>-40252</v>
      </c>
      <c r="BN132" s="542">
        <v>-3228666</v>
      </c>
      <c r="BO132" s="542">
        <v>0</v>
      </c>
      <c r="BP132" s="542">
        <v>-3228666</v>
      </c>
      <c r="BQ132" s="542">
        <v>-72384</v>
      </c>
      <c r="BR132" s="542">
        <v>0</v>
      </c>
      <c r="BS132" s="542">
        <v>-72384</v>
      </c>
      <c r="BT132" s="542">
        <v>-3386198</v>
      </c>
      <c r="BU132" s="542">
        <v>0</v>
      </c>
      <c r="BV132" s="542">
        <v>-3386198</v>
      </c>
      <c r="BW132" s="542">
        <v>-137355</v>
      </c>
      <c r="BX132" s="542">
        <v>0</v>
      </c>
      <c r="BY132" s="542">
        <v>-137355</v>
      </c>
      <c r="BZ132" s="542">
        <v>7142</v>
      </c>
      <c r="CA132" s="542">
        <v>0</v>
      </c>
      <c r="CB132" s="542">
        <v>7142</v>
      </c>
      <c r="CC132" s="542">
        <v>-10974</v>
      </c>
      <c r="CD132" s="542">
        <v>0</v>
      </c>
      <c r="CE132" s="542">
        <v>-10974</v>
      </c>
      <c r="CF132" s="542">
        <v>-16293</v>
      </c>
      <c r="CG132" s="542">
        <v>0</v>
      </c>
      <c r="CH132" s="542">
        <v>-16293</v>
      </c>
      <c r="CI132" s="542">
        <v>-72252</v>
      </c>
      <c r="CJ132" s="542">
        <v>0</v>
      </c>
      <c r="CK132" s="542">
        <v>-72252</v>
      </c>
      <c r="CL132" s="542">
        <v>0</v>
      </c>
      <c r="CM132" s="542">
        <v>0</v>
      </c>
      <c r="CN132" s="542">
        <v>0</v>
      </c>
      <c r="CO132" s="542">
        <v>0</v>
      </c>
      <c r="CP132" s="542">
        <v>0</v>
      </c>
      <c r="CQ132" s="542">
        <v>0</v>
      </c>
      <c r="CR132" s="542">
        <v>0</v>
      </c>
      <c r="CS132" s="542">
        <v>0</v>
      </c>
      <c r="CT132" s="542">
        <v>0</v>
      </c>
      <c r="CU132" s="542">
        <v>0</v>
      </c>
      <c r="CV132" s="542">
        <v>0</v>
      </c>
      <c r="CW132" s="542">
        <v>0</v>
      </c>
      <c r="CX132" s="542">
        <v>0</v>
      </c>
      <c r="CY132" s="542">
        <v>0</v>
      </c>
      <c r="CZ132" s="542">
        <v>0</v>
      </c>
      <c r="DA132" s="542">
        <v>0</v>
      </c>
      <c r="DB132" s="542">
        <v>0</v>
      </c>
      <c r="DC132" s="542">
        <v>0</v>
      </c>
      <c r="DD132" s="542">
        <v>0</v>
      </c>
      <c r="DE132" s="542">
        <v>0</v>
      </c>
      <c r="DF132" s="542">
        <v>0</v>
      </c>
      <c r="DG132" s="542"/>
      <c r="DH132" s="542">
        <v>0</v>
      </c>
      <c r="DI132" s="542"/>
      <c r="DJ132" s="542">
        <v>0</v>
      </c>
      <c r="DK132" s="542"/>
      <c r="DL132" s="542"/>
      <c r="DM132" s="542">
        <v>-229732</v>
      </c>
      <c r="DN132" s="542">
        <v>0</v>
      </c>
      <c r="DO132" s="542">
        <v>-229732</v>
      </c>
      <c r="DP132" s="542">
        <v>0</v>
      </c>
      <c r="DQ132" s="542">
        <v>0</v>
      </c>
      <c r="DR132" s="542">
        <v>0</v>
      </c>
      <c r="DS132" s="542">
        <v>0</v>
      </c>
      <c r="DT132" s="542">
        <v>0</v>
      </c>
      <c r="DU132" s="542">
        <v>0</v>
      </c>
      <c r="DV132" s="542">
        <v>-10893</v>
      </c>
      <c r="DW132" s="542">
        <v>0</v>
      </c>
      <c r="DX132" s="542">
        <v>-10893</v>
      </c>
      <c r="DY132" s="542">
        <v>-910411</v>
      </c>
      <c r="DZ132" s="542">
        <v>0</v>
      </c>
      <c r="EA132" s="542">
        <v>-910411</v>
      </c>
      <c r="EB132" s="542">
        <v>0</v>
      </c>
      <c r="EC132" s="542">
        <v>0</v>
      </c>
      <c r="ED132" s="542">
        <v>0</v>
      </c>
      <c r="EE132" s="542">
        <v>0</v>
      </c>
      <c r="EF132" s="542">
        <v>0</v>
      </c>
      <c r="EG132" s="542">
        <v>0</v>
      </c>
      <c r="EH132" s="542">
        <v>-921304</v>
      </c>
      <c r="EI132" s="542">
        <v>0</v>
      </c>
      <c r="EJ132" s="542">
        <v>-921304</v>
      </c>
      <c r="EK132" s="542">
        <v>0</v>
      </c>
      <c r="EL132" s="542">
        <v>0</v>
      </c>
      <c r="EM132" s="542">
        <v>0</v>
      </c>
      <c r="EN132" s="542">
        <v>-1042</v>
      </c>
      <c r="EO132" s="542">
        <v>0</v>
      </c>
      <c r="EP132" s="542">
        <v>-1042</v>
      </c>
      <c r="EQ132" s="542">
        <v>-1042</v>
      </c>
      <c r="ER132" s="542">
        <v>0</v>
      </c>
      <c r="ES132" s="542">
        <v>-1042</v>
      </c>
      <c r="ET132" s="542">
        <v>82859378</v>
      </c>
      <c r="EU132" s="542">
        <v>0</v>
      </c>
      <c r="EV132" s="542">
        <v>82859378</v>
      </c>
      <c r="EW132" s="542">
        <v>-400202</v>
      </c>
      <c r="EX132" s="542">
        <v>0</v>
      </c>
      <c r="EY132" s="542">
        <v>-400202</v>
      </c>
      <c r="EZ132" s="542">
        <v>-6905442</v>
      </c>
      <c r="FA132" s="542">
        <v>0</v>
      </c>
      <c r="FB132" s="542">
        <v>-6905442</v>
      </c>
      <c r="FC132" s="542">
        <v>-3386198</v>
      </c>
      <c r="FD132" s="542">
        <v>0</v>
      </c>
      <c r="FE132" s="542">
        <v>-3386198</v>
      </c>
      <c r="FF132" s="542">
        <v>-229732</v>
      </c>
      <c r="FG132" s="542">
        <v>0</v>
      </c>
      <c r="FH132" s="542">
        <v>-229732</v>
      </c>
      <c r="FI132" s="542">
        <v>-921304</v>
      </c>
      <c r="FJ132" s="542">
        <v>0</v>
      </c>
      <c r="FK132" s="542">
        <v>-921304</v>
      </c>
      <c r="FL132" s="542">
        <v>-1042</v>
      </c>
      <c r="FM132" s="542">
        <v>0</v>
      </c>
      <c r="FN132" s="542">
        <v>-1042</v>
      </c>
      <c r="FO132" s="542">
        <v>-11843920</v>
      </c>
      <c r="FP132" s="542">
        <v>0</v>
      </c>
      <c r="FQ132" s="542">
        <v>-11843920</v>
      </c>
      <c r="FR132" s="542">
        <v>71015458</v>
      </c>
      <c r="FS132" s="542">
        <v>0</v>
      </c>
      <c r="FT132" s="542">
        <v>71015458</v>
      </c>
    </row>
    <row r="133" spans="1:176" ht="12.75" x14ac:dyDescent="0.2">
      <c r="A133" s="93">
        <v>128</v>
      </c>
      <c r="B133" s="145" t="s">
        <v>134</v>
      </c>
      <c r="C133" s="604" t="s">
        <v>770</v>
      </c>
      <c r="D133" s="142" t="s">
        <v>876</v>
      </c>
      <c r="E133" s="149" t="s">
        <v>700</v>
      </c>
      <c r="F133" s="542">
        <v>-99236</v>
      </c>
      <c r="G133" s="542">
        <v>0</v>
      </c>
      <c r="H133" s="542">
        <v>-99236</v>
      </c>
      <c r="I133" s="542">
        <v>68996</v>
      </c>
      <c r="J133" s="542">
        <v>0</v>
      </c>
      <c r="K133" s="542">
        <v>68996</v>
      </c>
      <c r="L133" s="542">
        <v>31902</v>
      </c>
      <c r="M133" s="542">
        <v>0</v>
      </c>
      <c r="N133" s="542">
        <v>31902</v>
      </c>
      <c r="O133" s="542">
        <v>160985</v>
      </c>
      <c r="P133" s="542">
        <v>0</v>
      </c>
      <c r="Q133" s="542">
        <v>160985</v>
      </c>
      <c r="R133" s="542">
        <v>162647</v>
      </c>
      <c r="S133" s="542">
        <v>0</v>
      </c>
      <c r="T133" s="542">
        <v>162647</v>
      </c>
      <c r="U133" s="542">
        <v>-5214088</v>
      </c>
      <c r="V133" s="542">
        <v>-61938</v>
      </c>
      <c r="W133" s="542">
        <v>-5276026</v>
      </c>
      <c r="X133" s="542">
        <v>0</v>
      </c>
      <c r="Y133" s="542">
        <v>0</v>
      </c>
      <c r="Z133" s="542">
        <v>0</v>
      </c>
      <c r="AA133" s="542">
        <v>-181347</v>
      </c>
      <c r="AB133" s="542">
        <v>184</v>
      </c>
      <c r="AC133" s="542">
        <v>-181163</v>
      </c>
      <c r="AD133" s="542">
        <v>-74134</v>
      </c>
      <c r="AE133" s="542">
        <v>0</v>
      </c>
      <c r="AF133" s="542">
        <v>-74134</v>
      </c>
      <c r="AG133" s="542">
        <v>1083183</v>
      </c>
      <c r="AH133" s="542">
        <v>3499</v>
      </c>
      <c r="AI133" s="542">
        <v>1086682</v>
      </c>
      <c r="AJ133" s="542">
        <v>-19521</v>
      </c>
      <c r="AK133" s="542">
        <v>35</v>
      </c>
      <c r="AL133" s="542">
        <v>-19486</v>
      </c>
      <c r="AM133" s="542">
        <v>-4200650</v>
      </c>
      <c r="AN133" s="542">
        <v>-1084</v>
      </c>
      <c r="AO133" s="542">
        <v>-4201734</v>
      </c>
      <c r="AP133" s="542">
        <v>-27237</v>
      </c>
      <c r="AQ133" s="542">
        <v>54</v>
      </c>
      <c r="AR133" s="542">
        <v>-27183</v>
      </c>
      <c r="AS133" s="542">
        <v>-75929</v>
      </c>
      <c r="AT133" s="542">
        <v>0</v>
      </c>
      <c r="AU133" s="542">
        <v>-75929</v>
      </c>
      <c r="AV133" s="542">
        <v>2366</v>
      </c>
      <c r="AW133" s="542">
        <v>0</v>
      </c>
      <c r="AX133" s="542">
        <v>2366</v>
      </c>
      <c r="AY133" s="542">
        <v>-96575</v>
      </c>
      <c r="AZ133" s="542">
        <v>0</v>
      </c>
      <c r="BA133" s="542">
        <v>-96575</v>
      </c>
      <c r="BB133" s="542">
        <v>-7075</v>
      </c>
      <c r="BC133" s="542">
        <v>0</v>
      </c>
      <c r="BD133" s="542">
        <v>-7075</v>
      </c>
      <c r="BE133" s="542">
        <v>-8736873</v>
      </c>
      <c r="BF133" s="542">
        <v>-59250</v>
      </c>
      <c r="BG133" s="542">
        <v>-8796123</v>
      </c>
      <c r="BH133" s="542">
        <v>-8081</v>
      </c>
      <c r="BI133" s="542">
        <v>0</v>
      </c>
      <c r="BJ133" s="542">
        <v>-8081</v>
      </c>
      <c r="BK133" s="542">
        <v>-17583</v>
      </c>
      <c r="BL133" s="542">
        <v>0</v>
      </c>
      <c r="BM133" s="542">
        <v>-17583</v>
      </c>
      <c r="BN133" s="542">
        <v>-2176642</v>
      </c>
      <c r="BO133" s="542">
        <v>-9225</v>
      </c>
      <c r="BP133" s="542">
        <v>-2185867</v>
      </c>
      <c r="BQ133" s="542">
        <v>123457</v>
      </c>
      <c r="BR133" s="542">
        <v>-556</v>
      </c>
      <c r="BS133" s="542">
        <v>122901</v>
      </c>
      <c r="BT133" s="542">
        <v>-2078849</v>
      </c>
      <c r="BU133" s="542">
        <v>-9781</v>
      </c>
      <c r="BV133" s="542">
        <v>-2088630</v>
      </c>
      <c r="BW133" s="542">
        <v>-340656</v>
      </c>
      <c r="BX133" s="542">
        <v>0</v>
      </c>
      <c r="BY133" s="542">
        <v>-340656</v>
      </c>
      <c r="BZ133" s="542">
        <v>-4772</v>
      </c>
      <c r="CA133" s="542">
        <v>0</v>
      </c>
      <c r="CB133" s="542">
        <v>-4772</v>
      </c>
      <c r="CC133" s="542">
        <v>-135186</v>
      </c>
      <c r="CD133" s="542">
        <v>0</v>
      </c>
      <c r="CE133" s="542">
        <v>-135186</v>
      </c>
      <c r="CF133" s="542">
        <v>-2480</v>
      </c>
      <c r="CG133" s="542">
        <v>0</v>
      </c>
      <c r="CH133" s="542">
        <v>-2480</v>
      </c>
      <c r="CI133" s="542">
        <v>-193</v>
      </c>
      <c r="CJ133" s="542">
        <v>0</v>
      </c>
      <c r="CK133" s="542">
        <v>-193</v>
      </c>
      <c r="CL133" s="542">
        <v>0</v>
      </c>
      <c r="CM133" s="542">
        <v>0</v>
      </c>
      <c r="CN133" s="542">
        <v>0</v>
      </c>
      <c r="CO133" s="542">
        <v>-63949</v>
      </c>
      <c r="CP133" s="542">
        <v>0</v>
      </c>
      <c r="CQ133" s="542">
        <v>-63949</v>
      </c>
      <c r="CR133" s="542">
        <v>-1446</v>
      </c>
      <c r="CS133" s="542">
        <v>0</v>
      </c>
      <c r="CT133" s="542">
        <v>-1446</v>
      </c>
      <c r="CU133" s="542">
        <v>0</v>
      </c>
      <c r="CV133" s="542">
        <v>0</v>
      </c>
      <c r="CW133" s="542">
        <v>0</v>
      </c>
      <c r="CX133" s="542">
        <v>0</v>
      </c>
      <c r="CY133" s="542">
        <v>0</v>
      </c>
      <c r="CZ133" s="542">
        <v>0</v>
      </c>
      <c r="DA133" s="542">
        <v>0</v>
      </c>
      <c r="DB133" s="542">
        <v>-89032</v>
      </c>
      <c r="DC133" s="542">
        <v>-89032</v>
      </c>
      <c r="DD133" s="542">
        <v>0</v>
      </c>
      <c r="DE133" s="542">
        <v>1</v>
      </c>
      <c r="DF133" s="542">
        <v>1</v>
      </c>
      <c r="DG133" s="542"/>
      <c r="DH133" s="542">
        <v>-89031</v>
      </c>
      <c r="DI133" s="542"/>
      <c r="DJ133" s="542">
        <v>0</v>
      </c>
      <c r="DK133" s="542"/>
      <c r="DL133" s="542"/>
      <c r="DM133" s="542">
        <v>-548682</v>
      </c>
      <c r="DN133" s="542">
        <v>-89031</v>
      </c>
      <c r="DO133" s="542">
        <v>-637713</v>
      </c>
      <c r="DP133" s="542">
        <v>0</v>
      </c>
      <c r="DQ133" s="542">
        <v>0</v>
      </c>
      <c r="DR133" s="542">
        <v>0</v>
      </c>
      <c r="DS133" s="542">
        <v>0</v>
      </c>
      <c r="DT133" s="542">
        <v>0</v>
      </c>
      <c r="DU133" s="542">
        <v>0</v>
      </c>
      <c r="DV133" s="542">
        <v>0</v>
      </c>
      <c r="DW133" s="542">
        <v>0</v>
      </c>
      <c r="DX133" s="542">
        <v>0</v>
      </c>
      <c r="DY133" s="542">
        <v>-895181</v>
      </c>
      <c r="DZ133" s="542">
        <v>0</v>
      </c>
      <c r="EA133" s="542">
        <v>-895181</v>
      </c>
      <c r="EB133" s="542">
        <v>-6432</v>
      </c>
      <c r="EC133" s="542">
        <v>0</v>
      </c>
      <c r="ED133" s="542">
        <v>-6432</v>
      </c>
      <c r="EE133" s="542">
        <v>-20445</v>
      </c>
      <c r="EF133" s="542">
        <v>0</v>
      </c>
      <c r="EG133" s="542">
        <v>-20445</v>
      </c>
      <c r="EH133" s="542">
        <v>-922058</v>
      </c>
      <c r="EI133" s="542">
        <v>0</v>
      </c>
      <c r="EJ133" s="542">
        <v>-922058</v>
      </c>
      <c r="EK133" s="542">
        <v>-655</v>
      </c>
      <c r="EL133" s="542">
        <v>0</v>
      </c>
      <c r="EM133" s="542">
        <v>-655</v>
      </c>
      <c r="EN133" s="542">
        <v>0</v>
      </c>
      <c r="EO133" s="542">
        <v>0</v>
      </c>
      <c r="EP133" s="542">
        <v>0</v>
      </c>
      <c r="EQ133" s="542">
        <v>-655</v>
      </c>
      <c r="ER133" s="542">
        <v>0</v>
      </c>
      <c r="ES133" s="542">
        <v>-655</v>
      </c>
      <c r="ET133" s="542">
        <v>58453581</v>
      </c>
      <c r="EU133" s="542">
        <v>332125</v>
      </c>
      <c r="EV133" s="542">
        <v>58785706</v>
      </c>
      <c r="EW133" s="542">
        <v>162647</v>
      </c>
      <c r="EX133" s="542">
        <v>0</v>
      </c>
      <c r="EY133" s="542">
        <v>162647</v>
      </c>
      <c r="EZ133" s="542">
        <v>-8736873</v>
      </c>
      <c r="FA133" s="542">
        <v>-59250</v>
      </c>
      <c r="FB133" s="542">
        <v>-8796123</v>
      </c>
      <c r="FC133" s="542">
        <v>-2078849</v>
      </c>
      <c r="FD133" s="542">
        <v>-9781</v>
      </c>
      <c r="FE133" s="542">
        <v>-2088630</v>
      </c>
      <c r="FF133" s="542">
        <v>-548682</v>
      </c>
      <c r="FG133" s="542">
        <v>-89031</v>
      </c>
      <c r="FH133" s="542">
        <v>-637713</v>
      </c>
      <c r="FI133" s="542">
        <v>-922058</v>
      </c>
      <c r="FJ133" s="542">
        <v>0</v>
      </c>
      <c r="FK133" s="542">
        <v>-922058</v>
      </c>
      <c r="FL133" s="542">
        <v>-655</v>
      </c>
      <c r="FM133" s="542">
        <v>0</v>
      </c>
      <c r="FN133" s="542">
        <v>-655</v>
      </c>
      <c r="FO133" s="542">
        <v>-12124470</v>
      </c>
      <c r="FP133" s="542">
        <v>-158062</v>
      </c>
      <c r="FQ133" s="542">
        <v>-12282532</v>
      </c>
      <c r="FR133" s="542">
        <v>46329111</v>
      </c>
      <c r="FS133" s="542">
        <v>174063</v>
      </c>
      <c r="FT133" s="542">
        <v>46503174</v>
      </c>
    </row>
    <row r="134" spans="1:176" ht="12.75" x14ac:dyDescent="0.2">
      <c r="A134" s="93">
        <v>129</v>
      </c>
      <c r="B134" s="145" t="s">
        <v>136</v>
      </c>
      <c r="C134" s="604" t="s">
        <v>866</v>
      </c>
      <c r="D134" s="142" t="s">
        <v>870</v>
      </c>
      <c r="E134" s="149" t="s">
        <v>135</v>
      </c>
      <c r="F134" s="542">
        <v>-15233</v>
      </c>
      <c r="G134" s="542">
        <v>0</v>
      </c>
      <c r="H134" s="542">
        <v>-15233</v>
      </c>
      <c r="I134" s="542">
        <v>83072</v>
      </c>
      <c r="J134" s="542">
        <v>0</v>
      </c>
      <c r="K134" s="542">
        <v>83072</v>
      </c>
      <c r="L134" s="542">
        <v>12469</v>
      </c>
      <c r="M134" s="542">
        <v>0</v>
      </c>
      <c r="N134" s="542">
        <v>12469</v>
      </c>
      <c r="O134" s="542">
        <v>-10751</v>
      </c>
      <c r="P134" s="542">
        <v>0</v>
      </c>
      <c r="Q134" s="542">
        <v>-10751</v>
      </c>
      <c r="R134" s="542">
        <v>69557</v>
      </c>
      <c r="S134" s="542">
        <v>0</v>
      </c>
      <c r="T134" s="542">
        <v>69557</v>
      </c>
      <c r="U134" s="542">
        <v>-1604095</v>
      </c>
      <c r="V134" s="542">
        <v>0</v>
      </c>
      <c r="W134" s="542">
        <v>-1604095</v>
      </c>
      <c r="X134" s="542">
        <v>0</v>
      </c>
      <c r="Y134" s="542">
        <v>0</v>
      </c>
      <c r="Z134" s="542">
        <v>0</v>
      </c>
      <c r="AA134" s="542">
        <v>-95896</v>
      </c>
      <c r="AB134" s="542">
        <v>0</v>
      </c>
      <c r="AC134" s="542">
        <v>-95896</v>
      </c>
      <c r="AD134" s="542">
        <v>-41397</v>
      </c>
      <c r="AE134" s="542">
        <v>0</v>
      </c>
      <c r="AF134" s="542">
        <v>-41397</v>
      </c>
      <c r="AG134" s="542">
        <v>1108203</v>
      </c>
      <c r="AH134" s="542">
        <v>0</v>
      </c>
      <c r="AI134" s="542">
        <v>1108203</v>
      </c>
      <c r="AJ134" s="542">
        <v>-13404</v>
      </c>
      <c r="AK134" s="542">
        <v>0</v>
      </c>
      <c r="AL134" s="542">
        <v>-13404</v>
      </c>
      <c r="AM134" s="542">
        <v>-4838526</v>
      </c>
      <c r="AN134" s="542">
        <v>0</v>
      </c>
      <c r="AO134" s="542">
        <v>-4838526</v>
      </c>
      <c r="AP134" s="542">
        <v>35610</v>
      </c>
      <c r="AQ134" s="542">
        <v>0</v>
      </c>
      <c r="AR134" s="542">
        <v>35610</v>
      </c>
      <c r="AS134" s="542">
        <v>-52615</v>
      </c>
      <c r="AT134" s="542">
        <v>0</v>
      </c>
      <c r="AU134" s="542">
        <v>-52615</v>
      </c>
      <c r="AV134" s="542">
        <v>-1516</v>
      </c>
      <c r="AW134" s="542">
        <v>0</v>
      </c>
      <c r="AX134" s="542">
        <v>-1516</v>
      </c>
      <c r="AY134" s="542">
        <v>0</v>
      </c>
      <c r="AZ134" s="542">
        <v>0</v>
      </c>
      <c r="BA134" s="542">
        <v>0</v>
      </c>
      <c r="BB134" s="542">
        <v>0</v>
      </c>
      <c r="BC134" s="542">
        <v>0</v>
      </c>
      <c r="BD134" s="542">
        <v>0</v>
      </c>
      <c r="BE134" s="542">
        <v>-5462239</v>
      </c>
      <c r="BF134" s="542">
        <v>0</v>
      </c>
      <c r="BG134" s="542">
        <v>-5462239</v>
      </c>
      <c r="BH134" s="542">
        <v>-102458</v>
      </c>
      <c r="BI134" s="542">
        <v>0</v>
      </c>
      <c r="BJ134" s="542">
        <v>-102458</v>
      </c>
      <c r="BK134" s="542">
        <v>1390</v>
      </c>
      <c r="BL134" s="542">
        <v>0</v>
      </c>
      <c r="BM134" s="542">
        <v>1390</v>
      </c>
      <c r="BN134" s="542">
        <v>-906258</v>
      </c>
      <c r="BO134" s="542">
        <v>0</v>
      </c>
      <c r="BP134" s="542">
        <v>-906258</v>
      </c>
      <c r="BQ134" s="542">
        <v>-239782</v>
      </c>
      <c r="BR134" s="542">
        <v>0</v>
      </c>
      <c r="BS134" s="542">
        <v>-239782</v>
      </c>
      <c r="BT134" s="542">
        <v>-1247108</v>
      </c>
      <c r="BU134" s="542">
        <v>0</v>
      </c>
      <c r="BV134" s="542">
        <v>-1247108</v>
      </c>
      <c r="BW134" s="542">
        <v>-101246</v>
      </c>
      <c r="BX134" s="542">
        <v>0</v>
      </c>
      <c r="BY134" s="542">
        <v>-101246</v>
      </c>
      <c r="BZ134" s="542">
        <v>289</v>
      </c>
      <c r="CA134" s="542">
        <v>0</v>
      </c>
      <c r="CB134" s="542">
        <v>289</v>
      </c>
      <c r="CC134" s="542">
        <v>-37766</v>
      </c>
      <c r="CD134" s="542">
        <v>0</v>
      </c>
      <c r="CE134" s="542">
        <v>-37766</v>
      </c>
      <c r="CF134" s="542">
        <v>2304</v>
      </c>
      <c r="CG134" s="542">
        <v>0</v>
      </c>
      <c r="CH134" s="542">
        <v>2304</v>
      </c>
      <c r="CI134" s="542">
        <v>0</v>
      </c>
      <c r="CJ134" s="542">
        <v>0</v>
      </c>
      <c r="CK134" s="542">
        <v>0</v>
      </c>
      <c r="CL134" s="542">
        <v>0</v>
      </c>
      <c r="CM134" s="542">
        <v>0</v>
      </c>
      <c r="CN134" s="542">
        <v>0</v>
      </c>
      <c r="CO134" s="542">
        <v>0</v>
      </c>
      <c r="CP134" s="542">
        <v>0</v>
      </c>
      <c r="CQ134" s="542">
        <v>0</v>
      </c>
      <c r="CR134" s="542">
        <v>0</v>
      </c>
      <c r="CS134" s="542">
        <v>0</v>
      </c>
      <c r="CT134" s="542">
        <v>0</v>
      </c>
      <c r="CU134" s="542">
        <v>0</v>
      </c>
      <c r="CV134" s="542">
        <v>0</v>
      </c>
      <c r="CW134" s="542">
        <v>0</v>
      </c>
      <c r="CX134" s="542">
        <v>0</v>
      </c>
      <c r="CY134" s="542">
        <v>0</v>
      </c>
      <c r="CZ134" s="542">
        <v>0</v>
      </c>
      <c r="DA134" s="542">
        <v>0</v>
      </c>
      <c r="DB134" s="542">
        <v>0</v>
      </c>
      <c r="DC134" s="542">
        <v>0</v>
      </c>
      <c r="DD134" s="542">
        <v>0</v>
      </c>
      <c r="DE134" s="542">
        <v>0</v>
      </c>
      <c r="DF134" s="542">
        <v>0</v>
      </c>
      <c r="DG134" s="542"/>
      <c r="DH134" s="542">
        <v>0</v>
      </c>
      <c r="DI134" s="542"/>
      <c r="DJ134" s="542">
        <v>0</v>
      </c>
      <c r="DK134" s="542"/>
      <c r="DL134" s="542"/>
      <c r="DM134" s="542">
        <v>-136419</v>
      </c>
      <c r="DN134" s="542">
        <v>0</v>
      </c>
      <c r="DO134" s="542">
        <v>-136419</v>
      </c>
      <c r="DP134" s="542">
        <v>-106752</v>
      </c>
      <c r="DQ134" s="542">
        <v>0</v>
      </c>
      <c r="DR134" s="542">
        <v>-106752</v>
      </c>
      <c r="DS134" s="542">
        <v>0</v>
      </c>
      <c r="DT134" s="542">
        <v>0</v>
      </c>
      <c r="DU134" s="542">
        <v>0</v>
      </c>
      <c r="DV134" s="542">
        <v>-15526</v>
      </c>
      <c r="DW134" s="542">
        <v>0</v>
      </c>
      <c r="DX134" s="542">
        <v>-15526</v>
      </c>
      <c r="DY134" s="542">
        <v>-559736</v>
      </c>
      <c r="DZ134" s="542">
        <v>0</v>
      </c>
      <c r="EA134" s="542">
        <v>-559736</v>
      </c>
      <c r="EB134" s="542">
        <v>0</v>
      </c>
      <c r="EC134" s="542">
        <v>0</v>
      </c>
      <c r="ED134" s="542">
        <v>0</v>
      </c>
      <c r="EE134" s="542">
        <v>0</v>
      </c>
      <c r="EF134" s="542">
        <v>0</v>
      </c>
      <c r="EG134" s="542">
        <v>0</v>
      </c>
      <c r="EH134" s="542">
        <v>-682014</v>
      </c>
      <c r="EI134" s="542">
        <v>0</v>
      </c>
      <c r="EJ134" s="542">
        <v>-682014</v>
      </c>
      <c r="EK134" s="542">
        <v>0</v>
      </c>
      <c r="EL134" s="542">
        <v>0</v>
      </c>
      <c r="EM134" s="542">
        <v>0</v>
      </c>
      <c r="EN134" s="542">
        <v>0</v>
      </c>
      <c r="EO134" s="542">
        <v>0</v>
      </c>
      <c r="EP134" s="542">
        <v>0</v>
      </c>
      <c r="EQ134" s="542">
        <v>0</v>
      </c>
      <c r="ER134" s="542">
        <v>0</v>
      </c>
      <c r="ES134" s="542">
        <v>0</v>
      </c>
      <c r="ET134" s="542">
        <v>53280914</v>
      </c>
      <c r="EU134" s="542">
        <v>0</v>
      </c>
      <c r="EV134" s="542">
        <v>53280914</v>
      </c>
      <c r="EW134" s="542">
        <v>69557</v>
      </c>
      <c r="EX134" s="542">
        <v>0</v>
      </c>
      <c r="EY134" s="542">
        <v>69557</v>
      </c>
      <c r="EZ134" s="542">
        <v>-5462239</v>
      </c>
      <c r="FA134" s="542">
        <v>0</v>
      </c>
      <c r="FB134" s="542">
        <v>-5462239</v>
      </c>
      <c r="FC134" s="542">
        <v>-1247108</v>
      </c>
      <c r="FD134" s="542">
        <v>0</v>
      </c>
      <c r="FE134" s="542">
        <v>-1247108</v>
      </c>
      <c r="FF134" s="542">
        <v>-136419</v>
      </c>
      <c r="FG134" s="542">
        <v>0</v>
      </c>
      <c r="FH134" s="542">
        <v>-136419</v>
      </c>
      <c r="FI134" s="542">
        <v>-682014</v>
      </c>
      <c r="FJ134" s="542">
        <v>0</v>
      </c>
      <c r="FK134" s="542">
        <v>-682014</v>
      </c>
      <c r="FL134" s="542">
        <v>0</v>
      </c>
      <c r="FM134" s="542">
        <v>0</v>
      </c>
      <c r="FN134" s="542">
        <v>0</v>
      </c>
      <c r="FO134" s="542">
        <v>-7458223</v>
      </c>
      <c r="FP134" s="542">
        <v>0</v>
      </c>
      <c r="FQ134" s="542">
        <v>-7458223</v>
      </c>
      <c r="FR134" s="542">
        <v>45822691</v>
      </c>
      <c r="FS134" s="542">
        <v>0</v>
      </c>
      <c r="FT134" s="542">
        <v>45822691</v>
      </c>
    </row>
    <row r="135" spans="1:176" ht="12.75" x14ac:dyDescent="0.2">
      <c r="A135" s="93">
        <v>130</v>
      </c>
      <c r="B135" s="145" t="s">
        <v>138</v>
      </c>
      <c r="C135" s="604" t="s">
        <v>866</v>
      </c>
      <c r="D135" s="142" t="s">
        <v>869</v>
      </c>
      <c r="E135" s="149" t="s">
        <v>137</v>
      </c>
      <c r="F135" s="542">
        <v>-80302</v>
      </c>
      <c r="G135" s="542">
        <v>0</v>
      </c>
      <c r="H135" s="542">
        <v>-80302</v>
      </c>
      <c r="I135" s="542">
        <v>-23485</v>
      </c>
      <c r="J135" s="542">
        <v>0</v>
      </c>
      <c r="K135" s="542">
        <v>-23485</v>
      </c>
      <c r="L135" s="542">
        <v>3561</v>
      </c>
      <c r="M135" s="542">
        <v>0</v>
      </c>
      <c r="N135" s="542">
        <v>3561</v>
      </c>
      <c r="O135" s="542">
        <v>13698</v>
      </c>
      <c r="P135" s="542">
        <v>0</v>
      </c>
      <c r="Q135" s="542">
        <v>13698</v>
      </c>
      <c r="R135" s="542">
        <v>-86528</v>
      </c>
      <c r="S135" s="542">
        <v>0</v>
      </c>
      <c r="T135" s="542">
        <v>-86528</v>
      </c>
      <c r="U135" s="542">
        <v>-2552181</v>
      </c>
      <c r="V135" s="542">
        <v>0</v>
      </c>
      <c r="W135" s="542">
        <v>-2552181</v>
      </c>
      <c r="X135" s="542">
        <v>-3596</v>
      </c>
      <c r="Y135" s="542">
        <v>0</v>
      </c>
      <c r="Z135" s="542">
        <v>-3596</v>
      </c>
      <c r="AA135" s="542">
        <v>-123270</v>
      </c>
      <c r="AB135" s="542">
        <v>0</v>
      </c>
      <c r="AC135" s="542">
        <v>-123270</v>
      </c>
      <c r="AD135" s="542">
        <v>-50502</v>
      </c>
      <c r="AE135" s="542">
        <v>0</v>
      </c>
      <c r="AF135" s="542">
        <v>-50502</v>
      </c>
      <c r="AG135" s="542">
        <v>520416</v>
      </c>
      <c r="AH135" s="542">
        <v>0</v>
      </c>
      <c r="AI135" s="542">
        <v>520416</v>
      </c>
      <c r="AJ135" s="542">
        <v>-5952</v>
      </c>
      <c r="AK135" s="542">
        <v>0</v>
      </c>
      <c r="AL135" s="542">
        <v>-5952</v>
      </c>
      <c r="AM135" s="542">
        <v>-927613</v>
      </c>
      <c r="AN135" s="542">
        <v>0</v>
      </c>
      <c r="AO135" s="542">
        <v>-927613</v>
      </c>
      <c r="AP135" s="542">
        <v>12685</v>
      </c>
      <c r="AQ135" s="542">
        <v>0</v>
      </c>
      <c r="AR135" s="542">
        <v>12685</v>
      </c>
      <c r="AS135" s="542">
        <v>-70054</v>
      </c>
      <c r="AT135" s="542">
        <v>0</v>
      </c>
      <c r="AU135" s="542">
        <v>-70054</v>
      </c>
      <c r="AV135" s="542">
        <v>0</v>
      </c>
      <c r="AW135" s="542">
        <v>0</v>
      </c>
      <c r="AX135" s="542">
        <v>0</v>
      </c>
      <c r="AY135" s="542">
        <v>-14601</v>
      </c>
      <c r="AZ135" s="542">
        <v>0</v>
      </c>
      <c r="BA135" s="542">
        <v>-14601</v>
      </c>
      <c r="BB135" s="542">
        <v>0</v>
      </c>
      <c r="BC135" s="542">
        <v>0</v>
      </c>
      <c r="BD135" s="542">
        <v>0</v>
      </c>
      <c r="BE135" s="542">
        <v>-3160570</v>
      </c>
      <c r="BF135" s="542">
        <v>0</v>
      </c>
      <c r="BG135" s="542">
        <v>-3160570</v>
      </c>
      <c r="BH135" s="542">
        <v>0</v>
      </c>
      <c r="BI135" s="542">
        <v>0</v>
      </c>
      <c r="BJ135" s="542">
        <v>0</v>
      </c>
      <c r="BK135" s="542">
        <v>0</v>
      </c>
      <c r="BL135" s="542">
        <v>0</v>
      </c>
      <c r="BM135" s="542">
        <v>0</v>
      </c>
      <c r="BN135" s="542">
        <v>-390609</v>
      </c>
      <c r="BO135" s="542">
        <v>0</v>
      </c>
      <c r="BP135" s="542">
        <v>-390609</v>
      </c>
      <c r="BQ135" s="542">
        <v>414264</v>
      </c>
      <c r="BR135" s="542">
        <v>0</v>
      </c>
      <c r="BS135" s="542">
        <v>414264</v>
      </c>
      <c r="BT135" s="542">
        <v>23655</v>
      </c>
      <c r="BU135" s="542">
        <v>0</v>
      </c>
      <c r="BV135" s="542">
        <v>23655</v>
      </c>
      <c r="BW135" s="542">
        <v>-28798</v>
      </c>
      <c r="BX135" s="542">
        <v>0</v>
      </c>
      <c r="BY135" s="542">
        <v>-28798</v>
      </c>
      <c r="BZ135" s="542">
        <v>-362</v>
      </c>
      <c r="CA135" s="542">
        <v>0</v>
      </c>
      <c r="CB135" s="542">
        <v>-362</v>
      </c>
      <c r="CC135" s="542">
        <v>-151002</v>
      </c>
      <c r="CD135" s="542">
        <v>0</v>
      </c>
      <c r="CE135" s="542">
        <v>-151002</v>
      </c>
      <c r="CF135" s="542">
        <v>0</v>
      </c>
      <c r="CG135" s="542">
        <v>0</v>
      </c>
      <c r="CH135" s="542">
        <v>0</v>
      </c>
      <c r="CI135" s="542">
        <v>-5765</v>
      </c>
      <c r="CJ135" s="542">
        <v>0</v>
      </c>
      <c r="CK135" s="542">
        <v>-5765</v>
      </c>
      <c r="CL135" s="542">
        <v>0</v>
      </c>
      <c r="CM135" s="542">
        <v>0</v>
      </c>
      <c r="CN135" s="542">
        <v>0</v>
      </c>
      <c r="CO135" s="542">
        <v>-7187</v>
      </c>
      <c r="CP135" s="542">
        <v>0</v>
      </c>
      <c r="CQ135" s="542">
        <v>-7187</v>
      </c>
      <c r="CR135" s="542">
        <v>0</v>
      </c>
      <c r="CS135" s="542">
        <v>0</v>
      </c>
      <c r="CT135" s="542">
        <v>0</v>
      </c>
      <c r="CU135" s="542">
        <v>0</v>
      </c>
      <c r="CV135" s="542">
        <v>0</v>
      </c>
      <c r="CW135" s="542">
        <v>0</v>
      </c>
      <c r="CX135" s="542">
        <v>0</v>
      </c>
      <c r="CY135" s="542">
        <v>0</v>
      </c>
      <c r="CZ135" s="542">
        <v>0</v>
      </c>
      <c r="DA135" s="542">
        <v>0</v>
      </c>
      <c r="DB135" s="542">
        <v>0</v>
      </c>
      <c r="DC135" s="542">
        <v>0</v>
      </c>
      <c r="DD135" s="542">
        <v>0</v>
      </c>
      <c r="DE135" s="542">
        <v>0</v>
      </c>
      <c r="DF135" s="542">
        <v>0</v>
      </c>
      <c r="DG135" s="542"/>
      <c r="DH135" s="542">
        <v>0</v>
      </c>
      <c r="DI135" s="542"/>
      <c r="DJ135" s="542">
        <v>0</v>
      </c>
      <c r="DK135" s="542"/>
      <c r="DL135" s="542"/>
      <c r="DM135" s="542">
        <v>-193114</v>
      </c>
      <c r="DN135" s="542">
        <v>0</v>
      </c>
      <c r="DO135" s="542">
        <v>-193114</v>
      </c>
      <c r="DP135" s="542">
        <v>0</v>
      </c>
      <c r="DQ135" s="542">
        <v>0</v>
      </c>
      <c r="DR135" s="542">
        <v>0</v>
      </c>
      <c r="DS135" s="542">
        <v>0</v>
      </c>
      <c r="DT135" s="542">
        <v>0</v>
      </c>
      <c r="DU135" s="542">
        <v>0</v>
      </c>
      <c r="DV135" s="542">
        <v>-895</v>
      </c>
      <c r="DW135" s="542">
        <v>0</v>
      </c>
      <c r="DX135" s="542">
        <v>-895</v>
      </c>
      <c r="DY135" s="542">
        <v>-437730</v>
      </c>
      <c r="DZ135" s="542">
        <v>0</v>
      </c>
      <c r="EA135" s="542">
        <v>-437730</v>
      </c>
      <c r="EB135" s="542">
        <v>0</v>
      </c>
      <c r="EC135" s="542">
        <v>0</v>
      </c>
      <c r="ED135" s="542">
        <v>0</v>
      </c>
      <c r="EE135" s="542">
        <v>0</v>
      </c>
      <c r="EF135" s="542">
        <v>0</v>
      </c>
      <c r="EG135" s="542">
        <v>0</v>
      </c>
      <c r="EH135" s="542">
        <v>-438625</v>
      </c>
      <c r="EI135" s="542">
        <v>0</v>
      </c>
      <c r="EJ135" s="542">
        <v>-438625</v>
      </c>
      <c r="EK135" s="542">
        <v>-13816</v>
      </c>
      <c r="EL135" s="542">
        <v>0</v>
      </c>
      <c r="EM135" s="542">
        <v>-13816</v>
      </c>
      <c r="EN135" s="542">
        <v>0</v>
      </c>
      <c r="EO135" s="542">
        <v>0</v>
      </c>
      <c r="EP135" s="542">
        <v>0</v>
      </c>
      <c r="EQ135" s="542">
        <v>-13816</v>
      </c>
      <c r="ER135" s="542">
        <v>0</v>
      </c>
      <c r="ES135" s="542">
        <v>-13816</v>
      </c>
      <c r="ET135" s="542">
        <v>28174853</v>
      </c>
      <c r="EU135" s="542">
        <v>0</v>
      </c>
      <c r="EV135" s="542">
        <v>28174853</v>
      </c>
      <c r="EW135" s="542">
        <v>-86528</v>
      </c>
      <c r="EX135" s="542">
        <v>0</v>
      </c>
      <c r="EY135" s="542">
        <v>-86528</v>
      </c>
      <c r="EZ135" s="542">
        <v>-3160570</v>
      </c>
      <c r="FA135" s="542">
        <v>0</v>
      </c>
      <c r="FB135" s="542">
        <v>-3160570</v>
      </c>
      <c r="FC135" s="542">
        <v>23655</v>
      </c>
      <c r="FD135" s="542">
        <v>0</v>
      </c>
      <c r="FE135" s="542">
        <v>23655</v>
      </c>
      <c r="FF135" s="542">
        <v>-193114</v>
      </c>
      <c r="FG135" s="542">
        <v>0</v>
      </c>
      <c r="FH135" s="542">
        <v>-193114</v>
      </c>
      <c r="FI135" s="542">
        <v>-438625</v>
      </c>
      <c r="FJ135" s="542">
        <v>0</v>
      </c>
      <c r="FK135" s="542">
        <v>-438625</v>
      </c>
      <c r="FL135" s="542">
        <v>-13816</v>
      </c>
      <c r="FM135" s="542">
        <v>0</v>
      </c>
      <c r="FN135" s="542">
        <v>-13816</v>
      </c>
      <c r="FO135" s="542">
        <v>-3868998</v>
      </c>
      <c r="FP135" s="542">
        <v>0</v>
      </c>
      <c r="FQ135" s="542">
        <v>-3868998</v>
      </c>
      <c r="FR135" s="542">
        <v>24305855</v>
      </c>
      <c r="FS135" s="542">
        <v>0</v>
      </c>
      <c r="FT135" s="542">
        <v>24305855</v>
      </c>
    </row>
    <row r="136" spans="1:176" ht="12.75" x14ac:dyDescent="0.2">
      <c r="A136" s="93">
        <v>131</v>
      </c>
      <c r="B136" s="145" t="s">
        <v>140</v>
      </c>
      <c r="C136" s="604" t="s">
        <v>871</v>
      </c>
      <c r="D136" s="142" t="s">
        <v>872</v>
      </c>
      <c r="E136" s="149" t="s">
        <v>139</v>
      </c>
      <c r="F136" s="542">
        <v>-95401</v>
      </c>
      <c r="G136" s="542">
        <v>0</v>
      </c>
      <c r="H136" s="542">
        <v>-95401</v>
      </c>
      <c r="I136" s="542">
        <v>64634</v>
      </c>
      <c r="J136" s="542">
        <v>0</v>
      </c>
      <c r="K136" s="542">
        <v>64634</v>
      </c>
      <c r="L136" s="542">
        <v>26287</v>
      </c>
      <c r="M136" s="542">
        <v>0</v>
      </c>
      <c r="N136" s="542">
        <v>26287</v>
      </c>
      <c r="O136" s="542">
        <v>187887</v>
      </c>
      <c r="P136" s="542">
        <v>0</v>
      </c>
      <c r="Q136" s="542">
        <v>187887</v>
      </c>
      <c r="R136" s="542">
        <v>183407</v>
      </c>
      <c r="S136" s="542">
        <v>0</v>
      </c>
      <c r="T136" s="542">
        <v>183407</v>
      </c>
      <c r="U136" s="542">
        <v>-3165226</v>
      </c>
      <c r="V136" s="542">
        <v>0</v>
      </c>
      <c r="W136" s="542">
        <v>-3165226</v>
      </c>
      <c r="X136" s="542">
        <v>0</v>
      </c>
      <c r="Y136" s="542">
        <v>0</v>
      </c>
      <c r="Z136" s="542">
        <v>0</v>
      </c>
      <c r="AA136" s="542">
        <v>-255373</v>
      </c>
      <c r="AB136" s="542">
        <v>0</v>
      </c>
      <c r="AC136" s="542">
        <v>-255373</v>
      </c>
      <c r="AD136" s="542">
        <v>-110798</v>
      </c>
      <c r="AE136" s="542">
        <v>0</v>
      </c>
      <c r="AF136" s="542">
        <v>-110798</v>
      </c>
      <c r="AG136" s="542">
        <v>8094021</v>
      </c>
      <c r="AH136" s="542">
        <v>0</v>
      </c>
      <c r="AI136" s="542">
        <v>8094021</v>
      </c>
      <c r="AJ136" s="542">
        <v>203433</v>
      </c>
      <c r="AK136" s="542">
        <v>0</v>
      </c>
      <c r="AL136" s="542">
        <v>203433</v>
      </c>
      <c r="AM136" s="542">
        <v>-7742349</v>
      </c>
      <c r="AN136" s="542">
        <v>0</v>
      </c>
      <c r="AO136" s="542">
        <v>-7742349</v>
      </c>
      <c r="AP136" s="542">
        <v>-86045</v>
      </c>
      <c r="AQ136" s="542">
        <v>0</v>
      </c>
      <c r="AR136" s="542">
        <v>-86045</v>
      </c>
      <c r="AS136" s="542">
        <v>-46215</v>
      </c>
      <c r="AT136" s="542">
        <v>0</v>
      </c>
      <c r="AU136" s="542">
        <v>-46215</v>
      </c>
      <c r="AV136" s="542">
        <v>0</v>
      </c>
      <c r="AW136" s="542">
        <v>0</v>
      </c>
      <c r="AX136" s="542">
        <v>0</v>
      </c>
      <c r="AY136" s="542">
        <v>0</v>
      </c>
      <c r="AZ136" s="542">
        <v>0</v>
      </c>
      <c r="BA136" s="542">
        <v>0</v>
      </c>
      <c r="BB136" s="542">
        <v>0</v>
      </c>
      <c r="BC136" s="542">
        <v>0</v>
      </c>
      <c r="BD136" s="542">
        <v>0</v>
      </c>
      <c r="BE136" s="542">
        <v>-2997754</v>
      </c>
      <c r="BF136" s="542">
        <v>0</v>
      </c>
      <c r="BG136" s="542">
        <v>-2997754</v>
      </c>
      <c r="BH136" s="542">
        <v>-325253</v>
      </c>
      <c r="BI136" s="542">
        <v>0</v>
      </c>
      <c r="BJ136" s="542">
        <v>-325253</v>
      </c>
      <c r="BK136" s="542">
        <v>-1027816</v>
      </c>
      <c r="BL136" s="542">
        <v>0</v>
      </c>
      <c r="BM136" s="542">
        <v>-1027816</v>
      </c>
      <c r="BN136" s="542">
        <v>-12757521</v>
      </c>
      <c r="BO136" s="542">
        <v>0</v>
      </c>
      <c r="BP136" s="542">
        <v>-12757521</v>
      </c>
      <c r="BQ136" s="542">
        <v>534311</v>
      </c>
      <c r="BR136" s="542">
        <v>0</v>
      </c>
      <c r="BS136" s="542">
        <v>534311</v>
      </c>
      <c r="BT136" s="542">
        <v>-13576279</v>
      </c>
      <c r="BU136" s="542">
        <v>0</v>
      </c>
      <c r="BV136" s="542">
        <v>-13576279</v>
      </c>
      <c r="BW136" s="542">
        <v>-211448</v>
      </c>
      <c r="BX136" s="542">
        <v>0</v>
      </c>
      <c r="BY136" s="542">
        <v>-211448</v>
      </c>
      <c r="BZ136" s="542">
        <v>-1292</v>
      </c>
      <c r="CA136" s="542">
        <v>0</v>
      </c>
      <c r="CB136" s="542">
        <v>-1292</v>
      </c>
      <c r="CC136" s="542">
        <v>-16088</v>
      </c>
      <c r="CD136" s="542">
        <v>0</v>
      </c>
      <c r="CE136" s="542">
        <v>-16088</v>
      </c>
      <c r="CF136" s="542">
        <v>1246</v>
      </c>
      <c r="CG136" s="542">
        <v>0</v>
      </c>
      <c r="CH136" s="542">
        <v>1246</v>
      </c>
      <c r="CI136" s="542">
        <v>0</v>
      </c>
      <c r="CJ136" s="542">
        <v>0</v>
      </c>
      <c r="CK136" s="542">
        <v>0</v>
      </c>
      <c r="CL136" s="542">
        <v>0</v>
      </c>
      <c r="CM136" s="542">
        <v>0</v>
      </c>
      <c r="CN136" s="542">
        <v>0</v>
      </c>
      <c r="CO136" s="542">
        <v>0</v>
      </c>
      <c r="CP136" s="542">
        <v>0</v>
      </c>
      <c r="CQ136" s="542">
        <v>0</v>
      </c>
      <c r="CR136" s="542">
        <v>0</v>
      </c>
      <c r="CS136" s="542">
        <v>0</v>
      </c>
      <c r="CT136" s="542">
        <v>0</v>
      </c>
      <c r="CU136" s="542">
        <v>0</v>
      </c>
      <c r="CV136" s="542">
        <v>0</v>
      </c>
      <c r="CW136" s="542">
        <v>0</v>
      </c>
      <c r="CX136" s="542">
        <v>0</v>
      </c>
      <c r="CY136" s="542">
        <v>0</v>
      </c>
      <c r="CZ136" s="542">
        <v>0</v>
      </c>
      <c r="DA136" s="542">
        <v>0</v>
      </c>
      <c r="DB136" s="542">
        <v>0</v>
      </c>
      <c r="DC136" s="542">
        <v>0</v>
      </c>
      <c r="DD136" s="542">
        <v>0</v>
      </c>
      <c r="DE136" s="542">
        <v>0</v>
      </c>
      <c r="DF136" s="542">
        <v>0</v>
      </c>
      <c r="DG136" s="542"/>
      <c r="DH136" s="542">
        <v>0</v>
      </c>
      <c r="DI136" s="542"/>
      <c r="DJ136" s="542">
        <v>0</v>
      </c>
      <c r="DK136" s="542"/>
      <c r="DL136" s="542"/>
      <c r="DM136" s="542">
        <v>-227582</v>
      </c>
      <c r="DN136" s="542">
        <v>0</v>
      </c>
      <c r="DO136" s="542">
        <v>-227582</v>
      </c>
      <c r="DP136" s="542">
        <v>0</v>
      </c>
      <c r="DQ136" s="542">
        <v>0</v>
      </c>
      <c r="DR136" s="542">
        <v>0</v>
      </c>
      <c r="DS136" s="542">
        <v>0</v>
      </c>
      <c r="DT136" s="542">
        <v>0</v>
      </c>
      <c r="DU136" s="542">
        <v>0</v>
      </c>
      <c r="DV136" s="542">
        <v>0</v>
      </c>
      <c r="DW136" s="542">
        <v>0</v>
      </c>
      <c r="DX136" s="542">
        <v>0</v>
      </c>
      <c r="DY136" s="542">
        <v>-820309</v>
      </c>
      <c r="DZ136" s="542">
        <v>0</v>
      </c>
      <c r="EA136" s="542">
        <v>-820309</v>
      </c>
      <c r="EB136" s="542">
        <v>0</v>
      </c>
      <c r="EC136" s="542">
        <v>0</v>
      </c>
      <c r="ED136" s="542">
        <v>0</v>
      </c>
      <c r="EE136" s="542">
        <v>0</v>
      </c>
      <c r="EF136" s="542">
        <v>0</v>
      </c>
      <c r="EG136" s="542">
        <v>0</v>
      </c>
      <c r="EH136" s="542">
        <v>-820309</v>
      </c>
      <c r="EI136" s="542">
        <v>0</v>
      </c>
      <c r="EJ136" s="542">
        <v>-820309</v>
      </c>
      <c r="EK136" s="542">
        <v>0</v>
      </c>
      <c r="EL136" s="542">
        <v>0</v>
      </c>
      <c r="EM136" s="542">
        <v>0</v>
      </c>
      <c r="EN136" s="542">
        <v>0</v>
      </c>
      <c r="EO136" s="542">
        <v>0</v>
      </c>
      <c r="EP136" s="542">
        <v>0</v>
      </c>
      <c r="EQ136" s="542">
        <v>0</v>
      </c>
      <c r="ER136" s="542">
        <v>0</v>
      </c>
      <c r="ES136" s="542">
        <v>0</v>
      </c>
      <c r="ET136" s="542">
        <v>362403521</v>
      </c>
      <c r="EU136" s="542">
        <v>0</v>
      </c>
      <c r="EV136" s="542">
        <v>362403521</v>
      </c>
      <c r="EW136" s="542">
        <v>183407</v>
      </c>
      <c r="EX136" s="542">
        <v>0</v>
      </c>
      <c r="EY136" s="542">
        <v>183407</v>
      </c>
      <c r="EZ136" s="542">
        <v>-2997754</v>
      </c>
      <c r="FA136" s="542">
        <v>0</v>
      </c>
      <c r="FB136" s="542">
        <v>-2997754</v>
      </c>
      <c r="FC136" s="542">
        <v>-13576279</v>
      </c>
      <c r="FD136" s="542">
        <v>0</v>
      </c>
      <c r="FE136" s="542">
        <v>-13576279</v>
      </c>
      <c r="FF136" s="542">
        <v>-227582</v>
      </c>
      <c r="FG136" s="542">
        <v>0</v>
      </c>
      <c r="FH136" s="542">
        <v>-227582</v>
      </c>
      <c r="FI136" s="542">
        <v>-820309</v>
      </c>
      <c r="FJ136" s="542">
        <v>0</v>
      </c>
      <c r="FK136" s="542">
        <v>-820309</v>
      </c>
      <c r="FL136" s="542">
        <v>0</v>
      </c>
      <c r="FM136" s="542">
        <v>0</v>
      </c>
      <c r="FN136" s="542">
        <v>0</v>
      </c>
      <c r="FO136" s="542">
        <v>-17438517</v>
      </c>
      <c r="FP136" s="542">
        <v>0</v>
      </c>
      <c r="FQ136" s="542">
        <v>-17438517</v>
      </c>
      <c r="FR136" s="542">
        <v>344965004</v>
      </c>
      <c r="FS136" s="542">
        <v>0</v>
      </c>
      <c r="FT136" s="542">
        <v>344965004</v>
      </c>
    </row>
    <row r="137" spans="1:176" ht="12.75" x14ac:dyDescent="0.2">
      <c r="A137" s="93">
        <v>132</v>
      </c>
      <c r="B137" s="145" t="s">
        <v>142</v>
      </c>
      <c r="C137" s="604" t="s">
        <v>866</v>
      </c>
      <c r="D137" s="142" t="s">
        <v>869</v>
      </c>
      <c r="E137" s="149" t="s">
        <v>701</v>
      </c>
      <c r="F137" s="542">
        <v>-12136</v>
      </c>
      <c r="G137" s="542">
        <v>0</v>
      </c>
      <c r="H137" s="542">
        <v>-12136</v>
      </c>
      <c r="I137" s="542">
        <v>56859</v>
      </c>
      <c r="J137" s="542">
        <v>0</v>
      </c>
      <c r="K137" s="542">
        <v>56859</v>
      </c>
      <c r="L137" s="542">
        <v>0</v>
      </c>
      <c r="M137" s="542">
        <v>0</v>
      </c>
      <c r="N137" s="542">
        <v>0</v>
      </c>
      <c r="O137" s="542">
        <v>241725</v>
      </c>
      <c r="P137" s="542">
        <v>0</v>
      </c>
      <c r="Q137" s="542">
        <v>241725</v>
      </c>
      <c r="R137" s="542">
        <v>286448</v>
      </c>
      <c r="S137" s="542">
        <v>0</v>
      </c>
      <c r="T137" s="542">
        <v>286448</v>
      </c>
      <c r="U137" s="542">
        <v>-2243051</v>
      </c>
      <c r="V137" s="542">
        <v>0</v>
      </c>
      <c r="W137" s="542">
        <v>-2243051</v>
      </c>
      <c r="X137" s="542">
        <v>-1089</v>
      </c>
      <c r="Y137" s="542">
        <v>0</v>
      </c>
      <c r="Z137" s="542">
        <v>-1089</v>
      </c>
      <c r="AA137" s="542">
        <v>-62620</v>
      </c>
      <c r="AB137" s="542">
        <v>0</v>
      </c>
      <c r="AC137" s="542">
        <v>-62620</v>
      </c>
      <c r="AD137" s="542">
        <v>0</v>
      </c>
      <c r="AE137" s="542">
        <v>0</v>
      </c>
      <c r="AF137" s="542">
        <v>0</v>
      </c>
      <c r="AG137" s="542">
        <v>645518</v>
      </c>
      <c r="AH137" s="542">
        <v>0</v>
      </c>
      <c r="AI137" s="542">
        <v>645518</v>
      </c>
      <c r="AJ137" s="542">
        <v>-16336</v>
      </c>
      <c r="AK137" s="542">
        <v>0</v>
      </c>
      <c r="AL137" s="542">
        <v>-16336</v>
      </c>
      <c r="AM137" s="542">
        <v>-1698667</v>
      </c>
      <c r="AN137" s="542">
        <v>0</v>
      </c>
      <c r="AO137" s="542">
        <v>-1698667</v>
      </c>
      <c r="AP137" s="542">
        <v>104205</v>
      </c>
      <c r="AQ137" s="542">
        <v>0</v>
      </c>
      <c r="AR137" s="542">
        <v>104205</v>
      </c>
      <c r="AS137" s="542">
        <v>-6015</v>
      </c>
      <c r="AT137" s="542">
        <v>0</v>
      </c>
      <c r="AU137" s="542">
        <v>-6015</v>
      </c>
      <c r="AV137" s="542">
        <v>0</v>
      </c>
      <c r="AW137" s="542">
        <v>0</v>
      </c>
      <c r="AX137" s="542">
        <v>0</v>
      </c>
      <c r="AY137" s="542">
        <v>-12448</v>
      </c>
      <c r="AZ137" s="542">
        <v>0</v>
      </c>
      <c r="BA137" s="542">
        <v>-12448</v>
      </c>
      <c r="BB137" s="542">
        <v>-4017</v>
      </c>
      <c r="BC137" s="542">
        <v>0</v>
      </c>
      <c r="BD137" s="542">
        <v>-4017</v>
      </c>
      <c r="BE137" s="542">
        <v>-3293431</v>
      </c>
      <c r="BF137" s="542">
        <v>0</v>
      </c>
      <c r="BG137" s="542">
        <v>-3293431</v>
      </c>
      <c r="BH137" s="542">
        <v>-18888</v>
      </c>
      <c r="BI137" s="542">
        <v>0</v>
      </c>
      <c r="BJ137" s="542">
        <v>-18888</v>
      </c>
      <c r="BK137" s="542">
        <v>-138461</v>
      </c>
      <c r="BL137" s="542">
        <v>0</v>
      </c>
      <c r="BM137" s="542">
        <v>-138461</v>
      </c>
      <c r="BN137" s="542">
        <v>-506103</v>
      </c>
      <c r="BO137" s="542">
        <v>0</v>
      </c>
      <c r="BP137" s="542">
        <v>-506103</v>
      </c>
      <c r="BQ137" s="542">
        <v>-210460</v>
      </c>
      <c r="BR137" s="542">
        <v>0</v>
      </c>
      <c r="BS137" s="542">
        <v>-210460</v>
      </c>
      <c r="BT137" s="542">
        <v>-873912</v>
      </c>
      <c r="BU137" s="542">
        <v>0</v>
      </c>
      <c r="BV137" s="542">
        <v>-873912</v>
      </c>
      <c r="BW137" s="542">
        <v>-69572</v>
      </c>
      <c r="BX137" s="542">
        <v>0</v>
      </c>
      <c r="BY137" s="542">
        <v>-69572</v>
      </c>
      <c r="BZ137" s="542">
        <v>955</v>
      </c>
      <c r="CA137" s="542">
        <v>0</v>
      </c>
      <c r="CB137" s="542">
        <v>955</v>
      </c>
      <c r="CC137" s="542">
        <v>-80215</v>
      </c>
      <c r="CD137" s="542">
        <v>0</v>
      </c>
      <c r="CE137" s="542">
        <v>-80215</v>
      </c>
      <c r="CF137" s="542">
        <v>1803</v>
      </c>
      <c r="CG137" s="542">
        <v>0</v>
      </c>
      <c r="CH137" s="542">
        <v>1803</v>
      </c>
      <c r="CI137" s="542">
        <v>-1503</v>
      </c>
      <c r="CJ137" s="542">
        <v>0</v>
      </c>
      <c r="CK137" s="542">
        <v>-1503</v>
      </c>
      <c r="CL137" s="542">
        <v>0</v>
      </c>
      <c r="CM137" s="542">
        <v>0</v>
      </c>
      <c r="CN137" s="542">
        <v>0</v>
      </c>
      <c r="CO137" s="542">
        <v>0</v>
      </c>
      <c r="CP137" s="542">
        <v>0</v>
      </c>
      <c r="CQ137" s="542">
        <v>0</v>
      </c>
      <c r="CR137" s="542">
        <v>0</v>
      </c>
      <c r="CS137" s="542">
        <v>0</v>
      </c>
      <c r="CT137" s="542">
        <v>0</v>
      </c>
      <c r="CU137" s="542">
        <v>0</v>
      </c>
      <c r="CV137" s="542">
        <v>0</v>
      </c>
      <c r="CW137" s="542">
        <v>0</v>
      </c>
      <c r="CX137" s="542">
        <v>0</v>
      </c>
      <c r="CY137" s="542">
        <v>0</v>
      </c>
      <c r="CZ137" s="542">
        <v>0</v>
      </c>
      <c r="DA137" s="542">
        <v>0</v>
      </c>
      <c r="DB137" s="542">
        <v>0</v>
      </c>
      <c r="DC137" s="542">
        <v>0</v>
      </c>
      <c r="DD137" s="542">
        <v>0</v>
      </c>
      <c r="DE137" s="542">
        <v>0</v>
      </c>
      <c r="DF137" s="542">
        <v>0</v>
      </c>
      <c r="DG137" s="542"/>
      <c r="DH137" s="542">
        <v>0</v>
      </c>
      <c r="DI137" s="542"/>
      <c r="DJ137" s="542">
        <v>0</v>
      </c>
      <c r="DK137" s="542"/>
      <c r="DL137" s="542"/>
      <c r="DM137" s="542">
        <v>-148532</v>
      </c>
      <c r="DN137" s="542">
        <v>0</v>
      </c>
      <c r="DO137" s="542">
        <v>-148532</v>
      </c>
      <c r="DP137" s="542">
        <v>-3917</v>
      </c>
      <c r="DQ137" s="542">
        <v>0</v>
      </c>
      <c r="DR137" s="542">
        <v>-3917</v>
      </c>
      <c r="DS137" s="542">
        <v>0</v>
      </c>
      <c r="DT137" s="542">
        <v>0</v>
      </c>
      <c r="DU137" s="542">
        <v>0</v>
      </c>
      <c r="DV137" s="542">
        <v>0</v>
      </c>
      <c r="DW137" s="542">
        <v>0</v>
      </c>
      <c r="DX137" s="542">
        <v>0</v>
      </c>
      <c r="DY137" s="542">
        <v>-230854</v>
      </c>
      <c r="DZ137" s="542">
        <v>0</v>
      </c>
      <c r="EA137" s="542">
        <v>-230854</v>
      </c>
      <c r="EB137" s="542">
        <v>0</v>
      </c>
      <c r="EC137" s="542">
        <v>0</v>
      </c>
      <c r="ED137" s="542">
        <v>0</v>
      </c>
      <c r="EE137" s="542">
        <v>0</v>
      </c>
      <c r="EF137" s="542">
        <v>0</v>
      </c>
      <c r="EG137" s="542">
        <v>0</v>
      </c>
      <c r="EH137" s="542">
        <v>-234771</v>
      </c>
      <c r="EI137" s="542">
        <v>0</v>
      </c>
      <c r="EJ137" s="542">
        <v>-234771</v>
      </c>
      <c r="EK137" s="542">
        <v>0</v>
      </c>
      <c r="EL137" s="542">
        <v>0</v>
      </c>
      <c r="EM137" s="542">
        <v>0</v>
      </c>
      <c r="EN137" s="542">
        <v>0</v>
      </c>
      <c r="EO137" s="542">
        <v>0</v>
      </c>
      <c r="EP137" s="542">
        <v>0</v>
      </c>
      <c r="EQ137" s="542">
        <v>0</v>
      </c>
      <c r="ER137" s="542">
        <v>0</v>
      </c>
      <c r="ES137" s="542">
        <v>0</v>
      </c>
      <c r="ET137" s="542">
        <v>31666287</v>
      </c>
      <c r="EU137" s="542">
        <v>950243</v>
      </c>
      <c r="EV137" s="542">
        <v>32616530</v>
      </c>
      <c r="EW137" s="542">
        <v>286448</v>
      </c>
      <c r="EX137" s="542">
        <v>0</v>
      </c>
      <c r="EY137" s="542">
        <v>286448</v>
      </c>
      <c r="EZ137" s="542">
        <v>-3293431</v>
      </c>
      <c r="FA137" s="542">
        <v>0</v>
      </c>
      <c r="FB137" s="542">
        <v>-3293431</v>
      </c>
      <c r="FC137" s="542">
        <v>-873912</v>
      </c>
      <c r="FD137" s="542">
        <v>0</v>
      </c>
      <c r="FE137" s="542">
        <v>-873912</v>
      </c>
      <c r="FF137" s="542">
        <v>-148532</v>
      </c>
      <c r="FG137" s="542">
        <v>0</v>
      </c>
      <c r="FH137" s="542">
        <v>-148532</v>
      </c>
      <c r="FI137" s="542">
        <v>-234771</v>
      </c>
      <c r="FJ137" s="542">
        <v>0</v>
      </c>
      <c r="FK137" s="542">
        <v>-234771</v>
      </c>
      <c r="FL137" s="542">
        <v>0</v>
      </c>
      <c r="FM137" s="542">
        <v>0</v>
      </c>
      <c r="FN137" s="542">
        <v>0</v>
      </c>
      <c r="FO137" s="542">
        <v>-4264198</v>
      </c>
      <c r="FP137" s="542">
        <v>0</v>
      </c>
      <c r="FQ137" s="542">
        <v>-4264198</v>
      </c>
      <c r="FR137" s="542">
        <v>27402089</v>
      </c>
      <c r="FS137" s="542">
        <v>950243</v>
      </c>
      <c r="FT137" s="542">
        <v>28352332</v>
      </c>
    </row>
    <row r="138" spans="1:176" ht="12.75" x14ac:dyDescent="0.2">
      <c r="A138" s="93">
        <v>133</v>
      </c>
      <c r="B138" s="145" t="s">
        <v>144</v>
      </c>
      <c r="C138" s="604" t="s">
        <v>866</v>
      </c>
      <c r="D138" s="142" t="s">
        <v>867</v>
      </c>
      <c r="E138" s="149" t="s">
        <v>143</v>
      </c>
      <c r="F138" s="542">
        <v>-22714</v>
      </c>
      <c r="G138" s="542">
        <v>0</v>
      </c>
      <c r="H138" s="542">
        <v>-22714</v>
      </c>
      <c r="I138" s="542">
        <v>130541</v>
      </c>
      <c r="J138" s="542">
        <v>0</v>
      </c>
      <c r="K138" s="542">
        <v>130541</v>
      </c>
      <c r="L138" s="542">
        <v>23282</v>
      </c>
      <c r="M138" s="542">
        <v>0</v>
      </c>
      <c r="N138" s="542">
        <v>23282</v>
      </c>
      <c r="O138" s="542">
        <v>6897</v>
      </c>
      <c r="P138" s="542">
        <v>0</v>
      </c>
      <c r="Q138" s="542">
        <v>6897</v>
      </c>
      <c r="R138" s="542">
        <v>138006</v>
      </c>
      <c r="S138" s="542">
        <v>0</v>
      </c>
      <c r="T138" s="542">
        <v>138006</v>
      </c>
      <c r="U138" s="542">
        <v>-2634131</v>
      </c>
      <c r="V138" s="542">
        <v>0</v>
      </c>
      <c r="W138" s="542">
        <v>-2634131</v>
      </c>
      <c r="X138" s="542">
        <v>0</v>
      </c>
      <c r="Y138" s="542">
        <v>0</v>
      </c>
      <c r="Z138" s="542">
        <v>0</v>
      </c>
      <c r="AA138" s="542">
        <v>-283862</v>
      </c>
      <c r="AB138" s="542">
        <v>0</v>
      </c>
      <c r="AC138" s="542">
        <v>-283862</v>
      </c>
      <c r="AD138" s="542">
        <v>-112338</v>
      </c>
      <c r="AE138" s="542">
        <v>0</v>
      </c>
      <c r="AF138" s="542">
        <v>-112338</v>
      </c>
      <c r="AG138" s="542">
        <v>899475</v>
      </c>
      <c r="AH138" s="542">
        <v>0</v>
      </c>
      <c r="AI138" s="542">
        <v>899475</v>
      </c>
      <c r="AJ138" s="542">
        <v>-24716</v>
      </c>
      <c r="AK138" s="542">
        <v>0</v>
      </c>
      <c r="AL138" s="542">
        <v>-24716</v>
      </c>
      <c r="AM138" s="542">
        <v>-2676166</v>
      </c>
      <c r="AN138" s="542">
        <v>0</v>
      </c>
      <c r="AO138" s="542">
        <v>-2676166</v>
      </c>
      <c r="AP138" s="542">
        <v>59149</v>
      </c>
      <c r="AQ138" s="542">
        <v>0</v>
      </c>
      <c r="AR138" s="542">
        <v>59149</v>
      </c>
      <c r="AS138" s="542">
        <v>-50347</v>
      </c>
      <c r="AT138" s="542">
        <v>0</v>
      </c>
      <c r="AU138" s="542">
        <v>-50347</v>
      </c>
      <c r="AV138" s="542">
        <v>0</v>
      </c>
      <c r="AW138" s="542">
        <v>0</v>
      </c>
      <c r="AX138" s="542">
        <v>0</v>
      </c>
      <c r="AY138" s="542">
        <v>-17908</v>
      </c>
      <c r="AZ138" s="542">
        <v>0</v>
      </c>
      <c r="BA138" s="542">
        <v>-17908</v>
      </c>
      <c r="BB138" s="542">
        <v>0</v>
      </c>
      <c r="BC138" s="542">
        <v>0</v>
      </c>
      <c r="BD138" s="542">
        <v>0</v>
      </c>
      <c r="BE138" s="542">
        <v>-4728506</v>
      </c>
      <c r="BF138" s="542">
        <v>0</v>
      </c>
      <c r="BG138" s="542">
        <v>-4728506</v>
      </c>
      <c r="BH138" s="542">
        <v>-20107</v>
      </c>
      <c r="BI138" s="542">
        <v>0</v>
      </c>
      <c r="BJ138" s="542">
        <v>-20107</v>
      </c>
      <c r="BK138" s="542">
        <v>-6670</v>
      </c>
      <c r="BL138" s="542">
        <v>0</v>
      </c>
      <c r="BM138" s="542">
        <v>-6670</v>
      </c>
      <c r="BN138" s="542">
        <v>-1156356</v>
      </c>
      <c r="BO138" s="542">
        <v>0</v>
      </c>
      <c r="BP138" s="542">
        <v>-1156356</v>
      </c>
      <c r="BQ138" s="542">
        <v>-28635</v>
      </c>
      <c r="BR138" s="542">
        <v>0</v>
      </c>
      <c r="BS138" s="542">
        <v>-28635</v>
      </c>
      <c r="BT138" s="542">
        <v>-1211768</v>
      </c>
      <c r="BU138" s="542">
        <v>0</v>
      </c>
      <c r="BV138" s="542">
        <v>-1211768</v>
      </c>
      <c r="BW138" s="542">
        <v>-69450</v>
      </c>
      <c r="BX138" s="542">
        <v>0</v>
      </c>
      <c r="BY138" s="542">
        <v>-69450</v>
      </c>
      <c r="BZ138" s="542">
        <v>-1715</v>
      </c>
      <c r="CA138" s="542">
        <v>0</v>
      </c>
      <c r="CB138" s="542">
        <v>-1715</v>
      </c>
      <c r="CC138" s="542">
        <v>-447395</v>
      </c>
      <c r="CD138" s="542">
        <v>0</v>
      </c>
      <c r="CE138" s="542">
        <v>-447395</v>
      </c>
      <c r="CF138" s="542">
        <v>2960</v>
      </c>
      <c r="CG138" s="542">
        <v>0</v>
      </c>
      <c r="CH138" s="542">
        <v>2960</v>
      </c>
      <c r="CI138" s="542">
        <v>-3331</v>
      </c>
      <c r="CJ138" s="542">
        <v>0</v>
      </c>
      <c r="CK138" s="542">
        <v>-3331</v>
      </c>
      <c r="CL138" s="542">
        <v>0</v>
      </c>
      <c r="CM138" s="542">
        <v>0</v>
      </c>
      <c r="CN138" s="542">
        <v>0</v>
      </c>
      <c r="CO138" s="542">
        <v>-3490</v>
      </c>
      <c r="CP138" s="542">
        <v>0</v>
      </c>
      <c r="CQ138" s="542">
        <v>-3490</v>
      </c>
      <c r="CR138" s="542">
        <v>0</v>
      </c>
      <c r="CS138" s="542">
        <v>0</v>
      </c>
      <c r="CT138" s="542">
        <v>0</v>
      </c>
      <c r="CU138" s="542">
        <v>0</v>
      </c>
      <c r="CV138" s="542">
        <v>0</v>
      </c>
      <c r="CW138" s="542">
        <v>0</v>
      </c>
      <c r="CX138" s="542">
        <v>2150</v>
      </c>
      <c r="CY138" s="542">
        <v>0</v>
      </c>
      <c r="CZ138" s="542">
        <v>2150</v>
      </c>
      <c r="DA138" s="542">
        <v>0</v>
      </c>
      <c r="DB138" s="542">
        <v>0</v>
      </c>
      <c r="DC138" s="542">
        <v>0</v>
      </c>
      <c r="DD138" s="542">
        <v>0</v>
      </c>
      <c r="DE138" s="542">
        <v>0</v>
      </c>
      <c r="DF138" s="542">
        <v>0</v>
      </c>
      <c r="DG138" s="542"/>
      <c r="DH138" s="542">
        <v>0</v>
      </c>
      <c r="DI138" s="542"/>
      <c r="DJ138" s="542">
        <v>0</v>
      </c>
      <c r="DK138" s="542"/>
      <c r="DL138" s="542"/>
      <c r="DM138" s="542">
        <v>-520271</v>
      </c>
      <c r="DN138" s="542">
        <v>0</v>
      </c>
      <c r="DO138" s="542">
        <v>-520271</v>
      </c>
      <c r="DP138" s="542">
        <v>0</v>
      </c>
      <c r="DQ138" s="542">
        <v>0</v>
      </c>
      <c r="DR138" s="542">
        <v>0</v>
      </c>
      <c r="DS138" s="542">
        <v>0</v>
      </c>
      <c r="DT138" s="542">
        <v>0</v>
      </c>
      <c r="DU138" s="542">
        <v>0</v>
      </c>
      <c r="DV138" s="542">
        <v>-836</v>
      </c>
      <c r="DW138" s="542">
        <v>0</v>
      </c>
      <c r="DX138" s="542">
        <v>-836</v>
      </c>
      <c r="DY138" s="542">
        <v>-515700</v>
      </c>
      <c r="DZ138" s="542">
        <v>0</v>
      </c>
      <c r="EA138" s="542">
        <v>-515700</v>
      </c>
      <c r="EB138" s="542">
        <v>0</v>
      </c>
      <c r="EC138" s="542">
        <v>0</v>
      </c>
      <c r="ED138" s="542">
        <v>0</v>
      </c>
      <c r="EE138" s="542">
        <v>-42151</v>
      </c>
      <c r="EF138" s="542">
        <v>0</v>
      </c>
      <c r="EG138" s="542">
        <v>-42151</v>
      </c>
      <c r="EH138" s="542">
        <v>-558687</v>
      </c>
      <c r="EI138" s="542">
        <v>0</v>
      </c>
      <c r="EJ138" s="542">
        <v>-558687</v>
      </c>
      <c r="EK138" s="542">
        <v>0</v>
      </c>
      <c r="EL138" s="542">
        <v>0</v>
      </c>
      <c r="EM138" s="542">
        <v>0</v>
      </c>
      <c r="EN138" s="542">
        <v>0</v>
      </c>
      <c r="EO138" s="542">
        <v>0</v>
      </c>
      <c r="EP138" s="542">
        <v>0</v>
      </c>
      <c r="EQ138" s="542">
        <v>0</v>
      </c>
      <c r="ER138" s="542">
        <v>0</v>
      </c>
      <c r="ES138" s="542">
        <v>0</v>
      </c>
      <c r="ET138" s="542">
        <v>46281051</v>
      </c>
      <c r="EU138" s="542">
        <v>0</v>
      </c>
      <c r="EV138" s="542">
        <v>46281051</v>
      </c>
      <c r="EW138" s="542">
        <v>138006</v>
      </c>
      <c r="EX138" s="542">
        <v>0</v>
      </c>
      <c r="EY138" s="542">
        <v>138006</v>
      </c>
      <c r="EZ138" s="542">
        <v>-4728506</v>
      </c>
      <c r="FA138" s="542">
        <v>0</v>
      </c>
      <c r="FB138" s="542">
        <v>-4728506</v>
      </c>
      <c r="FC138" s="542">
        <v>-1211768</v>
      </c>
      <c r="FD138" s="542">
        <v>0</v>
      </c>
      <c r="FE138" s="542">
        <v>-1211768</v>
      </c>
      <c r="FF138" s="542">
        <v>-520271</v>
      </c>
      <c r="FG138" s="542">
        <v>0</v>
      </c>
      <c r="FH138" s="542">
        <v>-520271</v>
      </c>
      <c r="FI138" s="542">
        <v>-558687</v>
      </c>
      <c r="FJ138" s="542">
        <v>0</v>
      </c>
      <c r="FK138" s="542">
        <v>-558687</v>
      </c>
      <c r="FL138" s="542">
        <v>0</v>
      </c>
      <c r="FM138" s="542">
        <v>0</v>
      </c>
      <c r="FN138" s="542">
        <v>0</v>
      </c>
      <c r="FO138" s="542">
        <v>-6881226</v>
      </c>
      <c r="FP138" s="542">
        <v>0</v>
      </c>
      <c r="FQ138" s="542">
        <v>-6881226</v>
      </c>
      <c r="FR138" s="542">
        <v>39399825</v>
      </c>
      <c r="FS138" s="542">
        <v>0</v>
      </c>
      <c r="FT138" s="542">
        <v>39399825</v>
      </c>
    </row>
    <row r="139" spans="1:176" ht="12.75" x14ac:dyDescent="0.2">
      <c r="A139" s="93">
        <v>134</v>
      </c>
      <c r="B139" s="145" t="s">
        <v>146</v>
      </c>
      <c r="C139" s="604" t="s">
        <v>871</v>
      </c>
      <c r="D139" s="142" t="s">
        <v>872</v>
      </c>
      <c r="E139" s="149" t="s">
        <v>145</v>
      </c>
      <c r="F139" s="542">
        <v>-414500</v>
      </c>
      <c r="G139" s="542">
        <v>0</v>
      </c>
      <c r="H139" s="542">
        <v>-414500</v>
      </c>
      <c r="I139" s="542">
        <v>1063853</v>
      </c>
      <c r="J139" s="542">
        <v>0</v>
      </c>
      <c r="K139" s="542">
        <v>1063853</v>
      </c>
      <c r="L139" s="542">
        <v>112658</v>
      </c>
      <c r="M139" s="542">
        <v>0</v>
      </c>
      <c r="N139" s="542">
        <v>112658</v>
      </c>
      <c r="O139" s="542">
        <v>664905</v>
      </c>
      <c r="P139" s="542">
        <v>0</v>
      </c>
      <c r="Q139" s="542">
        <v>664905</v>
      </c>
      <c r="R139" s="542">
        <v>1426916</v>
      </c>
      <c r="S139" s="542">
        <v>0</v>
      </c>
      <c r="T139" s="542">
        <v>1426916</v>
      </c>
      <c r="U139" s="542">
        <v>-2739733</v>
      </c>
      <c r="V139" s="542">
        <v>0</v>
      </c>
      <c r="W139" s="542">
        <v>-2739733</v>
      </c>
      <c r="X139" s="542">
        <v>-2599</v>
      </c>
      <c r="Y139" s="542">
        <v>0</v>
      </c>
      <c r="Z139" s="542">
        <v>-2599</v>
      </c>
      <c r="AA139" s="542">
        <v>-216983</v>
      </c>
      <c r="AB139" s="542">
        <v>0</v>
      </c>
      <c r="AC139" s="542">
        <v>-216983</v>
      </c>
      <c r="AD139" s="542">
        <v>-114204</v>
      </c>
      <c r="AE139" s="542">
        <v>0</v>
      </c>
      <c r="AF139" s="542">
        <v>-114204</v>
      </c>
      <c r="AG139" s="542">
        <v>3591583</v>
      </c>
      <c r="AH139" s="542">
        <v>0</v>
      </c>
      <c r="AI139" s="542">
        <v>3591583</v>
      </c>
      <c r="AJ139" s="542">
        <v>-121933</v>
      </c>
      <c r="AK139" s="542">
        <v>0</v>
      </c>
      <c r="AL139" s="542">
        <v>-121933</v>
      </c>
      <c r="AM139" s="542">
        <v>-4932129</v>
      </c>
      <c r="AN139" s="542">
        <v>0</v>
      </c>
      <c r="AO139" s="542">
        <v>-4932129</v>
      </c>
      <c r="AP139" s="542">
        <v>348647</v>
      </c>
      <c r="AQ139" s="542">
        <v>0</v>
      </c>
      <c r="AR139" s="542">
        <v>348647</v>
      </c>
      <c r="AS139" s="542">
        <v>-53155</v>
      </c>
      <c r="AT139" s="542">
        <v>0</v>
      </c>
      <c r="AU139" s="542">
        <v>-53155</v>
      </c>
      <c r="AV139" s="542">
        <v>0</v>
      </c>
      <c r="AW139" s="542">
        <v>0</v>
      </c>
      <c r="AX139" s="542">
        <v>0</v>
      </c>
      <c r="AY139" s="542">
        <v>0</v>
      </c>
      <c r="AZ139" s="542">
        <v>0</v>
      </c>
      <c r="BA139" s="542">
        <v>0</v>
      </c>
      <c r="BB139" s="542">
        <v>0</v>
      </c>
      <c r="BC139" s="542">
        <v>0</v>
      </c>
      <c r="BD139" s="542">
        <v>0</v>
      </c>
      <c r="BE139" s="542">
        <v>-4123703</v>
      </c>
      <c r="BF139" s="542">
        <v>0</v>
      </c>
      <c r="BG139" s="542">
        <v>-4123703</v>
      </c>
      <c r="BH139" s="542">
        <v>-113459</v>
      </c>
      <c r="BI139" s="542">
        <v>0</v>
      </c>
      <c r="BJ139" s="542">
        <v>-113459</v>
      </c>
      <c r="BK139" s="542">
        <v>-221904</v>
      </c>
      <c r="BL139" s="542">
        <v>0</v>
      </c>
      <c r="BM139" s="542">
        <v>-221904</v>
      </c>
      <c r="BN139" s="542">
        <v>-6446657</v>
      </c>
      <c r="BO139" s="542">
        <v>0</v>
      </c>
      <c r="BP139" s="542">
        <v>-6446657</v>
      </c>
      <c r="BQ139" s="542">
        <v>282648</v>
      </c>
      <c r="BR139" s="542">
        <v>0</v>
      </c>
      <c r="BS139" s="542">
        <v>282648</v>
      </c>
      <c r="BT139" s="542">
        <v>-6499372</v>
      </c>
      <c r="BU139" s="542">
        <v>0</v>
      </c>
      <c r="BV139" s="542">
        <v>-6499372</v>
      </c>
      <c r="BW139" s="542">
        <v>-251300</v>
      </c>
      <c r="BX139" s="542">
        <v>0</v>
      </c>
      <c r="BY139" s="542">
        <v>-251300</v>
      </c>
      <c r="BZ139" s="542">
        <v>104506</v>
      </c>
      <c r="CA139" s="542">
        <v>0</v>
      </c>
      <c r="CB139" s="542">
        <v>104506</v>
      </c>
      <c r="CC139" s="542">
        <v>-509013</v>
      </c>
      <c r="CD139" s="542">
        <v>0</v>
      </c>
      <c r="CE139" s="542">
        <v>-509013</v>
      </c>
      <c r="CF139" s="542">
        <v>-55348</v>
      </c>
      <c r="CG139" s="542">
        <v>0</v>
      </c>
      <c r="CH139" s="542">
        <v>-55348</v>
      </c>
      <c r="CI139" s="542">
        <v>-3495</v>
      </c>
      <c r="CJ139" s="542">
        <v>0</v>
      </c>
      <c r="CK139" s="542">
        <v>-3495</v>
      </c>
      <c r="CL139" s="542">
        <v>0</v>
      </c>
      <c r="CM139" s="542">
        <v>0</v>
      </c>
      <c r="CN139" s="542">
        <v>0</v>
      </c>
      <c r="CO139" s="542">
        <v>0</v>
      </c>
      <c r="CP139" s="542">
        <v>0</v>
      </c>
      <c r="CQ139" s="542">
        <v>0</v>
      </c>
      <c r="CR139" s="542">
        <v>0</v>
      </c>
      <c r="CS139" s="542">
        <v>0</v>
      </c>
      <c r="CT139" s="542">
        <v>0</v>
      </c>
      <c r="CU139" s="542">
        <v>0</v>
      </c>
      <c r="CV139" s="542">
        <v>0</v>
      </c>
      <c r="CW139" s="542">
        <v>0</v>
      </c>
      <c r="CX139" s="542">
        <v>0</v>
      </c>
      <c r="CY139" s="542">
        <v>0</v>
      </c>
      <c r="CZ139" s="542">
        <v>0</v>
      </c>
      <c r="DA139" s="542">
        <v>0</v>
      </c>
      <c r="DB139" s="542">
        <v>0</v>
      </c>
      <c r="DC139" s="542">
        <v>0</v>
      </c>
      <c r="DD139" s="542">
        <v>0</v>
      </c>
      <c r="DE139" s="542">
        <v>0</v>
      </c>
      <c r="DF139" s="542">
        <v>0</v>
      </c>
      <c r="DG139" s="542"/>
      <c r="DH139" s="542">
        <v>0</v>
      </c>
      <c r="DI139" s="542"/>
      <c r="DJ139" s="542">
        <v>0</v>
      </c>
      <c r="DK139" s="542"/>
      <c r="DL139" s="542"/>
      <c r="DM139" s="542">
        <v>-714650</v>
      </c>
      <c r="DN139" s="542">
        <v>0</v>
      </c>
      <c r="DO139" s="542">
        <v>-714650</v>
      </c>
      <c r="DP139" s="542">
        <v>-75971</v>
      </c>
      <c r="DQ139" s="542">
        <v>0</v>
      </c>
      <c r="DR139" s="542">
        <v>-75971</v>
      </c>
      <c r="DS139" s="542">
        <v>0</v>
      </c>
      <c r="DT139" s="542">
        <v>0</v>
      </c>
      <c r="DU139" s="542">
        <v>0</v>
      </c>
      <c r="DV139" s="542">
        <v>-4946</v>
      </c>
      <c r="DW139" s="542">
        <v>0</v>
      </c>
      <c r="DX139" s="542">
        <v>-4946</v>
      </c>
      <c r="DY139" s="542">
        <v>-681071</v>
      </c>
      <c r="DZ139" s="542">
        <v>0</v>
      </c>
      <c r="EA139" s="542">
        <v>-681071</v>
      </c>
      <c r="EB139" s="542">
        <v>0</v>
      </c>
      <c r="EC139" s="542">
        <v>0</v>
      </c>
      <c r="ED139" s="542">
        <v>0</v>
      </c>
      <c r="EE139" s="542">
        <v>0</v>
      </c>
      <c r="EF139" s="542">
        <v>0</v>
      </c>
      <c r="EG139" s="542">
        <v>0</v>
      </c>
      <c r="EH139" s="542">
        <v>-761988</v>
      </c>
      <c r="EI139" s="542">
        <v>0</v>
      </c>
      <c r="EJ139" s="542">
        <v>-761988</v>
      </c>
      <c r="EK139" s="542">
        <v>0</v>
      </c>
      <c r="EL139" s="542">
        <v>0</v>
      </c>
      <c r="EM139" s="542">
        <v>0</v>
      </c>
      <c r="EN139" s="542">
        <v>0</v>
      </c>
      <c r="EO139" s="542">
        <v>0</v>
      </c>
      <c r="EP139" s="542">
        <v>0</v>
      </c>
      <c r="EQ139" s="542">
        <v>0</v>
      </c>
      <c r="ER139" s="542">
        <v>0</v>
      </c>
      <c r="ES139" s="542">
        <v>0</v>
      </c>
      <c r="ET139" s="542">
        <v>164590207</v>
      </c>
      <c r="EU139" s="542">
        <v>0</v>
      </c>
      <c r="EV139" s="542">
        <v>164590207</v>
      </c>
      <c r="EW139" s="542">
        <v>1426916</v>
      </c>
      <c r="EX139" s="542">
        <v>0</v>
      </c>
      <c r="EY139" s="542">
        <v>1426916</v>
      </c>
      <c r="EZ139" s="542">
        <v>-4123703</v>
      </c>
      <c r="FA139" s="542">
        <v>0</v>
      </c>
      <c r="FB139" s="542">
        <v>-4123703</v>
      </c>
      <c r="FC139" s="542">
        <v>-6499372</v>
      </c>
      <c r="FD139" s="542">
        <v>0</v>
      </c>
      <c r="FE139" s="542">
        <v>-6499372</v>
      </c>
      <c r="FF139" s="542">
        <v>-714650</v>
      </c>
      <c r="FG139" s="542">
        <v>0</v>
      </c>
      <c r="FH139" s="542">
        <v>-714650</v>
      </c>
      <c r="FI139" s="542">
        <v>-761988</v>
      </c>
      <c r="FJ139" s="542">
        <v>0</v>
      </c>
      <c r="FK139" s="542">
        <v>-761988</v>
      </c>
      <c r="FL139" s="542">
        <v>0</v>
      </c>
      <c r="FM139" s="542">
        <v>0</v>
      </c>
      <c r="FN139" s="542">
        <v>0</v>
      </c>
      <c r="FO139" s="542">
        <v>-10672797</v>
      </c>
      <c r="FP139" s="542">
        <v>0</v>
      </c>
      <c r="FQ139" s="542">
        <v>-10672797</v>
      </c>
      <c r="FR139" s="542">
        <v>153917410</v>
      </c>
      <c r="FS139" s="542">
        <v>0</v>
      </c>
      <c r="FT139" s="542">
        <v>153917410</v>
      </c>
    </row>
    <row r="140" spans="1:176" ht="12.75" x14ac:dyDescent="0.2">
      <c r="A140" s="93">
        <v>135</v>
      </c>
      <c r="B140" s="145" t="s">
        <v>148</v>
      </c>
      <c r="C140" s="604" t="s">
        <v>866</v>
      </c>
      <c r="D140" s="142" t="s">
        <v>870</v>
      </c>
      <c r="E140" s="149" t="s">
        <v>881</v>
      </c>
      <c r="F140" s="542">
        <v>-100780</v>
      </c>
      <c r="G140" s="542">
        <v>0</v>
      </c>
      <c r="H140" s="542">
        <v>-100780</v>
      </c>
      <c r="I140" s="542">
        <v>537837</v>
      </c>
      <c r="J140" s="542">
        <v>0</v>
      </c>
      <c r="K140" s="542">
        <v>537837</v>
      </c>
      <c r="L140" s="542">
        <v>36440</v>
      </c>
      <c r="M140" s="542">
        <v>0</v>
      </c>
      <c r="N140" s="542">
        <v>36440</v>
      </c>
      <c r="O140" s="542">
        <v>230854</v>
      </c>
      <c r="P140" s="542">
        <v>-10</v>
      </c>
      <c r="Q140" s="542">
        <v>230844</v>
      </c>
      <c r="R140" s="542">
        <v>704351</v>
      </c>
      <c r="S140" s="542">
        <v>-10</v>
      </c>
      <c r="T140" s="542">
        <v>704341</v>
      </c>
      <c r="U140" s="542">
        <v>-2927151</v>
      </c>
      <c r="V140" s="542">
        <v>-2199</v>
      </c>
      <c r="W140" s="542">
        <v>-2929350</v>
      </c>
      <c r="X140" s="542">
        <v>-11961</v>
      </c>
      <c r="Y140" s="542">
        <v>0</v>
      </c>
      <c r="Z140" s="542">
        <v>-11961</v>
      </c>
      <c r="AA140" s="542">
        <v>-137046</v>
      </c>
      <c r="AB140" s="542">
        <v>175</v>
      </c>
      <c r="AC140" s="542">
        <v>-136871</v>
      </c>
      <c r="AD140" s="542">
        <v>-140</v>
      </c>
      <c r="AE140" s="542">
        <v>0</v>
      </c>
      <c r="AF140" s="542">
        <v>-140</v>
      </c>
      <c r="AG140" s="542">
        <v>1320104</v>
      </c>
      <c r="AH140" s="542">
        <v>13637</v>
      </c>
      <c r="AI140" s="542">
        <v>1333741</v>
      </c>
      <c r="AJ140" s="542">
        <v>11802</v>
      </c>
      <c r="AK140" s="542">
        <v>2605</v>
      </c>
      <c r="AL140" s="542">
        <v>14407</v>
      </c>
      <c r="AM140" s="542">
        <v>-2600710</v>
      </c>
      <c r="AN140" s="542">
        <v>-1124</v>
      </c>
      <c r="AO140" s="542">
        <v>-2601834</v>
      </c>
      <c r="AP140" s="542">
        <v>6780</v>
      </c>
      <c r="AQ140" s="542">
        <v>0</v>
      </c>
      <c r="AR140" s="542">
        <v>6780</v>
      </c>
      <c r="AS140" s="542">
        <v>-200113</v>
      </c>
      <c r="AT140" s="542">
        <v>0</v>
      </c>
      <c r="AU140" s="542">
        <v>-200113</v>
      </c>
      <c r="AV140" s="542">
        <v>15130</v>
      </c>
      <c r="AW140" s="542">
        <v>0</v>
      </c>
      <c r="AX140" s="542">
        <v>15130</v>
      </c>
      <c r="AY140" s="542">
        <v>-47784</v>
      </c>
      <c r="AZ140" s="542">
        <v>0</v>
      </c>
      <c r="BA140" s="542">
        <v>-47784</v>
      </c>
      <c r="BB140" s="542">
        <v>-10775</v>
      </c>
      <c r="BC140" s="542">
        <v>0</v>
      </c>
      <c r="BD140" s="542">
        <v>-10775</v>
      </c>
      <c r="BE140" s="542">
        <v>-4569763</v>
      </c>
      <c r="BF140" s="542">
        <v>13094</v>
      </c>
      <c r="BG140" s="542">
        <v>-4556669</v>
      </c>
      <c r="BH140" s="542">
        <v>-18064</v>
      </c>
      <c r="BI140" s="542">
        <v>0</v>
      </c>
      <c r="BJ140" s="542">
        <v>-18064</v>
      </c>
      <c r="BK140" s="542">
        <v>54113</v>
      </c>
      <c r="BL140" s="542">
        <v>0</v>
      </c>
      <c r="BM140" s="542">
        <v>54113</v>
      </c>
      <c r="BN140" s="542">
        <v>-2278651</v>
      </c>
      <c r="BO140" s="542">
        <v>-133647</v>
      </c>
      <c r="BP140" s="542">
        <v>-2412298</v>
      </c>
      <c r="BQ140" s="542">
        <v>124923</v>
      </c>
      <c r="BR140" s="542">
        <v>-17463</v>
      </c>
      <c r="BS140" s="542">
        <v>107460</v>
      </c>
      <c r="BT140" s="542">
        <v>-2117679</v>
      </c>
      <c r="BU140" s="542">
        <v>-151110</v>
      </c>
      <c r="BV140" s="542">
        <v>-2268789</v>
      </c>
      <c r="BW140" s="542">
        <v>-1191</v>
      </c>
      <c r="BX140" s="542">
        <v>0</v>
      </c>
      <c r="BY140" s="542">
        <v>-1191</v>
      </c>
      <c r="BZ140" s="542">
        <v>-158</v>
      </c>
      <c r="CA140" s="542">
        <v>0</v>
      </c>
      <c r="CB140" s="542">
        <v>-158</v>
      </c>
      <c r="CC140" s="542">
        <v>-47657</v>
      </c>
      <c r="CD140" s="542">
        <v>0</v>
      </c>
      <c r="CE140" s="542">
        <v>-47657</v>
      </c>
      <c r="CF140" s="542">
        <v>528</v>
      </c>
      <c r="CG140" s="542">
        <v>-4409</v>
      </c>
      <c r="CH140" s="542">
        <v>-3881</v>
      </c>
      <c r="CI140" s="542">
        <v>0</v>
      </c>
      <c r="CJ140" s="542">
        <v>0</v>
      </c>
      <c r="CK140" s="542">
        <v>0</v>
      </c>
      <c r="CL140" s="542">
        <v>0</v>
      </c>
      <c r="CM140" s="542">
        <v>0</v>
      </c>
      <c r="CN140" s="542">
        <v>0</v>
      </c>
      <c r="CO140" s="542">
        <v>-22549</v>
      </c>
      <c r="CP140" s="542">
        <v>0</v>
      </c>
      <c r="CQ140" s="542">
        <v>-22549</v>
      </c>
      <c r="CR140" s="542">
        <v>0</v>
      </c>
      <c r="CS140" s="542">
        <v>0</v>
      </c>
      <c r="CT140" s="542">
        <v>0</v>
      </c>
      <c r="CU140" s="542">
        <v>-397</v>
      </c>
      <c r="CV140" s="542">
        <v>0</v>
      </c>
      <c r="CW140" s="542">
        <v>-397</v>
      </c>
      <c r="CX140" s="542">
        <v>0</v>
      </c>
      <c r="CY140" s="542">
        <v>0</v>
      </c>
      <c r="CZ140" s="542">
        <v>0</v>
      </c>
      <c r="DA140" s="542">
        <v>0</v>
      </c>
      <c r="DB140" s="542">
        <v>-292669</v>
      </c>
      <c r="DC140" s="542">
        <v>-292669</v>
      </c>
      <c r="DD140" s="542">
        <v>0</v>
      </c>
      <c r="DE140" s="542">
        <v>23863</v>
      </c>
      <c r="DF140" s="542">
        <v>23863</v>
      </c>
      <c r="DG140" s="542"/>
      <c r="DH140" s="542">
        <v>-268806</v>
      </c>
      <c r="DI140" s="542"/>
      <c r="DJ140" s="542">
        <v>0</v>
      </c>
      <c r="DK140" s="542"/>
      <c r="DL140" s="542"/>
      <c r="DM140" s="542">
        <v>-71424</v>
      </c>
      <c r="DN140" s="542">
        <v>-273215</v>
      </c>
      <c r="DO140" s="542">
        <v>-344639</v>
      </c>
      <c r="DP140" s="542">
        <v>0</v>
      </c>
      <c r="DQ140" s="542">
        <v>0</v>
      </c>
      <c r="DR140" s="542">
        <v>0</v>
      </c>
      <c r="DS140" s="542">
        <v>0</v>
      </c>
      <c r="DT140" s="542">
        <v>0</v>
      </c>
      <c r="DU140" s="542">
        <v>0</v>
      </c>
      <c r="DV140" s="542">
        <v>-5363</v>
      </c>
      <c r="DW140" s="542">
        <v>0</v>
      </c>
      <c r="DX140" s="542">
        <v>-5363</v>
      </c>
      <c r="DY140" s="542">
        <v>-485900</v>
      </c>
      <c r="DZ140" s="542">
        <v>0</v>
      </c>
      <c r="EA140" s="542">
        <v>-485900</v>
      </c>
      <c r="EB140" s="542">
        <v>0</v>
      </c>
      <c r="EC140" s="542">
        <v>0</v>
      </c>
      <c r="ED140" s="542">
        <v>0</v>
      </c>
      <c r="EE140" s="542">
        <v>0</v>
      </c>
      <c r="EF140" s="542">
        <v>0</v>
      </c>
      <c r="EG140" s="542">
        <v>0</v>
      </c>
      <c r="EH140" s="542">
        <v>-491263</v>
      </c>
      <c r="EI140" s="542">
        <v>0</v>
      </c>
      <c r="EJ140" s="542">
        <v>-491263</v>
      </c>
      <c r="EK140" s="542">
        <v>-15087</v>
      </c>
      <c r="EL140" s="542">
        <v>0</v>
      </c>
      <c r="EM140" s="542">
        <v>-15087</v>
      </c>
      <c r="EN140" s="542">
        <v>0</v>
      </c>
      <c r="EO140" s="542">
        <v>0</v>
      </c>
      <c r="EP140" s="542">
        <v>0</v>
      </c>
      <c r="EQ140" s="542">
        <v>-15087</v>
      </c>
      <c r="ER140" s="542">
        <v>0</v>
      </c>
      <c r="ES140" s="542">
        <v>-15087</v>
      </c>
      <c r="ET140" s="542">
        <v>63163425</v>
      </c>
      <c r="EU140" s="542">
        <v>730670</v>
      </c>
      <c r="EV140" s="542">
        <v>63894095</v>
      </c>
      <c r="EW140" s="542">
        <v>704351</v>
      </c>
      <c r="EX140" s="542">
        <v>-10</v>
      </c>
      <c r="EY140" s="542">
        <v>704341</v>
      </c>
      <c r="EZ140" s="542">
        <v>-4569763</v>
      </c>
      <c r="FA140" s="542">
        <v>13094</v>
      </c>
      <c r="FB140" s="542">
        <v>-4556669</v>
      </c>
      <c r="FC140" s="542">
        <v>-2117679</v>
      </c>
      <c r="FD140" s="542">
        <v>-151110</v>
      </c>
      <c r="FE140" s="542">
        <v>-2268789</v>
      </c>
      <c r="FF140" s="542">
        <v>-71424</v>
      </c>
      <c r="FG140" s="542">
        <v>-273215</v>
      </c>
      <c r="FH140" s="542">
        <v>-344639</v>
      </c>
      <c r="FI140" s="542">
        <v>-491263</v>
      </c>
      <c r="FJ140" s="542">
        <v>0</v>
      </c>
      <c r="FK140" s="542">
        <v>-491263</v>
      </c>
      <c r="FL140" s="542">
        <v>-15087</v>
      </c>
      <c r="FM140" s="542">
        <v>0</v>
      </c>
      <c r="FN140" s="542">
        <v>-15087</v>
      </c>
      <c r="FO140" s="542">
        <v>-6560865</v>
      </c>
      <c r="FP140" s="542">
        <v>-411241</v>
      </c>
      <c r="FQ140" s="542">
        <v>-6972106</v>
      </c>
      <c r="FR140" s="542">
        <v>56602560</v>
      </c>
      <c r="FS140" s="542">
        <v>319429</v>
      </c>
      <c r="FT140" s="542">
        <v>56921989</v>
      </c>
    </row>
    <row r="141" spans="1:176" ht="12.75" x14ac:dyDescent="0.2">
      <c r="A141" s="93">
        <v>136</v>
      </c>
      <c r="B141" s="145" t="s">
        <v>150</v>
      </c>
      <c r="C141" s="604" t="s">
        <v>866</v>
      </c>
      <c r="D141" s="142" t="s">
        <v>868</v>
      </c>
      <c r="E141" s="149" t="s">
        <v>149</v>
      </c>
      <c r="F141" s="542">
        <v>-76441</v>
      </c>
      <c r="G141" s="542">
        <v>0</v>
      </c>
      <c r="H141" s="542">
        <v>-76441</v>
      </c>
      <c r="I141" s="542">
        <v>-70651</v>
      </c>
      <c r="J141" s="542">
        <v>0</v>
      </c>
      <c r="K141" s="542">
        <v>-70651</v>
      </c>
      <c r="L141" s="542">
        <v>0</v>
      </c>
      <c r="M141" s="542">
        <v>0</v>
      </c>
      <c r="N141" s="542">
        <v>0</v>
      </c>
      <c r="O141" s="542">
        <v>46335</v>
      </c>
      <c r="P141" s="542">
        <v>0</v>
      </c>
      <c r="Q141" s="542">
        <v>46335</v>
      </c>
      <c r="R141" s="542">
        <v>-100757</v>
      </c>
      <c r="S141" s="542">
        <v>0</v>
      </c>
      <c r="T141" s="542">
        <v>-100757</v>
      </c>
      <c r="U141" s="542">
        <v>-2351257</v>
      </c>
      <c r="V141" s="542">
        <v>0</v>
      </c>
      <c r="W141" s="542">
        <v>-2351257</v>
      </c>
      <c r="X141" s="542">
        <v>0</v>
      </c>
      <c r="Y141" s="542">
        <v>0</v>
      </c>
      <c r="Z141" s="542">
        <v>0</v>
      </c>
      <c r="AA141" s="542">
        <v>-102268</v>
      </c>
      <c r="AB141" s="542">
        <v>0</v>
      </c>
      <c r="AC141" s="542">
        <v>-102268</v>
      </c>
      <c r="AD141" s="542">
        <v>0</v>
      </c>
      <c r="AE141" s="542">
        <v>0</v>
      </c>
      <c r="AF141" s="542">
        <v>0</v>
      </c>
      <c r="AG141" s="542">
        <v>526577</v>
      </c>
      <c r="AH141" s="542">
        <v>0</v>
      </c>
      <c r="AI141" s="542">
        <v>526577</v>
      </c>
      <c r="AJ141" s="542">
        <v>398</v>
      </c>
      <c r="AK141" s="542">
        <v>0</v>
      </c>
      <c r="AL141" s="542">
        <v>398</v>
      </c>
      <c r="AM141" s="542">
        <v>-1460255</v>
      </c>
      <c r="AN141" s="542">
        <v>0</v>
      </c>
      <c r="AO141" s="542">
        <v>-1460255</v>
      </c>
      <c r="AP141" s="542">
        <v>-449996</v>
      </c>
      <c r="AQ141" s="542">
        <v>0</v>
      </c>
      <c r="AR141" s="542">
        <v>-449996</v>
      </c>
      <c r="AS141" s="542">
        <v>-34414</v>
      </c>
      <c r="AT141" s="542">
        <v>0</v>
      </c>
      <c r="AU141" s="542">
        <v>-34414</v>
      </c>
      <c r="AV141" s="542">
        <v>0</v>
      </c>
      <c r="AW141" s="542">
        <v>0</v>
      </c>
      <c r="AX141" s="542">
        <v>0</v>
      </c>
      <c r="AY141" s="542">
        <v>0</v>
      </c>
      <c r="AZ141" s="542">
        <v>0</v>
      </c>
      <c r="BA141" s="542">
        <v>0</v>
      </c>
      <c r="BB141" s="542">
        <v>0</v>
      </c>
      <c r="BC141" s="542">
        <v>0</v>
      </c>
      <c r="BD141" s="542">
        <v>0</v>
      </c>
      <c r="BE141" s="542">
        <v>-3871215</v>
      </c>
      <c r="BF141" s="542">
        <v>0</v>
      </c>
      <c r="BG141" s="542">
        <v>-3871215</v>
      </c>
      <c r="BH141" s="542">
        <v>-4150</v>
      </c>
      <c r="BI141" s="542">
        <v>0</v>
      </c>
      <c r="BJ141" s="542">
        <v>-4150</v>
      </c>
      <c r="BK141" s="542">
        <v>-68075</v>
      </c>
      <c r="BL141" s="542">
        <v>0</v>
      </c>
      <c r="BM141" s="542">
        <v>-68075</v>
      </c>
      <c r="BN141" s="542">
        <v>-2098403</v>
      </c>
      <c r="BO141" s="542">
        <v>0</v>
      </c>
      <c r="BP141" s="542">
        <v>-2098403</v>
      </c>
      <c r="BQ141" s="542">
        <v>104156</v>
      </c>
      <c r="BR141" s="542">
        <v>0</v>
      </c>
      <c r="BS141" s="542">
        <v>104156</v>
      </c>
      <c r="BT141" s="542">
        <v>-2066472</v>
      </c>
      <c r="BU141" s="542">
        <v>0</v>
      </c>
      <c r="BV141" s="542">
        <v>-2066472</v>
      </c>
      <c r="BW141" s="542">
        <v>-128103</v>
      </c>
      <c r="BX141" s="542">
        <v>0</v>
      </c>
      <c r="BY141" s="542">
        <v>-128103</v>
      </c>
      <c r="BZ141" s="542">
        <v>-1842</v>
      </c>
      <c r="CA141" s="542">
        <v>0</v>
      </c>
      <c r="CB141" s="542">
        <v>-1842</v>
      </c>
      <c r="CC141" s="542">
        <v>-95312</v>
      </c>
      <c r="CD141" s="542">
        <v>0</v>
      </c>
      <c r="CE141" s="542">
        <v>-95312</v>
      </c>
      <c r="CF141" s="542">
        <v>-3464</v>
      </c>
      <c r="CG141" s="542">
        <v>0</v>
      </c>
      <c r="CH141" s="542">
        <v>-3464</v>
      </c>
      <c r="CI141" s="542">
        <v>0</v>
      </c>
      <c r="CJ141" s="542">
        <v>0</v>
      </c>
      <c r="CK141" s="542">
        <v>0</v>
      </c>
      <c r="CL141" s="542">
        <v>0</v>
      </c>
      <c r="CM141" s="542">
        <v>0</v>
      </c>
      <c r="CN141" s="542">
        <v>0</v>
      </c>
      <c r="CO141" s="542">
        <v>0</v>
      </c>
      <c r="CP141" s="542">
        <v>0</v>
      </c>
      <c r="CQ141" s="542">
        <v>0</v>
      </c>
      <c r="CR141" s="542">
        <v>0</v>
      </c>
      <c r="CS141" s="542">
        <v>0</v>
      </c>
      <c r="CT141" s="542">
        <v>0</v>
      </c>
      <c r="CU141" s="542">
        <v>0</v>
      </c>
      <c r="CV141" s="542">
        <v>0</v>
      </c>
      <c r="CW141" s="542">
        <v>0</v>
      </c>
      <c r="CX141" s="542">
        <v>0</v>
      </c>
      <c r="CY141" s="542">
        <v>0</v>
      </c>
      <c r="CZ141" s="542">
        <v>0</v>
      </c>
      <c r="DA141" s="542">
        <v>0</v>
      </c>
      <c r="DB141" s="542">
        <v>0</v>
      </c>
      <c r="DC141" s="542">
        <v>0</v>
      </c>
      <c r="DD141" s="542">
        <v>0</v>
      </c>
      <c r="DE141" s="542">
        <v>0</v>
      </c>
      <c r="DF141" s="542">
        <v>0</v>
      </c>
      <c r="DG141" s="542"/>
      <c r="DH141" s="542">
        <v>0</v>
      </c>
      <c r="DI141" s="542"/>
      <c r="DJ141" s="542">
        <v>0</v>
      </c>
      <c r="DK141" s="542"/>
      <c r="DL141" s="542"/>
      <c r="DM141" s="542">
        <v>-228721</v>
      </c>
      <c r="DN141" s="542">
        <v>0</v>
      </c>
      <c r="DO141" s="542">
        <v>-228721</v>
      </c>
      <c r="DP141" s="542">
        <v>0</v>
      </c>
      <c r="DQ141" s="542">
        <v>0</v>
      </c>
      <c r="DR141" s="542">
        <v>0</v>
      </c>
      <c r="DS141" s="542">
        <v>0</v>
      </c>
      <c r="DT141" s="542">
        <v>0</v>
      </c>
      <c r="DU141" s="542">
        <v>0</v>
      </c>
      <c r="DV141" s="542">
        <v>-2960</v>
      </c>
      <c r="DW141" s="542">
        <v>0</v>
      </c>
      <c r="DX141" s="542">
        <v>-2960</v>
      </c>
      <c r="DY141" s="542">
        <v>-335732</v>
      </c>
      <c r="DZ141" s="542">
        <v>0</v>
      </c>
      <c r="EA141" s="542">
        <v>-335732</v>
      </c>
      <c r="EB141" s="542">
        <v>0</v>
      </c>
      <c r="EC141" s="542">
        <v>0</v>
      </c>
      <c r="ED141" s="542">
        <v>0</v>
      </c>
      <c r="EE141" s="542">
        <v>0</v>
      </c>
      <c r="EF141" s="542">
        <v>0</v>
      </c>
      <c r="EG141" s="542">
        <v>0</v>
      </c>
      <c r="EH141" s="542">
        <v>-338692</v>
      </c>
      <c r="EI141" s="542">
        <v>0</v>
      </c>
      <c r="EJ141" s="542">
        <v>-338692</v>
      </c>
      <c r="EK141" s="542">
        <v>0</v>
      </c>
      <c r="EL141" s="542">
        <v>0</v>
      </c>
      <c r="EM141" s="542">
        <v>0</v>
      </c>
      <c r="EN141" s="542">
        <v>0</v>
      </c>
      <c r="EO141" s="542">
        <v>0</v>
      </c>
      <c r="EP141" s="542">
        <v>0</v>
      </c>
      <c r="EQ141" s="542">
        <v>0</v>
      </c>
      <c r="ER141" s="542">
        <v>0</v>
      </c>
      <c r="ES141" s="542">
        <v>0</v>
      </c>
      <c r="ET141" s="542">
        <v>28192893</v>
      </c>
      <c r="EU141" s="542">
        <v>0</v>
      </c>
      <c r="EV141" s="542">
        <v>28192893</v>
      </c>
      <c r="EW141" s="542">
        <v>-100757</v>
      </c>
      <c r="EX141" s="542">
        <v>0</v>
      </c>
      <c r="EY141" s="542">
        <v>-100757</v>
      </c>
      <c r="EZ141" s="542">
        <v>-3871215</v>
      </c>
      <c r="FA141" s="542">
        <v>0</v>
      </c>
      <c r="FB141" s="542">
        <v>-3871215</v>
      </c>
      <c r="FC141" s="542">
        <v>-2066472</v>
      </c>
      <c r="FD141" s="542">
        <v>0</v>
      </c>
      <c r="FE141" s="542">
        <v>-2066472</v>
      </c>
      <c r="FF141" s="542">
        <v>-228721</v>
      </c>
      <c r="FG141" s="542">
        <v>0</v>
      </c>
      <c r="FH141" s="542">
        <v>-228721</v>
      </c>
      <c r="FI141" s="542">
        <v>-338692</v>
      </c>
      <c r="FJ141" s="542">
        <v>0</v>
      </c>
      <c r="FK141" s="542">
        <v>-338692</v>
      </c>
      <c r="FL141" s="542">
        <v>0</v>
      </c>
      <c r="FM141" s="542">
        <v>0</v>
      </c>
      <c r="FN141" s="542">
        <v>0</v>
      </c>
      <c r="FO141" s="542">
        <v>-6605857</v>
      </c>
      <c r="FP141" s="542">
        <v>0</v>
      </c>
      <c r="FQ141" s="542">
        <v>-6605857</v>
      </c>
      <c r="FR141" s="542">
        <v>21587036</v>
      </c>
      <c r="FS141" s="542">
        <v>0</v>
      </c>
      <c r="FT141" s="542">
        <v>21587036</v>
      </c>
    </row>
    <row r="142" spans="1:176" ht="12.75" x14ac:dyDescent="0.2">
      <c r="A142" s="93">
        <v>137</v>
      </c>
      <c r="B142" s="145" t="s">
        <v>152</v>
      </c>
      <c r="C142" s="604" t="s">
        <v>866</v>
      </c>
      <c r="D142" s="142" t="s">
        <v>870</v>
      </c>
      <c r="E142" s="149" t="s">
        <v>151</v>
      </c>
      <c r="F142" s="542">
        <v>-81951</v>
      </c>
      <c r="G142" s="542">
        <v>0</v>
      </c>
      <c r="H142" s="542">
        <v>-81951</v>
      </c>
      <c r="I142" s="542">
        <v>73720</v>
      </c>
      <c r="J142" s="542">
        <v>0</v>
      </c>
      <c r="K142" s="542">
        <v>73720</v>
      </c>
      <c r="L142" s="542">
        <v>2253</v>
      </c>
      <c r="M142" s="542">
        <v>0</v>
      </c>
      <c r="N142" s="542">
        <v>2253</v>
      </c>
      <c r="O142" s="542">
        <v>142981</v>
      </c>
      <c r="P142" s="542">
        <v>0</v>
      </c>
      <c r="Q142" s="542">
        <v>142981</v>
      </c>
      <c r="R142" s="542">
        <v>137003</v>
      </c>
      <c r="S142" s="542">
        <v>0</v>
      </c>
      <c r="T142" s="542">
        <v>137003</v>
      </c>
      <c r="U142" s="542">
        <v>-2335857</v>
      </c>
      <c r="V142" s="542">
        <v>0</v>
      </c>
      <c r="W142" s="542">
        <v>-2335857</v>
      </c>
      <c r="X142" s="542">
        <v>-12917</v>
      </c>
      <c r="Y142" s="542">
        <v>0</v>
      </c>
      <c r="Z142" s="542">
        <v>-12917</v>
      </c>
      <c r="AA142" s="542">
        <v>-106738</v>
      </c>
      <c r="AB142" s="542">
        <v>0</v>
      </c>
      <c r="AC142" s="542">
        <v>-106738</v>
      </c>
      <c r="AD142" s="542">
        <v>-40</v>
      </c>
      <c r="AE142" s="542">
        <v>0</v>
      </c>
      <c r="AF142" s="542">
        <v>-40</v>
      </c>
      <c r="AG142" s="542">
        <v>1303046</v>
      </c>
      <c r="AH142" s="542">
        <v>0</v>
      </c>
      <c r="AI142" s="542">
        <v>1303046</v>
      </c>
      <c r="AJ142" s="542">
        <v>30639</v>
      </c>
      <c r="AK142" s="542">
        <v>0</v>
      </c>
      <c r="AL142" s="542">
        <v>30639</v>
      </c>
      <c r="AM142" s="542">
        <v>-3427371</v>
      </c>
      <c r="AN142" s="542">
        <v>0</v>
      </c>
      <c r="AO142" s="542">
        <v>-3427371</v>
      </c>
      <c r="AP142" s="542">
        <v>-129115</v>
      </c>
      <c r="AQ142" s="542">
        <v>0</v>
      </c>
      <c r="AR142" s="542">
        <v>-129115</v>
      </c>
      <c r="AS142" s="542">
        <v>-87531</v>
      </c>
      <c r="AT142" s="542">
        <v>0</v>
      </c>
      <c r="AU142" s="542">
        <v>-87531</v>
      </c>
      <c r="AV142" s="542">
        <v>0</v>
      </c>
      <c r="AW142" s="542">
        <v>0</v>
      </c>
      <c r="AX142" s="542">
        <v>0</v>
      </c>
      <c r="AY142" s="542">
        <v>0</v>
      </c>
      <c r="AZ142" s="542">
        <v>0</v>
      </c>
      <c r="BA142" s="542">
        <v>0</v>
      </c>
      <c r="BB142" s="542">
        <v>0</v>
      </c>
      <c r="BC142" s="542">
        <v>0</v>
      </c>
      <c r="BD142" s="542">
        <v>0</v>
      </c>
      <c r="BE142" s="542">
        <v>-4752927</v>
      </c>
      <c r="BF142" s="542">
        <v>0</v>
      </c>
      <c r="BG142" s="542">
        <v>-4752927</v>
      </c>
      <c r="BH142" s="542">
        <v>-72579</v>
      </c>
      <c r="BI142" s="542">
        <v>0</v>
      </c>
      <c r="BJ142" s="542">
        <v>-72579</v>
      </c>
      <c r="BK142" s="542">
        <v>-9286</v>
      </c>
      <c r="BL142" s="542">
        <v>0</v>
      </c>
      <c r="BM142" s="542">
        <v>-9286</v>
      </c>
      <c r="BN142" s="542">
        <v>-2165643</v>
      </c>
      <c r="BO142" s="542">
        <v>0</v>
      </c>
      <c r="BP142" s="542">
        <v>-2165643</v>
      </c>
      <c r="BQ142" s="542">
        <v>-27037</v>
      </c>
      <c r="BR142" s="542">
        <v>0</v>
      </c>
      <c r="BS142" s="542">
        <v>-27037</v>
      </c>
      <c r="BT142" s="542">
        <v>-2274545</v>
      </c>
      <c r="BU142" s="542">
        <v>0</v>
      </c>
      <c r="BV142" s="542">
        <v>-2274545</v>
      </c>
      <c r="BW142" s="542">
        <v>-111109</v>
      </c>
      <c r="BX142" s="542">
        <v>0</v>
      </c>
      <c r="BY142" s="542">
        <v>-111109</v>
      </c>
      <c r="BZ142" s="542">
        <v>929</v>
      </c>
      <c r="CA142" s="542">
        <v>0</v>
      </c>
      <c r="CB142" s="542">
        <v>929</v>
      </c>
      <c r="CC142" s="542">
        <v>-53810</v>
      </c>
      <c r="CD142" s="542">
        <v>0</v>
      </c>
      <c r="CE142" s="542">
        <v>-53810</v>
      </c>
      <c r="CF142" s="542">
        <v>-3233</v>
      </c>
      <c r="CG142" s="542">
        <v>0</v>
      </c>
      <c r="CH142" s="542">
        <v>-3233</v>
      </c>
      <c r="CI142" s="542">
        <v>0</v>
      </c>
      <c r="CJ142" s="542">
        <v>0</v>
      </c>
      <c r="CK142" s="542">
        <v>0</v>
      </c>
      <c r="CL142" s="542">
        <v>0</v>
      </c>
      <c r="CM142" s="542">
        <v>0</v>
      </c>
      <c r="CN142" s="542">
        <v>0</v>
      </c>
      <c r="CO142" s="542">
        <v>0</v>
      </c>
      <c r="CP142" s="542">
        <v>0</v>
      </c>
      <c r="CQ142" s="542">
        <v>0</v>
      </c>
      <c r="CR142" s="542">
        <v>0</v>
      </c>
      <c r="CS142" s="542">
        <v>0</v>
      </c>
      <c r="CT142" s="542">
        <v>0</v>
      </c>
      <c r="CU142" s="542">
        <v>0</v>
      </c>
      <c r="CV142" s="542">
        <v>0</v>
      </c>
      <c r="CW142" s="542">
        <v>0</v>
      </c>
      <c r="CX142" s="542">
        <v>0</v>
      </c>
      <c r="CY142" s="542">
        <v>0</v>
      </c>
      <c r="CZ142" s="542">
        <v>0</v>
      </c>
      <c r="DA142" s="542">
        <v>0</v>
      </c>
      <c r="DB142" s="542">
        <v>0</v>
      </c>
      <c r="DC142" s="542">
        <v>0</v>
      </c>
      <c r="DD142" s="542">
        <v>0</v>
      </c>
      <c r="DE142" s="542">
        <v>0</v>
      </c>
      <c r="DF142" s="542">
        <v>0</v>
      </c>
      <c r="DG142" s="542"/>
      <c r="DH142" s="542">
        <v>0</v>
      </c>
      <c r="DI142" s="542"/>
      <c r="DJ142" s="542">
        <v>0</v>
      </c>
      <c r="DK142" s="542"/>
      <c r="DL142" s="542"/>
      <c r="DM142" s="542">
        <v>-167223</v>
      </c>
      <c r="DN142" s="542">
        <v>0</v>
      </c>
      <c r="DO142" s="542">
        <v>-167223</v>
      </c>
      <c r="DP142" s="542">
        <v>0</v>
      </c>
      <c r="DQ142" s="542">
        <v>0</v>
      </c>
      <c r="DR142" s="542">
        <v>0</v>
      </c>
      <c r="DS142" s="542">
        <v>0</v>
      </c>
      <c r="DT142" s="542">
        <v>0</v>
      </c>
      <c r="DU142" s="542">
        <v>0</v>
      </c>
      <c r="DV142" s="542">
        <v>-11692</v>
      </c>
      <c r="DW142" s="542">
        <v>0</v>
      </c>
      <c r="DX142" s="542">
        <v>-11692</v>
      </c>
      <c r="DY142" s="542">
        <v>-399965</v>
      </c>
      <c r="DZ142" s="542">
        <v>0</v>
      </c>
      <c r="EA142" s="542">
        <v>-399965</v>
      </c>
      <c r="EB142" s="542">
        <v>0</v>
      </c>
      <c r="EC142" s="542">
        <v>0</v>
      </c>
      <c r="ED142" s="542">
        <v>0</v>
      </c>
      <c r="EE142" s="542">
        <v>0</v>
      </c>
      <c r="EF142" s="542">
        <v>0</v>
      </c>
      <c r="EG142" s="542">
        <v>0</v>
      </c>
      <c r="EH142" s="542">
        <v>-411657</v>
      </c>
      <c r="EI142" s="542">
        <v>0</v>
      </c>
      <c r="EJ142" s="542">
        <v>-411657</v>
      </c>
      <c r="EK142" s="542">
        <v>-1959</v>
      </c>
      <c r="EL142" s="542">
        <v>0</v>
      </c>
      <c r="EM142" s="542">
        <v>-1959</v>
      </c>
      <c r="EN142" s="542">
        <v>0</v>
      </c>
      <c r="EO142" s="542">
        <v>0</v>
      </c>
      <c r="EP142" s="542">
        <v>0</v>
      </c>
      <c r="EQ142" s="542">
        <v>-1959</v>
      </c>
      <c r="ER142" s="542">
        <v>0</v>
      </c>
      <c r="ES142" s="542">
        <v>-1959</v>
      </c>
      <c r="ET142" s="542">
        <v>63105601</v>
      </c>
      <c r="EU142" s="542">
        <v>0</v>
      </c>
      <c r="EV142" s="542">
        <v>63105601</v>
      </c>
      <c r="EW142" s="542">
        <v>137003</v>
      </c>
      <c r="EX142" s="542">
        <v>0</v>
      </c>
      <c r="EY142" s="542">
        <v>137003</v>
      </c>
      <c r="EZ142" s="542">
        <v>-4752927</v>
      </c>
      <c r="FA142" s="542">
        <v>0</v>
      </c>
      <c r="FB142" s="542">
        <v>-4752927</v>
      </c>
      <c r="FC142" s="542">
        <v>-2274545</v>
      </c>
      <c r="FD142" s="542">
        <v>0</v>
      </c>
      <c r="FE142" s="542">
        <v>-2274545</v>
      </c>
      <c r="FF142" s="542">
        <v>-167223</v>
      </c>
      <c r="FG142" s="542">
        <v>0</v>
      </c>
      <c r="FH142" s="542">
        <v>-167223</v>
      </c>
      <c r="FI142" s="542">
        <v>-411657</v>
      </c>
      <c r="FJ142" s="542">
        <v>0</v>
      </c>
      <c r="FK142" s="542">
        <v>-411657</v>
      </c>
      <c r="FL142" s="542">
        <v>-1959</v>
      </c>
      <c r="FM142" s="542">
        <v>0</v>
      </c>
      <c r="FN142" s="542">
        <v>-1959</v>
      </c>
      <c r="FO142" s="542">
        <v>-7471308</v>
      </c>
      <c r="FP142" s="542">
        <v>0</v>
      </c>
      <c r="FQ142" s="542">
        <v>-7471308</v>
      </c>
      <c r="FR142" s="542">
        <v>55634293</v>
      </c>
      <c r="FS142" s="542">
        <v>0</v>
      </c>
      <c r="FT142" s="542">
        <v>55634293</v>
      </c>
    </row>
    <row r="143" spans="1:176" ht="12.75" x14ac:dyDescent="0.2">
      <c r="A143" s="93">
        <v>138</v>
      </c>
      <c r="B143" s="145" t="s">
        <v>154</v>
      </c>
      <c r="C143" s="604" t="s">
        <v>770</v>
      </c>
      <c r="D143" s="142" t="s">
        <v>867</v>
      </c>
      <c r="E143" s="149" t="s">
        <v>882</v>
      </c>
      <c r="F143" s="542">
        <v>-62375</v>
      </c>
      <c r="G143" s="542">
        <v>0</v>
      </c>
      <c r="H143" s="542">
        <v>-62375</v>
      </c>
      <c r="I143" s="542">
        <v>363146</v>
      </c>
      <c r="J143" s="542">
        <v>0</v>
      </c>
      <c r="K143" s="542">
        <v>363146</v>
      </c>
      <c r="L143" s="542">
        <v>52290</v>
      </c>
      <c r="M143" s="542">
        <v>0</v>
      </c>
      <c r="N143" s="542">
        <v>52290</v>
      </c>
      <c r="O143" s="542">
        <v>77465</v>
      </c>
      <c r="P143" s="542">
        <v>0</v>
      </c>
      <c r="Q143" s="542">
        <v>77465</v>
      </c>
      <c r="R143" s="542">
        <v>430526</v>
      </c>
      <c r="S143" s="542">
        <v>0</v>
      </c>
      <c r="T143" s="542">
        <v>430526</v>
      </c>
      <c r="U143" s="542">
        <v>-4665822</v>
      </c>
      <c r="V143" s="542">
        <v>0</v>
      </c>
      <c r="W143" s="542">
        <v>-4665822</v>
      </c>
      <c r="X143" s="542">
        <v>-13257</v>
      </c>
      <c r="Y143" s="542">
        <v>0</v>
      </c>
      <c r="Z143" s="542">
        <v>-13257</v>
      </c>
      <c r="AA143" s="542">
        <v>-340361</v>
      </c>
      <c r="AB143" s="542">
        <v>0</v>
      </c>
      <c r="AC143" s="542">
        <v>-340361</v>
      </c>
      <c r="AD143" s="542">
        <v>0</v>
      </c>
      <c r="AE143" s="542">
        <v>0</v>
      </c>
      <c r="AF143" s="542">
        <v>0</v>
      </c>
      <c r="AG143" s="542">
        <v>759095</v>
      </c>
      <c r="AH143" s="542">
        <v>0</v>
      </c>
      <c r="AI143" s="542">
        <v>759095</v>
      </c>
      <c r="AJ143" s="542">
        <v>-10711</v>
      </c>
      <c r="AK143" s="542">
        <v>0</v>
      </c>
      <c r="AL143" s="542">
        <v>-10711</v>
      </c>
      <c r="AM143" s="542">
        <v>-2622719</v>
      </c>
      <c r="AN143" s="542">
        <v>0</v>
      </c>
      <c r="AO143" s="542">
        <v>-2622719</v>
      </c>
      <c r="AP143" s="542">
        <v>-184898</v>
      </c>
      <c r="AQ143" s="542">
        <v>0</v>
      </c>
      <c r="AR143" s="542">
        <v>-184898</v>
      </c>
      <c r="AS143" s="542">
        <v>-90007</v>
      </c>
      <c r="AT143" s="542">
        <v>0</v>
      </c>
      <c r="AU143" s="542">
        <v>-90007</v>
      </c>
      <c r="AV143" s="542">
        <v>-5388</v>
      </c>
      <c r="AW143" s="542">
        <v>0</v>
      </c>
      <c r="AX143" s="542">
        <v>-5388</v>
      </c>
      <c r="AY143" s="542">
        <v>-11627</v>
      </c>
      <c r="AZ143" s="542">
        <v>0</v>
      </c>
      <c r="BA143" s="542">
        <v>-11627</v>
      </c>
      <c r="BB143" s="542">
        <v>0</v>
      </c>
      <c r="BC143" s="542">
        <v>0</v>
      </c>
      <c r="BD143" s="542">
        <v>0</v>
      </c>
      <c r="BE143" s="542">
        <v>-7172438</v>
      </c>
      <c r="BF143" s="542">
        <v>0</v>
      </c>
      <c r="BG143" s="542">
        <v>-7172438</v>
      </c>
      <c r="BH143" s="542">
        <v>-558</v>
      </c>
      <c r="BI143" s="542">
        <v>0</v>
      </c>
      <c r="BJ143" s="542">
        <v>-558</v>
      </c>
      <c r="BK143" s="542">
        <v>38208</v>
      </c>
      <c r="BL143" s="542">
        <v>0</v>
      </c>
      <c r="BM143" s="542">
        <v>38208</v>
      </c>
      <c r="BN143" s="542">
        <v>-755603</v>
      </c>
      <c r="BO143" s="542">
        <v>0</v>
      </c>
      <c r="BP143" s="542">
        <v>-755603</v>
      </c>
      <c r="BQ143" s="542">
        <v>-36224</v>
      </c>
      <c r="BR143" s="542">
        <v>0</v>
      </c>
      <c r="BS143" s="542">
        <v>-36224</v>
      </c>
      <c r="BT143" s="542">
        <v>-754177</v>
      </c>
      <c r="BU143" s="542">
        <v>0</v>
      </c>
      <c r="BV143" s="542">
        <v>-754177</v>
      </c>
      <c r="BW143" s="542">
        <v>-77025</v>
      </c>
      <c r="BX143" s="542">
        <v>0</v>
      </c>
      <c r="BY143" s="542">
        <v>-77025</v>
      </c>
      <c r="BZ143" s="542">
        <v>-440</v>
      </c>
      <c r="CA143" s="542">
        <v>0</v>
      </c>
      <c r="CB143" s="542">
        <v>-440</v>
      </c>
      <c r="CC143" s="542">
        <v>-64968</v>
      </c>
      <c r="CD143" s="542">
        <v>0</v>
      </c>
      <c r="CE143" s="542">
        <v>-64968</v>
      </c>
      <c r="CF143" s="542">
        <v>40</v>
      </c>
      <c r="CG143" s="542">
        <v>0</v>
      </c>
      <c r="CH143" s="542">
        <v>40</v>
      </c>
      <c r="CI143" s="542">
        <v>-916</v>
      </c>
      <c r="CJ143" s="542">
        <v>0</v>
      </c>
      <c r="CK143" s="542">
        <v>-916</v>
      </c>
      <c r="CL143" s="542">
        <v>0</v>
      </c>
      <c r="CM143" s="542">
        <v>0</v>
      </c>
      <c r="CN143" s="542">
        <v>0</v>
      </c>
      <c r="CO143" s="542">
        <v>-8899</v>
      </c>
      <c r="CP143" s="542">
        <v>0</v>
      </c>
      <c r="CQ143" s="542">
        <v>-8899</v>
      </c>
      <c r="CR143" s="542">
        <v>0</v>
      </c>
      <c r="CS143" s="542">
        <v>0</v>
      </c>
      <c r="CT143" s="542">
        <v>0</v>
      </c>
      <c r="CU143" s="542">
        <v>0</v>
      </c>
      <c r="CV143" s="542">
        <v>0</v>
      </c>
      <c r="CW143" s="542">
        <v>0</v>
      </c>
      <c r="CX143" s="542">
        <v>0</v>
      </c>
      <c r="CY143" s="542">
        <v>0</v>
      </c>
      <c r="CZ143" s="542">
        <v>0</v>
      </c>
      <c r="DA143" s="542">
        <v>0</v>
      </c>
      <c r="DB143" s="542">
        <v>0</v>
      </c>
      <c r="DC143" s="542">
        <v>0</v>
      </c>
      <c r="DD143" s="542">
        <v>0</v>
      </c>
      <c r="DE143" s="542">
        <v>0</v>
      </c>
      <c r="DF143" s="542">
        <v>0</v>
      </c>
      <c r="DG143" s="542"/>
      <c r="DH143" s="542">
        <v>0</v>
      </c>
      <c r="DI143" s="542"/>
      <c r="DJ143" s="542">
        <v>0</v>
      </c>
      <c r="DK143" s="542"/>
      <c r="DL143" s="542"/>
      <c r="DM143" s="542">
        <v>-152208</v>
      </c>
      <c r="DN143" s="542">
        <v>0</v>
      </c>
      <c r="DO143" s="542">
        <v>-152208</v>
      </c>
      <c r="DP143" s="542">
        <v>-12968</v>
      </c>
      <c r="DQ143" s="542">
        <v>0</v>
      </c>
      <c r="DR143" s="542">
        <v>-12968</v>
      </c>
      <c r="DS143" s="542">
        <v>-1076</v>
      </c>
      <c r="DT143" s="542">
        <v>0</v>
      </c>
      <c r="DU143" s="542">
        <v>-1076</v>
      </c>
      <c r="DV143" s="542">
        <v>-4166</v>
      </c>
      <c r="DW143" s="542">
        <v>0</v>
      </c>
      <c r="DX143" s="542">
        <v>-4166</v>
      </c>
      <c r="DY143" s="542">
        <v>-645758</v>
      </c>
      <c r="DZ143" s="542">
        <v>0</v>
      </c>
      <c r="EA143" s="542">
        <v>-645758</v>
      </c>
      <c r="EB143" s="542">
        <v>-11505</v>
      </c>
      <c r="EC143" s="542">
        <v>0</v>
      </c>
      <c r="ED143" s="542">
        <v>-11505</v>
      </c>
      <c r="EE143" s="542">
        <v>-12655</v>
      </c>
      <c r="EF143" s="542">
        <v>0</v>
      </c>
      <c r="EG143" s="542">
        <v>-12655</v>
      </c>
      <c r="EH143" s="542">
        <v>-688128</v>
      </c>
      <c r="EI143" s="542">
        <v>0</v>
      </c>
      <c r="EJ143" s="542">
        <v>-688128</v>
      </c>
      <c r="EK143" s="542">
        <v>-16987</v>
      </c>
      <c r="EL143" s="542">
        <v>0</v>
      </c>
      <c r="EM143" s="542">
        <v>-16987</v>
      </c>
      <c r="EN143" s="542">
        <v>-5371</v>
      </c>
      <c r="EO143" s="542">
        <v>0</v>
      </c>
      <c r="EP143" s="542">
        <v>-5371</v>
      </c>
      <c r="EQ143" s="542">
        <v>-22358</v>
      </c>
      <c r="ER143" s="542">
        <v>0</v>
      </c>
      <c r="ES143" s="542">
        <v>-22358</v>
      </c>
      <c r="ET143" s="542">
        <v>42661873</v>
      </c>
      <c r="EU143" s="542">
        <v>0</v>
      </c>
      <c r="EV143" s="542">
        <v>42661873</v>
      </c>
      <c r="EW143" s="542">
        <v>430526</v>
      </c>
      <c r="EX143" s="542">
        <v>0</v>
      </c>
      <c r="EY143" s="542">
        <v>430526</v>
      </c>
      <c r="EZ143" s="542">
        <v>-7172438</v>
      </c>
      <c r="FA143" s="542">
        <v>0</v>
      </c>
      <c r="FB143" s="542">
        <v>-7172438</v>
      </c>
      <c r="FC143" s="542">
        <v>-754177</v>
      </c>
      <c r="FD143" s="542">
        <v>0</v>
      </c>
      <c r="FE143" s="542">
        <v>-754177</v>
      </c>
      <c r="FF143" s="542">
        <v>-152208</v>
      </c>
      <c r="FG143" s="542">
        <v>0</v>
      </c>
      <c r="FH143" s="542">
        <v>-152208</v>
      </c>
      <c r="FI143" s="542">
        <v>-688128</v>
      </c>
      <c r="FJ143" s="542">
        <v>0</v>
      </c>
      <c r="FK143" s="542">
        <v>-688128</v>
      </c>
      <c r="FL143" s="542">
        <v>-22358</v>
      </c>
      <c r="FM143" s="542">
        <v>0</v>
      </c>
      <c r="FN143" s="542">
        <v>-22358</v>
      </c>
      <c r="FO143" s="542">
        <v>-8358783</v>
      </c>
      <c r="FP143" s="542">
        <v>0</v>
      </c>
      <c r="FQ143" s="542">
        <v>-8358783</v>
      </c>
      <c r="FR143" s="542">
        <v>34303090</v>
      </c>
      <c r="FS143" s="542">
        <v>0</v>
      </c>
      <c r="FT143" s="542">
        <v>34303090</v>
      </c>
    </row>
    <row r="144" spans="1:176" ht="12.75" x14ac:dyDescent="0.2">
      <c r="A144" s="93">
        <v>139</v>
      </c>
      <c r="B144" s="145" t="s">
        <v>156</v>
      </c>
      <c r="C144" s="604" t="s">
        <v>770</v>
      </c>
      <c r="D144" s="142" t="s">
        <v>875</v>
      </c>
      <c r="E144" s="149" t="s">
        <v>155</v>
      </c>
      <c r="F144" s="542">
        <v>-14690</v>
      </c>
      <c r="G144" s="542">
        <v>0</v>
      </c>
      <c r="H144" s="542">
        <v>-14690</v>
      </c>
      <c r="I144" s="542">
        <v>3043</v>
      </c>
      <c r="J144" s="542">
        <v>0</v>
      </c>
      <c r="K144" s="542">
        <v>3043</v>
      </c>
      <c r="L144" s="542">
        <v>0</v>
      </c>
      <c r="M144" s="542">
        <v>0</v>
      </c>
      <c r="N144" s="542">
        <v>0</v>
      </c>
      <c r="O144" s="542">
        <v>0</v>
      </c>
      <c r="P144" s="542">
        <v>0</v>
      </c>
      <c r="Q144" s="542">
        <v>0</v>
      </c>
      <c r="R144" s="542">
        <v>-11647</v>
      </c>
      <c r="S144" s="542">
        <v>0</v>
      </c>
      <c r="T144" s="542">
        <v>-11647</v>
      </c>
      <c r="U144" s="542">
        <v>-322082</v>
      </c>
      <c r="V144" s="542">
        <v>0</v>
      </c>
      <c r="W144" s="542">
        <v>-322082</v>
      </c>
      <c r="X144" s="542">
        <v>0</v>
      </c>
      <c r="Y144" s="542">
        <v>0</v>
      </c>
      <c r="Z144" s="542">
        <v>0</v>
      </c>
      <c r="AA144" s="542">
        <v>0</v>
      </c>
      <c r="AB144" s="542">
        <v>0</v>
      </c>
      <c r="AC144" s="542">
        <v>0</v>
      </c>
      <c r="AD144" s="542">
        <v>-6813</v>
      </c>
      <c r="AE144" s="542">
        <v>0</v>
      </c>
      <c r="AF144" s="542">
        <v>-6813</v>
      </c>
      <c r="AG144" s="542">
        <v>0</v>
      </c>
      <c r="AH144" s="542">
        <v>0</v>
      </c>
      <c r="AI144" s="542">
        <v>0</v>
      </c>
      <c r="AJ144" s="542">
        <v>0</v>
      </c>
      <c r="AK144" s="542">
        <v>0</v>
      </c>
      <c r="AL144" s="542">
        <v>0</v>
      </c>
      <c r="AM144" s="542">
        <v>-33241</v>
      </c>
      <c r="AN144" s="542">
        <v>0</v>
      </c>
      <c r="AO144" s="542">
        <v>-33241</v>
      </c>
      <c r="AP144" s="542">
        <v>0</v>
      </c>
      <c r="AQ144" s="542">
        <v>0</v>
      </c>
      <c r="AR144" s="542">
        <v>0</v>
      </c>
      <c r="AS144" s="542">
        <v>-6372</v>
      </c>
      <c r="AT144" s="542">
        <v>0</v>
      </c>
      <c r="AU144" s="542">
        <v>-6372</v>
      </c>
      <c r="AV144" s="542">
        <v>0</v>
      </c>
      <c r="AW144" s="542">
        <v>0</v>
      </c>
      <c r="AX144" s="542">
        <v>0</v>
      </c>
      <c r="AY144" s="542">
        <v>-1759</v>
      </c>
      <c r="AZ144" s="542">
        <v>0</v>
      </c>
      <c r="BA144" s="542">
        <v>-1759</v>
      </c>
      <c r="BB144" s="542">
        <v>0</v>
      </c>
      <c r="BC144" s="542">
        <v>0</v>
      </c>
      <c r="BD144" s="542">
        <v>0</v>
      </c>
      <c r="BE144" s="542">
        <v>-363454</v>
      </c>
      <c r="BF144" s="542">
        <v>0</v>
      </c>
      <c r="BG144" s="542">
        <v>-363454</v>
      </c>
      <c r="BH144" s="542">
        <v>-7369</v>
      </c>
      <c r="BI144" s="542">
        <v>0</v>
      </c>
      <c r="BJ144" s="542">
        <v>-7369</v>
      </c>
      <c r="BK144" s="542">
        <v>0</v>
      </c>
      <c r="BL144" s="542">
        <v>0</v>
      </c>
      <c r="BM144" s="542">
        <v>0</v>
      </c>
      <c r="BN144" s="542">
        <v>-11179</v>
      </c>
      <c r="BO144" s="542">
        <v>0</v>
      </c>
      <c r="BP144" s="542">
        <v>-11179</v>
      </c>
      <c r="BQ144" s="542">
        <v>0</v>
      </c>
      <c r="BR144" s="542">
        <v>0</v>
      </c>
      <c r="BS144" s="542">
        <v>0</v>
      </c>
      <c r="BT144" s="542">
        <v>-18548</v>
      </c>
      <c r="BU144" s="542">
        <v>0</v>
      </c>
      <c r="BV144" s="542">
        <v>-18548</v>
      </c>
      <c r="BW144" s="542">
        <v>-2493</v>
      </c>
      <c r="BX144" s="542">
        <v>0</v>
      </c>
      <c r="BY144" s="542">
        <v>-2493</v>
      </c>
      <c r="BZ144" s="542">
        <v>29685</v>
      </c>
      <c r="CA144" s="542">
        <v>0</v>
      </c>
      <c r="CB144" s="542">
        <v>29685</v>
      </c>
      <c r="CC144" s="542">
        <v>-5116</v>
      </c>
      <c r="CD144" s="542">
        <v>0</v>
      </c>
      <c r="CE144" s="542">
        <v>-5116</v>
      </c>
      <c r="CF144" s="542">
        <v>0</v>
      </c>
      <c r="CG144" s="542">
        <v>0</v>
      </c>
      <c r="CH144" s="542">
        <v>0</v>
      </c>
      <c r="CI144" s="542">
        <v>-1403</v>
      </c>
      <c r="CJ144" s="542">
        <v>0</v>
      </c>
      <c r="CK144" s="542">
        <v>-1403</v>
      </c>
      <c r="CL144" s="542">
        <v>0</v>
      </c>
      <c r="CM144" s="542">
        <v>0</v>
      </c>
      <c r="CN144" s="542">
        <v>0</v>
      </c>
      <c r="CO144" s="542">
        <v>-1229</v>
      </c>
      <c r="CP144" s="542">
        <v>0</v>
      </c>
      <c r="CQ144" s="542">
        <v>-1229</v>
      </c>
      <c r="CR144" s="542">
        <v>0</v>
      </c>
      <c r="CS144" s="542">
        <v>0</v>
      </c>
      <c r="CT144" s="542">
        <v>0</v>
      </c>
      <c r="CU144" s="542">
        <v>0</v>
      </c>
      <c r="CV144" s="542">
        <v>0</v>
      </c>
      <c r="CW144" s="542">
        <v>0</v>
      </c>
      <c r="CX144" s="542">
        <v>0</v>
      </c>
      <c r="CY144" s="542">
        <v>0</v>
      </c>
      <c r="CZ144" s="542">
        <v>0</v>
      </c>
      <c r="DA144" s="542">
        <v>0</v>
      </c>
      <c r="DB144" s="542">
        <v>0</v>
      </c>
      <c r="DC144" s="542">
        <v>0</v>
      </c>
      <c r="DD144" s="542">
        <v>0</v>
      </c>
      <c r="DE144" s="542">
        <v>0</v>
      </c>
      <c r="DF144" s="542">
        <v>0</v>
      </c>
      <c r="DG144" s="542"/>
      <c r="DH144" s="542">
        <v>0</v>
      </c>
      <c r="DI144" s="542"/>
      <c r="DJ144" s="542">
        <v>0</v>
      </c>
      <c r="DK144" s="542"/>
      <c r="DL144" s="542"/>
      <c r="DM144" s="542">
        <v>19444</v>
      </c>
      <c r="DN144" s="542">
        <v>0</v>
      </c>
      <c r="DO144" s="542">
        <v>19444</v>
      </c>
      <c r="DP144" s="542">
        <v>0</v>
      </c>
      <c r="DQ144" s="542">
        <v>0</v>
      </c>
      <c r="DR144" s="542">
        <v>0</v>
      </c>
      <c r="DS144" s="542">
        <v>0</v>
      </c>
      <c r="DT144" s="542">
        <v>0</v>
      </c>
      <c r="DU144" s="542">
        <v>0</v>
      </c>
      <c r="DV144" s="542">
        <v>-11179</v>
      </c>
      <c r="DW144" s="542">
        <v>0</v>
      </c>
      <c r="DX144" s="542">
        <v>-11179</v>
      </c>
      <c r="DY144" s="542">
        <v>-45015</v>
      </c>
      <c r="DZ144" s="542">
        <v>0</v>
      </c>
      <c r="EA144" s="542">
        <v>-45015</v>
      </c>
      <c r="EB144" s="542">
        <v>-10641</v>
      </c>
      <c r="EC144" s="542">
        <v>0</v>
      </c>
      <c r="ED144" s="542">
        <v>-10641</v>
      </c>
      <c r="EE144" s="542">
        <v>-4590.91</v>
      </c>
      <c r="EF144" s="542">
        <v>0</v>
      </c>
      <c r="EG144" s="542">
        <v>-4590.91</v>
      </c>
      <c r="EH144" s="542">
        <v>-71426</v>
      </c>
      <c r="EI144" s="542">
        <v>0</v>
      </c>
      <c r="EJ144" s="542">
        <v>-71426</v>
      </c>
      <c r="EK144" s="542">
        <v>0</v>
      </c>
      <c r="EL144" s="542">
        <v>0</v>
      </c>
      <c r="EM144" s="542">
        <v>0</v>
      </c>
      <c r="EN144" s="542">
        <v>0</v>
      </c>
      <c r="EO144" s="542">
        <v>0</v>
      </c>
      <c r="EP144" s="542">
        <v>0</v>
      </c>
      <c r="EQ144" s="542">
        <v>0</v>
      </c>
      <c r="ER144" s="542">
        <v>0</v>
      </c>
      <c r="ES144" s="542">
        <v>0</v>
      </c>
      <c r="ET144" s="542">
        <v>2009567</v>
      </c>
      <c r="EU144" s="542">
        <v>0</v>
      </c>
      <c r="EV144" s="542">
        <v>2009567</v>
      </c>
      <c r="EW144" s="542">
        <v>-11647</v>
      </c>
      <c r="EX144" s="542">
        <v>0</v>
      </c>
      <c r="EY144" s="542">
        <v>-11647</v>
      </c>
      <c r="EZ144" s="542">
        <v>-363454</v>
      </c>
      <c r="FA144" s="542">
        <v>0</v>
      </c>
      <c r="FB144" s="542">
        <v>-363454</v>
      </c>
      <c r="FC144" s="542">
        <v>-18548</v>
      </c>
      <c r="FD144" s="542">
        <v>0</v>
      </c>
      <c r="FE144" s="542">
        <v>-18548</v>
      </c>
      <c r="FF144" s="542">
        <v>19444</v>
      </c>
      <c r="FG144" s="542">
        <v>0</v>
      </c>
      <c r="FH144" s="542">
        <v>19444</v>
      </c>
      <c r="FI144" s="542">
        <v>-71426</v>
      </c>
      <c r="FJ144" s="542">
        <v>0</v>
      </c>
      <c r="FK144" s="542">
        <v>-71426</v>
      </c>
      <c r="FL144" s="542">
        <v>0</v>
      </c>
      <c r="FM144" s="542">
        <v>0</v>
      </c>
      <c r="FN144" s="542">
        <v>0</v>
      </c>
      <c r="FO144" s="542">
        <v>-445631</v>
      </c>
      <c r="FP144" s="542">
        <v>0</v>
      </c>
      <c r="FQ144" s="542">
        <v>-445631</v>
      </c>
      <c r="FR144" s="542">
        <v>1563936</v>
      </c>
      <c r="FS144" s="542">
        <v>0</v>
      </c>
      <c r="FT144" s="542">
        <v>1563936</v>
      </c>
    </row>
    <row r="145" spans="1:176" ht="12.75" x14ac:dyDescent="0.2">
      <c r="A145" s="93">
        <v>140</v>
      </c>
      <c r="B145" s="145" t="s">
        <v>158</v>
      </c>
      <c r="C145" s="604" t="s">
        <v>877</v>
      </c>
      <c r="D145" s="142" t="s">
        <v>872</v>
      </c>
      <c r="E145" s="149" t="s">
        <v>157</v>
      </c>
      <c r="F145" s="542">
        <v>-452481</v>
      </c>
      <c r="G145" s="542">
        <v>0</v>
      </c>
      <c r="H145" s="542">
        <v>-452481</v>
      </c>
      <c r="I145" s="542">
        <v>9843</v>
      </c>
      <c r="J145" s="542">
        <v>0</v>
      </c>
      <c r="K145" s="542">
        <v>9843</v>
      </c>
      <c r="L145" s="542">
        <v>144671</v>
      </c>
      <c r="M145" s="542">
        <v>0</v>
      </c>
      <c r="N145" s="542">
        <v>144671</v>
      </c>
      <c r="O145" s="542">
        <v>405364</v>
      </c>
      <c r="P145" s="542">
        <v>0</v>
      </c>
      <c r="Q145" s="542">
        <v>405364</v>
      </c>
      <c r="R145" s="542">
        <v>107397</v>
      </c>
      <c r="S145" s="542">
        <v>0</v>
      </c>
      <c r="T145" s="542">
        <v>107397</v>
      </c>
      <c r="U145" s="542">
        <v>-3187110</v>
      </c>
      <c r="V145" s="542">
        <v>0</v>
      </c>
      <c r="W145" s="542">
        <v>-3187110</v>
      </c>
      <c r="X145" s="542">
        <v>-25623</v>
      </c>
      <c r="Y145" s="542">
        <v>0</v>
      </c>
      <c r="Z145" s="542">
        <v>-25623</v>
      </c>
      <c r="AA145" s="542">
        <v>-279445</v>
      </c>
      <c r="AB145" s="542">
        <v>0</v>
      </c>
      <c r="AC145" s="542">
        <v>-279445</v>
      </c>
      <c r="AD145" s="542">
        <v>-145903</v>
      </c>
      <c r="AE145" s="542">
        <v>0</v>
      </c>
      <c r="AF145" s="542">
        <v>-145903</v>
      </c>
      <c r="AG145" s="542">
        <v>4669223</v>
      </c>
      <c r="AH145" s="542">
        <v>0</v>
      </c>
      <c r="AI145" s="542">
        <v>4669223</v>
      </c>
      <c r="AJ145" s="542">
        <v>183849</v>
      </c>
      <c r="AK145" s="542">
        <v>0</v>
      </c>
      <c r="AL145" s="542">
        <v>183849</v>
      </c>
      <c r="AM145" s="542">
        <v>-18820571</v>
      </c>
      <c r="AN145" s="542">
        <v>0</v>
      </c>
      <c r="AO145" s="542">
        <v>-18820571</v>
      </c>
      <c r="AP145" s="542">
        <v>-219228</v>
      </c>
      <c r="AQ145" s="542">
        <v>0</v>
      </c>
      <c r="AR145" s="542">
        <v>-219228</v>
      </c>
      <c r="AS145" s="542">
        <v>0</v>
      </c>
      <c r="AT145" s="542">
        <v>0</v>
      </c>
      <c r="AU145" s="542">
        <v>0</v>
      </c>
      <c r="AV145" s="542">
        <v>0</v>
      </c>
      <c r="AW145" s="542">
        <v>0</v>
      </c>
      <c r="AX145" s="542">
        <v>0</v>
      </c>
      <c r="AY145" s="542">
        <v>0</v>
      </c>
      <c r="AZ145" s="542">
        <v>0</v>
      </c>
      <c r="BA145" s="542">
        <v>0</v>
      </c>
      <c r="BB145" s="542">
        <v>0</v>
      </c>
      <c r="BC145" s="542">
        <v>0</v>
      </c>
      <c r="BD145" s="542">
        <v>0</v>
      </c>
      <c r="BE145" s="542">
        <v>-17653282</v>
      </c>
      <c r="BF145" s="542">
        <v>0</v>
      </c>
      <c r="BG145" s="542">
        <v>-17653282</v>
      </c>
      <c r="BH145" s="542">
        <v>-16706</v>
      </c>
      <c r="BI145" s="542">
        <v>0</v>
      </c>
      <c r="BJ145" s="542">
        <v>-16706</v>
      </c>
      <c r="BK145" s="542">
        <v>54983</v>
      </c>
      <c r="BL145" s="542">
        <v>0</v>
      </c>
      <c r="BM145" s="542">
        <v>54983</v>
      </c>
      <c r="BN145" s="542">
        <v>-5478611</v>
      </c>
      <c r="BO145" s="542">
        <v>0</v>
      </c>
      <c r="BP145" s="542">
        <v>-5478611</v>
      </c>
      <c r="BQ145" s="542">
        <v>310269</v>
      </c>
      <c r="BR145" s="542">
        <v>0</v>
      </c>
      <c r="BS145" s="542">
        <v>310269</v>
      </c>
      <c r="BT145" s="542">
        <v>-5130065</v>
      </c>
      <c r="BU145" s="542">
        <v>0</v>
      </c>
      <c r="BV145" s="542">
        <v>-5130065</v>
      </c>
      <c r="BW145" s="542">
        <v>-678209</v>
      </c>
      <c r="BX145" s="542">
        <v>0</v>
      </c>
      <c r="BY145" s="542">
        <v>-678209</v>
      </c>
      <c r="BZ145" s="542">
        <v>-196808</v>
      </c>
      <c r="CA145" s="542">
        <v>0</v>
      </c>
      <c r="CB145" s="542">
        <v>-196808</v>
      </c>
      <c r="CC145" s="542">
        <v>-275095</v>
      </c>
      <c r="CD145" s="542">
        <v>0</v>
      </c>
      <c r="CE145" s="542">
        <v>-275095</v>
      </c>
      <c r="CF145" s="542">
        <v>20824</v>
      </c>
      <c r="CG145" s="542">
        <v>0</v>
      </c>
      <c r="CH145" s="542">
        <v>20824</v>
      </c>
      <c r="CI145" s="542">
        <v>0</v>
      </c>
      <c r="CJ145" s="542">
        <v>0</v>
      </c>
      <c r="CK145" s="542">
        <v>0</v>
      </c>
      <c r="CL145" s="542">
        <v>0</v>
      </c>
      <c r="CM145" s="542">
        <v>0</v>
      </c>
      <c r="CN145" s="542">
        <v>0</v>
      </c>
      <c r="CO145" s="542">
        <v>0</v>
      </c>
      <c r="CP145" s="542">
        <v>0</v>
      </c>
      <c r="CQ145" s="542">
        <v>0</v>
      </c>
      <c r="CR145" s="542">
        <v>0</v>
      </c>
      <c r="CS145" s="542">
        <v>0</v>
      </c>
      <c r="CT145" s="542">
        <v>0</v>
      </c>
      <c r="CU145" s="542">
        <v>0</v>
      </c>
      <c r="CV145" s="542">
        <v>0</v>
      </c>
      <c r="CW145" s="542">
        <v>0</v>
      </c>
      <c r="CX145" s="542">
        <v>0</v>
      </c>
      <c r="CY145" s="542">
        <v>0</v>
      </c>
      <c r="CZ145" s="542">
        <v>0</v>
      </c>
      <c r="DA145" s="542">
        <v>0</v>
      </c>
      <c r="DB145" s="542">
        <v>0</v>
      </c>
      <c r="DC145" s="542">
        <v>0</v>
      </c>
      <c r="DD145" s="542">
        <v>0</v>
      </c>
      <c r="DE145" s="542">
        <v>0</v>
      </c>
      <c r="DF145" s="542">
        <v>0</v>
      </c>
      <c r="DG145" s="542"/>
      <c r="DH145" s="542">
        <v>0</v>
      </c>
      <c r="DI145" s="542"/>
      <c r="DJ145" s="542">
        <v>0</v>
      </c>
      <c r="DK145" s="542"/>
      <c r="DL145" s="542"/>
      <c r="DM145" s="542">
        <v>-1129288</v>
      </c>
      <c r="DN145" s="542">
        <v>0</v>
      </c>
      <c r="DO145" s="542">
        <v>-1129288</v>
      </c>
      <c r="DP145" s="542">
        <v>-146690</v>
      </c>
      <c r="DQ145" s="542">
        <v>0</v>
      </c>
      <c r="DR145" s="542">
        <v>-146690</v>
      </c>
      <c r="DS145" s="542">
        <v>0</v>
      </c>
      <c r="DT145" s="542">
        <v>0</v>
      </c>
      <c r="DU145" s="542">
        <v>0</v>
      </c>
      <c r="DV145" s="542">
        <v>-316</v>
      </c>
      <c r="DW145" s="542">
        <v>0</v>
      </c>
      <c r="DX145" s="542">
        <v>-316</v>
      </c>
      <c r="DY145" s="542">
        <v>-1607102</v>
      </c>
      <c r="DZ145" s="542">
        <v>0</v>
      </c>
      <c r="EA145" s="542">
        <v>-1607102</v>
      </c>
      <c r="EB145" s="542">
        <v>0</v>
      </c>
      <c r="EC145" s="542">
        <v>0</v>
      </c>
      <c r="ED145" s="542">
        <v>0</v>
      </c>
      <c r="EE145" s="542">
        <v>0</v>
      </c>
      <c r="EF145" s="542">
        <v>0</v>
      </c>
      <c r="EG145" s="542">
        <v>0</v>
      </c>
      <c r="EH145" s="542">
        <v>-1754108</v>
      </c>
      <c r="EI145" s="542">
        <v>0</v>
      </c>
      <c r="EJ145" s="542">
        <v>-1754108</v>
      </c>
      <c r="EK145" s="542">
        <v>0</v>
      </c>
      <c r="EL145" s="542">
        <v>0</v>
      </c>
      <c r="EM145" s="542">
        <v>0</v>
      </c>
      <c r="EN145" s="542">
        <v>0</v>
      </c>
      <c r="EO145" s="542">
        <v>0</v>
      </c>
      <c r="EP145" s="542">
        <v>0</v>
      </c>
      <c r="EQ145" s="542">
        <v>0</v>
      </c>
      <c r="ER145" s="542">
        <v>0</v>
      </c>
      <c r="ES145" s="542">
        <v>0</v>
      </c>
      <c r="ET145" s="542">
        <v>224827501</v>
      </c>
      <c r="EU145" s="542">
        <v>0</v>
      </c>
      <c r="EV145" s="542">
        <v>224827501</v>
      </c>
      <c r="EW145" s="542">
        <v>107397</v>
      </c>
      <c r="EX145" s="542">
        <v>0</v>
      </c>
      <c r="EY145" s="542">
        <v>107397</v>
      </c>
      <c r="EZ145" s="542">
        <v>-17653282</v>
      </c>
      <c r="FA145" s="542">
        <v>0</v>
      </c>
      <c r="FB145" s="542">
        <v>-17653282</v>
      </c>
      <c r="FC145" s="542">
        <v>-5130065</v>
      </c>
      <c r="FD145" s="542">
        <v>0</v>
      </c>
      <c r="FE145" s="542">
        <v>-5130065</v>
      </c>
      <c r="FF145" s="542">
        <v>-1129288</v>
      </c>
      <c r="FG145" s="542">
        <v>0</v>
      </c>
      <c r="FH145" s="542">
        <v>-1129288</v>
      </c>
      <c r="FI145" s="542">
        <v>-1754108</v>
      </c>
      <c r="FJ145" s="542">
        <v>0</v>
      </c>
      <c r="FK145" s="542">
        <v>-1754108</v>
      </c>
      <c r="FL145" s="542">
        <v>0</v>
      </c>
      <c r="FM145" s="542">
        <v>0</v>
      </c>
      <c r="FN145" s="542">
        <v>0</v>
      </c>
      <c r="FO145" s="542">
        <v>-25559346</v>
      </c>
      <c r="FP145" s="542">
        <v>0</v>
      </c>
      <c r="FQ145" s="542">
        <v>-25559346</v>
      </c>
      <c r="FR145" s="542">
        <v>199268155</v>
      </c>
      <c r="FS145" s="542">
        <v>0</v>
      </c>
      <c r="FT145" s="542">
        <v>199268155</v>
      </c>
    </row>
    <row r="146" spans="1:176" ht="12.75" x14ac:dyDescent="0.2">
      <c r="A146" s="93">
        <v>141</v>
      </c>
      <c r="B146" s="145" t="s">
        <v>160</v>
      </c>
      <c r="C146" s="604" t="s">
        <v>877</v>
      </c>
      <c r="D146" s="142" t="s">
        <v>872</v>
      </c>
      <c r="E146" s="149" t="s">
        <v>702</v>
      </c>
      <c r="F146" s="542">
        <v>-394969</v>
      </c>
      <c r="G146" s="542">
        <v>0</v>
      </c>
      <c r="H146" s="542">
        <v>-394969</v>
      </c>
      <c r="I146" s="542">
        <v>1126894</v>
      </c>
      <c r="J146" s="542">
        <v>0</v>
      </c>
      <c r="K146" s="542">
        <v>1126894</v>
      </c>
      <c r="L146" s="542">
        <v>17466</v>
      </c>
      <c r="M146" s="542">
        <v>0</v>
      </c>
      <c r="N146" s="542">
        <v>17466</v>
      </c>
      <c r="O146" s="542">
        <v>302442</v>
      </c>
      <c r="P146" s="542">
        <v>0</v>
      </c>
      <c r="Q146" s="542">
        <v>302442</v>
      </c>
      <c r="R146" s="542">
        <v>1051833</v>
      </c>
      <c r="S146" s="542">
        <v>0</v>
      </c>
      <c r="T146" s="542">
        <v>1051833</v>
      </c>
      <c r="U146" s="542">
        <v>-1592721</v>
      </c>
      <c r="V146" s="542">
        <v>0</v>
      </c>
      <c r="W146" s="542">
        <v>-1592721</v>
      </c>
      <c r="X146" s="542">
        <v>-1507</v>
      </c>
      <c r="Y146" s="542">
        <v>0</v>
      </c>
      <c r="Z146" s="542">
        <v>-1507</v>
      </c>
      <c r="AA146" s="542">
        <v>-267077</v>
      </c>
      <c r="AB146" s="542">
        <v>0</v>
      </c>
      <c r="AC146" s="542">
        <v>-267077</v>
      </c>
      <c r="AD146" s="542">
        <v>-99243</v>
      </c>
      <c r="AE146" s="542">
        <v>0</v>
      </c>
      <c r="AF146" s="542">
        <v>-99243</v>
      </c>
      <c r="AG146" s="542">
        <v>6703116</v>
      </c>
      <c r="AH146" s="542">
        <v>0</v>
      </c>
      <c r="AI146" s="542">
        <v>6703116</v>
      </c>
      <c r="AJ146" s="542">
        <v>-173637</v>
      </c>
      <c r="AK146" s="542">
        <v>0</v>
      </c>
      <c r="AL146" s="542">
        <v>-173637</v>
      </c>
      <c r="AM146" s="542">
        <v>-16022498</v>
      </c>
      <c r="AN146" s="542">
        <v>0</v>
      </c>
      <c r="AO146" s="542">
        <v>-16022498</v>
      </c>
      <c r="AP146" s="542">
        <v>347178</v>
      </c>
      <c r="AQ146" s="542">
        <v>0</v>
      </c>
      <c r="AR146" s="542">
        <v>347178</v>
      </c>
      <c r="AS146" s="542">
        <v>0</v>
      </c>
      <c r="AT146" s="542">
        <v>0</v>
      </c>
      <c r="AU146" s="542">
        <v>0</v>
      </c>
      <c r="AV146" s="542">
        <v>0</v>
      </c>
      <c r="AW146" s="542">
        <v>0</v>
      </c>
      <c r="AX146" s="542">
        <v>0</v>
      </c>
      <c r="AY146" s="542">
        <v>0</v>
      </c>
      <c r="AZ146" s="542">
        <v>0</v>
      </c>
      <c r="BA146" s="542">
        <v>0</v>
      </c>
      <c r="BB146" s="542">
        <v>0</v>
      </c>
      <c r="BC146" s="542">
        <v>0</v>
      </c>
      <c r="BD146" s="542">
        <v>0</v>
      </c>
      <c r="BE146" s="542">
        <v>-11005639</v>
      </c>
      <c r="BF146" s="542">
        <v>0</v>
      </c>
      <c r="BG146" s="542">
        <v>-11005639</v>
      </c>
      <c r="BH146" s="542">
        <v>-4518</v>
      </c>
      <c r="BI146" s="542">
        <v>0</v>
      </c>
      <c r="BJ146" s="542">
        <v>-4518</v>
      </c>
      <c r="BK146" s="542">
        <v>-10317</v>
      </c>
      <c r="BL146" s="542">
        <v>0</v>
      </c>
      <c r="BM146" s="542">
        <v>-10317</v>
      </c>
      <c r="BN146" s="542">
        <v>-8701647</v>
      </c>
      <c r="BO146" s="542">
        <v>0</v>
      </c>
      <c r="BP146" s="542">
        <v>-8701647</v>
      </c>
      <c r="BQ146" s="542">
        <v>-63720</v>
      </c>
      <c r="BR146" s="542">
        <v>0</v>
      </c>
      <c r="BS146" s="542">
        <v>-63720</v>
      </c>
      <c r="BT146" s="542">
        <v>-8780202</v>
      </c>
      <c r="BU146" s="542">
        <v>0</v>
      </c>
      <c r="BV146" s="542">
        <v>-8780202</v>
      </c>
      <c r="BW146" s="542">
        <v>-79247</v>
      </c>
      <c r="BX146" s="542">
        <v>0</v>
      </c>
      <c r="BY146" s="542">
        <v>-79247</v>
      </c>
      <c r="BZ146" s="542">
        <v>-200</v>
      </c>
      <c r="CA146" s="542">
        <v>0</v>
      </c>
      <c r="CB146" s="542">
        <v>-200</v>
      </c>
      <c r="CC146" s="542">
        <v>-86152</v>
      </c>
      <c r="CD146" s="542">
        <v>0</v>
      </c>
      <c r="CE146" s="542">
        <v>-86152</v>
      </c>
      <c r="CF146" s="542">
        <v>8929</v>
      </c>
      <c r="CG146" s="542">
        <v>0</v>
      </c>
      <c r="CH146" s="542">
        <v>8929</v>
      </c>
      <c r="CI146" s="542">
        <v>0</v>
      </c>
      <c r="CJ146" s="542">
        <v>0</v>
      </c>
      <c r="CK146" s="542">
        <v>0</v>
      </c>
      <c r="CL146" s="542">
        <v>0</v>
      </c>
      <c r="CM146" s="542">
        <v>0</v>
      </c>
      <c r="CN146" s="542">
        <v>0</v>
      </c>
      <c r="CO146" s="542">
        <v>0</v>
      </c>
      <c r="CP146" s="542">
        <v>0</v>
      </c>
      <c r="CQ146" s="542">
        <v>0</v>
      </c>
      <c r="CR146" s="542">
        <v>0</v>
      </c>
      <c r="CS146" s="542">
        <v>0</v>
      </c>
      <c r="CT146" s="542">
        <v>0</v>
      </c>
      <c r="CU146" s="542">
        <v>0</v>
      </c>
      <c r="CV146" s="542">
        <v>0</v>
      </c>
      <c r="CW146" s="542">
        <v>0</v>
      </c>
      <c r="CX146" s="542">
        <v>0</v>
      </c>
      <c r="CY146" s="542">
        <v>0</v>
      </c>
      <c r="CZ146" s="542">
        <v>0</v>
      </c>
      <c r="DA146" s="542">
        <v>0</v>
      </c>
      <c r="DB146" s="542">
        <v>0</v>
      </c>
      <c r="DC146" s="542">
        <v>0</v>
      </c>
      <c r="DD146" s="542">
        <v>0</v>
      </c>
      <c r="DE146" s="542">
        <v>0</v>
      </c>
      <c r="DF146" s="542">
        <v>0</v>
      </c>
      <c r="DG146" s="542"/>
      <c r="DH146" s="542">
        <v>0</v>
      </c>
      <c r="DI146" s="542"/>
      <c r="DJ146" s="542">
        <v>0</v>
      </c>
      <c r="DK146" s="542"/>
      <c r="DL146" s="542"/>
      <c r="DM146" s="542">
        <v>-156670</v>
      </c>
      <c r="DN146" s="542">
        <v>0</v>
      </c>
      <c r="DO146" s="542">
        <v>-156670</v>
      </c>
      <c r="DP146" s="542">
        <v>0</v>
      </c>
      <c r="DQ146" s="542">
        <v>0</v>
      </c>
      <c r="DR146" s="542">
        <v>0</v>
      </c>
      <c r="DS146" s="542">
        <v>0</v>
      </c>
      <c r="DT146" s="542">
        <v>0</v>
      </c>
      <c r="DU146" s="542">
        <v>0</v>
      </c>
      <c r="DV146" s="542">
        <v>-49124</v>
      </c>
      <c r="DW146" s="542">
        <v>0</v>
      </c>
      <c r="DX146" s="542">
        <v>-49124</v>
      </c>
      <c r="DY146" s="542">
        <v>-1200607</v>
      </c>
      <c r="DZ146" s="542">
        <v>0</v>
      </c>
      <c r="EA146" s="542">
        <v>-1200607</v>
      </c>
      <c r="EB146" s="542">
        <v>0</v>
      </c>
      <c r="EC146" s="542">
        <v>0</v>
      </c>
      <c r="ED146" s="542">
        <v>0</v>
      </c>
      <c r="EE146" s="542">
        <v>0</v>
      </c>
      <c r="EF146" s="542">
        <v>0</v>
      </c>
      <c r="EG146" s="542">
        <v>0</v>
      </c>
      <c r="EH146" s="542">
        <v>-1249731</v>
      </c>
      <c r="EI146" s="542">
        <v>0</v>
      </c>
      <c r="EJ146" s="542">
        <v>-1249731</v>
      </c>
      <c r="EK146" s="542">
        <v>-8811</v>
      </c>
      <c r="EL146" s="542">
        <v>0</v>
      </c>
      <c r="EM146" s="542">
        <v>-8811</v>
      </c>
      <c r="EN146" s="542">
        <v>0</v>
      </c>
      <c r="EO146" s="542">
        <v>0</v>
      </c>
      <c r="EP146" s="542">
        <v>0</v>
      </c>
      <c r="EQ146" s="542">
        <v>-8811</v>
      </c>
      <c r="ER146" s="542">
        <v>0</v>
      </c>
      <c r="ES146" s="542">
        <v>-8811</v>
      </c>
      <c r="ET146" s="542">
        <v>296454109</v>
      </c>
      <c r="EU146" s="542">
        <v>0</v>
      </c>
      <c r="EV146" s="542">
        <v>296454109</v>
      </c>
      <c r="EW146" s="542">
        <v>1051833</v>
      </c>
      <c r="EX146" s="542">
        <v>0</v>
      </c>
      <c r="EY146" s="542">
        <v>1051833</v>
      </c>
      <c r="EZ146" s="542">
        <v>-11005639</v>
      </c>
      <c r="FA146" s="542">
        <v>0</v>
      </c>
      <c r="FB146" s="542">
        <v>-11005639</v>
      </c>
      <c r="FC146" s="542">
        <v>-8780202</v>
      </c>
      <c r="FD146" s="542">
        <v>0</v>
      </c>
      <c r="FE146" s="542">
        <v>-8780202</v>
      </c>
      <c r="FF146" s="542">
        <v>-156670</v>
      </c>
      <c r="FG146" s="542">
        <v>0</v>
      </c>
      <c r="FH146" s="542">
        <v>-156670</v>
      </c>
      <c r="FI146" s="542">
        <v>-1249731</v>
      </c>
      <c r="FJ146" s="542">
        <v>0</v>
      </c>
      <c r="FK146" s="542">
        <v>-1249731</v>
      </c>
      <c r="FL146" s="542">
        <v>-8811</v>
      </c>
      <c r="FM146" s="542">
        <v>0</v>
      </c>
      <c r="FN146" s="542">
        <v>-8811</v>
      </c>
      <c r="FO146" s="542">
        <v>-20149220</v>
      </c>
      <c r="FP146" s="542">
        <v>0</v>
      </c>
      <c r="FQ146" s="542">
        <v>-20149220</v>
      </c>
      <c r="FR146" s="542">
        <v>276304889</v>
      </c>
      <c r="FS146" s="542">
        <v>0</v>
      </c>
      <c r="FT146" s="542">
        <v>276304889</v>
      </c>
    </row>
    <row r="147" spans="1:176" ht="12.75" x14ac:dyDescent="0.2">
      <c r="A147" s="93">
        <v>142</v>
      </c>
      <c r="B147" s="145" t="s">
        <v>162</v>
      </c>
      <c r="C147" s="604" t="s">
        <v>866</v>
      </c>
      <c r="D147" s="142" t="s">
        <v>869</v>
      </c>
      <c r="E147" s="149" t="s">
        <v>161</v>
      </c>
      <c r="F147" s="542">
        <v>-3718</v>
      </c>
      <c r="G147" s="542">
        <v>0</v>
      </c>
      <c r="H147" s="542">
        <v>-3718</v>
      </c>
      <c r="I147" s="542">
        <v>25496</v>
      </c>
      <c r="J147" s="542">
        <v>0</v>
      </c>
      <c r="K147" s="542">
        <v>25496</v>
      </c>
      <c r="L147" s="542">
        <v>17541</v>
      </c>
      <c r="M147" s="542">
        <v>0</v>
      </c>
      <c r="N147" s="542">
        <v>17541</v>
      </c>
      <c r="O147" s="542">
        <v>99619</v>
      </c>
      <c r="P147" s="542">
        <v>0</v>
      </c>
      <c r="Q147" s="542">
        <v>99619</v>
      </c>
      <c r="R147" s="542">
        <v>138938</v>
      </c>
      <c r="S147" s="542">
        <v>0</v>
      </c>
      <c r="T147" s="542">
        <v>138938</v>
      </c>
      <c r="U147" s="542">
        <v>-1601937</v>
      </c>
      <c r="V147" s="542">
        <v>0</v>
      </c>
      <c r="W147" s="542">
        <v>-1601937</v>
      </c>
      <c r="X147" s="542">
        <v>-8550</v>
      </c>
      <c r="Y147" s="542">
        <v>0</v>
      </c>
      <c r="Z147" s="542">
        <v>-8550</v>
      </c>
      <c r="AA147" s="542">
        <v>-121381</v>
      </c>
      <c r="AB147" s="542">
        <v>0</v>
      </c>
      <c r="AC147" s="542">
        <v>-121381</v>
      </c>
      <c r="AD147" s="542">
        <v>-51636</v>
      </c>
      <c r="AE147" s="542">
        <v>0</v>
      </c>
      <c r="AF147" s="542">
        <v>-51636</v>
      </c>
      <c r="AG147" s="542">
        <v>738586</v>
      </c>
      <c r="AH147" s="542">
        <v>0</v>
      </c>
      <c r="AI147" s="542">
        <v>738586</v>
      </c>
      <c r="AJ147" s="542">
        <v>-13487</v>
      </c>
      <c r="AK147" s="542">
        <v>0</v>
      </c>
      <c r="AL147" s="542">
        <v>-13487</v>
      </c>
      <c r="AM147" s="542">
        <v>-2485617</v>
      </c>
      <c r="AN147" s="542">
        <v>0</v>
      </c>
      <c r="AO147" s="542">
        <v>-2485617</v>
      </c>
      <c r="AP147" s="542">
        <v>111415</v>
      </c>
      <c r="AQ147" s="542">
        <v>0</v>
      </c>
      <c r="AR147" s="542">
        <v>111415</v>
      </c>
      <c r="AS147" s="542">
        <v>-68753</v>
      </c>
      <c r="AT147" s="542">
        <v>0</v>
      </c>
      <c r="AU147" s="542">
        <v>-68753</v>
      </c>
      <c r="AV147" s="542">
        <v>0</v>
      </c>
      <c r="AW147" s="542">
        <v>0</v>
      </c>
      <c r="AX147" s="542">
        <v>0</v>
      </c>
      <c r="AY147" s="542">
        <v>-7664</v>
      </c>
      <c r="AZ147" s="542">
        <v>0</v>
      </c>
      <c r="BA147" s="542">
        <v>-7664</v>
      </c>
      <c r="BB147" s="542">
        <v>781</v>
      </c>
      <c r="BC147" s="542">
        <v>0</v>
      </c>
      <c r="BD147" s="542">
        <v>781</v>
      </c>
      <c r="BE147" s="542">
        <v>-3448057</v>
      </c>
      <c r="BF147" s="542">
        <v>0</v>
      </c>
      <c r="BG147" s="542">
        <v>-3448057</v>
      </c>
      <c r="BH147" s="542">
        <v>0</v>
      </c>
      <c r="BI147" s="542">
        <v>0</v>
      </c>
      <c r="BJ147" s="542">
        <v>0</v>
      </c>
      <c r="BK147" s="542">
        <v>0</v>
      </c>
      <c r="BL147" s="542">
        <v>0</v>
      </c>
      <c r="BM147" s="542">
        <v>0</v>
      </c>
      <c r="BN147" s="542">
        <v>-616952</v>
      </c>
      <c r="BO147" s="542">
        <v>0</v>
      </c>
      <c r="BP147" s="542">
        <v>-616952</v>
      </c>
      <c r="BQ147" s="542">
        <v>-54365</v>
      </c>
      <c r="BR147" s="542">
        <v>0</v>
      </c>
      <c r="BS147" s="542">
        <v>-54365</v>
      </c>
      <c r="BT147" s="542">
        <v>-671317</v>
      </c>
      <c r="BU147" s="542">
        <v>0</v>
      </c>
      <c r="BV147" s="542">
        <v>-671317</v>
      </c>
      <c r="BW147" s="542">
        <v>-11590</v>
      </c>
      <c r="BX147" s="542">
        <v>0</v>
      </c>
      <c r="BY147" s="542">
        <v>-11590</v>
      </c>
      <c r="BZ147" s="542">
        <v>-190</v>
      </c>
      <c r="CA147" s="542">
        <v>0</v>
      </c>
      <c r="CB147" s="542">
        <v>-190</v>
      </c>
      <c r="CC147" s="542">
        <v>-32082</v>
      </c>
      <c r="CD147" s="542">
        <v>0</v>
      </c>
      <c r="CE147" s="542">
        <v>-32082</v>
      </c>
      <c r="CF147" s="542">
        <v>793</v>
      </c>
      <c r="CG147" s="542">
        <v>0</v>
      </c>
      <c r="CH147" s="542">
        <v>793</v>
      </c>
      <c r="CI147" s="542">
        <v>-1747</v>
      </c>
      <c r="CJ147" s="542">
        <v>0</v>
      </c>
      <c r="CK147" s="542">
        <v>-1747</v>
      </c>
      <c r="CL147" s="542">
        <v>0</v>
      </c>
      <c r="CM147" s="542">
        <v>0</v>
      </c>
      <c r="CN147" s="542">
        <v>0</v>
      </c>
      <c r="CO147" s="542">
        <v>-1301</v>
      </c>
      <c r="CP147" s="542">
        <v>0</v>
      </c>
      <c r="CQ147" s="542">
        <v>-1301</v>
      </c>
      <c r="CR147" s="542">
        <v>240</v>
      </c>
      <c r="CS147" s="542">
        <v>0</v>
      </c>
      <c r="CT147" s="542">
        <v>240</v>
      </c>
      <c r="CU147" s="542">
        <v>0</v>
      </c>
      <c r="CV147" s="542">
        <v>0</v>
      </c>
      <c r="CW147" s="542">
        <v>0</v>
      </c>
      <c r="CX147" s="542">
        <v>0</v>
      </c>
      <c r="CY147" s="542">
        <v>0</v>
      </c>
      <c r="CZ147" s="542">
        <v>0</v>
      </c>
      <c r="DA147" s="542">
        <v>0</v>
      </c>
      <c r="DB147" s="542">
        <v>0</v>
      </c>
      <c r="DC147" s="542">
        <v>0</v>
      </c>
      <c r="DD147" s="542">
        <v>0</v>
      </c>
      <c r="DE147" s="542">
        <v>0</v>
      </c>
      <c r="DF147" s="542">
        <v>0</v>
      </c>
      <c r="DG147" s="542"/>
      <c r="DH147" s="542">
        <v>0</v>
      </c>
      <c r="DI147" s="542"/>
      <c r="DJ147" s="542">
        <v>0</v>
      </c>
      <c r="DK147" s="542"/>
      <c r="DL147" s="542"/>
      <c r="DM147" s="542">
        <v>-45877</v>
      </c>
      <c r="DN147" s="542">
        <v>0</v>
      </c>
      <c r="DO147" s="542">
        <v>-45877</v>
      </c>
      <c r="DP147" s="542">
        <v>0</v>
      </c>
      <c r="DQ147" s="542">
        <v>0</v>
      </c>
      <c r="DR147" s="542">
        <v>0</v>
      </c>
      <c r="DS147" s="542">
        <v>0</v>
      </c>
      <c r="DT147" s="542">
        <v>0</v>
      </c>
      <c r="DU147" s="542">
        <v>0</v>
      </c>
      <c r="DV147" s="542">
        <v>-2374</v>
      </c>
      <c r="DW147" s="542">
        <v>0</v>
      </c>
      <c r="DX147" s="542">
        <v>-2374</v>
      </c>
      <c r="DY147" s="542">
        <v>-283897</v>
      </c>
      <c r="DZ147" s="542">
        <v>0</v>
      </c>
      <c r="EA147" s="542">
        <v>-283897</v>
      </c>
      <c r="EB147" s="542">
        <v>0</v>
      </c>
      <c r="EC147" s="542">
        <v>0</v>
      </c>
      <c r="ED147" s="542">
        <v>0</v>
      </c>
      <c r="EE147" s="542">
        <v>0</v>
      </c>
      <c r="EF147" s="542">
        <v>0</v>
      </c>
      <c r="EG147" s="542">
        <v>0</v>
      </c>
      <c r="EH147" s="542">
        <v>-286271</v>
      </c>
      <c r="EI147" s="542">
        <v>0</v>
      </c>
      <c r="EJ147" s="542">
        <v>-286271</v>
      </c>
      <c r="EK147" s="542">
        <v>0</v>
      </c>
      <c r="EL147" s="542">
        <v>0</v>
      </c>
      <c r="EM147" s="542">
        <v>0</v>
      </c>
      <c r="EN147" s="542">
        <v>0</v>
      </c>
      <c r="EO147" s="542">
        <v>0</v>
      </c>
      <c r="EP147" s="542">
        <v>0</v>
      </c>
      <c r="EQ147" s="542">
        <v>0</v>
      </c>
      <c r="ER147" s="542">
        <v>0</v>
      </c>
      <c r="ES147" s="542">
        <v>0</v>
      </c>
      <c r="ET147" s="542">
        <v>35768543</v>
      </c>
      <c r="EU147" s="542">
        <v>0</v>
      </c>
      <c r="EV147" s="542">
        <v>35768543</v>
      </c>
      <c r="EW147" s="542">
        <v>138938</v>
      </c>
      <c r="EX147" s="542">
        <v>0</v>
      </c>
      <c r="EY147" s="542">
        <v>138938</v>
      </c>
      <c r="EZ147" s="542">
        <v>-3448057</v>
      </c>
      <c r="FA147" s="542">
        <v>0</v>
      </c>
      <c r="FB147" s="542">
        <v>-3448057</v>
      </c>
      <c r="FC147" s="542">
        <v>-671317</v>
      </c>
      <c r="FD147" s="542">
        <v>0</v>
      </c>
      <c r="FE147" s="542">
        <v>-671317</v>
      </c>
      <c r="FF147" s="542">
        <v>-45877</v>
      </c>
      <c r="FG147" s="542">
        <v>0</v>
      </c>
      <c r="FH147" s="542">
        <v>-45877</v>
      </c>
      <c r="FI147" s="542">
        <v>-286271</v>
      </c>
      <c r="FJ147" s="542">
        <v>0</v>
      </c>
      <c r="FK147" s="542">
        <v>-286271</v>
      </c>
      <c r="FL147" s="542">
        <v>0</v>
      </c>
      <c r="FM147" s="542">
        <v>0</v>
      </c>
      <c r="FN147" s="542">
        <v>0</v>
      </c>
      <c r="FO147" s="542">
        <v>-4312584</v>
      </c>
      <c r="FP147" s="542">
        <v>0</v>
      </c>
      <c r="FQ147" s="542">
        <v>-4312584</v>
      </c>
      <c r="FR147" s="542">
        <v>31455959</v>
      </c>
      <c r="FS147" s="542">
        <v>0</v>
      </c>
      <c r="FT147" s="542">
        <v>31455959</v>
      </c>
    </row>
    <row r="148" spans="1:176" ht="12.75" x14ac:dyDescent="0.2">
      <c r="A148" s="93">
        <v>143</v>
      </c>
      <c r="B148" s="145" t="s">
        <v>164</v>
      </c>
      <c r="C148" s="604" t="s">
        <v>866</v>
      </c>
      <c r="D148" s="142" t="s">
        <v>870</v>
      </c>
      <c r="E148" s="149" t="s">
        <v>883</v>
      </c>
      <c r="F148" s="542">
        <v>-215711</v>
      </c>
      <c r="G148" s="542">
        <v>0</v>
      </c>
      <c r="H148" s="542">
        <v>-215711</v>
      </c>
      <c r="I148" s="542">
        <v>137111</v>
      </c>
      <c r="J148" s="542">
        <v>0</v>
      </c>
      <c r="K148" s="542">
        <v>137111</v>
      </c>
      <c r="L148" s="542">
        <v>10897</v>
      </c>
      <c r="M148" s="542">
        <v>0</v>
      </c>
      <c r="N148" s="542">
        <v>10897</v>
      </c>
      <c r="O148" s="542">
        <v>12179</v>
      </c>
      <c r="P148" s="542">
        <v>0</v>
      </c>
      <c r="Q148" s="542">
        <v>12179</v>
      </c>
      <c r="R148" s="542">
        <v>-55524</v>
      </c>
      <c r="S148" s="542">
        <v>0</v>
      </c>
      <c r="T148" s="542">
        <v>-55524</v>
      </c>
      <c r="U148" s="542">
        <v>-3338776</v>
      </c>
      <c r="V148" s="542">
        <v>0</v>
      </c>
      <c r="W148" s="542">
        <v>-3338776</v>
      </c>
      <c r="X148" s="542">
        <v>-5228</v>
      </c>
      <c r="Y148" s="542">
        <v>0</v>
      </c>
      <c r="Z148" s="542">
        <v>-5228</v>
      </c>
      <c r="AA148" s="542">
        <v>-245276</v>
      </c>
      <c r="AB148" s="542">
        <v>0</v>
      </c>
      <c r="AC148" s="542">
        <v>-245276</v>
      </c>
      <c r="AD148" s="542">
        <v>-99322</v>
      </c>
      <c r="AE148" s="542">
        <v>0</v>
      </c>
      <c r="AF148" s="542">
        <v>-99322</v>
      </c>
      <c r="AG148" s="542">
        <v>1002803</v>
      </c>
      <c r="AH148" s="542">
        <v>0</v>
      </c>
      <c r="AI148" s="542">
        <v>1002803</v>
      </c>
      <c r="AJ148" s="542">
        <v>-34860</v>
      </c>
      <c r="AK148" s="542">
        <v>0</v>
      </c>
      <c r="AL148" s="542">
        <v>-34860</v>
      </c>
      <c r="AM148" s="542">
        <v>-2500299</v>
      </c>
      <c r="AN148" s="542">
        <v>0</v>
      </c>
      <c r="AO148" s="542">
        <v>-2500299</v>
      </c>
      <c r="AP148" s="542">
        <v>-107226</v>
      </c>
      <c r="AQ148" s="542">
        <v>0</v>
      </c>
      <c r="AR148" s="542">
        <v>-107226</v>
      </c>
      <c r="AS148" s="542">
        <v>-23663</v>
      </c>
      <c r="AT148" s="542">
        <v>0</v>
      </c>
      <c r="AU148" s="542">
        <v>-23663</v>
      </c>
      <c r="AV148" s="542">
        <v>0</v>
      </c>
      <c r="AW148" s="542">
        <v>0</v>
      </c>
      <c r="AX148" s="542">
        <v>0</v>
      </c>
      <c r="AY148" s="542">
        <v>-77625</v>
      </c>
      <c r="AZ148" s="542">
        <v>0</v>
      </c>
      <c r="BA148" s="542">
        <v>-77625</v>
      </c>
      <c r="BB148" s="542">
        <v>-45109</v>
      </c>
      <c r="BC148" s="542">
        <v>0</v>
      </c>
      <c r="BD148" s="542">
        <v>-45109</v>
      </c>
      <c r="BE148" s="542">
        <v>-5370031</v>
      </c>
      <c r="BF148" s="542">
        <v>0</v>
      </c>
      <c r="BG148" s="542">
        <v>-5370031</v>
      </c>
      <c r="BH148" s="542">
        <v>-10630</v>
      </c>
      <c r="BI148" s="542">
        <v>0</v>
      </c>
      <c r="BJ148" s="542">
        <v>-10630</v>
      </c>
      <c r="BK148" s="542">
        <v>-3586</v>
      </c>
      <c r="BL148" s="542">
        <v>0</v>
      </c>
      <c r="BM148" s="542">
        <v>-3586</v>
      </c>
      <c r="BN148" s="542">
        <v>-964262</v>
      </c>
      <c r="BO148" s="542">
        <v>0</v>
      </c>
      <c r="BP148" s="542">
        <v>-964262</v>
      </c>
      <c r="BQ148" s="542">
        <v>36124</v>
      </c>
      <c r="BR148" s="542">
        <v>0</v>
      </c>
      <c r="BS148" s="542">
        <v>36124</v>
      </c>
      <c r="BT148" s="542">
        <v>-942354</v>
      </c>
      <c r="BU148" s="542">
        <v>0</v>
      </c>
      <c r="BV148" s="542">
        <v>-942354</v>
      </c>
      <c r="BW148" s="542">
        <v>-165204</v>
      </c>
      <c r="BX148" s="542">
        <v>0</v>
      </c>
      <c r="BY148" s="542">
        <v>-165204</v>
      </c>
      <c r="BZ148" s="542">
        <v>-11564</v>
      </c>
      <c r="CA148" s="542">
        <v>0</v>
      </c>
      <c r="CB148" s="542">
        <v>-11564</v>
      </c>
      <c r="CC148" s="542">
        <v>-50632</v>
      </c>
      <c r="CD148" s="542">
        <v>0</v>
      </c>
      <c r="CE148" s="542">
        <v>-50632</v>
      </c>
      <c r="CF148" s="542">
        <v>5336</v>
      </c>
      <c r="CG148" s="542">
        <v>0</v>
      </c>
      <c r="CH148" s="542">
        <v>5336</v>
      </c>
      <c r="CI148" s="542">
        <v>0</v>
      </c>
      <c r="CJ148" s="542">
        <v>0</v>
      </c>
      <c r="CK148" s="542">
        <v>0</v>
      </c>
      <c r="CL148" s="542">
        <v>0</v>
      </c>
      <c r="CM148" s="542">
        <v>0</v>
      </c>
      <c r="CN148" s="542">
        <v>0</v>
      </c>
      <c r="CO148" s="542">
        <v>-30464</v>
      </c>
      <c r="CP148" s="542">
        <v>0</v>
      </c>
      <c r="CQ148" s="542">
        <v>-30464</v>
      </c>
      <c r="CR148" s="542">
        <v>83</v>
      </c>
      <c r="CS148" s="542">
        <v>0</v>
      </c>
      <c r="CT148" s="542">
        <v>83</v>
      </c>
      <c r="CU148" s="542">
        <v>-27424</v>
      </c>
      <c r="CV148" s="542">
        <v>0</v>
      </c>
      <c r="CW148" s="542">
        <v>-27424</v>
      </c>
      <c r="CX148" s="542">
        <v>121</v>
      </c>
      <c r="CY148" s="542">
        <v>0</v>
      </c>
      <c r="CZ148" s="542">
        <v>121</v>
      </c>
      <c r="DA148" s="542">
        <v>0</v>
      </c>
      <c r="DB148" s="542">
        <v>0</v>
      </c>
      <c r="DC148" s="542">
        <v>0</v>
      </c>
      <c r="DD148" s="542">
        <v>0</v>
      </c>
      <c r="DE148" s="542">
        <v>0</v>
      </c>
      <c r="DF148" s="542">
        <v>0</v>
      </c>
      <c r="DG148" s="542"/>
      <c r="DH148" s="542">
        <v>0</v>
      </c>
      <c r="DI148" s="542"/>
      <c r="DJ148" s="542">
        <v>0</v>
      </c>
      <c r="DK148" s="542"/>
      <c r="DL148" s="542"/>
      <c r="DM148" s="542">
        <v>-279748</v>
      </c>
      <c r="DN148" s="542">
        <v>0</v>
      </c>
      <c r="DO148" s="542">
        <v>-279748</v>
      </c>
      <c r="DP148" s="542">
        <v>-11831</v>
      </c>
      <c r="DQ148" s="542">
        <v>0</v>
      </c>
      <c r="DR148" s="542">
        <v>-11831</v>
      </c>
      <c r="DS148" s="542">
        <v>-7099</v>
      </c>
      <c r="DT148" s="542">
        <v>0</v>
      </c>
      <c r="DU148" s="542">
        <v>-7099</v>
      </c>
      <c r="DV148" s="542">
        <v>-7569</v>
      </c>
      <c r="DW148" s="542">
        <v>0</v>
      </c>
      <c r="DX148" s="542">
        <v>-7569</v>
      </c>
      <c r="DY148" s="542">
        <v>-456626</v>
      </c>
      <c r="DZ148" s="542">
        <v>0</v>
      </c>
      <c r="EA148" s="542">
        <v>-456626</v>
      </c>
      <c r="EB148" s="542">
        <v>0</v>
      </c>
      <c r="EC148" s="542">
        <v>0</v>
      </c>
      <c r="ED148" s="542">
        <v>0</v>
      </c>
      <c r="EE148" s="542">
        <v>-16101</v>
      </c>
      <c r="EF148" s="542">
        <v>0</v>
      </c>
      <c r="EG148" s="542">
        <v>-16101</v>
      </c>
      <c r="EH148" s="542">
        <v>-499226</v>
      </c>
      <c r="EI148" s="542">
        <v>0</v>
      </c>
      <c r="EJ148" s="542">
        <v>-499226</v>
      </c>
      <c r="EK148" s="542">
        <v>-11271</v>
      </c>
      <c r="EL148" s="542">
        <v>0</v>
      </c>
      <c r="EM148" s="542">
        <v>-11271</v>
      </c>
      <c r="EN148" s="542">
        <v>-7720</v>
      </c>
      <c r="EO148" s="542">
        <v>0</v>
      </c>
      <c r="EP148" s="542">
        <v>-7720</v>
      </c>
      <c r="EQ148" s="542">
        <v>-18991</v>
      </c>
      <c r="ER148" s="542">
        <v>0</v>
      </c>
      <c r="ES148" s="542">
        <v>-18991</v>
      </c>
      <c r="ET148" s="542">
        <v>49916143</v>
      </c>
      <c r="EU148" s="542">
        <v>0</v>
      </c>
      <c r="EV148" s="542">
        <v>49916143</v>
      </c>
      <c r="EW148" s="542">
        <v>-55524</v>
      </c>
      <c r="EX148" s="542">
        <v>0</v>
      </c>
      <c r="EY148" s="542">
        <v>-55524</v>
      </c>
      <c r="EZ148" s="542">
        <v>-5370031</v>
      </c>
      <c r="FA148" s="542">
        <v>0</v>
      </c>
      <c r="FB148" s="542">
        <v>-5370031</v>
      </c>
      <c r="FC148" s="542">
        <v>-942354</v>
      </c>
      <c r="FD148" s="542">
        <v>0</v>
      </c>
      <c r="FE148" s="542">
        <v>-942354</v>
      </c>
      <c r="FF148" s="542">
        <v>-279748</v>
      </c>
      <c r="FG148" s="542">
        <v>0</v>
      </c>
      <c r="FH148" s="542">
        <v>-279748</v>
      </c>
      <c r="FI148" s="542">
        <v>-499226</v>
      </c>
      <c r="FJ148" s="542">
        <v>0</v>
      </c>
      <c r="FK148" s="542">
        <v>-499226</v>
      </c>
      <c r="FL148" s="542">
        <v>-18991</v>
      </c>
      <c r="FM148" s="542">
        <v>0</v>
      </c>
      <c r="FN148" s="542">
        <v>-18991</v>
      </c>
      <c r="FO148" s="542">
        <v>-7165874</v>
      </c>
      <c r="FP148" s="542">
        <v>0</v>
      </c>
      <c r="FQ148" s="542">
        <v>-7165874</v>
      </c>
      <c r="FR148" s="542">
        <v>42750269</v>
      </c>
      <c r="FS148" s="542">
        <v>0</v>
      </c>
      <c r="FT148" s="542">
        <v>42750269</v>
      </c>
    </row>
    <row r="149" spans="1:176" ht="12.75" x14ac:dyDescent="0.2">
      <c r="A149" s="93">
        <v>144</v>
      </c>
      <c r="B149" s="145" t="s">
        <v>166</v>
      </c>
      <c r="C149" s="604" t="s">
        <v>770</v>
      </c>
      <c r="D149" s="142" t="s">
        <v>874</v>
      </c>
      <c r="E149" s="149" t="s">
        <v>884</v>
      </c>
      <c r="F149" s="542">
        <v>-114583</v>
      </c>
      <c r="G149" s="542">
        <v>0</v>
      </c>
      <c r="H149" s="542">
        <v>-114583</v>
      </c>
      <c r="I149" s="542">
        <v>-1495185</v>
      </c>
      <c r="J149" s="542">
        <v>0</v>
      </c>
      <c r="K149" s="542">
        <v>-1495185</v>
      </c>
      <c r="L149" s="542">
        <v>483429</v>
      </c>
      <c r="M149" s="542">
        <v>0</v>
      </c>
      <c r="N149" s="542">
        <v>483429</v>
      </c>
      <c r="O149" s="542">
        <v>1943724</v>
      </c>
      <c r="P149" s="542">
        <v>0</v>
      </c>
      <c r="Q149" s="542">
        <v>1943724</v>
      </c>
      <c r="R149" s="542">
        <v>817385</v>
      </c>
      <c r="S149" s="542">
        <v>0</v>
      </c>
      <c r="T149" s="542">
        <v>817385</v>
      </c>
      <c r="U149" s="542">
        <v>-5774426</v>
      </c>
      <c r="V149" s="542">
        <v>0</v>
      </c>
      <c r="W149" s="542">
        <v>-5774426</v>
      </c>
      <c r="X149" s="542">
        <v>-1333</v>
      </c>
      <c r="Y149" s="542">
        <v>0</v>
      </c>
      <c r="Z149" s="542">
        <v>-1333</v>
      </c>
      <c r="AA149" s="542">
        <v>-291927</v>
      </c>
      <c r="AB149" s="542">
        <v>0</v>
      </c>
      <c r="AC149" s="542">
        <v>-291927</v>
      </c>
      <c r="AD149" s="542">
        <v>-708832</v>
      </c>
      <c r="AE149" s="542">
        <v>0</v>
      </c>
      <c r="AF149" s="542">
        <v>-708832</v>
      </c>
      <c r="AG149" s="542">
        <v>1986935</v>
      </c>
      <c r="AH149" s="542">
        <v>0</v>
      </c>
      <c r="AI149" s="542">
        <v>1986935</v>
      </c>
      <c r="AJ149" s="542">
        <v>-45447</v>
      </c>
      <c r="AK149" s="542">
        <v>0</v>
      </c>
      <c r="AL149" s="542">
        <v>-45447</v>
      </c>
      <c r="AM149" s="542">
        <v>-6751201</v>
      </c>
      <c r="AN149" s="542">
        <v>0</v>
      </c>
      <c r="AO149" s="542">
        <v>-6751201</v>
      </c>
      <c r="AP149" s="542">
        <v>-937462</v>
      </c>
      <c r="AQ149" s="542">
        <v>0</v>
      </c>
      <c r="AR149" s="542">
        <v>-937462</v>
      </c>
      <c r="AS149" s="542">
        <v>-5470</v>
      </c>
      <c r="AT149" s="542">
        <v>0</v>
      </c>
      <c r="AU149" s="542">
        <v>-5470</v>
      </c>
      <c r="AV149" s="542">
        <v>0</v>
      </c>
      <c r="AW149" s="542">
        <v>0</v>
      </c>
      <c r="AX149" s="542">
        <v>0</v>
      </c>
      <c r="AY149" s="542">
        <v>0</v>
      </c>
      <c r="AZ149" s="542">
        <v>0</v>
      </c>
      <c r="BA149" s="542">
        <v>0</v>
      </c>
      <c r="BB149" s="542">
        <v>0</v>
      </c>
      <c r="BC149" s="542">
        <v>0</v>
      </c>
      <c r="BD149" s="542">
        <v>0</v>
      </c>
      <c r="BE149" s="542">
        <v>-11818998</v>
      </c>
      <c r="BF149" s="542">
        <v>0</v>
      </c>
      <c r="BG149" s="542">
        <v>-11818998</v>
      </c>
      <c r="BH149" s="542">
        <v>-19631</v>
      </c>
      <c r="BI149" s="542">
        <v>0</v>
      </c>
      <c r="BJ149" s="542">
        <v>-19631</v>
      </c>
      <c r="BK149" s="542">
        <v>0</v>
      </c>
      <c r="BL149" s="542">
        <v>0</v>
      </c>
      <c r="BM149" s="542">
        <v>0</v>
      </c>
      <c r="BN149" s="542">
        <v>-4089385</v>
      </c>
      <c r="BO149" s="542">
        <v>0</v>
      </c>
      <c r="BP149" s="542">
        <v>-4089385</v>
      </c>
      <c r="BQ149" s="542">
        <v>-117126</v>
      </c>
      <c r="BR149" s="542">
        <v>0</v>
      </c>
      <c r="BS149" s="542">
        <v>-117126</v>
      </c>
      <c r="BT149" s="542">
        <v>-4226142</v>
      </c>
      <c r="BU149" s="542">
        <v>0</v>
      </c>
      <c r="BV149" s="542">
        <v>-4226142</v>
      </c>
      <c r="BW149" s="542">
        <v>-5470</v>
      </c>
      <c r="BX149" s="542">
        <v>0</v>
      </c>
      <c r="BY149" s="542">
        <v>-5470</v>
      </c>
      <c r="BZ149" s="542">
        <v>-13</v>
      </c>
      <c r="CA149" s="542">
        <v>0</v>
      </c>
      <c r="CB149" s="542">
        <v>-13</v>
      </c>
      <c r="CC149" s="542">
        <v>-5816</v>
      </c>
      <c r="CD149" s="542">
        <v>0</v>
      </c>
      <c r="CE149" s="542">
        <v>-5816</v>
      </c>
      <c r="CF149" s="542">
        <v>0</v>
      </c>
      <c r="CG149" s="542">
        <v>0</v>
      </c>
      <c r="CH149" s="542">
        <v>0</v>
      </c>
      <c r="CI149" s="542">
        <v>0</v>
      </c>
      <c r="CJ149" s="542">
        <v>0</v>
      </c>
      <c r="CK149" s="542">
        <v>0</v>
      </c>
      <c r="CL149" s="542">
        <v>0</v>
      </c>
      <c r="CM149" s="542">
        <v>0</v>
      </c>
      <c r="CN149" s="542">
        <v>0</v>
      </c>
      <c r="CO149" s="542">
        <v>0</v>
      </c>
      <c r="CP149" s="542">
        <v>0</v>
      </c>
      <c r="CQ149" s="542">
        <v>0</v>
      </c>
      <c r="CR149" s="542">
        <v>0</v>
      </c>
      <c r="CS149" s="542">
        <v>0</v>
      </c>
      <c r="CT149" s="542">
        <v>0</v>
      </c>
      <c r="CU149" s="542">
        <v>0</v>
      </c>
      <c r="CV149" s="542">
        <v>0</v>
      </c>
      <c r="CW149" s="542">
        <v>0</v>
      </c>
      <c r="CX149" s="542">
        <v>0</v>
      </c>
      <c r="CY149" s="542">
        <v>0</v>
      </c>
      <c r="CZ149" s="542">
        <v>0</v>
      </c>
      <c r="DA149" s="542">
        <v>0</v>
      </c>
      <c r="DB149" s="542">
        <v>0</v>
      </c>
      <c r="DC149" s="542">
        <v>0</v>
      </c>
      <c r="DD149" s="542">
        <v>0</v>
      </c>
      <c r="DE149" s="542">
        <v>0</v>
      </c>
      <c r="DF149" s="542">
        <v>0</v>
      </c>
      <c r="DG149" s="542"/>
      <c r="DH149" s="542">
        <v>0</v>
      </c>
      <c r="DI149" s="542"/>
      <c r="DJ149" s="542">
        <v>0</v>
      </c>
      <c r="DK149" s="542"/>
      <c r="DL149" s="542"/>
      <c r="DM149" s="542">
        <v>-11299</v>
      </c>
      <c r="DN149" s="542">
        <v>0</v>
      </c>
      <c r="DO149" s="542">
        <v>-11299</v>
      </c>
      <c r="DP149" s="542">
        <v>0</v>
      </c>
      <c r="DQ149" s="542">
        <v>0</v>
      </c>
      <c r="DR149" s="542">
        <v>0</v>
      </c>
      <c r="DS149" s="542">
        <v>0</v>
      </c>
      <c r="DT149" s="542">
        <v>0</v>
      </c>
      <c r="DU149" s="542">
        <v>0</v>
      </c>
      <c r="DV149" s="542">
        <v>-23148</v>
      </c>
      <c r="DW149" s="542">
        <v>0</v>
      </c>
      <c r="DX149" s="542">
        <v>-23148</v>
      </c>
      <c r="DY149" s="542">
        <v>-1098569</v>
      </c>
      <c r="DZ149" s="542">
        <v>0</v>
      </c>
      <c r="EA149" s="542">
        <v>-1098569</v>
      </c>
      <c r="EB149" s="542">
        <v>-243493</v>
      </c>
      <c r="EC149" s="542">
        <v>0</v>
      </c>
      <c r="ED149" s="542">
        <v>-243493</v>
      </c>
      <c r="EE149" s="542">
        <v>0</v>
      </c>
      <c r="EF149" s="542">
        <v>0</v>
      </c>
      <c r="EG149" s="542">
        <v>0</v>
      </c>
      <c r="EH149" s="542">
        <v>-1365210</v>
      </c>
      <c r="EI149" s="542">
        <v>0</v>
      </c>
      <c r="EJ149" s="542">
        <v>-1365210</v>
      </c>
      <c r="EK149" s="542">
        <v>0</v>
      </c>
      <c r="EL149" s="542">
        <v>0</v>
      </c>
      <c r="EM149" s="542">
        <v>0</v>
      </c>
      <c r="EN149" s="542">
        <v>0</v>
      </c>
      <c r="EO149" s="542">
        <v>0</v>
      </c>
      <c r="EP149" s="542">
        <v>0</v>
      </c>
      <c r="EQ149" s="542">
        <v>0</v>
      </c>
      <c r="ER149" s="542">
        <v>0</v>
      </c>
      <c r="ES149" s="542">
        <v>0</v>
      </c>
      <c r="ET149" s="542">
        <v>103123593</v>
      </c>
      <c r="EU149" s="542">
        <v>176291</v>
      </c>
      <c r="EV149" s="542">
        <v>103299884</v>
      </c>
      <c r="EW149" s="542">
        <v>817385</v>
      </c>
      <c r="EX149" s="542">
        <v>0</v>
      </c>
      <c r="EY149" s="542">
        <v>817385</v>
      </c>
      <c r="EZ149" s="542">
        <v>-11818998</v>
      </c>
      <c r="FA149" s="542">
        <v>0</v>
      </c>
      <c r="FB149" s="542">
        <v>-11818998</v>
      </c>
      <c r="FC149" s="542">
        <v>-4226142</v>
      </c>
      <c r="FD149" s="542">
        <v>0</v>
      </c>
      <c r="FE149" s="542">
        <v>-4226142</v>
      </c>
      <c r="FF149" s="542">
        <v>-11299</v>
      </c>
      <c r="FG149" s="542">
        <v>0</v>
      </c>
      <c r="FH149" s="542">
        <v>-11299</v>
      </c>
      <c r="FI149" s="542">
        <v>-1365210</v>
      </c>
      <c r="FJ149" s="542">
        <v>0</v>
      </c>
      <c r="FK149" s="542">
        <v>-1365210</v>
      </c>
      <c r="FL149" s="542">
        <v>0</v>
      </c>
      <c r="FM149" s="542">
        <v>0</v>
      </c>
      <c r="FN149" s="542">
        <v>0</v>
      </c>
      <c r="FO149" s="542">
        <v>-16604264</v>
      </c>
      <c r="FP149" s="542">
        <v>0</v>
      </c>
      <c r="FQ149" s="542">
        <v>-16604264</v>
      </c>
      <c r="FR149" s="542">
        <v>86519329</v>
      </c>
      <c r="FS149" s="542">
        <v>176291</v>
      </c>
      <c r="FT149" s="542">
        <v>86695620</v>
      </c>
    </row>
    <row r="150" spans="1:176" ht="12.75" x14ac:dyDescent="0.2">
      <c r="A150" s="93">
        <v>145</v>
      </c>
      <c r="B150" s="145" t="s">
        <v>168</v>
      </c>
      <c r="C150" s="604" t="s">
        <v>871</v>
      </c>
      <c r="D150" s="142" t="s">
        <v>872</v>
      </c>
      <c r="E150" s="149" t="s">
        <v>167</v>
      </c>
      <c r="F150" s="542">
        <v>-3490</v>
      </c>
      <c r="G150" s="542">
        <v>0</v>
      </c>
      <c r="H150" s="542">
        <v>-3490</v>
      </c>
      <c r="I150" s="542">
        <v>214767</v>
      </c>
      <c r="J150" s="542">
        <v>0</v>
      </c>
      <c r="K150" s="542">
        <v>214767</v>
      </c>
      <c r="L150" s="542">
        <v>43832</v>
      </c>
      <c r="M150" s="542">
        <v>0</v>
      </c>
      <c r="N150" s="542">
        <v>43832</v>
      </c>
      <c r="O150" s="542">
        <v>807636</v>
      </c>
      <c r="P150" s="542">
        <v>0</v>
      </c>
      <c r="Q150" s="542">
        <v>807636</v>
      </c>
      <c r="R150" s="542">
        <v>1062745</v>
      </c>
      <c r="S150" s="542">
        <v>0</v>
      </c>
      <c r="T150" s="542">
        <v>1062745</v>
      </c>
      <c r="U150" s="542">
        <v>-2372783</v>
      </c>
      <c r="V150" s="542">
        <v>0</v>
      </c>
      <c r="W150" s="542">
        <v>-2372783</v>
      </c>
      <c r="X150" s="542">
        <v>0</v>
      </c>
      <c r="Y150" s="542">
        <v>0</v>
      </c>
      <c r="Z150" s="542">
        <v>0</v>
      </c>
      <c r="AA150" s="542">
        <v>-65865</v>
      </c>
      <c r="AB150" s="542">
        <v>0</v>
      </c>
      <c r="AC150" s="542">
        <v>-65865</v>
      </c>
      <c r="AD150" s="542">
        <v>-32955</v>
      </c>
      <c r="AE150" s="542">
        <v>0</v>
      </c>
      <c r="AF150" s="542">
        <v>-32955</v>
      </c>
      <c r="AG150" s="542">
        <v>1950161</v>
      </c>
      <c r="AH150" s="542">
        <v>0</v>
      </c>
      <c r="AI150" s="542">
        <v>1950161</v>
      </c>
      <c r="AJ150" s="542">
        <v>5328</v>
      </c>
      <c r="AK150" s="542">
        <v>0</v>
      </c>
      <c r="AL150" s="542">
        <v>5328</v>
      </c>
      <c r="AM150" s="542">
        <v>-5884984</v>
      </c>
      <c r="AN150" s="542">
        <v>0</v>
      </c>
      <c r="AO150" s="542">
        <v>-5884984</v>
      </c>
      <c r="AP150" s="542">
        <v>-145370</v>
      </c>
      <c r="AQ150" s="542">
        <v>0</v>
      </c>
      <c r="AR150" s="542">
        <v>-145370</v>
      </c>
      <c r="AS150" s="542">
        <v>-126631</v>
      </c>
      <c r="AT150" s="542">
        <v>0</v>
      </c>
      <c r="AU150" s="542">
        <v>-126631</v>
      </c>
      <c r="AV150" s="542">
        <v>0</v>
      </c>
      <c r="AW150" s="542">
        <v>0</v>
      </c>
      <c r="AX150" s="542">
        <v>0</v>
      </c>
      <c r="AY150" s="542">
        <v>0</v>
      </c>
      <c r="AZ150" s="542">
        <v>0</v>
      </c>
      <c r="BA150" s="542">
        <v>0</v>
      </c>
      <c r="BB150" s="542">
        <v>0</v>
      </c>
      <c r="BC150" s="542">
        <v>0</v>
      </c>
      <c r="BD150" s="542">
        <v>0</v>
      </c>
      <c r="BE150" s="542">
        <v>-6640144</v>
      </c>
      <c r="BF150" s="542">
        <v>0</v>
      </c>
      <c r="BG150" s="542">
        <v>-6640144</v>
      </c>
      <c r="BH150" s="542">
        <v>-22498</v>
      </c>
      <c r="BI150" s="542">
        <v>0</v>
      </c>
      <c r="BJ150" s="542">
        <v>-22498</v>
      </c>
      <c r="BK150" s="542">
        <v>-36997</v>
      </c>
      <c r="BL150" s="542">
        <v>0</v>
      </c>
      <c r="BM150" s="542">
        <v>-36997</v>
      </c>
      <c r="BN150" s="542">
        <v>-3237410</v>
      </c>
      <c r="BO150" s="542">
        <v>0</v>
      </c>
      <c r="BP150" s="542">
        <v>-3237410</v>
      </c>
      <c r="BQ150" s="542">
        <v>-621075</v>
      </c>
      <c r="BR150" s="542">
        <v>0</v>
      </c>
      <c r="BS150" s="542">
        <v>-621075</v>
      </c>
      <c r="BT150" s="542">
        <v>-3917980</v>
      </c>
      <c r="BU150" s="542">
        <v>0</v>
      </c>
      <c r="BV150" s="542">
        <v>-3917980</v>
      </c>
      <c r="BW150" s="542">
        <v>-52060</v>
      </c>
      <c r="BX150" s="542">
        <v>0</v>
      </c>
      <c r="BY150" s="542">
        <v>-52060</v>
      </c>
      <c r="BZ150" s="542">
        <v>0</v>
      </c>
      <c r="CA150" s="542">
        <v>0</v>
      </c>
      <c r="CB150" s="542">
        <v>0</v>
      </c>
      <c r="CC150" s="542">
        <v>-382203</v>
      </c>
      <c r="CD150" s="542">
        <v>0</v>
      </c>
      <c r="CE150" s="542">
        <v>-382203</v>
      </c>
      <c r="CF150" s="542">
        <v>341</v>
      </c>
      <c r="CG150" s="542">
        <v>0</v>
      </c>
      <c r="CH150" s="542">
        <v>341</v>
      </c>
      <c r="CI150" s="542">
        <v>0</v>
      </c>
      <c r="CJ150" s="542">
        <v>0</v>
      </c>
      <c r="CK150" s="542">
        <v>0</v>
      </c>
      <c r="CL150" s="542">
        <v>0</v>
      </c>
      <c r="CM150" s="542">
        <v>0</v>
      </c>
      <c r="CN150" s="542">
        <v>0</v>
      </c>
      <c r="CO150" s="542">
        <v>0</v>
      </c>
      <c r="CP150" s="542">
        <v>0</v>
      </c>
      <c r="CQ150" s="542">
        <v>0</v>
      </c>
      <c r="CR150" s="542">
        <v>0</v>
      </c>
      <c r="CS150" s="542">
        <v>0</v>
      </c>
      <c r="CT150" s="542">
        <v>0</v>
      </c>
      <c r="CU150" s="542">
        <v>0</v>
      </c>
      <c r="CV150" s="542">
        <v>0</v>
      </c>
      <c r="CW150" s="542">
        <v>0</v>
      </c>
      <c r="CX150" s="542">
        <v>0</v>
      </c>
      <c r="CY150" s="542">
        <v>0</v>
      </c>
      <c r="CZ150" s="542">
        <v>0</v>
      </c>
      <c r="DA150" s="542">
        <v>0</v>
      </c>
      <c r="DB150" s="542">
        <v>0</v>
      </c>
      <c r="DC150" s="542">
        <v>0</v>
      </c>
      <c r="DD150" s="542">
        <v>0</v>
      </c>
      <c r="DE150" s="542">
        <v>0</v>
      </c>
      <c r="DF150" s="542">
        <v>0</v>
      </c>
      <c r="DG150" s="542"/>
      <c r="DH150" s="542">
        <v>0</v>
      </c>
      <c r="DI150" s="542"/>
      <c r="DJ150" s="542">
        <v>0</v>
      </c>
      <c r="DK150" s="542"/>
      <c r="DL150" s="542"/>
      <c r="DM150" s="542">
        <v>-433922</v>
      </c>
      <c r="DN150" s="542">
        <v>0</v>
      </c>
      <c r="DO150" s="542">
        <v>-433922</v>
      </c>
      <c r="DP150" s="542">
        <v>0</v>
      </c>
      <c r="DQ150" s="542">
        <v>0</v>
      </c>
      <c r="DR150" s="542">
        <v>0</v>
      </c>
      <c r="DS150" s="542">
        <v>0</v>
      </c>
      <c r="DT150" s="542">
        <v>0</v>
      </c>
      <c r="DU150" s="542">
        <v>0</v>
      </c>
      <c r="DV150" s="542">
        <v>0</v>
      </c>
      <c r="DW150" s="542">
        <v>0</v>
      </c>
      <c r="DX150" s="542">
        <v>0</v>
      </c>
      <c r="DY150" s="542">
        <v>-636109</v>
      </c>
      <c r="DZ150" s="542">
        <v>0</v>
      </c>
      <c r="EA150" s="542">
        <v>-636109</v>
      </c>
      <c r="EB150" s="542">
        <v>-76079</v>
      </c>
      <c r="EC150" s="542">
        <v>0</v>
      </c>
      <c r="ED150" s="542">
        <v>-76079</v>
      </c>
      <c r="EE150" s="542">
        <v>0</v>
      </c>
      <c r="EF150" s="542">
        <v>0</v>
      </c>
      <c r="EG150" s="542">
        <v>0</v>
      </c>
      <c r="EH150" s="542">
        <v>-712188</v>
      </c>
      <c r="EI150" s="542">
        <v>0</v>
      </c>
      <c r="EJ150" s="542">
        <v>-712188</v>
      </c>
      <c r="EK150" s="542">
        <v>0</v>
      </c>
      <c r="EL150" s="542">
        <v>0</v>
      </c>
      <c r="EM150" s="542">
        <v>0</v>
      </c>
      <c r="EN150" s="542">
        <v>0</v>
      </c>
      <c r="EO150" s="542">
        <v>0</v>
      </c>
      <c r="EP150" s="542">
        <v>0</v>
      </c>
      <c r="EQ150" s="542">
        <v>0</v>
      </c>
      <c r="ER150" s="542">
        <v>0</v>
      </c>
      <c r="ES150" s="542">
        <v>0</v>
      </c>
      <c r="ET150" s="542">
        <v>91733063</v>
      </c>
      <c r="EU150" s="542">
        <v>0</v>
      </c>
      <c r="EV150" s="542">
        <v>91733063</v>
      </c>
      <c r="EW150" s="542">
        <v>1062745</v>
      </c>
      <c r="EX150" s="542">
        <v>0</v>
      </c>
      <c r="EY150" s="542">
        <v>1062745</v>
      </c>
      <c r="EZ150" s="542">
        <v>-6640144</v>
      </c>
      <c r="FA150" s="542">
        <v>0</v>
      </c>
      <c r="FB150" s="542">
        <v>-6640144</v>
      </c>
      <c r="FC150" s="542">
        <v>-3917980</v>
      </c>
      <c r="FD150" s="542">
        <v>0</v>
      </c>
      <c r="FE150" s="542">
        <v>-3917980</v>
      </c>
      <c r="FF150" s="542">
        <v>-433922</v>
      </c>
      <c r="FG150" s="542">
        <v>0</v>
      </c>
      <c r="FH150" s="542">
        <v>-433922</v>
      </c>
      <c r="FI150" s="542">
        <v>-712188</v>
      </c>
      <c r="FJ150" s="542">
        <v>0</v>
      </c>
      <c r="FK150" s="542">
        <v>-712188</v>
      </c>
      <c r="FL150" s="542">
        <v>0</v>
      </c>
      <c r="FM150" s="542">
        <v>0</v>
      </c>
      <c r="FN150" s="542">
        <v>0</v>
      </c>
      <c r="FO150" s="542">
        <v>-10641489</v>
      </c>
      <c r="FP150" s="542">
        <v>0</v>
      </c>
      <c r="FQ150" s="542">
        <v>-10641489</v>
      </c>
      <c r="FR150" s="542">
        <v>81091574</v>
      </c>
      <c r="FS150" s="542">
        <v>0</v>
      </c>
      <c r="FT150" s="542">
        <v>81091574</v>
      </c>
    </row>
    <row r="151" spans="1:176" ht="12.75" x14ac:dyDescent="0.2">
      <c r="A151" s="93">
        <v>146</v>
      </c>
      <c r="B151" s="145" t="s">
        <v>170</v>
      </c>
      <c r="C151" s="604" t="s">
        <v>873</v>
      </c>
      <c r="D151" s="142" t="s">
        <v>874</v>
      </c>
      <c r="E151" s="149" t="s">
        <v>169</v>
      </c>
      <c r="F151" s="542">
        <v>-163686</v>
      </c>
      <c r="G151" s="542">
        <v>0</v>
      </c>
      <c r="H151" s="542">
        <v>-163686</v>
      </c>
      <c r="I151" s="542">
        <v>621086</v>
      </c>
      <c r="J151" s="542">
        <v>0</v>
      </c>
      <c r="K151" s="542">
        <v>621086</v>
      </c>
      <c r="L151" s="542">
        <v>24601</v>
      </c>
      <c r="M151" s="542">
        <v>0</v>
      </c>
      <c r="N151" s="542">
        <v>24601</v>
      </c>
      <c r="O151" s="542">
        <v>589597</v>
      </c>
      <c r="P151" s="542">
        <v>0</v>
      </c>
      <c r="Q151" s="542">
        <v>589597</v>
      </c>
      <c r="R151" s="542">
        <v>1071598</v>
      </c>
      <c r="S151" s="542">
        <v>0</v>
      </c>
      <c r="T151" s="542">
        <v>1071598</v>
      </c>
      <c r="U151" s="542">
        <v>-11852829</v>
      </c>
      <c r="V151" s="542">
        <v>0</v>
      </c>
      <c r="W151" s="542">
        <v>-11852829</v>
      </c>
      <c r="X151" s="542">
        <v>-17893</v>
      </c>
      <c r="Y151" s="542">
        <v>0</v>
      </c>
      <c r="Z151" s="542">
        <v>-17893</v>
      </c>
      <c r="AA151" s="542">
        <v>-253807</v>
      </c>
      <c r="AB151" s="542">
        <v>0</v>
      </c>
      <c r="AC151" s="542">
        <v>-253807</v>
      </c>
      <c r="AD151" s="542">
        <v>-141566</v>
      </c>
      <c r="AE151" s="542">
        <v>0</v>
      </c>
      <c r="AF151" s="542">
        <v>-141566</v>
      </c>
      <c r="AG151" s="542">
        <v>2473298</v>
      </c>
      <c r="AH151" s="542">
        <v>0</v>
      </c>
      <c r="AI151" s="542">
        <v>2473298</v>
      </c>
      <c r="AJ151" s="542">
        <v>-17250</v>
      </c>
      <c r="AK151" s="542">
        <v>0</v>
      </c>
      <c r="AL151" s="542">
        <v>-17250</v>
      </c>
      <c r="AM151" s="542">
        <v>-7093016</v>
      </c>
      <c r="AN151" s="542">
        <v>0</v>
      </c>
      <c r="AO151" s="542">
        <v>-7093016</v>
      </c>
      <c r="AP151" s="542">
        <v>-734610</v>
      </c>
      <c r="AQ151" s="542">
        <v>0</v>
      </c>
      <c r="AR151" s="542">
        <v>-734610</v>
      </c>
      <c r="AS151" s="542">
        <v>-168214</v>
      </c>
      <c r="AT151" s="542">
        <v>0</v>
      </c>
      <c r="AU151" s="542">
        <v>-168214</v>
      </c>
      <c r="AV151" s="542">
        <v>-10230</v>
      </c>
      <c r="AW151" s="542">
        <v>0</v>
      </c>
      <c r="AX151" s="542">
        <v>-10230</v>
      </c>
      <c r="AY151" s="542">
        <v>-4097</v>
      </c>
      <c r="AZ151" s="542">
        <v>0</v>
      </c>
      <c r="BA151" s="542">
        <v>-4097</v>
      </c>
      <c r="BB151" s="542">
        <v>0</v>
      </c>
      <c r="BC151" s="542">
        <v>0</v>
      </c>
      <c r="BD151" s="542">
        <v>0</v>
      </c>
      <c r="BE151" s="542">
        <v>-17660755</v>
      </c>
      <c r="BF151" s="542">
        <v>0</v>
      </c>
      <c r="BG151" s="542">
        <v>-17660755</v>
      </c>
      <c r="BH151" s="542">
        <v>-157396</v>
      </c>
      <c r="BI151" s="542">
        <v>0</v>
      </c>
      <c r="BJ151" s="542">
        <v>-157396</v>
      </c>
      <c r="BK151" s="542">
        <v>-15112</v>
      </c>
      <c r="BL151" s="542">
        <v>0</v>
      </c>
      <c r="BM151" s="542">
        <v>-15112</v>
      </c>
      <c r="BN151" s="542">
        <v>-5328670</v>
      </c>
      <c r="BO151" s="542">
        <v>0</v>
      </c>
      <c r="BP151" s="542">
        <v>-5328670</v>
      </c>
      <c r="BQ151" s="542">
        <v>-46413</v>
      </c>
      <c r="BR151" s="542">
        <v>0</v>
      </c>
      <c r="BS151" s="542">
        <v>-46413</v>
      </c>
      <c r="BT151" s="542">
        <v>-5547591</v>
      </c>
      <c r="BU151" s="542">
        <v>0</v>
      </c>
      <c r="BV151" s="542">
        <v>-5547591</v>
      </c>
      <c r="BW151" s="542">
        <v>-265067</v>
      </c>
      <c r="BX151" s="542">
        <v>0</v>
      </c>
      <c r="BY151" s="542">
        <v>-265067</v>
      </c>
      <c r="BZ151" s="542">
        <v>-1440</v>
      </c>
      <c r="CA151" s="542">
        <v>0</v>
      </c>
      <c r="CB151" s="542">
        <v>-1440</v>
      </c>
      <c r="CC151" s="542">
        <v>-108405</v>
      </c>
      <c r="CD151" s="542">
        <v>0</v>
      </c>
      <c r="CE151" s="542">
        <v>-108405</v>
      </c>
      <c r="CF151" s="542">
        <v>5119</v>
      </c>
      <c r="CG151" s="542">
        <v>0</v>
      </c>
      <c r="CH151" s="542">
        <v>5119</v>
      </c>
      <c r="CI151" s="542">
        <v>-868</v>
      </c>
      <c r="CJ151" s="542">
        <v>0</v>
      </c>
      <c r="CK151" s="542">
        <v>-868</v>
      </c>
      <c r="CL151" s="542">
        <v>0</v>
      </c>
      <c r="CM151" s="542">
        <v>0</v>
      </c>
      <c r="CN151" s="542">
        <v>0</v>
      </c>
      <c r="CO151" s="542">
        <v>-1034</v>
      </c>
      <c r="CP151" s="542">
        <v>0</v>
      </c>
      <c r="CQ151" s="542">
        <v>-1034</v>
      </c>
      <c r="CR151" s="542">
        <v>0</v>
      </c>
      <c r="CS151" s="542">
        <v>0</v>
      </c>
      <c r="CT151" s="542">
        <v>0</v>
      </c>
      <c r="CU151" s="542">
        <v>-145571</v>
      </c>
      <c r="CV151" s="542">
        <v>0</v>
      </c>
      <c r="CW151" s="542">
        <v>-145571</v>
      </c>
      <c r="CX151" s="542">
        <v>-9301</v>
      </c>
      <c r="CY151" s="542">
        <v>0</v>
      </c>
      <c r="CZ151" s="542">
        <v>-9301</v>
      </c>
      <c r="DA151" s="542">
        <v>0</v>
      </c>
      <c r="DB151" s="542">
        <v>0</v>
      </c>
      <c r="DC151" s="542">
        <v>0</v>
      </c>
      <c r="DD151" s="542">
        <v>0</v>
      </c>
      <c r="DE151" s="542">
        <v>0</v>
      </c>
      <c r="DF151" s="542">
        <v>0</v>
      </c>
      <c r="DG151" s="542"/>
      <c r="DH151" s="542">
        <v>0</v>
      </c>
      <c r="DI151" s="542"/>
      <c r="DJ151" s="542">
        <v>0</v>
      </c>
      <c r="DK151" s="542"/>
      <c r="DL151" s="542"/>
      <c r="DM151" s="542">
        <v>-526567</v>
      </c>
      <c r="DN151" s="542">
        <v>0</v>
      </c>
      <c r="DO151" s="542">
        <v>-526567</v>
      </c>
      <c r="DP151" s="542">
        <v>0</v>
      </c>
      <c r="DQ151" s="542">
        <v>0</v>
      </c>
      <c r="DR151" s="542">
        <v>0</v>
      </c>
      <c r="DS151" s="542">
        <v>0</v>
      </c>
      <c r="DT151" s="542">
        <v>0</v>
      </c>
      <c r="DU151" s="542">
        <v>0</v>
      </c>
      <c r="DV151" s="542">
        <v>-48042</v>
      </c>
      <c r="DW151" s="542">
        <v>0</v>
      </c>
      <c r="DX151" s="542">
        <v>-48042</v>
      </c>
      <c r="DY151" s="542">
        <v>-1477182</v>
      </c>
      <c r="DZ151" s="542">
        <v>0</v>
      </c>
      <c r="EA151" s="542">
        <v>-1477182</v>
      </c>
      <c r="EB151" s="542">
        <v>0</v>
      </c>
      <c r="EC151" s="542">
        <v>0</v>
      </c>
      <c r="ED151" s="542">
        <v>0</v>
      </c>
      <c r="EE151" s="542">
        <v>0</v>
      </c>
      <c r="EF151" s="542">
        <v>0</v>
      </c>
      <c r="EG151" s="542">
        <v>0</v>
      </c>
      <c r="EH151" s="542">
        <v>-1525224</v>
      </c>
      <c r="EI151" s="542">
        <v>0</v>
      </c>
      <c r="EJ151" s="542">
        <v>-1525224</v>
      </c>
      <c r="EK151" s="542">
        <v>0</v>
      </c>
      <c r="EL151" s="542">
        <v>0</v>
      </c>
      <c r="EM151" s="542">
        <v>0</v>
      </c>
      <c r="EN151" s="542">
        <v>0</v>
      </c>
      <c r="EO151" s="542">
        <v>0</v>
      </c>
      <c r="EP151" s="542">
        <v>0</v>
      </c>
      <c r="EQ151" s="542">
        <v>0</v>
      </c>
      <c r="ER151" s="542">
        <v>0</v>
      </c>
      <c r="ES151" s="542">
        <v>0</v>
      </c>
      <c r="ET151" s="542">
        <v>127686195</v>
      </c>
      <c r="EU151" s="542">
        <v>0</v>
      </c>
      <c r="EV151" s="542">
        <v>127686195</v>
      </c>
      <c r="EW151" s="542">
        <v>1071598</v>
      </c>
      <c r="EX151" s="542">
        <v>0</v>
      </c>
      <c r="EY151" s="542">
        <v>1071598</v>
      </c>
      <c r="EZ151" s="542">
        <v>-17660755</v>
      </c>
      <c r="FA151" s="542">
        <v>0</v>
      </c>
      <c r="FB151" s="542">
        <v>-17660755</v>
      </c>
      <c r="FC151" s="542">
        <v>-5547591</v>
      </c>
      <c r="FD151" s="542">
        <v>0</v>
      </c>
      <c r="FE151" s="542">
        <v>-5547591</v>
      </c>
      <c r="FF151" s="542">
        <v>-526567</v>
      </c>
      <c r="FG151" s="542">
        <v>0</v>
      </c>
      <c r="FH151" s="542">
        <v>-526567</v>
      </c>
      <c r="FI151" s="542">
        <v>-1525224</v>
      </c>
      <c r="FJ151" s="542">
        <v>0</v>
      </c>
      <c r="FK151" s="542">
        <v>-1525224</v>
      </c>
      <c r="FL151" s="542">
        <v>0</v>
      </c>
      <c r="FM151" s="542">
        <v>0</v>
      </c>
      <c r="FN151" s="542">
        <v>0</v>
      </c>
      <c r="FO151" s="542">
        <v>-24188539</v>
      </c>
      <c r="FP151" s="542">
        <v>0</v>
      </c>
      <c r="FQ151" s="542">
        <v>-24188539</v>
      </c>
      <c r="FR151" s="542">
        <v>103497656</v>
      </c>
      <c r="FS151" s="542">
        <v>0</v>
      </c>
      <c r="FT151" s="542">
        <v>103497656</v>
      </c>
    </row>
    <row r="152" spans="1:176" ht="12.75" x14ac:dyDescent="0.2">
      <c r="A152" s="93">
        <v>147</v>
      </c>
      <c r="B152" s="145" t="s">
        <v>172</v>
      </c>
      <c r="C152" s="604" t="s">
        <v>873</v>
      </c>
      <c r="D152" s="142" t="s">
        <v>868</v>
      </c>
      <c r="E152" s="149" t="s">
        <v>171</v>
      </c>
      <c r="F152" s="542">
        <v>-11917</v>
      </c>
      <c r="G152" s="542">
        <v>0</v>
      </c>
      <c r="H152" s="542">
        <v>-11917</v>
      </c>
      <c r="I152" s="542">
        <v>123311</v>
      </c>
      <c r="J152" s="542">
        <v>0</v>
      </c>
      <c r="K152" s="542">
        <v>123311</v>
      </c>
      <c r="L152" s="542">
        <v>15684</v>
      </c>
      <c r="M152" s="542">
        <v>0</v>
      </c>
      <c r="N152" s="542">
        <v>15684</v>
      </c>
      <c r="O152" s="542">
        <v>1202376</v>
      </c>
      <c r="P152" s="542">
        <v>0</v>
      </c>
      <c r="Q152" s="542">
        <v>1202376</v>
      </c>
      <c r="R152" s="542">
        <v>1329454</v>
      </c>
      <c r="S152" s="542">
        <v>0</v>
      </c>
      <c r="T152" s="542">
        <v>1329454</v>
      </c>
      <c r="U152" s="542">
        <v>-1809786</v>
      </c>
      <c r="V152" s="542">
        <v>0</v>
      </c>
      <c r="W152" s="542">
        <v>-1809786</v>
      </c>
      <c r="X152" s="542">
        <v>-3265</v>
      </c>
      <c r="Y152" s="542">
        <v>0</v>
      </c>
      <c r="Z152" s="542">
        <v>-3265</v>
      </c>
      <c r="AA152" s="542">
        <v>-73766</v>
      </c>
      <c r="AB152" s="542">
        <v>0</v>
      </c>
      <c r="AC152" s="542">
        <v>-73766</v>
      </c>
      <c r="AD152" s="542">
        <v>-30754</v>
      </c>
      <c r="AE152" s="542">
        <v>0</v>
      </c>
      <c r="AF152" s="542">
        <v>-30754</v>
      </c>
      <c r="AG152" s="542">
        <v>998755</v>
      </c>
      <c r="AH152" s="542">
        <v>0</v>
      </c>
      <c r="AI152" s="542">
        <v>998755</v>
      </c>
      <c r="AJ152" s="542">
        <v>-42845</v>
      </c>
      <c r="AK152" s="542">
        <v>0</v>
      </c>
      <c r="AL152" s="542">
        <v>-42845</v>
      </c>
      <c r="AM152" s="542">
        <v>-2132837</v>
      </c>
      <c r="AN152" s="542">
        <v>0</v>
      </c>
      <c r="AO152" s="542">
        <v>-2132837</v>
      </c>
      <c r="AP152" s="542">
        <v>37562</v>
      </c>
      <c r="AQ152" s="542">
        <v>0</v>
      </c>
      <c r="AR152" s="542">
        <v>37562</v>
      </c>
      <c r="AS152" s="542">
        <v>-15385</v>
      </c>
      <c r="AT152" s="542">
        <v>0</v>
      </c>
      <c r="AU152" s="542">
        <v>-15385</v>
      </c>
      <c r="AV152" s="542">
        <v>0</v>
      </c>
      <c r="AW152" s="542">
        <v>0</v>
      </c>
      <c r="AX152" s="542">
        <v>0</v>
      </c>
      <c r="AY152" s="542">
        <v>0</v>
      </c>
      <c r="AZ152" s="542">
        <v>0</v>
      </c>
      <c r="BA152" s="542">
        <v>0</v>
      </c>
      <c r="BB152" s="542">
        <v>0</v>
      </c>
      <c r="BC152" s="542">
        <v>0</v>
      </c>
      <c r="BD152" s="542">
        <v>0</v>
      </c>
      <c r="BE152" s="542">
        <v>-3038302</v>
      </c>
      <c r="BF152" s="542">
        <v>0</v>
      </c>
      <c r="BG152" s="542">
        <v>-3038302</v>
      </c>
      <c r="BH152" s="542">
        <v>0</v>
      </c>
      <c r="BI152" s="542">
        <v>0</v>
      </c>
      <c r="BJ152" s="542">
        <v>0</v>
      </c>
      <c r="BK152" s="542">
        <v>0</v>
      </c>
      <c r="BL152" s="542">
        <v>0</v>
      </c>
      <c r="BM152" s="542">
        <v>0</v>
      </c>
      <c r="BN152" s="542">
        <v>-2075863</v>
      </c>
      <c r="BO152" s="542">
        <v>0</v>
      </c>
      <c r="BP152" s="542">
        <v>-2075863</v>
      </c>
      <c r="BQ152" s="542">
        <v>-70812</v>
      </c>
      <c r="BR152" s="542">
        <v>0</v>
      </c>
      <c r="BS152" s="542">
        <v>-70812</v>
      </c>
      <c r="BT152" s="542">
        <v>-2146675</v>
      </c>
      <c r="BU152" s="542">
        <v>0</v>
      </c>
      <c r="BV152" s="542">
        <v>-2146675</v>
      </c>
      <c r="BW152" s="542">
        <v>-193226</v>
      </c>
      <c r="BX152" s="542">
        <v>0</v>
      </c>
      <c r="BY152" s="542">
        <v>-193226</v>
      </c>
      <c r="BZ152" s="542">
        <v>8708</v>
      </c>
      <c r="CA152" s="542">
        <v>0</v>
      </c>
      <c r="CB152" s="542">
        <v>8708</v>
      </c>
      <c r="CC152" s="542">
        <v>-46197</v>
      </c>
      <c r="CD152" s="542">
        <v>0</v>
      </c>
      <c r="CE152" s="542">
        <v>-46197</v>
      </c>
      <c r="CF152" s="542">
        <v>-1636</v>
      </c>
      <c r="CG152" s="542">
        <v>0</v>
      </c>
      <c r="CH152" s="542">
        <v>-1636</v>
      </c>
      <c r="CI152" s="542">
        <v>0</v>
      </c>
      <c r="CJ152" s="542">
        <v>0</v>
      </c>
      <c r="CK152" s="542">
        <v>0</v>
      </c>
      <c r="CL152" s="542">
        <v>0</v>
      </c>
      <c r="CM152" s="542">
        <v>0</v>
      </c>
      <c r="CN152" s="542">
        <v>0</v>
      </c>
      <c r="CO152" s="542">
        <v>0</v>
      </c>
      <c r="CP152" s="542">
        <v>0</v>
      </c>
      <c r="CQ152" s="542">
        <v>0</v>
      </c>
      <c r="CR152" s="542">
        <v>0</v>
      </c>
      <c r="CS152" s="542">
        <v>0</v>
      </c>
      <c r="CT152" s="542">
        <v>0</v>
      </c>
      <c r="CU152" s="542">
        <v>0</v>
      </c>
      <c r="CV152" s="542">
        <v>0</v>
      </c>
      <c r="CW152" s="542">
        <v>0</v>
      </c>
      <c r="CX152" s="542">
        <v>0</v>
      </c>
      <c r="CY152" s="542">
        <v>0</v>
      </c>
      <c r="CZ152" s="542">
        <v>0</v>
      </c>
      <c r="DA152" s="542">
        <v>0</v>
      </c>
      <c r="DB152" s="542">
        <v>0</v>
      </c>
      <c r="DC152" s="542">
        <v>0</v>
      </c>
      <c r="DD152" s="542">
        <v>0</v>
      </c>
      <c r="DE152" s="542">
        <v>0</v>
      </c>
      <c r="DF152" s="542">
        <v>0</v>
      </c>
      <c r="DG152" s="542"/>
      <c r="DH152" s="542">
        <v>0</v>
      </c>
      <c r="DI152" s="542"/>
      <c r="DJ152" s="542">
        <v>0</v>
      </c>
      <c r="DK152" s="542"/>
      <c r="DL152" s="542"/>
      <c r="DM152" s="542">
        <v>-232351</v>
      </c>
      <c r="DN152" s="542">
        <v>0</v>
      </c>
      <c r="DO152" s="542">
        <v>-232351</v>
      </c>
      <c r="DP152" s="542">
        <v>-57120</v>
      </c>
      <c r="DQ152" s="542">
        <v>0</v>
      </c>
      <c r="DR152" s="542">
        <v>-57120</v>
      </c>
      <c r="DS152" s="542">
        <v>-1306</v>
      </c>
      <c r="DT152" s="542">
        <v>0</v>
      </c>
      <c r="DU152" s="542">
        <v>-1306</v>
      </c>
      <c r="DV152" s="542">
        <v>-21251</v>
      </c>
      <c r="DW152" s="542">
        <v>0</v>
      </c>
      <c r="DX152" s="542">
        <v>-21251</v>
      </c>
      <c r="DY152" s="542">
        <v>-262950</v>
      </c>
      <c r="DZ152" s="542">
        <v>0</v>
      </c>
      <c r="EA152" s="542">
        <v>-262950</v>
      </c>
      <c r="EB152" s="542">
        <v>0</v>
      </c>
      <c r="EC152" s="542">
        <v>0</v>
      </c>
      <c r="ED152" s="542">
        <v>0</v>
      </c>
      <c r="EE152" s="542">
        <v>0</v>
      </c>
      <c r="EF152" s="542">
        <v>0</v>
      </c>
      <c r="EG152" s="542">
        <v>0</v>
      </c>
      <c r="EH152" s="542">
        <v>-342627</v>
      </c>
      <c r="EI152" s="542">
        <v>0</v>
      </c>
      <c r="EJ152" s="542">
        <v>-342627</v>
      </c>
      <c r="EK152" s="542">
        <v>-30759</v>
      </c>
      <c r="EL152" s="542">
        <v>0</v>
      </c>
      <c r="EM152" s="542">
        <v>-30759</v>
      </c>
      <c r="EN152" s="542">
        <v>225</v>
      </c>
      <c r="EO152" s="542">
        <v>0</v>
      </c>
      <c r="EP152" s="542">
        <v>225</v>
      </c>
      <c r="EQ152" s="542">
        <v>-30534</v>
      </c>
      <c r="ER152" s="542">
        <v>0</v>
      </c>
      <c r="ES152" s="542">
        <v>-30534</v>
      </c>
      <c r="ET152" s="542">
        <v>44406754</v>
      </c>
      <c r="EU152" s="542">
        <v>0</v>
      </c>
      <c r="EV152" s="542">
        <v>44406754</v>
      </c>
      <c r="EW152" s="542">
        <v>1329454</v>
      </c>
      <c r="EX152" s="542">
        <v>0</v>
      </c>
      <c r="EY152" s="542">
        <v>1329454</v>
      </c>
      <c r="EZ152" s="542">
        <v>-3038302</v>
      </c>
      <c r="FA152" s="542">
        <v>0</v>
      </c>
      <c r="FB152" s="542">
        <v>-3038302</v>
      </c>
      <c r="FC152" s="542">
        <v>-2146675</v>
      </c>
      <c r="FD152" s="542">
        <v>0</v>
      </c>
      <c r="FE152" s="542">
        <v>-2146675</v>
      </c>
      <c r="FF152" s="542">
        <v>-232351</v>
      </c>
      <c r="FG152" s="542">
        <v>0</v>
      </c>
      <c r="FH152" s="542">
        <v>-232351</v>
      </c>
      <c r="FI152" s="542">
        <v>-342627</v>
      </c>
      <c r="FJ152" s="542">
        <v>0</v>
      </c>
      <c r="FK152" s="542">
        <v>-342627</v>
      </c>
      <c r="FL152" s="542">
        <v>-30534</v>
      </c>
      <c r="FM152" s="542">
        <v>0</v>
      </c>
      <c r="FN152" s="542">
        <v>-30534</v>
      </c>
      <c r="FO152" s="542">
        <v>-4461035</v>
      </c>
      <c r="FP152" s="542">
        <v>0</v>
      </c>
      <c r="FQ152" s="542">
        <v>-4461035</v>
      </c>
      <c r="FR152" s="542">
        <v>39945719</v>
      </c>
      <c r="FS152" s="542">
        <v>0</v>
      </c>
      <c r="FT152" s="542">
        <v>39945719</v>
      </c>
    </row>
    <row r="153" spans="1:176" ht="12.75" x14ac:dyDescent="0.2">
      <c r="A153" s="93">
        <v>148</v>
      </c>
      <c r="B153" s="145" t="s">
        <v>174</v>
      </c>
      <c r="C153" s="604" t="s">
        <v>877</v>
      </c>
      <c r="D153" s="142" t="s">
        <v>872</v>
      </c>
      <c r="E153" s="149" t="s">
        <v>173</v>
      </c>
      <c r="F153" s="542">
        <v>-306215</v>
      </c>
      <c r="G153" s="542">
        <v>0</v>
      </c>
      <c r="H153" s="542">
        <v>-306215</v>
      </c>
      <c r="I153" s="542">
        <v>809159</v>
      </c>
      <c r="J153" s="542">
        <v>0</v>
      </c>
      <c r="K153" s="542">
        <v>809159</v>
      </c>
      <c r="L153" s="542">
        <v>3479</v>
      </c>
      <c r="M153" s="542">
        <v>0</v>
      </c>
      <c r="N153" s="542">
        <v>3479</v>
      </c>
      <c r="O153" s="542">
        <v>132840</v>
      </c>
      <c r="P153" s="542">
        <v>0</v>
      </c>
      <c r="Q153" s="542">
        <v>132840</v>
      </c>
      <c r="R153" s="542">
        <v>639263</v>
      </c>
      <c r="S153" s="542">
        <v>0</v>
      </c>
      <c r="T153" s="542">
        <v>639263</v>
      </c>
      <c r="U153" s="542">
        <v>-5609817</v>
      </c>
      <c r="V153" s="542">
        <v>0</v>
      </c>
      <c r="W153" s="542">
        <v>-5609817</v>
      </c>
      <c r="X153" s="542">
        <v>0</v>
      </c>
      <c r="Y153" s="542">
        <v>0</v>
      </c>
      <c r="Z153" s="542">
        <v>0</v>
      </c>
      <c r="AA153" s="542">
        <v>-103120</v>
      </c>
      <c r="AB153" s="542">
        <v>0</v>
      </c>
      <c r="AC153" s="542">
        <v>-103120</v>
      </c>
      <c r="AD153" s="542">
        <v>-63648</v>
      </c>
      <c r="AE153" s="542">
        <v>0</v>
      </c>
      <c r="AF153" s="542">
        <v>-63648</v>
      </c>
      <c r="AG153" s="542">
        <v>2918793</v>
      </c>
      <c r="AH153" s="542">
        <v>0</v>
      </c>
      <c r="AI153" s="542">
        <v>2918793</v>
      </c>
      <c r="AJ153" s="542">
        <v>-73851</v>
      </c>
      <c r="AK153" s="542">
        <v>0</v>
      </c>
      <c r="AL153" s="542">
        <v>-73851</v>
      </c>
      <c r="AM153" s="542">
        <v>-15683243</v>
      </c>
      <c r="AN153" s="542">
        <v>0</v>
      </c>
      <c r="AO153" s="542">
        <v>-15683243</v>
      </c>
      <c r="AP153" s="542">
        <v>290317</v>
      </c>
      <c r="AQ153" s="542">
        <v>0</v>
      </c>
      <c r="AR153" s="542">
        <v>290317</v>
      </c>
      <c r="AS153" s="542">
        <v>-7616</v>
      </c>
      <c r="AT153" s="542">
        <v>0</v>
      </c>
      <c r="AU153" s="542">
        <v>-7616</v>
      </c>
      <c r="AV153" s="542">
        <v>0</v>
      </c>
      <c r="AW153" s="542">
        <v>0</v>
      </c>
      <c r="AX153" s="542">
        <v>0</v>
      </c>
      <c r="AY153" s="542">
        <v>0</v>
      </c>
      <c r="AZ153" s="542">
        <v>0</v>
      </c>
      <c r="BA153" s="542">
        <v>0</v>
      </c>
      <c r="BB153" s="542">
        <v>0</v>
      </c>
      <c r="BC153" s="542">
        <v>0</v>
      </c>
      <c r="BD153" s="542">
        <v>0</v>
      </c>
      <c r="BE153" s="542">
        <v>-18268537</v>
      </c>
      <c r="BF153" s="542">
        <v>0</v>
      </c>
      <c r="BG153" s="542">
        <v>-18268537</v>
      </c>
      <c r="BH153" s="542">
        <v>-164</v>
      </c>
      <c r="BI153" s="542">
        <v>0</v>
      </c>
      <c r="BJ153" s="542">
        <v>-164</v>
      </c>
      <c r="BK153" s="542">
        <v>318</v>
      </c>
      <c r="BL153" s="542">
        <v>0</v>
      </c>
      <c r="BM153" s="542">
        <v>318</v>
      </c>
      <c r="BN153" s="542">
        <v>-2513629</v>
      </c>
      <c r="BO153" s="542">
        <v>0</v>
      </c>
      <c r="BP153" s="542">
        <v>-2513629</v>
      </c>
      <c r="BQ153" s="542">
        <v>39791</v>
      </c>
      <c r="BR153" s="542">
        <v>0</v>
      </c>
      <c r="BS153" s="542">
        <v>39791</v>
      </c>
      <c r="BT153" s="542">
        <v>-2473684</v>
      </c>
      <c r="BU153" s="542">
        <v>0</v>
      </c>
      <c r="BV153" s="542">
        <v>-2473684</v>
      </c>
      <c r="BW153" s="542">
        <v>-203931</v>
      </c>
      <c r="BX153" s="542">
        <v>0</v>
      </c>
      <c r="BY153" s="542">
        <v>-203931</v>
      </c>
      <c r="BZ153" s="542">
        <v>1195</v>
      </c>
      <c r="CA153" s="542">
        <v>0</v>
      </c>
      <c r="CB153" s="542">
        <v>1195</v>
      </c>
      <c r="CC153" s="542">
        <v>-415369</v>
      </c>
      <c r="CD153" s="542">
        <v>0</v>
      </c>
      <c r="CE153" s="542">
        <v>-415369</v>
      </c>
      <c r="CF153" s="542">
        <v>20327</v>
      </c>
      <c r="CG153" s="542">
        <v>0</v>
      </c>
      <c r="CH153" s="542">
        <v>20327</v>
      </c>
      <c r="CI153" s="542">
        <v>0</v>
      </c>
      <c r="CJ153" s="542">
        <v>0</v>
      </c>
      <c r="CK153" s="542">
        <v>0</v>
      </c>
      <c r="CL153" s="542">
        <v>0</v>
      </c>
      <c r="CM153" s="542">
        <v>0</v>
      </c>
      <c r="CN153" s="542">
        <v>0</v>
      </c>
      <c r="CO153" s="542">
        <v>0</v>
      </c>
      <c r="CP153" s="542">
        <v>0</v>
      </c>
      <c r="CQ153" s="542">
        <v>0</v>
      </c>
      <c r="CR153" s="542">
        <v>0</v>
      </c>
      <c r="CS153" s="542">
        <v>0</v>
      </c>
      <c r="CT153" s="542">
        <v>0</v>
      </c>
      <c r="CU153" s="542">
        <v>0</v>
      </c>
      <c r="CV153" s="542">
        <v>0</v>
      </c>
      <c r="CW153" s="542">
        <v>0</v>
      </c>
      <c r="CX153" s="542">
        <v>0</v>
      </c>
      <c r="CY153" s="542">
        <v>0</v>
      </c>
      <c r="CZ153" s="542">
        <v>0</v>
      </c>
      <c r="DA153" s="542">
        <v>0</v>
      </c>
      <c r="DB153" s="542">
        <v>0</v>
      </c>
      <c r="DC153" s="542">
        <v>0</v>
      </c>
      <c r="DD153" s="542">
        <v>0</v>
      </c>
      <c r="DE153" s="542">
        <v>0</v>
      </c>
      <c r="DF153" s="542">
        <v>0</v>
      </c>
      <c r="DG153" s="542"/>
      <c r="DH153" s="542">
        <v>0</v>
      </c>
      <c r="DI153" s="542"/>
      <c r="DJ153" s="542">
        <v>0</v>
      </c>
      <c r="DK153" s="542"/>
      <c r="DL153" s="542"/>
      <c r="DM153" s="542">
        <v>-597778</v>
      </c>
      <c r="DN153" s="542">
        <v>0</v>
      </c>
      <c r="DO153" s="542">
        <v>-597778</v>
      </c>
      <c r="DP153" s="542">
        <v>-86877</v>
      </c>
      <c r="DQ153" s="542">
        <v>0</v>
      </c>
      <c r="DR153" s="542">
        <v>-86877</v>
      </c>
      <c r="DS153" s="542">
        <v>0</v>
      </c>
      <c r="DT153" s="542">
        <v>0</v>
      </c>
      <c r="DU153" s="542">
        <v>0</v>
      </c>
      <c r="DV153" s="542">
        <v>-3743</v>
      </c>
      <c r="DW153" s="542">
        <v>0</v>
      </c>
      <c r="DX153" s="542">
        <v>-3743</v>
      </c>
      <c r="DY153" s="542">
        <v>-1201246</v>
      </c>
      <c r="DZ153" s="542">
        <v>0</v>
      </c>
      <c r="EA153" s="542">
        <v>-1201246</v>
      </c>
      <c r="EB153" s="542">
        <v>0</v>
      </c>
      <c r="EC153" s="542">
        <v>0</v>
      </c>
      <c r="ED153" s="542">
        <v>0</v>
      </c>
      <c r="EE153" s="542">
        <v>0</v>
      </c>
      <c r="EF153" s="542">
        <v>0</v>
      </c>
      <c r="EG153" s="542">
        <v>0</v>
      </c>
      <c r="EH153" s="542">
        <v>-1291866</v>
      </c>
      <c r="EI153" s="542">
        <v>0</v>
      </c>
      <c r="EJ153" s="542">
        <v>-1291866</v>
      </c>
      <c r="EK153" s="542">
        <v>0</v>
      </c>
      <c r="EL153" s="542">
        <v>0</v>
      </c>
      <c r="EM153" s="542">
        <v>0</v>
      </c>
      <c r="EN153" s="542">
        <v>0</v>
      </c>
      <c r="EO153" s="542">
        <v>0</v>
      </c>
      <c r="EP153" s="542">
        <v>0</v>
      </c>
      <c r="EQ153" s="542">
        <v>0</v>
      </c>
      <c r="ER153" s="542">
        <v>0</v>
      </c>
      <c r="ES153" s="542">
        <v>0</v>
      </c>
      <c r="ET153" s="542">
        <v>144124972</v>
      </c>
      <c r="EU153" s="542">
        <v>0</v>
      </c>
      <c r="EV153" s="542">
        <v>144124972</v>
      </c>
      <c r="EW153" s="542">
        <v>639263</v>
      </c>
      <c r="EX153" s="542">
        <v>0</v>
      </c>
      <c r="EY153" s="542">
        <v>639263</v>
      </c>
      <c r="EZ153" s="542">
        <v>-18268537</v>
      </c>
      <c r="FA153" s="542">
        <v>0</v>
      </c>
      <c r="FB153" s="542">
        <v>-18268537</v>
      </c>
      <c r="FC153" s="542">
        <v>-2473684</v>
      </c>
      <c r="FD153" s="542">
        <v>0</v>
      </c>
      <c r="FE153" s="542">
        <v>-2473684</v>
      </c>
      <c r="FF153" s="542">
        <v>-597778</v>
      </c>
      <c r="FG153" s="542">
        <v>0</v>
      </c>
      <c r="FH153" s="542">
        <v>-597778</v>
      </c>
      <c r="FI153" s="542">
        <v>-1291866</v>
      </c>
      <c r="FJ153" s="542">
        <v>0</v>
      </c>
      <c r="FK153" s="542">
        <v>-1291866</v>
      </c>
      <c r="FL153" s="542">
        <v>0</v>
      </c>
      <c r="FM153" s="542">
        <v>0</v>
      </c>
      <c r="FN153" s="542">
        <v>0</v>
      </c>
      <c r="FO153" s="542">
        <v>-21992602</v>
      </c>
      <c r="FP153" s="542">
        <v>0</v>
      </c>
      <c r="FQ153" s="542">
        <v>-21992602</v>
      </c>
      <c r="FR153" s="542">
        <v>122132370</v>
      </c>
      <c r="FS153" s="542">
        <v>0</v>
      </c>
      <c r="FT153" s="542">
        <v>122132370</v>
      </c>
    </row>
    <row r="154" spans="1:176" ht="12.75" x14ac:dyDescent="0.2">
      <c r="A154" s="93">
        <v>149</v>
      </c>
      <c r="B154" s="145" t="s">
        <v>176</v>
      </c>
      <c r="C154" s="604" t="s">
        <v>866</v>
      </c>
      <c r="D154" s="142" t="s">
        <v>868</v>
      </c>
      <c r="E154" s="149" t="s">
        <v>175</v>
      </c>
      <c r="F154" s="542">
        <v>-16946156</v>
      </c>
      <c r="G154" s="542">
        <v>0</v>
      </c>
      <c r="H154" s="542">
        <v>-16946156</v>
      </c>
      <c r="I154" s="542">
        <v>136956</v>
      </c>
      <c r="J154" s="542">
        <v>0</v>
      </c>
      <c r="K154" s="542">
        <v>136956</v>
      </c>
      <c r="L154" s="542">
        <v>0</v>
      </c>
      <c r="M154" s="542">
        <v>0</v>
      </c>
      <c r="N154" s="542">
        <v>0</v>
      </c>
      <c r="O154" s="542">
        <v>26576</v>
      </c>
      <c r="P154" s="542">
        <v>0</v>
      </c>
      <c r="Q154" s="542">
        <v>26576</v>
      </c>
      <c r="R154" s="542">
        <v>-16782624</v>
      </c>
      <c r="S154" s="542">
        <v>0</v>
      </c>
      <c r="T154" s="542">
        <v>-16782624</v>
      </c>
      <c r="U154" s="542">
        <v>-3282781</v>
      </c>
      <c r="V154" s="542">
        <v>0</v>
      </c>
      <c r="W154" s="542">
        <v>-3282781</v>
      </c>
      <c r="X154" s="542">
        <v>-14165</v>
      </c>
      <c r="Y154" s="542">
        <v>0</v>
      </c>
      <c r="Z154" s="542">
        <v>-14165</v>
      </c>
      <c r="AA154" s="542">
        <v>-58224</v>
      </c>
      <c r="AB154" s="542">
        <v>0</v>
      </c>
      <c r="AC154" s="542">
        <v>-58224</v>
      </c>
      <c r="AD154" s="542">
        <v>-17739</v>
      </c>
      <c r="AE154" s="542">
        <v>0</v>
      </c>
      <c r="AF154" s="542">
        <v>-17739</v>
      </c>
      <c r="AG154" s="542">
        <v>1609685</v>
      </c>
      <c r="AH154" s="542">
        <v>0</v>
      </c>
      <c r="AI154" s="542">
        <v>1609685</v>
      </c>
      <c r="AJ154" s="542">
        <v>-11886</v>
      </c>
      <c r="AK154" s="542">
        <v>0</v>
      </c>
      <c r="AL154" s="542">
        <v>-11886</v>
      </c>
      <c r="AM154" s="542">
        <v>-3454341</v>
      </c>
      <c r="AN154" s="542">
        <v>0</v>
      </c>
      <c r="AO154" s="542">
        <v>-3454341</v>
      </c>
      <c r="AP154" s="542">
        <v>-41259</v>
      </c>
      <c r="AQ154" s="542">
        <v>0</v>
      </c>
      <c r="AR154" s="542">
        <v>-41259</v>
      </c>
      <c r="AS154" s="542">
        <v>-42654</v>
      </c>
      <c r="AT154" s="542">
        <v>0</v>
      </c>
      <c r="AU154" s="542">
        <v>-42654</v>
      </c>
      <c r="AV154" s="542">
        <v>0</v>
      </c>
      <c r="AW154" s="542">
        <v>0</v>
      </c>
      <c r="AX154" s="542">
        <v>0</v>
      </c>
      <c r="AY154" s="542">
        <v>-29397</v>
      </c>
      <c r="AZ154" s="542">
        <v>0</v>
      </c>
      <c r="BA154" s="542">
        <v>-29397</v>
      </c>
      <c r="BB154" s="542">
        <v>-3706</v>
      </c>
      <c r="BC154" s="542">
        <v>0</v>
      </c>
      <c r="BD154" s="542">
        <v>-3706</v>
      </c>
      <c r="BE154" s="542">
        <v>-5314563</v>
      </c>
      <c r="BF154" s="542">
        <v>0</v>
      </c>
      <c r="BG154" s="542">
        <v>-5314563</v>
      </c>
      <c r="BH154" s="542">
        <v>-12693</v>
      </c>
      <c r="BI154" s="542">
        <v>0</v>
      </c>
      <c r="BJ154" s="542">
        <v>-12693</v>
      </c>
      <c r="BK154" s="542">
        <v>-1732</v>
      </c>
      <c r="BL154" s="542">
        <v>0</v>
      </c>
      <c r="BM154" s="542">
        <v>-1732</v>
      </c>
      <c r="BN154" s="542">
        <v>-1285803</v>
      </c>
      <c r="BO154" s="542">
        <v>0</v>
      </c>
      <c r="BP154" s="542">
        <v>-1285803</v>
      </c>
      <c r="BQ154" s="542">
        <v>-76062</v>
      </c>
      <c r="BR154" s="542">
        <v>0</v>
      </c>
      <c r="BS154" s="542">
        <v>-76062</v>
      </c>
      <c r="BT154" s="542">
        <v>-1376290</v>
      </c>
      <c r="BU154" s="542">
        <v>0</v>
      </c>
      <c r="BV154" s="542">
        <v>-1376290</v>
      </c>
      <c r="BW154" s="542">
        <v>-103797</v>
      </c>
      <c r="BX154" s="542">
        <v>0</v>
      </c>
      <c r="BY154" s="542">
        <v>-103797</v>
      </c>
      <c r="BZ154" s="542">
        <v>596</v>
      </c>
      <c r="CA154" s="542">
        <v>0</v>
      </c>
      <c r="CB154" s="542">
        <v>596</v>
      </c>
      <c r="CC154" s="542">
        <v>-40226</v>
      </c>
      <c r="CD154" s="542">
        <v>0</v>
      </c>
      <c r="CE154" s="542">
        <v>-40226</v>
      </c>
      <c r="CF154" s="542">
        <v>-7061</v>
      </c>
      <c r="CG154" s="542">
        <v>0</v>
      </c>
      <c r="CH154" s="542">
        <v>-7061</v>
      </c>
      <c r="CI154" s="542">
        <v>-2338</v>
      </c>
      <c r="CJ154" s="542">
        <v>0</v>
      </c>
      <c r="CK154" s="542">
        <v>-2338</v>
      </c>
      <c r="CL154" s="542">
        <v>0</v>
      </c>
      <c r="CM154" s="542">
        <v>0</v>
      </c>
      <c r="CN154" s="542">
        <v>0</v>
      </c>
      <c r="CO154" s="542">
        <v>-3326</v>
      </c>
      <c r="CP154" s="542">
        <v>0</v>
      </c>
      <c r="CQ154" s="542">
        <v>-3326</v>
      </c>
      <c r="CR154" s="542">
        <v>-4452</v>
      </c>
      <c r="CS154" s="542">
        <v>0</v>
      </c>
      <c r="CT154" s="542">
        <v>-4452</v>
      </c>
      <c r="CU154" s="542">
        <v>0</v>
      </c>
      <c r="CV154" s="542">
        <v>0</v>
      </c>
      <c r="CW154" s="542">
        <v>0</v>
      </c>
      <c r="CX154" s="542">
        <v>0</v>
      </c>
      <c r="CY154" s="542">
        <v>0</v>
      </c>
      <c r="CZ154" s="542">
        <v>0</v>
      </c>
      <c r="DA154" s="542">
        <v>0</v>
      </c>
      <c r="DB154" s="542">
        <v>0</v>
      </c>
      <c r="DC154" s="542">
        <v>0</v>
      </c>
      <c r="DD154" s="542">
        <v>0</v>
      </c>
      <c r="DE154" s="542">
        <v>0</v>
      </c>
      <c r="DF154" s="542">
        <v>0</v>
      </c>
      <c r="DG154" s="542"/>
      <c r="DH154" s="542">
        <v>0</v>
      </c>
      <c r="DI154" s="542"/>
      <c r="DJ154" s="542">
        <v>0</v>
      </c>
      <c r="DK154" s="542"/>
      <c r="DL154" s="542"/>
      <c r="DM154" s="542">
        <v>-160604</v>
      </c>
      <c r="DN154" s="542">
        <v>0</v>
      </c>
      <c r="DO154" s="542">
        <v>-160604</v>
      </c>
      <c r="DP154" s="542">
        <v>-7739</v>
      </c>
      <c r="DQ154" s="542">
        <v>0</v>
      </c>
      <c r="DR154" s="542">
        <v>-7739</v>
      </c>
      <c r="DS154" s="542">
        <v>0</v>
      </c>
      <c r="DT154" s="542">
        <v>0</v>
      </c>
      <c r="DU154" s="542">
        <v>0</v>
      </c>
      <c r="DV154" s="542">
        <v>-20826</v>
      </c>
      <c r="DW154" s="542">
        <v>0</v>
      </c>
      <c r="DX154" s="542">
        <v>-20826</v>
      </c>
      <c r="DY154" s="542">
        <v>-632534</v>
      </c>
      <c r="DZ154" s="542">
        <v>0</v>
      </c>
      <c r="EA154" s="542">
        <v>-632534</v>
      </c>
      <c r="EB154" s="542">
        <v>0</v>
      </c>
      <c r="EC154" s="542">
        <v>0</v>
      </c>
      <c r="ED154" s="542">
        <v>0</v>
      </c>
      <c r="EE154" s="542">
        <v>0</v>
      </c>
      <c r="EF154" s="542">
        <v>0</v>
      </c>
      <c r="EG154" s="542">
        <v>0</v>
      </c>
      <c r="EH154" s="542">
        <v>-661099</v>
      </c>
      <c r="EI154" s="542">
        <v>0</v>
      </c>
      <c r="EJ154" s="542">
        <v>-661099</v>
      </c>
      <c r="EK154" s="542">
        <v>0</v>
      </c>
      <c r="EL154" s="542">
        <v>0</v>
      </c>
      <c r="EM154" s="542">
        <v>0</v>
      </c>
      <c r="EN154" s="542">
        <v>-5272</v>
      </c>
      <c r="EO154" s="542">
        <v>0</v>
      </c>
      <c r="EP154" s="542">
        <v>-5272</v>
      </c>
      <c r="EQ154" s="542">
        <v>-5272</v>
      </c>
      <c r="ER154" s="542">
        <v>0</v>
      </c>
      <c r="ES154" s="542">
        <v>-5272</v>
      </c>
      <c r="ET154" s="542">
        <v>76550450</v>
      </c>
      <c r="EU154" s="542">
        <v>0</v>
      </c>
      <c r="EV154" s="542">
        <v>76550450</v>
      </c>
      <c r="EW154" s="542">
        <v>-16782624</v>
      </c>
      <c r="EX154" s="542">
        <v>0</v>
      </c>
      <c r="EY154" s="542">
        <v>-16782624</v>
      </c>
      <c r="EZ154" s="542">
        <v>-5314563</v>
      </c>
      <c r="FA154" s="542">
        <v>0</v>
      </c>
      <c r="FB154" s="542">
        <v>-5314563</v>
      </c>
      <c r="FC154" s="542">
        <v>-1376290</v>
      </c>
      <c r="FD154" s="542">
        <v>0</v>
      </c>
      <c r="FE154" s="542">
        <v>-1376290</v>
      </c>
      <c r="FF154" s="542">
        <v>-160604</v>
      </c>
      <c r="FG154" s="542">
        <v>0</v>
      </c>
      <c r="FH154" s="542">
        <v>-160604</v>
      </c>
      <c r="FI154" s="542">
        <v>-661099</v>
      </c>
      <c r="FJ154" s="542">
        <v>0</v>
      </c>
      <c r="FK154" s="542">
        <v>-661099</v>
      </c>
      <c r="FL154" s="542">
        <v>-5272</v>
      </c>
      <c r="FM154" s="542">
        <v>0</v>
      </c>
      <c r="FN154" s="542">
        <v>-5272</v>
      </c>
      <c r="FO154" s="542">
        <v>-24300452</v>
      </c>
      <c r="FP154" s="542">
        <v>0</v>
      </c>
      <c r="FQ154" s="542">
        <v>-24300452</v>
      </c>
      <c r="FR154" s="542">
        <v>52249998</v>
      </c>
      <c r="FS154" s="542">
        <v>0</v>
      </c>
      <c r="FT154" s="542">
        <v>52249998</v>
      </c>
    </row>
    <row r="155" spans="1:176" ht="12.75" x14ac:dyDescent="0.2">
      <c r="A155" s="93">
        <v>150</v>
      </c>
      <c r="B155" s="145" t="s">
        <v>178</v>
      </c>
      <c r="C155" s="604" t="s">
        <v>873</v>
      </c>
      <c r="D155" s="142" t="s">
        <v>874</v>
      </c>
      <c r="E155" s="149" t="s">
        <v>177</v>
      </c>
      <c r="F155" s="542">
        <v>-451814</v>
      </c>
      <c r="G155" s="542">
        <v>0</v>
      </c>
      <c r="H155" s="542">
        <v>-451814</v>
      </c>
      <c r="I155" s="542">
        <v>2332743</v>
      </c>
      <c r="J155" s="542">
        <v>0</v>
      </c>
      <c r="K155" s="542">
        <v>2332743</v>
      </c>
      <c r="L155" s="542">
        <v>97571</v>
      </c>
      <c r="M155" s="542">
        <v>0</v>
      </c>
      <c r="N155" s="542">
        <v>97571</v>
      </c>
      <c r="O155" s="542">
        <v>1941309</v>
      </c>
      <c r="P155" s="542">
        <v>0</v>
      </c>
      <c r="Q155" s="542">
        <v>1941309</v>
      </c>
      <c r="R155" s="542">
        <v>3919809</v>
      </c>
      <c r="S155" s="542">
        <v>0</v>
      </c>
      <c r="T155" s="542">
        <v>3919809</v>
      </c>
      <c r="U155" s="542">
        <v>-16076292</v>
      </c>
      <c r="V155" s="542">
        <v>0</v>
      </c>
      <c r="W155" s="542">
        <v>-16076292</v>
      </c>
      <c r="X155" s="542">
        <v>-2606</v>
      </c>
      <c r="Y155" s="542">
        <v>0</v>
      </c>
      <c r="Z155" s="542">
        <v>-2606</v>
      </c>
      <c r="AA155" s="542">
        <v>-499885</v>
      </c>
      <c r="AB155" s="542">
        <v>0</v>
      </c>
      <c r="AC155" s="542">
        <v>-499885</v>
      </c>
      <c r="AD155" s="542">
        <v>-237958</v>
      </c>
      <c r="AE155" s="542">
        <v>0</v>
      </c>
      <c r="AF155" s="542">
        <v>-237958</v>
      </c>
      <c r="AG155" s="542">
        <v>9021502</v>
      </c>
      <c r="AH155" s="542">
        <v>22561</v>
      </c>
      <c r="AI155" s="542">
        <v>9044063</v>
      </c>
      <c r="AJ155" s="542">
        <v>-414243</v>
      </c>
      <c r="AK155" s="542">
        <v>0</v>
      </c>
      <c r="AL155" s="542">
        <v>-414243</v>
      </c>
      <c r="AM155" s="542">
        <v>-22994700</v>
      </c>
      <c r="AN155" s="542">
        <v>0</v>
      </c>
      <c r="AO155" s="542">
        <v>-22994700</v>
      </c>
      <c r="AP155" s="542">
        <v>541124</v>
      </c>
      <c r="AQ155" s="542">
        <v>0</v>
      </c>
      <c r="AR155" s="542">
        <v>541124</v>
      </c>
      <c r="AS155" s="542">
        <v>-304593</v>
      </c>
      <c r="AT155" s="542">
        <v>0</v>
      </c>
      <c r="AU155" s="542">
        <v>-304593</v>
      </c>
      <c r="AV155" s="542">
        <v>0</v>
      </c>
      <c r="AW155" s="542">
        <v>0</v>
      </c>
      <c r="AX155" s="542">
        <v>0</v>
      </c>
      <c r="AY155" s="542">
        <v>-11134</v>
      </c>
      <c r="AZ155" s="542">
        <v>0</v>
      </c>
      <c r="BA155" s="542">
        <v>-11134</v>
      </c>
      <c r="BB155" s="542">
        <v>0</v>
      </c>
      <c r="BC155" s="542">
        <v>0</v>
      </c>
      <c r="BD155" s="542">
        <v>0</v>
      </c>
      <c r="BE155" s="542">
        <v>-30738221</v>
      </c>
      <c r="BF155" s="542">
        <v>22561</v>
      </c>
      <c r="BG155" s="542">
        <v>-30715660</v>
      </c>
      <c r="BH155" s="542">
        <v>-376720</v>
      </c>
      <c r="BI155" s="542">
        <v>0</v>
      </c>
      <c r="BJ155" s="542">
        <v>-376720</v>
      </c>
      <c r="BK155" s="542">
        <v>140788</v>
      </c>
      <c r="BL155" s="542">
        <v>0</v>
      </c>
      <c r="BM155" s="542">
        <v>140788</v>
      </c>
      <c r="BN155" s="542">
        <v>-22063611</v>
      </c>
      <c r="BO155" s="542">
        <v>-25616</v>
      </c>
      <c r="BP155" s="542">
        <v>-22089227</v>
      </c>
      <c r="BQ155" s="542">
        <v>1008039</v>
      </c>
      <c r="BR155" s="542">
        <v>0</v>
      </c>
      <c r="BS155" s="542">
        <v>1008039</v>
      </c>
      <c r="BT155" s="542">
        <v>-21291504</v>
      </c>
      <c r="BU155" s="542">
        <v>-25616</v>
      </c>
      <c r="BV155" s="542">
        <v>-21317120</v>
      </c>
      <c r="BW155" s="542">
        <v>-50621</v>
      </c>
      <c r="BX155" s="542">
        <v>0</v>
      </c>
      <c r="BY155" s="542">
        <v>-50621</v>
      </c>
      <c r="BZ155" s="542">
        <v>-503</v>
      </c>
      <c r="CA155" s="542">
        <v>0</v>
      </c>
      <c r="CB155" s="542">
        <v>-503</v>
      </c>
      <c r="CC155" s="542">
        <v>-452754</v>
      </c>
      <c r="CD155" s="542">
        <v>0</v>
      </c>
      <c r="CE155" s="542">
        <v>-452754</v>
      </c>
      <c r="CF155" s="542">
        <v>1120</v>
      </c>
      <c r="CG155" s="542">
        <v>0</v>
      </c>
      <c r="CH155" s="542">
        <v>1120</v>
      </c>
      <c r="CI155" s="542">
        <v>-39815</v>
      </c>
      <c r="CJ155" s="542">
        <v>0</v>
      </c>
      <c r="CK155" s="542">
        <v>-39815</v>
      </c>
      <c r="CL155" s="542">
        <v>0</v>
      </c>
      <c r="CM155" s="542">
        <v>0</v>
      </c>
      <c r="CN155" s="542">
        <v>0</v>
      </c>
      <c r="CO155" s="542">
        <v>-6266</v>
      </c>
      <c r="CP155" s="542">
        <v>0</v>
      </c>
      <c r="CQ155" s="542">
        <v>-6266</v>
      </c>
      <c r="CR155" s="542">
        <v>0</v>
      </c>
      <c r="CS155" s="542">
        <v>0</v>
      </c>
      <c r="CT155" s="542">
        <v>0</v>
      </c>
      <c r="CU155" s="542">
        <v>-6046</v>
      </c>
      <c r="CV155" s="542">
        <v>0</v>
      </c>
      <c r="CW155" s="542">
        <v>-6046</v>
      </c>
      <c r="CX155" s="542">
        <v>168</v>
      </c>
      <c r="CY155" s="542">
        <v>0</v>
      </c>
      <c r="CZ155" s="542">
        <v>168</v>
      </c>
      <c r="DA155" s="542">
        <v>-313264</v>
      </c>
      <c r="DB155" s="542">
        <v>-190476</v>
      </c>
      <c r="DC155" s="542">
        <v>-503740</v>
      </c>
      <c r="DD155" s="542">
        <v>0</v>
      </c>
      <c r="DE155" s="542">
        <v>0</v>
      </c>
      <c r="DF155" s="542">
        <v>0</v>
      </c>
      <c r="DG155" s="542"/>
      <c r="DH155" s="542">
        <v>-190476</v>
      </c>
      <c r="DI155" s="542"/>
      <c r="DJ155" s="542">
        <v>0</v>
      </c>
      <c r="DK155" s="542"/>
      <c r="DL155" s="542"/>
      <c r="DM155" s="542">
        <v>-867981</v>
      </c>
      <c r="DN155" s="542">
        <v>-190476</v>
      </c>
      <c r="DO155" s="542">
        <v>-1058457</v>
      </c>
      <c r="DP155" s="542">
        <v>0</v>
      </c>
      <c r="DQ155" s="542">
        <v>0</v>
      </c>
      <c r="DR155" s="542">
        <v>0</v>
      </c>
      <c r="DS155" s="542">
        <v>0</v>
      </c>
      <c r="DT155" s="542">
        <v>0</v>
      </c>
      <c r="DU155" s="542">
        <v>0</v>
      </c>
      <c r="DV155" s="542">
        <v>-71389</v>
      </c>
      <c r="DW155" s="542">
        <v>0</v>
      </c>
      <c r="DX155" s="542">
        <v>-71389</v>
      </c>
      <c r="DY155" s="542">
        <v>-3135927</v>
      </c>
      <c r="DZ155" s="542">
        <v>0</v>
      </c>
      <c r="EA155" s="542">
        <v>-3135927</v>
      </c>
      <c r="EB155" s="542">
        <v>0</v>
      </c>
      <c r="EC155" s="542">
        <v>0</v>
      </c>
      <c r="ED155" s="542">
        <v>0</v>
      </c>
      <c r="EE155" s="542">
        <v>0</v>
      </c>
      <c r="EF155" s="542">
        <v>0</v>
      </c>
      <c r="EG155" s="542">
        <v>0</v>
      </c>
      <c r="EH155" s="542">
        <v>-3207316</v>
      </c>
      <c r="EI155" s="542">
        <v>0</v>
      </c>
      <c r="EJ155" s="542">
        <v>-3207316</v>
      </c>
      <c r="EK155" s="542">
        <v>-243135</v>
      </c>
      <c r="EL155" s="542">
        <v>0</v>
      </c>
      <c r="EM155" s="542">
        <v>-243135</v>
      </c>
      <c r="EN155" s="542">
        <v>-32970</v>
      </c>
      <c r="EO155" s="542">
        <v>0</v>
      </c>
      <c r="EP155" s="542">
        <v>-32970</v>
      </c>
      <c r="EQ155" s="542">
        <v>-276105</v>
      </c>
      <c r="ER155" s="542">
        <v>0</v>
      </c>
      <c r="ES155" s="542">
        <v>-276105</v>
      </c>
      <c r="ET155" s="542">
        <v>410430807</v>
      </c>
      <c r="EU155" s="542">
        <v>966021</v>
      </c>
      <c r="EV155" s="542">
        <v>411396828</v>
      </c>
      <c r="EW155" s="542">
        <v>3919809</v>
      </c>
      <c r="EX155" s="542">
        <v>0</v>
      </c>
      <c r="EY155" s="542">
        <v>3919809</v>
      </c>
      <c r="EZ155" s="542">
        <v>-30738221</v>
      </c>
      <c r="FA155" s="542">
        <v>22561</v>
      </c>
      <c r="FB155" s="542">
        <v>-30715660</v>
      </c>
      <c r="FC155" s="542">
        <v>-21291504</v>
      </c>
      <c r="FD155" s="542">
        <v>-25616</v>
      </c>
      <c r="FE155" s="542">
        <v>-21317120</v>
      </c>
      <c r="FF155" s="542">
        <v>-867981</v>
      </c>
      <c r="FG155" s="542">
        <v>-190476</v>
      </c>
      <c r="FH155" s="542">
        <v>-1058457</v>
      </c>
      <c r="FI155" s="542">
        <v>-3207316</v>
      </c>
      <c r="FJ155" s="542">
        <v>0</v>
      </c>
      <c r="FK155" s="542">
        <v>-3207316</v>
      </c>
      <c r="FL155" s="542">
        <v>-276105</v>
      </c>
      <c r="FM155" s="542">
        <v>0</v>
      </c>
      <c r="FN155" s="542">
        <v>-276105</v>
      </c>
      <c r="FO155" s="542">
        <v>-52461318</v>
      </c>
      <c r="FP155" s="542">
        <v>-193531</v>
      </c>
      <c r="FQ155" s="542">
        <v>-52654849</v>
      </c>
      <c r="FR155" s="542">
        <v>357969489</v>
      </c>
      <c r="FS155" s="542">
        <v>772490</v>
      </c>
      <c r="FT155" s="542">
        <v>358741979</v>
      </c>
    </row>
    <row r="156" spans="1:176" ht="12.75" x14ac:dyDescent="0.2">
      <c r="A156" s="93">
        <v>151</v>
      </c>
      <c r="B156" s="145" t="s">
        <v>180</v>
      </c>
      <c r="C156" s="604" t="s">
        <v>770</v>
      </c>
      <c r="D156" s="142" t="s">
        <v>869</v>
      </c>
      <c r="E156" s="149" t="s">
        <v>703</v>
      </c>
      <c r="F156" s="542">
        <v>-21197</v>
      </c>
      <c r="G156" s="542">
        <v>0</v>
      </c>
      <c r="H156" s="542">
        <v>-21197</v>
      </c>
      <c r="I156" s="542">
        <v>159724</v>
      </c>
      <c r="J156" s="542">
        <v>0</v>
      </c>
      <c r="K156" s="542">
        <v>159724</v>
      </c>
      <c r="L156" s="542">
        <v>71358</v>
      </c>
      <c r="M156" s="542">
        <v>0</v>
      </c>
      <c r="N156" s="542">
        <v>71358</v>
      </c>
      <c r="O156" s="542">
        <v>2602890</v>
      </c>
      <c r="P156" s="542">
        <v>0</v>
      </c>
      <c r="Q156" s="542">
        <v>2602890</v>
      </c>
      <c r="R156" s="542">
        <v>2812775</v>
      </c>
      <c r="S156" s="542">
        <v>0</v>
      </c>
      <c r="T156" s="542">
        <v>2812775</v>
      </c>
      <c r="U156" s="542">
        <v>-8331831</v>
      </c>
      <c r="V156" s="542">
        <v>0</v>
      </c>
      <c r="W156" s="542">
        <v>-8331831</v>
      </c>
      <c r="X156" s="542">
        <v>-33093</v>
      </c>
      <c r="Y156" s="542">
        <v>0</v>
      </c>
      <c r="Z156" s="542">
        <v>-33093</v>
      </c>
      <c r="AA156" s="542">
        <v>-264047</v>
      </c>
      <c r="AB156" s="542">
        <v>0</v>
      </c>
      <c r="AC156" s="542">
        <v>-264047</v>
      </c>
      <c r="AD156" s="542">
        <v>-151769</v>
      </c>
      <c r="AE156" s="542">
        <v>0</v>
      </c>
      <c r="AF156" s="542">
        <v>-151769</v>
      </c>
      <c r="AG156" s="542">
        <v>2384547</v>
      </c>
      <c r="AH156" s="542">
        <v>0</v>
      </c>
      <c r="AI156" s="542">
        <v>2384547</v>
      </c>
      <c r="AJ156" s="542">
        <v>-92469</v>
      </c>
      <c r="AK156" s="542">
        <v>0</v>
      </c>
      <c r="AL156" s="542">
        <v>-92469</v>
      </c>
      <c r="AM156" s="542">
        <v>-7957552</v>
      </c>
      <c r="AN156" s="542">
        <v>0</v>
      </c>
      <c r="AO156" s="542">
        <v>-7957552</v>
      </c>
      <c r="AP156" s="542">
        <v>-47317</v>
      </c>
      <c r="AQ156" s="542">
        <v>0</v>
      </c>
      <c r="AR156" s="542">
        <v>-47317</v>
      </c>
      <c r="AS156" s="542">
        <v>-42406</v>
      </c>
      <c r="AT156" s="542">
        <v>0</v>
      </c>
      <c r="AU156" s="542">
        <v>-42406</v>
      </c>
      <c r="AV156" s="542">
        <v>0</v>
      </c>
      <c r="AW156" s="542">
        <v>0</v>
      </c>
      <c r="AX156" s="542">
        <v>0</v>
      </c>
      <c r="AY156" s="542">
        <v>0</v>
      </c>
      <c r="AZ156" s="542">
        <v>0</v>
      </c>
      <c r="BA156" s="542">
        <v>0</v>
      </c>
      <c r="BB156" s="542">
        <v>0</v>
      </c>
      <c r="BC156" s="542">
        <v>0</v>
      </c>
      <c r="BD156" s="542">
        <v>0</v>
      </c>
      <c r="BE156" s="542">
        <v>-14351075</v>
      </c>
      <c r="BF156" s="542">
        <v>0</v>
      </c>
      <c r="BG156" s="542">
        <v>-14351075</v>
      </c>
      <c r="BH156" s="542">
        <v>-2649</v>
      </c>
      <c r="BI156" s="542">
        <v>0</v>
      </c>
      <c r="BJ156" s="542">
        <v>-2649</v>
      </c>
      <c r="BK156" s="542">
        <v>-1673</v>
      </c>
      <c r="BL156" s="542">
        <v>0</v>
      </c>
      <c r="BM156" s="542">
        <v>-1673</v>
      </c>
      <c r="BN156" s="542">
        <v>-3777186</v>
      </c>
      <c r="BO156" s="542">
        <v>0</v>
      </c>
      <c r="BP156" s="542">
        <v>-3777186</v>
      </c>
      <c r="BQ156" s="542">
        <v>13998</v>
      </c>
      <c r="BR156" s="542">
        <v>0</v>
      </c>
      <c r="BS156" s="542">
        <v>13998</v>
      </c>
      <c r="BT156" s="542">
        <v>-3767510</v>
      </c>
      <c r="BU156" s="542">
        <v>0</v>
      </c>
      <c r="BV156" s="542">
        <v>-3767510</v>
      </c>
      <c r="BW156" s="542">
        <v>-344612</v>
      </c>
      <c r="BX156" s="542">
        <v>0</v>
      </c>
      <c r="BY156" s="542">
        <v>-344612</v>
      </c>
      <c r="BZ156" s="542">
        <v>-839</v>
      </c>
      <c r="CA156" s="542">
        <v>0</v>
      </c>
      <c r="CB156" s="542">
        <v>-839</v>
      </c>
      <c r="CC156" s="542">
        <v>-169038</v>
      </c>
      <c r="CD156" s="542">
        <v>0</v>
      </c>
      <c r="CE156" s="542">
        <v>-169038</v>
      </c>
      <c r="CF156" s="542">
        <v>-674</v>
      </c>
      <c r="CG156" s="542">
        <v>0</v>
      </c>
      <c r="CH156" s="542">
        <v>-674</v>
      </c>
      <c r="CI156" s="542">
        <v>0</v>
      </c>
      <c r="CJ156" s="542">
        <v>0</v>
      </c>
      <c r="CK156" s="542">
        <v>0</v>
      </c>
      <c r="CL156" s="542">
        <v>3016</v>
      </c>
      <c r="CM156" s="542">
        <v>0</v>
      </c>
      <c r="CN156" s="542">
        <v>3016</v>
      </c>
      <c r="CO156" s="542">
        <v>0</v>
      </c>
      <c r="CP156" s="542">
        <v>0</v>
      </c>
      <c r="CQ156" s="542">
        <v>0</v>
      </c>
      <c r="CR156" s="542">
        <v>0</v>
      </c>
      <c r="CS156" s="542">
        <v>0</v>
      </c>
      <c r="CT156" s="542">
        <v>0</v>
      </c>
      <c r="CU156" s="542">
        <v>0</v>
      </c>
      <c r="CV156" s="542">
        <v>0</v>
      </c>
      <c r="CW156" s="542">
        <v>0</v>
      </c>
      <c r="CX156" s="542">
        <v>0</v>
      </c>
      <c r="CY156" s="542">
        <v>0</v>
      </c>
      <c r="CZ156" s="542">
        <v>0</v>
      </c>
      <c r="DA156" s="542">
        <v>0</v>
      </c>
      <c r="DB156" s="542">
        <v>0</v>
      </c>
      <c r="DC156" s="542">
        <v>0</v>
      </c>
      <c r="DD156" s="542">
        <v>0</v>
      </c>
      <c r="DE156" s="542">
        <v>0</v>
      </c>
      <c r="DF156" s="542">
        <v>0</v>
      </c>
      <c r="DG156" s="542"/>
      <c r="DH156" s="542">
        <v>0</v>
      </c>
      <c r="DI156" s="542"/>
      <c r="DJ156" s="542">
        <v>0</v>
      </c>
      <c r="DK156" s="542"/>
      <c r="DL156" s="542"/>
      <c r="DM156" s="542">
        <v>-512147</v>
      </c>
      <c r="DN156" s="542">
        <v>0</v>
      </c>
      <c r="DO156" s="542">
        <v>-512147</v>
      </c>
      <c r="DP156" s="542">
        <v>-82947</v>
      </c>
      <c r="DQ156" s="542">
        <v>0</v>
      </c>
      <c r="DR156" s="542">
        <v>-82947</v>
      </c>
      <c r="DS156" s="542">
        <v>0</v>
      </c>
      <c r="DT156" s="542">
        <v>0</v>
      </c>
      <c r="DU156" s="542">
        <v>0</v>
      </c>
      <c r="DV156" s="542">
        <v>-81895</v>
      </c>
      <c r="DW156" s="542">
        <v>0</v>
      </c>
      <c r="DX156" s="542">
        <v>-81895</v>
      </c>
      <c r="DY156" s="542">
        <v>-1351596</v>
      </c>
      <c r="DZ156" s="542">
        <v>0</v>
      </c>
      <c r="EA156" s="542">
        <v>-1351596</v>
      </c>
      <c r="EB156" s="542">
        <v>0</v>
      </c>
      <c r="EC156" s="542">
        <v>0</v>
      </c>
      <c r="ED156" s="542">
        <v>0</v>
      </c>
      <c r="EE156" s="542">
        <v>0</v>
      </c>
      <c r="EF156" s="542">
        <v>0</v>
      </c>
      <c r="EG156" s="542">
        <v>0</v>
      </c>
      <c r="EH156" s="542">
        <v>-1516438</v>
      </c>
      <c r="EI156" s="542">
        <v>0</v>
      </c>
      <c r="EJ156" s="542">
        <v>-1516438</v>
      </c>
      <c r="EK156" s="542">
        <v>-62568</v>
      </c>
      <c r="EL156" s="542">
        <v>0</v>
      </c>
      <c r="EM156" s="542">
        <v>-62568</v>
      </c>
      <c r="EN156" s="542">
        <v>-15345</v>
      </c>
      <c r="EO156" s="542">
        <v>0</v>
      </c>
      <c r="EP156" s="542">
        <v>-15345</v>
      </c>
      <c r="EQ156" s="542">
        <v>-77913</v>
      </c>
      <c r="ER156" s="542">
        <v>0</v>
      </c>
      <c r="ES156" s="542">
        <v>-77913</v>
      </c>
      <c r="ET156" s="542">
        <v>118732166</v>
      </c>
      <c r="EU156" s="542">
        <v>0</v>
      </c>
      <c r="EV156" s="542">
        <v>118732166</v>
      </c>
      <c r="EW156" s="542">
        <v>2812775</v>
      </c>
      <c r="EX156" s="542">
        <v>0</v>
      </c>
      <c r="EY156" s="542">
        <v>2812775</v>
      </c>
      <c r="EZ156" s="542">
        <v>-14351075</v>
      </c>
      <c r="FA156" s="542">
        <v>0</v>
      </c>
      <c r="FB156" s="542">
        <v>-14351075</v>
      </c>
      <c r="FC156" s="542">
        <v>-3767510</v>
      </c>
      <c r="FD156" s="542">
        <v>0</v>
      </c>
      <c r="FE156" s="542">
        <v>-3767510</v>
      </c>
      <c r="FF156" s="542">
        <v>-512147</v>
      </c>
      <c r="FG156" s="542">
        <v>0</v>
      </c>
      <c r="FH156" s="542">
        <v>-512147</v>
      </c>
      <c r="FI156" s="542">
        <v>-1516438</v>
      </c>
      <c r="FJ156" s="542">
        <v>0</v>
      </c>
      <c r="FK156" s="542">
        <v>-1516438</v>
      </c>
      <c r="FL156" s="542">
        <v>-77913</v>
      </c>
      <c r="FM156" s="542">
        <v>0</v>
      </c>
      <c r="FN156" s="542">
        <v>-77913</v>
      </c>
      <c r="FO156" s="542">
        <v>-17412308</v>
      </c>
      <c r="FP156" s="542">
        <v>0</v>
      </c>
      <c r="FQ156" s="542">
        <v>-17412308</v>
      </c>
      <c r="FR156" s="542">
        <v>101319858</v>
      </c>
      <c r="FS156" s="542">
        <v>0</v>
      </c>
      <c r="FT156" s="542">
        <v>101319858</v>
      </c>
    </row>
    <row r="157" spans="1:176" ht="12.75" x14ac:dyDescent="0.2">
      <c r="A157" s="93">
        <v>152</v>
      </c>
      <c r="B157" s="145" t="s">
        <v>182</v>
      </c>
      <c r="C157" s="604" t="s">
        <v>866</v>
      </c>
      <c r="D157" s="142" t="s">
        <v>867</v>
      </c>
      <c r="E157" s="149" t="s">
        <v>181</v>
      </c>
      <c r="F157" s="542">
        <v>-79759</v>
      </c>
      <c r="G157" s="542">
        <v>0</v>
      </c>
      <c r="H157" s="542">
        <v>-79759</v>
      </c>
      <c r="I157" s="542">
        <v>52145</v>
      </c>
      <c r="J157" s="542">
        <v>0</v>
      </c>
      <c r="K157" s="542">
        <v>52145</v>
      </c>
      <c r="L157" s="542">
        <v>6457</v>
      </c>
      <c r="M157" s="542">
        <v>0</v>
      </c>
      <c r="N157" s="542">
        <v>6457</v>
      </c>
      <c r="O157" s="542">
        <v>-1025</v>
      </c>
      <c r="P157" s="542">
        <v>0</v>
      </c>
      <c r="Q157" s="542">
        <v>-1025</v>
      </c>
      <c r="R157" s="542">
        <v>-22182</v>
      </c>
      <c r="S157" s="542">
        <v>0</v>
      </c>
      <c r="T157" s="542">
        <v>-22182</v>
      </c>
      <c r="U157" s="542">
        <v>-2360732</v>
      </c>
      <c r="V157" s="542">
        <v>0</v>
      </c>
      <c r="W157" s="542">
        <v>-2360732</v>
      </c>
      <c r="X157" s="542">
        <v>0</v>
      </c>
      <c r="Y157" s="542">
        <v>0</v>
      </c>
      <c r="Z157" s="542">
        <v>0</v>
      </c>
      <c r="AA157" s="542">
        <v>-149339</v>
      </c>
      <c r="AB157" s="542">
        <v>0</v>
      </c>
      <c r="AC157" s="542">
        <v>-149339</v>
      </c>
      <c r="AD157" s="542">
        <v>-74271</v>
      </c>
      <c r="AE157" s="542">
        <v>0</v>
      </c>
      <c r="AF157" s="542">
        <v>-74271</v>
      </c>
      <c r="AG157" s="542">
        <v>554675</v>
      </c>
      <c r="AH157" s="542">
        <v>0</v>
      </c>
      <c r="AI157" s="542">
        <v>554675</v>
      </c>
      <c r="AJ157" s="542">
        <v>-9061</v>
      </c>
      <c r="AK157" s="542">
        <v>0</v>
      </c>
      <c r="AL157" s="542">
        <v>-9061</v>
      </c>
      <c r="AM157" s="542">
        <v>-2072799</v>
      </c>
      <c r="AN157" s="542">
        <v>0</v>
      </c>
      <c r="AO157" s="542">
        <v>-2072799</v>
      </c>
      <c r="AP157" s="542">
        <v>23505</v>
      </c>
      <c r="AQ157" s="542">
        <v>0</v>
      </c>
      <c r="AR157" s="542">
        <v>23505</v>
      </c>
      <c r="AS157" s="542">
        <v>-84884</v>
      </c>
      <c r="AT157" s="542">
        <v>0</v>
      </c>
      <c r="AU157" s="542">
        <v>-84884</v>
      </c>
      <c r="AV157" s="542">
        <v>0</v>
      </c>
      <c r="AW157" s="542">
        <v>0</v>
      </c>
      <c r="AX157" s="542">
        <v>0</v>
      </c>
      <c r="AY157" s="542">
        <v>-10756</v>
      </c>
      <c r="AZ157" s="542">
        <v>0</v>
      </c>
      <c r="BA157" s="542">
        <v>-10756</v>
      </c>
      <c r="BB157" s="542">
        <v>3108</v>
      </c>
      <c r="BC157" s="542">
        <v>0</v>
      </c>
      <c r="BD157" s="542">
        <v>3108</v>
      </c>
      <c r="BE157" s="542">
        <v>-4106283</v>
      </c>
      <c r="BF157" s="542">
        <v>0</v>
      </c>
      <c r="BG157" s="542">
        <v>-4106283</v>
      </c>
      <c r="BH157" s="542">
        <v>-7318</v>
      </c>
      <c r="BI157" s="542">
        <v>0</v>
      </c>
      <c r="BJ157" s="542">
        <v>-7318</v>
      </c>
      <c r="BK157" s="542">
        <v>-2</v>
      </c>
      <c r="BL157" s="542">
        <v>0</v>
      </c>
      <c r="BM157" s="542">
        <v>-2</v>
      </c>
      <c r="BN157" s="542">
        <v>-689449</v>
      </c>
      <c r="BO157" s="542">
        <v>0</v>
      </c>
      <c r="BP157" s="542">
        <v>-689449</v>
      </c>
      <c r="BQ157" s="542">
        <v>-72387</v>
      </c>
      <c r="BR157" s="542">
        <v>0</v>
      </c>
      <c r="BS157" s="542">
        <v>-72387</v>
      </c>
      <c r="BT157" s="542">
        <v>-769156</v>
      </c>
      <c r="BU157" s="542">
        <v>0</v>
      </c>
      <c r="BV157" s="542">
        <v>-769156</v>
      </c>
      <c r="BW157" s="542">
        <v>-160589</v>
      </c>
      <c r="BX157" s="542">
        <v>0</v>
      </c>
      <c r="BY157" s="542">
        <v>-160589</v>
      </c>
      <c r="BZ157" s="542">
        <v>-1709</v>
      </c>
      <c r="CA157" s="542">
        <v>0</v>
      </c>
      <c r="CB157" s="542">
        <v>-1709</v>
      </c>
      <c r="CC157" s="542">
        <v>-14248</v>
      </c>
      <c r="CD157" s="542">
        <v>0</v>
      </c>
      <c r="CE157" s="542">
        <v>-14248</v>
      </c>
      <c r="CF157" s="542">
        <v>0</v>
      </c>
      <c r="CG157" s="542">
        <v>0</v>
      </c>
      <c r="CH157" s="542">
        <v>0</v>
      </c>
      <c r="CI157" s="542">
        <v>-530</v>
      </c>
      <c r="CJ157" s="542">
        <v>0</v>
      </c>
      <c r="CK157" s="542">
        <v>-530</v>
      </c>
      <c r="CL157" s="542">
        <v>0</v>
      </c>
      <c r="CM157" s="542">
        <v>0</v>
      </c>
      <c r="CN157" s="542">
        <v>0</v>
      </c>
      <c r="CO157" s="542">
        <v>0</v>
      </c>
      <c r="CP157" s="542">
        <v>0</v>
      </c>
      <c r="CQ157" s="542">
        <v>0</v>
      </c>
      <c r="CR157" s="542">
        <v>0</v>
      </c>
      <c r="CS157" s="542">
        <v>0</v>
      </c>
      <c r="CT157" s="542">
        <v>0</v>
      </c>
      <c r="CU157" s="542">
        <v>0</v>
      </c>
      <c r="CV157" s="542">
        <v>0</v>
      </c>
      <c r="CW157" s="542">
        <v>0</v>
      </c>
      <c r="CX157" s="542">
        <v>0</v>
      </c>
      <c r="CY157" s="542">
        <v>0</v>
      </c>
      <c r="CZ157" s="542">
        <v>0</v>
      </c>
      <c r="DA157" s="542">
        <v>0</v>
      </c>
      <c r="DB157" s="542">
        <v>0</v>
      </c>
      <c r="DC157" s="542">
        <v>0</v>
      </c>
      <c r="DD157" s="542">
        <v>0</v>
      </c>
      <c r="DE157" s="542">
        <v>0</v>
      </c>
      <c r="DF157" s="542">
        <v>0</v>
      </c>
      <c r="DG157" s="542"/>
      <c r="DH157" s="542">
        <v>0</v>
      </c>
      <c r="DI157" s="542"/>
      <c r="DJ157" s="542">
        <v>0</v>
      </c>
      <c r="DK157" s="542"/>
      <c r="DL157" s="542"/>
      <c r="DM157" s="542">
        <v>-177076</v>
      </c>
      <c r="DN157" s="542">
        <v>0</v>
      </c>
      <c r="DO157" s="542">
        <v>-177076</v>
      </c>
      <c r="DP157" s="542">
        <v>0</v>
      </c>
      <c r="DQ157" s="542">
        <v>0</v>
      </c>
      <c r="DR157" s="542">
        <v>0</v>
      </c>
      <c r="DS157" s="542">
        <v>0</v>
      </c>
      <c r="DT157" s="542">
        <v>0</v>
      </c>
      <c r="DU157" s="542">
        <v>0</v>
      </c>
      <c r="DV157" s="542">
        <v>0</v>
      </c>
      <c r="DW157" s="542">
        <v>0</v>
      </c>
      <c r="DX157" s="542">
        <v>0</v>
      </c>
      <c r="DY157" s="542">
        <v>-496045</v>
      </c>
      <c r="DZ157" s="542">
        <v>0</v>
      </c>
      <c r="EA157" s="542">
        <v>-496045</v>
      </c>
      <c r="EB157" s="542">
        <v>-715</v>
      </c>
      <c r="EC157" s="542">
        <v>0</v>
      </c>
      <c r="ED157" s="542">
        <v>-715</v>
      </c>
      <c r="EE157" s="542">
        <v>0</v>
      </c>
      <c r="EF157" s="542">
        <v>0</v>
      </c>
      <c r="EG157" s="542">
        <v>0</v>
      </c>
      <c r="EH157" s="542">
        <v>-496760</v>
      </c>
      <c r="EI157" s="542">
        <v>0</v>
      </c>
      <c r="EJ157" s="542">
        <v>-496760</v>
      </c>
      <c r="EK157" s="542">
        <v>0</v>
      </c>
      <c r="EL157" s="542">
        <v>0</v>
      </c>
      <c r="EM157" s="542">
        <v>0</v>
      </c>
      <c r="EN157" s="542">
        <v>0</v>
      </c>
      <c r="EO157" s="542">
        <v>0</v>
      </c>
      <c r="EP157" s="542">
        <v>0</v>
      </c>
      <c r="EQ157" s="542">
        <v>0</v>
      </c>
      <c r="ER157" s="542">
        <v>0</v>
      </c>
      <c r="ES157" s="542">
        <v>0</v>
      </c>
      <c r="ET157" s="542">
        <v>29843894</v>
      </c>
      <c r="EU157" s="542">
        <v>0</v>
      </c>
      <c r="EV157" s="542">
        <v>29843894</v>
      </c>
      <c r="EW157" s="542">
        <v>-22182</v>
      </c>
      <c r="EX157" s="542">
        <v>0</v>
      </c>
      <c r="EY157" s="542">
        <v>-22182</v>
      </c>
      <c r="EZ157" s="542">
        <v>-4106283</v>
      </c>
      <c r="FA157" s="542">
        <v>0</v>
      </c>
      <c r="FB157" s="542">
        <v>-4106283</v>
      </c>
      <c r="FC157" s="542">
        <v>-769156</v>
      </c>
      <c r="FD157" s="542">
        <v>0</v>
      </c>
      <c r="FE157" s="542">
        <v>-769156</v>
      </c>
      <c r="FF157" s="542">
        <v>-177076</v>
      </c>
      <c r="FG157" s="542">
        <v>0</v>
      </c>
      <c r="FH157" s="542">
        <v>-177076</v>
      </c>
      <c r="FI157" s="542">
        <v>-496760</v>
      </c>
      <c r="FJ157" s="542">
        <v>0</v>
      </c>
      <c r="FK157" s="542">
        <v>-496760</v>
      </c>
      <c r="FL157" s="542">
        <v>0</v>
      </c>
      <c r="FM157" s="542">
        <v>0</v>
      </c>
      <c r="FN157" s="542">
        <v>0</v>
      </c>
      <c r="FO157" s="542">
        <v>-5571457</v>
      </c>
      <c r="FP157" s="542">
        <v>0</v>
      </c>
      <c r="FQ157" s="542">
        <v>-5571457</v>
      </c>
      <c r="FR157" s="542">
        <v>24272437</v>
      </c>
      <c r="FS157" s="542">
        <v>0</v>
      </c>
      <c r="FT157" s="542">
        <v>24272437</v>
      </c>
    </row>
    <row r="158" spans="1:176" ht="12.75" x14ac:dyDescent="0.2">
      <c r="A158" s="93">
        <v>153</v>
      </c>
      <c r="B158" s="145" t="s">
        <v>184</v>
      </c>
      <c r="C158" s="604" t="s">
        <v>877</v>
      </c>
      <c r="D158" s="142" t="s">
        <v>872</v>
      </c>
      <c r="E158" s="149" t="s">
        <v>183</v>
      </c>
      <c r="F158" s="542">
        <v>-99439</v>
      </c>
      <c r="G158" s="542">
        <v>0</v>
      </c>
      <c r="H158" s="542">
        <v>-99439</v>
      </c>
      <c r="I158" s="542">
        <v>138368</v>
      </c>
      <c r="J158" s="542">
        <v>0</v>
      </c>
      <c r="K158" s="542">
        <v>138368</v>
      </c>
      <c r="L158" s="542">
        <v>101751</v>
      </c>
      <c r="M158" s="542">
        <v>0</v>
      </c>
      <c r="N158" s="542">
        <v>101751</v>
      </c>
      <c r="O158" s="542">
        <v>2742910</v>
      </c>
      <c r="P158" s="542">
        <v>0</v>
      </c>
      <c r="Q158" s="542">
        <v>2742910</v>
      </c>
      <c r="R158" s="542">
        <v>2883590</v>
      </c>
      <c r="S158" s="542">
        <v>0</v>
      </c>
      <c r="T158" s="542">
        <v>2883590</v>
      </c>
      <c r="U158" s="542">
        <v>-4750141</v>
      </c>
      <c r="V158" s="542">
        <v>0</v>
      </c>
      <c r="W158" s="542">
        <v>-4750141</v>
      </c>
      <c r="X158" s="542">
        <v>0</v>
      </c>
      <c r="Y158" s="542">
        <v>0</v>
      </c>
      <c r="Z158" s="542">
        <v>0</v>
      </c>
      <c r="AA158" s="542">
        <v>-210508</v>
      </c>
      <c r="AB158" s="542">
        <v>0</v>
      </c>
      <c r="AC158" s="542">
        <v>-210508</v>
      </c>
      <c r="AD158" s="542">
        <v>-97602</v>
      </c>
      <c r="AE158" s="542">
        <v>0</v>
      </c>
      <c r="AF158" s="542">
        <v>-97602</v>
      </c>
      <c r="AG158" s="542">
        <v>1145456</v>
      </c>
      <c r="AH158" s="542">
        <v>0</v>
      </c>
      <c r="AI158" s="542">
        <v>1145456</v>
      </c>
      <c r="AJ158" s="542">
        <v>-21508</v>
      </c>
      <c r="AK158" s="542">
        <v>0</v>
      </c>
      <c r="AL158" s="542">
        <v>-21508</v>
      </c>
      <c r="AM158" s="542">
        <v>-6250629</v>
      </c>
      <c r="AN158" s="542">
        <v>0</v>
      </c>
      <c r="AO158" s="542">
        <v>-6250629</v>
      </c>
      <c r="AP158" s="542">
        <v>-317993</v>
      </c>
      <c r="AQ158" s="542">
        <v>0</v>
      </c>
      <c r="AR158" s="542">
        <v>-317993</v>
      </c>
      <c r="AS158" s="542">
        <v>0</v>
      </c>
      <c r="AT158" s="542">
        <v>0</v>
      </c>
      <c r="AU158" s="542">
        <v>0</v>
      </c>
      <c r="AV158" s="542">
        <v>0</v>
      </c>
      <c r="AW158" s="542">
        <v>0</v>
      </c>
      <c r="AX158" s="542">
        <v>0</v>
      </c>
      <c r="AY158" s="542">
        <v>0</v>
      </c>
      <c r="AZ158" s="542">
        <v>0</v>
      </c>
      <c r="BA158" s="542">
        <v>0</v>
      </c>
      <c r="BB158" s="542">
        <v>0</v>
      </c>
      <c r="BC158" s="542">
        <v>0</v>
      </c>
      <c r="BD158" s="542">
        <v>0</v>
      </c>
      <c r="BE158" s="542">
        <v>-10405323</v>
      </c>
      <c r="BF158" s="542">
        <v>0</v>
      </c>
      <c r="BG158" s="542">
        <v>-10405323</v>
      </c>
      <c r="BH158" s="542">
        <v>-53900</v>
      </c>
      <c r="BI158" s="542">
        <v>0</v>
      </c>
      <c r="BJ158" s="542">
        <v>-53900</v>
      </c>
      <c r="BK158" s="542">
        <v>-34809</v>
      </c>
      <c r="BL158" s="542">
        <v>0</v>
      </c>
      <c r="BM158" s="542">
        <v>-34809</v>
      </c>
      <c r="BN158" s="542">
        <v>-1160467</v>
      </c>
      <c r="BO158" s="542">
        <v>0</v>
      </c>
      <c r="BP158" s="542">
        <v>-1160467</v>
      </c>
      <c r="BQ158" s="542">
        <v>121496</v>
      </c>
      <c r="BR158" s="542">
        <v>0</v>
      </c>
      <c r="BS158" s="542">
        <v>121496</v>
      </c>
      <c r="BT158" s="542">
        <v>-1127680</v>
      </c>
      <c r="BU158" s="542">
        <v>0</v>
      </c>
      <c r="BV158" s="542">
        <v>-1127680</v>
      </c>
      <c r="BW158" s="542">
        <v>-343917</v>
      </c>
      <c r="BX158" s="542">
        <v>0</v>
      </c>
      <c r="BY158" s="542">
        <v>-343917</v>
      </c>
      <c r="BZ158" s="542">
        <v>-58667</v>
      </c>
      <c r="CA158" s="542">
        <v>0</v>
      </c>
      <c r="CB158" s="542">
        <v>-58667</v>
      </c>
      <c r="CC158" s="542">
        <v>-32109</v>
      </c>
      <c r="CD158" s="542">
        <v>0</v>
      </c>
      <c r="CE158" s="542">
        <v>-32109</v>
      </c>
      <c r="CF158" s="542">
        <v>2801</v>
      </c>
      <c r="CG158" s="542">
        <v>0</v>
      </c>
      <c r="CH158" s="542">
        <v>2801</v>
      </c>
      <c r="CI158" s="542">
        <v>0</v>
      </c>
      <c r="CJ158" s="542">
        <v>0</v>
      </c>
      <c r="CK158" s="542">
        <v>0</v>
      </c>
      <c r="CL158" s="542">
        <v>0</v>
      </c>
      <c r="CM158" s="542">
        <v>0</v>
      </c>
      <c r="CN158" s="542">
        <v>0</v>
      </c>
      <c r="CO158" s="542">
        <v>0</v>
      </c>
      <c r="CP158" s="542">
        <v>0</v>
      </c>
      <c r="CQ158" s="542">
        <v>0</v>
      </c>
      <c r="CR158" s="542">
        <v>0</v>
      </c>
      <c r="CS158" s="542">
        <v>0</v>
      </c>
      <c r="CT158" s="542">
        <v>0</v>
      </c>
      <c r="CU158" s="542">
        <v>0</v>
      </c>
      <c r="CV158" s="542">
        <v>0</v>
      </c>
      <c r="CW158" s="542">
        <v>0</v>
      </c>
      <c r="CX158" s="542">
        <v>0</v>
      </c>
      <c r="CY158" s="542">
        <v>0</v>
      </c>
      <c r="CZ158" s="542">
        <v>0</v>
      </c>
      <c r="DA158" s="542">
        <v>0</v>
      </c>
      <c r="DB158" s="542">
        <v>0</v>
      </c>
      <c r="DC158" s="542">
        <v>0</v>
      </c>
      <c r="DD158" s="542">
        <v>0</v>
      </c>
      <c r="DE158" s="542">
        <v>0</v>
      </c>
      <c r="DF158" s="542">
        <v>0</v>
      </c>
      <c r="DG158" s="542"/>
      <c r="DH158" s="542">
        <v>0</v>
      </c>
      <c r="DI158" s="542"/>
      <c r="DJ158" s="542">
        <v>0</v>
      </c>
      <c r="DK158" s="542"/>
      <c r="DL158" s="542"/>
      <c r="DM158" s="542">
        <v>-431892</v>
      </c>
      <c r="DN158" s="542">
        <v>0</v>
      </c>
      <c r="DO158" s="542">
        <v>-431892</v>
      </c>
      <c r="DP158" s="542">
        <v>-5058</v>
      </c>
      <c r="DQ158" s="542">
        <v>0</v>
      </c>
      <c r="DR158" s="542">
        <v>-5058</v>
      </c>
      <c r="DS158" s="542">
        <v>-416</v>
      </c>
      <c r="DT158" s="542">
        <v>0</v>
      </c>
      <c r="DU158" s="542">
        <v>-416</v>
      </c>
      <c r="DV158" s="542">
        <v>-15321</v>
      </c>
      <c r="DW158" s="542">
        <v>0</v>
      </c>
      <c r="DX158" s="542">
        <v>-15321</v>
      </c>
      <c r="DY158" s="542">
        <v>-793853</v>
      </c>
      <c r="DZ158" s="542">
        <v>0</v>
      </c>
      <c r="EA158" s="542">
        <v>-793853</v>
      </c>
      <c r="EB158" s="542">
        <v>0</v>
      </c>
      <c r="EC158" s="542">
        <v>0</v>
      </c>
      <c r="ED158" s="542">
        <v>0</v>
      </c>
      <c r="EE158" s="542">
        <v>0</v>
      </c>
      <c r="EF158" s="542">
        <v>0</v>
      </c>
      <c r="EG158" s="542">
        <v>0</v>
      </c>
      <c r="EH158" s="542">
        <v>-814648</v>
      </c>
      <c r="EI158" s="542">
        <v>0</v>
      </c>
      <c r="EJ158" s="542">
        <v>-814648</v>
      </c>
      <c r="EK158" s="542">
        <v>0</v>
      </c>
      <c r="EL158" s="542">
        <v>0</v>
      </c>
      <c r="EM158" s="542">
        <v>0</v>
      </c>
      <c r="EN158" s="542">
        <v>0</v>
      </c>
      <c r="EO158" s="542">
        <v>0</v>
      </c>
      <c r="EP158" s="542">
        <v>0</v>
      </c>
      <c r="EQ158" s="542">
        <v>0</v>
      </c>
      <c r="ER158" s="542">
        <v>0</v>
      </c>
      <c r="ES158" s="542">
        <v>0</v>
      </c>
      <c r="ET158" s="542">
        <v>62995812</v>
      </c>
      <c r="EU158" s="542">
        <v>0</v>
      </c>
      <c r="EV158" s="542">
        <v>62995812</v>
      </c>
      <c r="EW158" s="542">
        <v>2883590</v>
      </c>
      <c r="EX158" s="542">
        <v>0</v>
      </c>
      <c r="EY158" s="542">
        <v>2883590</v>
      </c>
      <c r="EZ158" s="542">
        <v>-10405323</v>
      </c>
      <c r="FA158" s="542">
        <v>0</v>
      </c>
      <c r="FB158" s="542">
        <v>-10405323</v>
      </c>
      <c r="FC158" s="542">
        <v>-1127680</v>
      </c>
      <c r="FD158" s="542">
        <v>0</v>
      </c>
      <c r="FE158" s="542">
        <v>-1127680</v>
      </c>
      <c r="FF158" s="542">
        <v>-431892</v>
      </c>
      <c r="FG158" s="542">
        <v>0</v>
      </c>
      <c r="FH158" s="542">
        <v>-431892</v>
      </c>
      <c r="FI158" s="542">
        <v>-814648</v>
      </c>
      <c r="FJ158" s="542">
        <v>0</v>
      </c>
      <c r="FK158" s="542">
        <v>-814648</v>
      </c>
      <c r="FL158" s="542">
        <v>0</v>
      </c>
      <c r="FM158" s="542">
        <v>0</v>
      </c>
      <c r="FN158" s="542">
        <v>0</v>
      </c>
      <c r="FO158" s="542">
        <v>-9895953</v>
      </c>
      <c r="FP158" s="542">
        <v>0</v>
      </c>
      <c r="FQ158" s="542">
        <v>-9895953</v>
      </c>
      <c r="FR158" s="542">
        <v>53099859</v>
      </c>
      <c r="FS158" s="542">
        <v>0</v>
      </c>
      <c r="FT158" s="542">
        <v>53099859</v>
      </c>
    </row>
    <row r="159" spans="1:176" ht="12.75" x14ac:dyDescent="0.2">
      <c r="A159" s="93">
        <v>154</v>
      </c>
      <c r="B159" s="145" t="s">
        <v>186</v>
      </c>
      <c r="C159" s="604" t="s">
        <v>866</v>
      </c>
      <c r="D159" s="142" t="s">
        <v>876</v>
      </c>
      <c r="E159" s="149" t="s">
        <v>185</v>
      </c>
      <c r="F159" s="542">
        <v>-67594</v>
      </c>
      <c r="G159" s="542">
        <v>0</v>
      </c>
      <c r="H159" s="542">
        <v>-67594</v>
      </c>
      <c r="I159" s="542">
        <v>76557</v>
      </c>
      <c r="J159" s="542">
        <v>0</v>
      </c>
      <c r="K159" s="542">
        <v>76557</v>
      </c>
      <c r="L159" s="542">
        <v>0</v>
      </c>
      <c r="M159" s="542">
        <v>0</v>
      </c>
      <c r="N159" s="542">
        <v>0</v>
      </c>
      <c r="O159" s="542">
        <v>216250</v>
      </c>
      <c r="P159" s="542">
        <v>0</v>
      </c>
      <c r="Q159" s="542">
        <v>216250</v>
      </c>
      <c r="R159" s="542">
        <v>225213</v>
      </c>
      <c r="S159" s="542">
        <v>0</v>
      </c>
      <c r="T159" s="542">
        <v>225213</v>
      </c>
      <c r="U159" s="542">
        <v>-1674419</v>
      </c>
      <c r="V159" s="542">
        <v>0</v>
      </c>
      <c r="W159" s="542">
        <v>-1674419</v>
      </c>
      <c r="X159" s="542">
        <v>-27651</v>
      </c>
      <c r="Y159" s="542">
        <v>0</v>
      </c>
      <c r="Z159" s="542">
        <v>-27651</v>
      </c>
      <c r="AA159" s="542">
        <v>-182965</v>
      </c>
      <c r="AB159" s="542">
        <v>0</v>
      </c>
      <c r="AC159" s="542">
        <v>-182965</v>
      </c>
      <c r="AD159" s="542">
        <v>-52526</v>
      </c>
      <c r="AE159" s="542">
        <v>0</v>
      </c>
      <c r="AF159" s="542">
        <v>-52526</v>
      </c>
      <c r="AG159" s="542">
        <v>720930</v>
      </c>
      <c r="AH159" s="542">
        <v>0</v>
      </c>
      <c r="AI159" s="542">
        <v>720930</v>
      </c>
      <c r="AJ159" s="542">
        <v>55013</v>
      </c>
      <c r="AK159" s="542">
        <v>0</v>
      </c>
      <c r="AL159" s="542">
        <v>55013</v>
      </c>
      <c r="AM159" s="542">
        <v>-1303319</v>
      </c>
      <c r="AN159" s="542">
        <v>0</v>
      </c>
      <c r="AO159" s="542">
        <v>-1303319</v>
      </c>
      <c r="AP159" s="542">
        <v>16959</v>
      </c>
      <c r="AQ159" s="542">
        <v>0</v>
      </c>
      <c r="AR159" s="542">
        <v>16959</v>
      </c>
      <c r="AS159" s="542">
        <v>-56938</v>
      </c>
      <c r="AT159" s="542">
        <v>0</v>
      </c>
      <c r="AU159" s="542">
        <v>-56938</v>
      </c>
      <c r="AV159" s="542">
        <v>0</v>
      </c>
      <c r="AW159" s="542">
        <v>0</v>
      </c>
      <c r="AX159" s="542">
        <v>0</v>
      </c>
      <c r="AY159" s="542">
        <v>-8709</v>
      </c>
      <c r="AZ159" s="542">
        <v>0</v>
      </c>
      <c r="BA159" s="542">
        <v>-8709</v>
      </c>
      <c r="BB159" s="542">
        <v>169</v>
      </c>
      <c r="BC159" s="542">
        <v>0</v>
      </c>
      <c r="BD159" s="542">
        <v>169</v>
      </c>
      <c r="BE159" s="542">
        <v>-2433279</v>
      </c>
      <c r="BF159" s="542">
        <v>0</v>
      </c>
      <c r="BG159" s="542">
        <v>-2433279</v>
      </c>
      <c r="BH159" s="542">
        <v>-545894</v>
      </c>
      <c r="BI159" s="542">
        <v>0</v>
      </c>
      <c r="BJ159" s="542">
        <v>-545894</v>
      </c>
      <c r="BK159" s="542">
        <v>116</v>
      </c>
      <c r="BL159" s="542">
        <v>0</v>
      </c>
      <c r="BM159" s="542">
        <v>116</v>
      </c>
      <c r="BN159" s="542">
        <v>-1800466</v>
      </c>
      <c r="BO159" s="542">
        <v>0</v>
      </c>
      <c r="BP159" s="542">
        <v>-1800466</v>
      </c>
      <c r="BQ159" s="542">
        <v>-41659</v>
      </c>
      <c r="BR159" s="542">
        <v>0</v>
      </c>
      <c r="BS159" s="542">
        <v>-41659</v>
      </c>
      <c r="BT159" s="542">
        <v>-2387903</v>
      </c>
      <c r="BU159" s="542">
        <v>0</v>
      </c>
      <c r="BV159" s="542">
        <v>-2387903</v>
      </c>
      <c r="BW159" s="542">
        <v>-38229</v>
      </c>
      <c r="BX159" s="542">
        <v>0</v>
      </c>
      <c r="BY159" s="542">
        <v>-38229</v>
      </c>
      <c r="BZ159" s="542">
        <v>0</v>
      </c>
      <c r="CA159" s="542">
        <v>0</v>
      </c>
      <c r="CB159" s="542">
        <v>0</v>
      </c>
      <c r="CC159" s="542">
        <v>-34425</v>
      </c>
      <c r="CD159" s="542">
        <v>0</v>
      </c>
      <c r="CE159" s="542">
        <v>-34425</v>
      </c>
      <c r="CF159" s="542">
        <v>1897</v>
      </c>
      <c r="CG159" s="542">
        <v>0</v>
      </c>
      <c r="CH159" s="542">
        <v>1897</v>
      </c>
      <c r="CI159" s="542">
        <v>0</v>
      </c>
      <c r="CJ159" s="542">
        <v>0</v>
      </c>
      <c r="CK159" s="542">
        <v>0</v>
      </c>
      <c r="CL159" s="542">
        <v>0</v>
      </c>
      <c r="CM159" s="542">
        <v>0</v>
      </c>
      <c r="CN159" s="542">
        <v>0</v>
      </c>
      <c r="CO159" s="542">
        <v>-2784</v>
      </c>
      <c r="CP159" s="542">
        <v>0</v>
      </c>
      <c r="CQ159" s="542">
        <v>-2784</v>
      </c>
      <c r="CR159" s="542">
        <v>169</v>
      </c>
      <c r="CS159" s="542">
        <v>0</v>
      </c>
      <c r="CT159" s="542">
        <v>169</v>
      </c>
      <c r="CU159" s="542">
        <v>-1397</v>
      </c>
      <c r="CV159" s="542">
        <v>0</v>
      </c>
      <c r="CW159" s="542">
        <v>-1397</v>
      </c>
      <c r="CX159" s="542">
        <v>0</v>
      </c>
      <c r="CY159" s="542">
        <v>0</v>
      </c>
      <c r="CZ159" s="542">
        <v>0</v>
      </c>
      <c r="DA159" s="542">
        <v>0</v>
      </c>
      <c r="DB159" s="542">
        <v>0</v>
      </c>
      <c r="DC159" s="542">
        <v>0</v>
      </c>
      <c r="DD159" s="542">
        <v>0</v>
      </c>
      <c r="DE159" s="542">
        <v>0</v>
      </c>
      <c r="DF159" s="542">
        <v>0</v>
      </c>
      <c r="DG159" s="542"/>
      <c r="DH159" s="542">
        <v>0</v>
      </c>
      <c r="DI159" s="542"/>
      <c r="DJ159" s="542">
        <v>0</v>
      </c>
      <c r="DK159" s="542"/>
      <c r="DL159" s="542"/>
      <c r="DM159" s="542">
        <v>-74769</v>
      </c>
      <c r="DN159" s="542">
        <v>0</v>
      </c>
      <c r="DO159" s="542">
        <v>-74769</v>
      </c>
      <c r="DP159" s="542">
        <v>0</v>
      </c>
      <c r="DQ159" s="542">
        <v>0</v>
      </c>
      <c r="DR159" s="542">
        <v>0</v>
      </c>
      <c r="DS159" s="542">
        <v>0</v>
      </c>
      <c r="DT159" s="542">
        <v>0</v>
      </c>
      <c r="DU159" s="542">
        <v>0</v>
      </c>
      <c r="DV159" s="542">
        <v>-4312</v>
      </c>
      <c r="DW159" s="542">
        <v>0</v>
      </c>
      <c r="DX159" s="542">
        <v>-4312</v>
      </c>
      <c r="DY159" s="542">
        <v>-406807</v>
      </c>
      <c r="DZ159" s="542">
        <v>0</v>
      </c>
      <c r="EA159" s="542">
        <v>-406807</v>
      </c>
      <c r="EB159" s="542">
        <v>0</v>
      </c>
      <c r="EC159" s="542">
        <v>0</v>
      </c>
      <c r="ED159" s="542">
        <v>0</v>
      </c>
      <c r="EE159" s="542">
        <v>0</v>
      </c>
      <c r="EF159" s="542">
        <v>0</v>
      </c>
      <c r="EG159" s="542">
        <v>0</v>
      </c>
      <c r="EH159" s="542">
        <v>-411119</v>
      </c>
      <c r="EI159" s="542">
        <v>0</v>
      </c>
      <c r="EJ159" s="542">
        <v>-411119</v>
      </c>
      <c r="EK159" s="542">
        <v>0</v>
      </c>
      <c r="EL159" s="542">
        <v>0</v>
      </c>
      <c r="EM159" s="542">
        <v>0</v>
      </c>
      <c r="EN159" s="542">
        <v>0</v>
      </c>
      <c r="EO159" s="542">
        <v>0</v>
      </c>
      <c r="EP159" s="542">
        <v>0</v>
      </c>
      <c r="EQ159" s="542">
        <v>0</v>
      </c>
      <c r="ER159" s="542">
        <v>0</v>
      </c>
      <c r="ES159" s="542">
        <v>0</v>
      </c>
      <c r="ET159" s="542">
        <v>38197957</v>
      </c>
      <c r="EU159" s="542">
        <v>0</v>
      </c>
      <c r="EV159" s="542">
        <v>38197957</v>
      </c>
      <c r="EW159" s="542">
        <v>225213</v>
      </c>
      <c r="EX159" s="542">
        <v>0</v>
      </c>
      <c r="EY159" s="542">
        <v>225213</v>
      </c>
      <c r="EZ159" s="542">
        <v>-2433279</v>
      </c>
      <c r="FA159" s="542">
        <v>0</v>
      </c>
      <c r="FB159" s="542">
        <v>-2433279</v>
      </c>
      <c r="FC159" s="542">
        <v>-2387903</v>
      </c>
      <c r="FD159" s="542">
        <v>0</v>
      </c>
      <c r="FE159" s="542">
        <v>-2387903</v>
      </c>
      <c r="FF159" s="542">
        <v>-74769</v>
      </c>
      <c r="FG159" s="542">
        <v>0</v>
      </c>
      <c r="FH159" s="542">
        <v>-74769</v>
      </c>
      <c r="FI159" s="542">
        <v>-411119</v>
      </c>
      <c r="FJ159" s="542">
        <v>0</v>
      </c>
      <c r="FK159" s="542">
        <v>-411119</v>
      </c>
      <c r="FL159" s="542">
        <v>0</v>
      </c>
      <c r="FM159" s="542">
        <v>0</v>
      </c>
      <c r="FN159" s="542">
        <v>0</v>
      </c>
      <c r="FO159" s="542">
        <v>-5081857</v>
      </c>
      <c r="FP159" s="542">
        <v>0</v>
      </c>
      <c r="FQ159" s="542">
        <v>-5081857</v>
      </c>
      <c r="FR159" s="542">
        <v>33116100</v>
      </c>
      <c r="FS159" s="542">
        <v>0</v>
      </c>
      <c r="FT159" s="542">
        <v>33116100</v>
      </c>
    </row>
    <row r="160" spans="1:176" ht="12.75" x14ac:dyDescent="0.2">
      <c r="A160" s="93">
        <v>155</v>
      </c>
      <c r="B160" s="145" t="s">
        <v>188</v>
      </c>
      <c r="C160" s="604" t="s">
        <v>866</v>
      </c>
      <c r="D160" s="142" t="s">
        <v>869</v>
      </c>
      <c r="E160" s="149" t="s">
        <v>187</v>
      </c>
      <c r="F160" s="542">
        <v>-15320</v>
      </c>
      <c r="G160" s="542">
        <v>0</v>
      </c>
      <c r="H160" s="542">
        <v>-15320</v>
      </c>
      <c r="I160" s="542">
        <v>-8668</v>
      </c>
      <c r="J160" s="542">
        <v>0</v>
      </c>
      <c r="K160" s="542">
        <v>-8668</v>
      </c>
      <c r="L160" s="542">
        <v>22776</v>
      </c>
      <c r="M160" s="542">
        <v>0</v>
      </c>
      <c r="N160" s="542">
        <v>22776</v>
      </c>
      <c r="O160" s="542">
        <v>175222</v>
      </c>
      <c r="P160" s="542">
        <v>0</v>
      </c>
      <c r="Q160" s="542">
        <v>175222</v>
      </c>
      <c r="R160" s="542">
        <v>174010</v>
      </c>
      <c r="S160" s="542">
        <v>0</v>
      </c>
      <c r="T160" s="542">
        <v>174010</v>
      </c>
      <c r="U160" s="542">
        <v>-1877100</v>
      </c>
      <c r="V160" s="542">
        <v>0</v>
      </c>
      <c r="W160" s="542">
        <v>-1877100</v>
      </c>
      <c r="X160" s="542">
        <v>-3727</v>
      </c>
      <c r="Y160" s="542">
        <v>0</v>
      </c>
      <c r="Z160" s="542">
        <v>-3727</v>
      </c>
      <c r="AA160" s="542">
        <v>-89499</v>
      </c>
      <c r="AB160" s="542">
        <v>0</v>
      </c>
      <c r="AC160" s="542">
        <v>-89499</v>
      </c>
      <c r="AD160" s="542">
        <v>-40058</v>
      </c>
      <c r="AE160" s="542">
        <v>0</v>
      </c>
      <c r="AF160" s="542">
        <v>-40058</v>
      </c>
      <c r="AG160" s="542">
        <v>1010114</v>
      </c>
      <c r="AH160" s="542">
        <v>0</v>
      </c>
      <c r="AI160" s="542">
        <v>1010114</v>
      </c>
      <c r="AJ160" s="542">
        <v>95512</v>
      </c>
      <c r="AK160" s="542">
        <v>0</v>
      </c>
      <c r="AL160" s="542">
        <v>95512</v>
      </c>
      <c r="AM160" s="542">
        <v>-3923568</v>
      </c>
      <c r="AN160" s="542">
        <v>0</v>
      </c>
      <c r="AO160" s="542">
        <v>-3923568</v>
      </c>
      <c r="AP160" s="542">
        <v>-80704</v>
      </c>
      <c r="AQ160" s="542">
        <v>0</v>
      </c>
      <c r="AR160" s="542">
        <v>-80704</v>
      </c>
      <c r="AS160" s="542">
        <v>-76308</v>
      </c>
      <c r="AT160" s="542">
        <v>0</v>
      </c>
      <c r="AU160" s="542">
        <v>-76308</v>
      </c>
      <c r="AV160" s="542">
        <v>0</v>
      </c>
      <c r="AW160" s="542">
        <v>0</v>
      </c>
      <c r="AX160" s="542">
        <v>0</v>
      </c>
      <c r="AY160" s="542">
        <v>0</v>
      </c>
      <c r="AZ160" s="542">
        <v>0</v>
      </c>
      <c r="BA160" s="542">
        <v>0</v>
      </c>
      <c r="BB160" s="542">
        <v>0</v>
      </c>
      <c r="BC160" s="542">
        <v>0</v>
      </c>
      <c r="BD160" s="542">
        <v>0</v>
      </c>
      <c r="BE160" s="542">
        <v>-4941553</v>
      </c>
      <c r="BF160" s="542">
        <v>0</v>
      </c>
      <c r="BG160" s="542">
        <v>-4941553</v>
      </c>
      <c r="BH160" s="542">
        <v>0</v>
      </c>
      <c r="BI160" s="542">
        <v>0</v>
      </c>
      <c r="BJ160" s="542">
        <v>0</v>
      </c>
      <c r="BK160" s="542">
        <v>-673</v>
      </c>
      <c r="BL160" s="542">
        <v>0</v>
      </c>
      <c r="BM160" s="542">
        <v>-673</v>
      </c>
      <c r="BN160" s="542">
        <v>-1321541</v>
      </c>
      <c r="BO160" s="542">
        <v>0</v>
      </c>
      <c r="BP160" s="542">
        <v>-1321541</v>
      </c>
      <c r="BQ160" s="542">
        <v>54842</v>
      </c>
      <c r="BR160" s="542">
        <v>0</v>
      </c>
      <c r="BS160" s="542">
        <v>54842</v>
      </c>
      <c r="BT160" s="542">
        <v>-1267372</v>
      </c>
      <c r="BU160" s="542">
        <v>0</v>
      </c>
      <c r="BV160" s="542">
        <v>-1267372</v>
      </c>
      <c r="BW160" s="542">
        <v>-46681</v>
      </c>
      <c r="BX160" s="542">
        <v>0</v>
      </c>
      <c r="BY160" s="542">
        <v>-46681</v>
      </c>
      <c r="BZ160" s="542">
        <v>-6925</v>
      </c>
      <c r="CA160" s="542">
        <v>0</v>
      </c>
      <c r="CB160" s="542">
        <v>-6925</v>
      </c>
      <c r="CC160" s="542">
        <v>-6775</v>
      </c>
      <c r="CD160" s="542">
        <v>0</v>
      </c>
      <c r="CE160" s="542">
        <v>-6775</v>
      </c>
      <c r="CF160" s="542">
        <v>0</v>
      </c>
      <c r="CG160" s="542">
        <v>0</v>
      </c>
      <c r="CH160" s="542">
        <v>0</v>
      </c>
      <c r="CI160" s="542">
        <v>-3684</v>
      </c>
      <c r="CJ160" s="542">
        <v>0</v>
      </c>
      <c r="CK160" s="542">
        <v>-3684</v>
      </c>
      <c r="CL160" s="542">
        <v>0</v>
      </c>
      <c r="CM160" s="542">
        <v>0</v>
      </c>
      <c r="CN160" s="542">
        <v>0</v>
      </c>
      <c r="CO160" s="542">
        <v>0</v>
      </c>
      <c r="CP160" s="542">
        <v>0</v>
      </c>
      <c r="CQ160" s="542">
        <v>0</v>
      </c>
      <c r="CR160" s="542">
        <v>0</v>
      </c>
      <c r="CS160" s="542">
        <v>0</v>
      </c>
      <c r="CT160" s="542">
        <v>0</v>
      </c>
      <c r="CU160" s="542">
        <v>0</v>
      </c>
      <c r="CV160" s="542">
        <v>0</v>
      </c>
      <c r="CW160" s="542">
        <v>0</v>
      </c>
      <c r="CX160" s="542">
        <v>0</v>
      </c>
      <c r="CY160" s="542">
        <v>0</v>
      </c>
      <c r="CZ160" s="542">
        <v>0</v>
      </c>
      <c r="DA160" s="542">
        <v>0</v>
      </c>
      <c r="DB160" s="542">
        <v>0</v>
      </c>
      <c r="DC160" s="542">
        <v>0</v>
      </c>
      <c r="DD160" s="542">
        <v>0</v>
      </c>
      <c r="DE160" s="542">
        <v>0</v>
      </c>
      <c r="DF160" s="542">
        <v>0</v>
      </c>
      <c r="DG160" s="542"/>
      <c r="DH160" s="542">
        <v>0</v>
      </c>
      <c r="DI160" s="542"/>
      <c r="DJ160" s="542">
        <v>0</v>
      </c>
      <c r="DK160" s="542"/>
      <c r="DL160" s="542"/>
      <c r="DM160" s="542">
        <v>-64065</v>
      </c>
      <c r="DN160" s="542">
        <v>0</v>
      </c>
      <c r="DO160" s="542">
        <v>-64065</v>
      </c>
      <c r="DP160" s="542">
        <v>-76249</v>
      </c>
      <c r="DQ160" s="542">
        <v>0</v>
      </c>
      <c r="DR160" s="542">
        <v>-76249</v>
      </c>
      <c r="DS160" s="542">
        <v>-5600</v>
      </c>
      <c r="DT160" s="542">
        <v>0</v>
      </c>
      <c r="DU160" s="542">
        <v>-5600</v>
      </c>
      <c r="DV160" s="542">
        <v>-85800</v>
      </c>
      <c r="DW160" s="542">
        <v>0</v>
      </c>
      <c r="DX160" s="542">
        <v>-85800</v>
      </c>
      <c r="DY160" s="542">
        <v>-431221</v>
      </c>
      <c r="DZ160" s="542">
        <v>0</v>
      </c>
      <c r="EA160" s="542">
        <v>-431221</v>
      </c>
      <c r="EB160" s="542">
        <v>0</v>
      </c>
      <c r="EC160" s="542">
        <v>0</v>
      </c>
      <c r="ED160" s="542">
        <v>0</v>
      </c>
      <c r="EE160" s="542">
        <v>0</v>
      </c>
      <c r="EF160" s="542">
        <v>0</v>
      </c>
      <c r="EG160" s="542">
        <v>0</v>
      </c>
      <c r="EH160" s="542">
        <v>-598870</v>
      </c>
      <c r="EI160" s="542">
        <v>0</v>
      </c>
      <c r="EJ160" s="542">
        <v>-598870</v>
      </c>
      <c r="EK160" s="542">
        <v>0</v>
      </c>
      <c r="EL160" s="542">
        <v>0</v>
      </c>
      <c r="EM160" s="542">
        <v>0</v>
      </c>
      <c r="EN160" s="542">
        <v>0</v>
      </c>
      <c r="EO160" s="542">
        <v>0</v>
      </c>
      <c r="EP160" s="542">
        <v>0</v>
      </c>
      <c r="EQ160" s="542">
        <v>0</v>
      </c>
      <c r="ER160" s="542">
        <v>0</v>
      </c>
      <c r="ES160" s="542">
        <v>0</v>
      </c>
      <c r="ET160" s="542">
        <v>48238848</v>
      </c>
      <c r="EU160" s="542">
        <v>0</v>
      </c>
      <c r="EV160" s="542">
        <v>48238848</v>
      </c>
      <c r="EW160" s="542">
        <v>174010</v>
      </c>
      <c r="EX160" s="542">
        <v>0</v>
      </c>
      <c r="EY160" s="542">
        <v>174010</v>
      </c>
      <c r="EZ160" s="542">
        <v>-4941553</v>
      </c>
      <c r="FA160" s="542">
        <v>0</v>
      </c>
      <c r="FB160" s="542">
        <v>-4941553</v>
      </c>
      <c r="FC160" s="542">
        <v>-1267372</v>
      </c>
      <c r="FD160" s="542">
        <v>0</v>
      </c>
      <c r="FE160" s="542">
        <v>-1267372</v>
      </c>
      <c r="FF160" s="542">
        <v>-64065</v>
      </c>
      <c r="FG160" s="542">
        <v>0</v>
      </c>
      <c r="FH160" s="542">
        <v>-64065</v>
      </c>
      <c r="FI160" s="542">
        <v>-598870</v>
      </c>
      <c r="FJ160" s="542">
        <v>0</v>
      </c>
      <c r="FK160" s="542">
        <v>-598870</v>
      </c>
      <c r="FL160" s="542">
        <v>0</v>
      </c>
      <c r="FM160" s="542">
        <v>0</v>
      </c>
      <c r="FN160" s="542">
        <v>0</v>
      </c>
      <c r="FO160" s="542">
        <v>-6697850</v>
      </c>
      <c r="FP160" s="542">
        <v>0</v>
      </c>
      <c r="FQ160" s="542">
        <v>-6697850</v>
      </c>
      <c r="FR160" s="542">
        <v>41540998</v>
      </c>
      <c r="FS160" s="542">
        <v>0</v>
      </c>
      <c r="FT160" s="542">
        <v>41540998</v>
      </c>
    </row>
    <row r="161" spans="1:176" ht="12.75" x14ac:dyDescent="0.2">
      <c r="A161" s="93">
        <v>156</v>
      </c>
      <c r="B161" s="145" t="s">
        <v>190</v>
      </c>
      <c r="C161" s="604" t="s">
        <v>873</v>
      </c>
      <c r="D161" s="142" t="s">
        <v>868</v>
      </c>
      <c r="E161" s="149" t="s">
        <v>189</v>
      </c>
      <c r="F161" s="542">
        <v>-212507</v>
      </c>
      <c r="G161" s="542">
        <v>-27027</v>
      </c>
      <c r="H161" s="542">
        <v>-239534</v>
      </c>
      <c r="I161" s="542">
        <v>1414559</v>
      </c>
      <c r="J161" s="542">
        <v>163588</v>
      </c>
      <c r="K161" s="542">
        <v>1578147</v>
      </c>
      <c r="L161" s="542">
        <v>79280</v>
      </c>
      <c r="M161" s="542">
        <v>19347</v>
      </c>
      <c r="N161" s="542">
        <v>98627</v>
      </c>
      <c r="O161" s="542">
        <v>514517</v>
      </c>
      <c r="P161" s="542">
        <v>304848</v>
      </c>
      <c r="Q161" s="542">
        <v>819365</v>
      </c>
      <c r="R161" s="542">
        <v>1795849</v>
      </c>
      <c r="S161" s="542">
        <v>460756</v>
      </c>
      <c r="T161" s="542">
        <v>2256605</v>
      </c>
      <c r="U161" s="542">
        <v>-8130209</v>
      </c>
      <c r="V161" s="542">
        <v>-517532</v>
      </c>
      <c r="W161" s="542">
        <v>-8647741</v>
      </c>
      <c r="X161" s="542">
        <v>-12590</v>
      </c>
      <c r="Y161" s="542">
        <v>-3317</v>
      </c>
      <c r="Z161" s="542">
        <v>-15907</v>
      </c>
      <c r="AA161" s="542">
        <v>-835730</v>
      </c>
      <c r="AB161" s="542">
        <v>-77403</v>
      </c>
      <c r="AC161" s="542">
        <v>-913133</v>
      </c>
      <c r="AD161" s="542">
        <v>-407111</v>
      </c>
      <c r="AE161" s="542">
        <v>-28407</v>
      </c>
      <c r="AF161" s="542">
        <v>-435518</v>
      </c>
      <c r="AG161" s="542">
        <v>4916648</v>
      </c>
      <c r="AH161" s="542">
        <v>48660</v>
      </c>
      <c r="AI161" s="542">
        <v>4965308</v>
      </c>
      <c r="AJ161" s="542">
        <v>216970</v>
      </c>
      <c r="AK161" s="542">
        <v>0</v>
      </c>
      <c r="AL161" s="542">
        <v>216970</v>
      </c>
      <c r="AM161" s="542">
        <v>-15392508</v>
      </c>
      <c r="AN161" s="542">
        <v>-732463</v>
      </c>
      <c r="AO161" s="542">
        <v>-16124971</v>
      </c>
      <c r="AP161" s="542">
        <v>-1106914</v>
      </c>
      <c r="AQ161" s="542">
        <v>60345</v>
      </c>
      <c r="AR161" s="542">
        <v>-1046569</v>
      </c>
      <c r="AS161" s="542">
        <v>0</v>
      </c>
      <c r="AT161" s="542">
        <v>0</v>
      </c>
      <c r="AU161" s="542">
        <v>0</v>
      </c>
      <c r="AV161" s="542">
        <v>0</v>
      </c>
      <c r="AW161" s="542">
        <v>0</v>
      </c>
      <c r="AX161" s="542">
        <v>0</v>
      </c>
      <c r="AY161" s="542">
        <v>0</v>
      </c>
      <c r="AZ161" s="542">
        <v>0</v>
      </c>
      <c r="BA161" s="542">
        <v>0</v>
      </c>
      <c r="BB161" s="542">
        <v>0</v>
      </c>
      <c r="BC161" s="542">
        <v>0</v>
      </c>
      <c r="BD161" s="542">
        <v>0</v>
      </c>
      <c r="BE161" s="542">
        <v>-20331743</v>
      </c>
      <c r="BF161" s="542">
        <v>-1218393</v>
      </c>
      <c r="BG161" s="542">
        <v>-21550136</v>
      </c>
      <c r="BH161" s="542">
        <v>-1002</v>
      </c>
      <c r="BI161" s="542">
        <v>0</v>
      </c>
      <c r="BJ161" s="542">
        <v>-1002</v>
      </c>
      <c r="BK161" s="542">
        <v>95804</v>
      </c>
      <c r="BL161" s="542">
        <v>3971</v>
      </c>
      <c r="BM161" s="542">
        <v>99775</v>
      </c>
      <c r="BN161" s="542">
        <v>-9908597</v>
      </c>
      <c r="BO161" s="542">
        <v>-8865610</v>
      </c>
      <c r="BP161" s="542">
        <v>-18774207</v>
      </c>
      <c r="BQ161" s="542">
        <v>981762</v>
      </c>
      <c r="BR161" s="542">
        <v>563958</v>
      </c>
      <c r="BS161" s="542">
        <v>1545720</v>
      </c>
      <c r="BT161" s="542">
        <v>-8832033</v>
      </c>
      <c r="BU161" s="542">
        <v>-8297681</v>
      </c>
      <c r="BV161" s="542">
        <v>-17129714</v>
      </c>
      <c r="BW161" s="542">
        <v>-26515</v>
      </c>
      <c r="BX161" s="542">
        <v>-9881</v>
      </c>
      <c r="BY161" s="542">
        <v>-36396</v>
      </c>
      <c r="BZ161" s="542">
        <v>14484</v>
      </c>
      <c r="CA161" s="542">
        <v>5409</v>
      </c>
      <c r="CB161" s="542">
        <v>19893</v>
      </c>
      <c r="CC161" s="542">
        <v>-42342</v>
      </c>
      <c r="CD161" s="542">
        <v>0</v>
      </c>
      <c r="CE161" s="542">
        <v>-42342</v>
      </c>
      <c r="CF161" s="542">
        <v>2917</v>
      </c>
      <c r="CG161" s="542">
        <v>128</v>
      </c>
      <c r="CH161" s="542">
        <v>3045</v>
      </c>
      <c r="CI161" s="542">
        <v>0</v>
      </c>
      <c r="CJ161" s="542">
        <v>0</v>
      </c>
      <c r="CK161" s="542">
        <v>0</v>
      </c>
      <c r="CL161" s="542">
        <v>0</v>
      </c>
      <c r="CM161" s="542">
        <v>0</v>
      </c>
      <c r="CN161" s="542">
        <v>0</v>
      </c>
      <c r="CO161" s="542">
        <v>0</v>
      </c>
      <c r="CP161" s="542">
        <v>0</v>
      </c>
      <c r="CQ161" s="542">
        <v>0</v>
      </c>
      <c r="CR161" s="542">
        <v>0</v>
      </c>
      <c r="CS161" s="542">
        <v>0</v>
      </c>
      <c r="CT161" s="542">
        <v>0</v>
      </c>
      <c r="CU161" s="542">
        <v>0</v>
      </c>
      <c r="CV161" s="542">
        <v>0</v>
      </c>
      <c r="CW161" s="542">
        <v>0</v>
      </c>
      <c r="CX161" s="542">
        <v>0</v>
      </c>
      <c r="CY161" s="542">
        <v>0</v>
      </c>
      <c r="CZ161" s="542">
        <v>0</v>
      </c>
      <c r="DA161" s="542">
        <v>0</v>
      </c>
      <c r="DB161" s="542">
        <v>-176229</v>
      </c>
      <c r="DC161" s="542">
        <v>-176229</v>
      </c>
      <c r="DD161" s="542">
        <v>0</v>
      </c>
      <c r="DE161" s="542">
        <v>-79597</v>
      </c>
      <c r="DF161" s="542">
        <v>-79597</v>
      </c>
      <c r="DG161" s="542"/>
      <c r="DH161" s="542">
        <v>-255826</v>
      </c>
      <c r="DI161" s="542"/>
      <c r="DJ161" s="542">
        <v>0</v>
      </c>
      <c r="DK161" s="542"/>
      <c r="DL161" s="542"/>
      <c r="DM161" s="542">
        <v>-51456</v>
      </c>
      <c r="DN161" s="542">
        <v>-260170</v>
      </c>
      <c r="DO161" s="542">
        <v>-311626</v>
      </c>
      <c r="DP161" s="542">
        <v>-50972</v>
      </c>
      <c r="DQ161" s="542">
        <v>0</v>
      </c>
      <c r="DR161" s="542">
        <v>-50972</v>
      </c>
      <c r="DS161" s="542">
        <v>0</v>
      </c>
      <c r="DT161" s="542">
        <v>0</v>
      </c>
      <c r="DU161" s="542">
        <v>0</v>
      </c>
      <c r="DV161" s="542">
        <v>-19567</v>
      </c>
      <c r="DW161" s="542">
        <v>0</v>
      </c>
      <c r="DX161" s="542">
        <v>-19567</v>
      </c>
      <c r="DY161" s="542">
        <v>-1562902</v>
      </c>
      <c r="DZ161" s="542">
        <v>-135935</v>
      </c>
      <c r="EA161" s="542">
        <v>-1698837</v>
      </c>
      <c r="EB161" s="542">
        <v>0</v>
      </c>
      <c r="EC161" s="542">
        <v>0</v>
      </c>
      <c r="ED161" s="542">
        <v>0</v>
      </c>
      <c r="EE161" s="542">
        <v>0</v>
      </c>
      <c r="EF161" s="542">
        <v>0</v>
      </c>
      <c r="EG161" s="542">
        <v>0</v>
      </c>
      <c r="EH161" s="542">
        <v>-1633441</v>
      </c>
      <c r="EI161" s="542">
        <v>-135935</v>
      </c>
      <c r="EJ161" s="542">
        <v>-1769376</v>
      </c>
      <c r="EK161" s="542">
        <v>-1060</v>
      </c>
      <c r="EL161" s="542">
        <v>0</v>
      </c>
      <c r="EM161" s="542">
        <v>-1060</v>
      </c>
      <c r="EN161" s="542">
        <v>13930</v>
      </c>
      <c r="EO161" s="542">
        <v>0</v>
      </c>
      <c r="EP161" s="542">
        <v>13930</v>
      </c>
      <c r="EQ161" s="542">
        <v>12870</v>
      </c>
      <c r="ER161" s="542">
        <v>0</v>
      </c>
      <c r="ES161" s="542">
        <v>12870</v>
      </c>
      <c r="ET161" s="542">
        <v>188606503</v>
      </c>
      <c r="EU161" s="542">
        <v>32863196</v>
      </c>
      <c r="EV161" s="542">
        <v>221469699</v>
      </c>
      <c r="EW161" s="542">
        <v>1795849</v>
      </c>
      <c r="EX161" s="542">
        <v>460756</v>
      </c>
      <c r="EY161" s="542">
        <v>2256605</v>
      </c>
      <c r="EZ161" s="542">
        <v>-20331743</v>
      </c>
      <c r="FA161" s="542">
        <v>-1218393</v>
      </c>
      <c r="FB161" s="542">
        <v>-21550136</v>
      </c>
      <c r="FC161" s="542">
        <v>-8832033</v>
      </c>
      <c r="FD161" s="542">
        <v>-8297681</v>
      </c>
      <c r="FE161" s="542">
        <v>-17129714</v>
      </c>
      <c r="FF161" s="542">
        <v>-51456</v>
      </c>
      <c r="FG161" s="542">
        <v>-260170</v>
      </c>
      <c r="FH161" s="542">
        <v>-311626</v>
      </c>
      <c r="FI161" s="542">
        <v>-1633441</v>
      </c>
      <c r="FJ161" s="542">
        <v>-135935</v>
      </c>
      <c r="FK161" s="542">
        <v>-1769376</v>
      </c>
      <c r="FL161" s="542">
        <v>12870</v>
      </c>
      <c r="FM161" s="542">
        <v>0</v>
      </c>
      <c r="FN161" s="542">
        <v>12870</v>
      </c>
      <c r="FO161" s="542">
        <v>-29039954</v>
      </c>
      <c r="FP161" s="542">
        <v>-9451423</v>
      </c>
      <c r="FQ161" s="542">
        <v>-38491377</v>
      </c>
      <c r="FR161" s="542">
        <v>159566549</v>
      </c>
      <c r="FS161" s="542">
        <v>23411773</v>
      </c>
      <c r="FT161" s="542">
        <v>182978322</v>
      </c>
    </row>
    <row r="162" spans="1:176" ht="12.75" x14ac:dyDescent="0.2">
      <c r="A162" s="93">
        <v>157</v>
      </c>
      <c r="B162" s="145" t="s">
        <v>192</v>
      </c>
      <c r="C162" s="604" t="s">
        <v>770</v>
      </c>
      <c r="D162" s="142" t="s">
        <v>870</v>
      </c>
      <c r="E162" s="149" t="s">
        <v>704</v>
      </c>
      <c r="F162" s="542">
        <v>-49101</v>
      </c>
      <c r="G162" s="542">
        <v>0</v>
      </c>
      <c r="H162" s="542">
        <v>-49101</v>
      </c>
      <c r="I162" s="542">
        <v>110544</v>
      </c>
      <c r="J162" s="542">
        <v>0</v>
      </c>
      <c r="K162" s="542">
        <v>110544</v>
      </c>
      <c r="L162" s="542">
        <v>50687</v>
      </c>
      <c r="M162" s="542">
        <v>0</v>
      </c>
      <c r="N162" s="542">
        <v>50687</v>
      </c>
      <c r="O162" s="542">
        <v>1273855</v>
      </c>
      <c r="P162" s="542">
        <v>0</v>
      </c>
      <c r="Q162" s="542">
        <v>1273855</v>
      </c>
      <c r="R162" s="542">
        <v>1385985</v>
      </c>
      <c r="S162" s="542">
        <v>0</v>
      </c>
      <c r="T162" s="542">
        <v>1385985</v>
      </c>
      <c r="U162" s="542">
        <v>-2782438</v>
      </c>
      <c r="V162" s="542">
        <v>0</v>
      </c>
      <c r="W162" s="542">
        <v>-2782438</v>
      </c>
      <c r="X162" s="542">
        <v>-5650</v>
      </c>
      <c r="Y162" s="542">
        <v>0</v>
      </c>
      <c r="Z162" s="542">
        <v>-5650</v>
      </c>
      <c r="AA162" s="542">
        <v>-245236</v>
      </c>
      <c r="AB162" s="542">
        <v>0</v>
      </c>
      <c r="AC162" s="542">
        <v>-245236</v>
      </c>
      <c r="AD162" s="542">
        <v>-104708</v>
      </c>
      <c r="AE162" s="542">
        <v>0</v>
      </c>
      <c r="AF162" s="542">
        <v>-104708</v>
      </c>
      <c r="AG162" s="542">
        <v>1626611</v>
      </c>
      <c r="AH162" s="542">
        <v>0</v>
      </c>
      <c r="AI162" s="542">
        <v>1626611</v>
      </c>
      <c r="AJ162" s="542">
        <v>-53937</v>
      </c>
      <c r="AK162" s="542">
        <v>0</v>
      </c>
      <c r="AL162" s="542">
        <v>-53937</v>
      </c>
      <c r="AM162" s="542">
        <v>-5062895</v>
      </c>
      <c r="AN162" s="542">
        <v>0</v>
      </c>
      <c r="AO162" s="542">
        <v>-5062895</v>
      </c>
      <c r="AP162" s="542">
        <v>-9164</v>
      </c>
      <c r="AQ162" s="542">
        <v>0</v>
      </c>
      <c r="AR162" s="542">
        <v>-9164</v>
      </c>
      <c r="AS162" s="542">
        <v>-46654</v>
      </c>
      <c r="AT162" s="542">
        <v>0</v>
      </c>
      <c r="AU162" s="542">
        <v>-46654</v>
      </c>
      <c r="AV162" s="542">
        <v>0</v>
      </c>
      <c r="AW162" s="542">
        <v>0</v>
      </c>
      <c r="AX162" s="542">
        <v>0</v>
      </c>
      <c r="AY162" s="542">
        <v>0</v>
      </c>
      <c r="AZ162" s="542">
        <v>0</v>
      </c>
      <c r="BA162" s="542">
        <v>0</v>
      </c>
      <c r="BB162" s="542">
        <v>0</v>
      </c>
      <c r="BC162" s="542">
        <v>0</v>
      </c>
      <c r="BD162" s="542">
        <v>0</v>
      </c>
      <c r="BE162" s="542">
        <v>-6573713</v>
      </c>
      <c r="BF162" s="542">
        <v>0</v>
      </c>
      <c r="BG162" s="542">
        <v>-6573713</v>
      </c>
      <c r="BH162" s="542">
        <v>-68759</v>
      </c>
      <c r="BI162" s="542">
        <v>0</v>
      </c>
      <c r="BJ162" s="542">
        <v>-68759</v>
      </c>
      <c r="BK162" s="542">
        <v>-16583</v>
      </c>
      <c r="BL162" s="542">
        <v>0</v>
      </c>
      <c r="BM162" s="542">
        <v>-16583</v>
      </c>
      <c r="BN162" s="542">
        <v>-2203753</v>
      </c>
      <c r="BO162" s="542">
        <v>0</v>
      </c>
      <c r="BP162" s="542">
        <v>-2203753</v>
      </c>
      <c r="BQ162" s="542">
        <v>91467</v>
      </c>
      <c r="BR162" s="542">
        <v>0</v>
      </c>
      <c r="BS162" s="542">
        <v>91467</v>
      </c>
      <c r="BT162" s="542">
        <v>-2197628</v>
      </c>
      <c r="BU162" s="542">
        <v>0</v>
      </c>
      <c r="BV162" s="542">
        <v>-2197628</v>
      </c>
      <c r="BW162" s="542">
        <v>-135290</v>
      </c>
      <c r="BX162" s="542">
        <v>0</v>
      </c>
      <c r="BY162" s="542">
        <v>-135290</v>
      </c>
      <c r="BZ162" s="542">
        <v>358</v>
      </c>
      <c r="CA162" s="542">
        <v>0</v>
      </c>
      <c r="CB162" s="542">
        <v>358</v>
      </c>
      <c r="CC162" s="542">
        <v>-61156</v>
      </c>
      <c r="CD162" s="542">
        <v>0</v>
      </c>
      <c r="CE162" s="542">
        <v>-61156</v>
      </c>
      <c r="CF162" s="542">
        <v>2188</v>
      </c>
      <c r="CG162" s="542">
        <v>0</v>
      </c>
      <c r="CH162" s="542">
        <v>2188</v>
      </c>
      <c r="CI162" s="542">
        <v>0</v>
      </c>
      <c r="CJ162" s="542">
        <v>0</v>
      </c>
      <c r="CK162" s="542">
        <v>0</v>
      </c>
      <c r="CL162" s="542">
        <v>0</v>
      </c>
      <c r="CM162" s="542">
        <v>0</v>
      </c>
      <c r="CN162" s="542">
        <v>0</v>
      </c>
      <c r="CO162" s="542">
        <v>0</v>
      </c>
      <c r="CP162" s="542">
        <v>0</v>
      </c>
      <c r="CQ162" s="542">
        <v>0</v>
      </c>
      <c r="CR162" s="542">
        <v>0</v>
      </c>
      <c r="CS162" s="542">
        <v>0</v>
      </c>
      <c r="CT162" s="542">
        <v>0</v>
      </c>
      <c r="CU162" s="542">
        <v>0</v>
      </c>
      <c r="CV162" s="542">
        <v>0</v>
      </c>
      <c r="CW162" s="542">
        <v>0</v>
      </c>
      <c r="CX162" s="542">
        <v>0</v>
      </c>
      <c r="CY162" s="542">
        <v>0</v>
      </c>
      <c r="CZ162" s="542">
        <v>0</v>
      </c>
      <c r="DA162" s="542">
        <v>-3913</v>
      </c>
      <c r="DB162" s="542">
        <v>0</v>
      </c>
      <c r="DC162" s="542">
        <v>-3913</v>
      </c>
      <c r="DD162" s="542">
        <v>0</v>
      </c>
      <c r="DE162" s="542">
        <v>0</v>
      </c>
      <c r="DF162" s="542">
        <v>0</v>
      </c>
      <c r="DG162" s="542"/>
      <c r="DH162" s="542">
        <v>0</v>
      </c>
      <c r="DI162" s="542"/>
      <c r="DJ162" s="542">
        <v>0</v>
      </c>
      <c r="DK162" s="542"/>
      <c r="DL162" s="542"/>
      <c r="DM162" s="542">
        <v>-197813</v>
      </c>
      <c r="DN162" s="542">
        <v>0</v>
      </c>
      <c r="DO162" s="542">
        <v>-197813</v>
      </c>
      <c r="DP162" s="542">
        <v>-712</v>
      </c>
      <c r="DQ162" s="542">
        <v>0</v>
      </c>
      <c r="DR162" s="542">
        <v>-712</v>
      </c>
      <c r="DS162" s="542">
        <v>0</v>
      </c>
      <c r="DT162" s="542">
        <v>0</v>
      </c>
      <c r="DU162" s="542">
        <v>0</v>
      </c>
      <c r="DV162" s="542">
        <v>-2963</v>
      </c>
      <c r="DW162" s="542">
        <v>0</v>
      </c>
      <c r="DX162" s="542">
        <v>-2963</v>
      </c>
      <c r="DY162" s="542">
        <v>-813165</v>
      </c>
      <c r="DZ162" s="542">
        <v>0</v>
      </c>
      <c r="EA162" s="542">
        <v>-813165</v>
      </c>
      <c r="EB162" s="542">
        <v>0</v>
      </c>
      <c r="EC162" s="542">
        <v>0</v>
      </c>
      <c r="ED162" s="542">
        <v>0</v>
      </c>
      <c r="EE162" s="542">
        <v>0</v>
      </c>
      <c r="EF162" s="542">
        <v>0</v>
      </c>
      <c r="EG162" s="542">
        <v>0</v>
      </c>
      <c r="EH162" s="542">
        <v>-816840</v>
      </c>
      <c r="EI162" s="542">
        <v>0</v>
      </c>
      <c r="EJ162" s="542">
        <v>-816840</v>
      </c>
      <c r="EK162" s="542">
        <v>0</v>
      </c>
      <c r="EL162" s="542">
        <v>0</v>
      </c>
      <c r="EM162" s="542">
        <v>0</v>
      </c>
      <c r="EN162" s="542">
        <v>0</v>
      </c>
      <c r="EO162" s="542">
        <v>0</v>
      </c>
      <c r="EP162" s="542">
        <v>0</v>
      </c>
      <c r="EQ162" s="542">
        <v>0</v>
      </c>
      <c r="ER162" s="542">
        <v>0</v>
      </c>
      <c r="ES162" s="542">
        <v>0</v>
      </c>
      <c r="ET162" s="542">
        <v>76826457</v>
      </c>
      <c r="EU162" s="542">
        <v>0</v>
      </c>
      <c r="EV162" s="542">
        <v>76826457</v>
      </c>
      <c r="EW162" s="542">
        <v>1385985</v>
      </c>
      <c r="EX162" s="542">
        <v>0</v>
      </c>
      <c r="EY162" s="542">
        <v>1385985</v>
      </c>
      <c r="EZ162" s="542">
        <v>-6573713</v>
      </c>
      <c r="FA162" s="542">
        <v>0</v>
      </c>
      <c r="FB162" s="542">
        <v>-6573713</v>
      </c>
      <c r="FC162" s="542">
        <v>-2197628</v>
      </c>
      <c r="FD162" s="542">
        <v>0</v>
      </c>
      <c r="FE162" s="542">
        <v>-2197628</v>
      </c>
      <c r="FF162" s="542">
        <v>-197813</v>
      </c>
      <c r="FG162" s="542">
        <v>0</v>
      </c>
      <c r="FH162" s="542">
        <v>-197813</v>
      </c>
      <c r="FI162" s="542">
        <v>-816840</v>
      </c>
      <c r="FJ162" s="542">
        <v>0</v>
      </c>
      <c r="FK162" s="542">
        <v>-816840</v>
      </c>
      <c r="FL162" s="542">
        <v>0</v>
      </c>
      <c r="FM162" s="542">
        <v>0</v>
      </c>
      <c r="FN162" s="542">
        <v>0</v>
      </c>
      <c r="FO162" s="542">
        <v>-8400009</v>
      </c>
      <c r="FP162" s="542">
        <v>0</v>
      </c>
      <c r="FQ162" s="542">
        <v>-8400009</v>
      </c>
      <c r="FR162" s="542">
        <v>68426448</v>
      </c>
      <c r="FS162" s="542">
        <v>0</v>
      </c>
      <c r="FT162" s="542">
        <v>68426448</v>
      </c>
    </row>
    <row r="163" spans="1:176" ht="12.75" x14ac:dyDescent="0.2">
      <c r="A163" s="93">
        <v>158</v>
      </c>
      <c r="B163" s="145" t="s">
        <v>194</v>
      </c>
      <c r="C163" s="604" t="s">
        <v>866</v>
      </c>
      <c r="D163" s="142" t="s">
        <v>867</v>
      </c>
      <c r="E163" s="149" t="s">
        <v>193</v>
      </c>
      <c r="F163" s="542">
        <v>-36074</v>
      </c>
      <c r="G163" s="542">
        <v>0</v>
      </c>
      <c r="H163" s="542">
        <v>-36074</v>
      </c>
      <c r="I163" s="542">
        <v>108586</v>
      </c>
      <c r="J163" s="542">
        <v>0</v>
      </c>
      <c r="K163" s="542">
        <v>108586</v>
      </c>
      <c r="L163" s="542">
        <v>45039</v>
      </c>
      <c r="M163" s="542">
        <v>0</v>
      </c>
      <c r="N163" s="542">
        <v>45039</v>
      </c>
      <c r="O163" s="542">
        <v>187061</v>
      </c>
      <c r="P163" s="542">
        <v>0</v>
      </c>
      <c r="Q163" s="542">
        <v>187061</v>
      </c>
      <c r="R163" s="542">
        <v>304612</v>
      </c>
      <c r="S163" s="542">
        <v>0</v>
      </c>
      <c r="T163" s="542">
        <v>304612</v>
      </c>
      <c r="U163" s="542">
        <v>-2387737</v>
      </c>
      <c r="V163" s="542">
        <v>0</v>
      </c>
      <c r="W163" s="542">
        <v>-2387737</v>
      </c>
      <c r="X163" s="542">
        <v>-145</v>
      </c>
      <c r="Y163" s="542">
        <v>0</v>
      </c>
      <c r="Z163" s="542">
        <v>-145</v>
      </c>
      <c r="AA163" s="542">
        <v>-239137</v>
      </c>
      <c r="AB163" s="542">
        <v>0</v>
      </c>
      <c r="AC163" s="542">
        <v>-239137</v>
      </c>
      <c r="AD163" s="542">
        <v>-85276</v>
      </c>
      <c r="AE163" s="542">
        <v>0</v>
      </c>
      <c r="AF163" s="542">
        <v>-85276</v>
      </c>
      <c r="AG163" s="542">
        <v>1354802</v>
      </c>
      <c r="AH163" s="542">
        <v>0</v>
      </c>
      <c r="AI163" s="542">
        <v>1354802</v>
      </c>
      <c r="AJ163" s="542">
        <v>-24000</v>
      </c>
      <c r="AK163" s="542">
        <v>0</v>
      </c>
      <c r="AL163" s="542">
        <v>-24000</v>
      </c>
      <c r="AM163" s="542">
        <v>-3771179</v>
      </c>
      <c r="AN163" s="542">
        <v>0</v>
      </c>
      <c r="AO163" s="542">
        <v>-3771179</v>
      </c>
      <c r="AP163" s="542">
        <v>-123705</v>
      </c>
      <c r="AQ163" s="542">
        <v>0</v>
      </c>
      <c r="AR163" s="542">
        <v>-123705</v>
      </c>
      <c r="AS163" s="542">
        <v>-101939</v>
      </c>
      <c r="AT163" s="542">
        <v>0</v>
      </c>
      <c r="AU163" s="542">
        <v>-101939</v>
      </c>
      <c r="AV163" s="542">
        <v>3</v>
      </c>
      <c r="AW163" s="542">
        <v>0</v>
      </c>
      <c r="AX163" s="542">
        <v>3</v>
      </c>
      <c r="AY163" s="542">
        <v>-3814</v>
      </c>
      <c r="AZ163" s="542">
        <v>0</v>
      </c>
      <c r="BA163" s="542">
        <v>-3814</v>
      </c>
      <c r="BB163" s="542">
        <v>121</v>
      </c>
      <c r="BC163" s="542">
        <v>0</v>
      </c>
      <c r="BD163" s="542">
        <v>121</v>
      </c>
      <c r="BE163" s="542">
        <v>-5296585</v>
      </c>
      <c r="BF163" s="542">
        <v>0</v>
      </c>
      <c r="BG163" s="542">
        <v>-5296585</v>
      </c>
      <c r="BH163" s="542">
        <v>-38110</v>
      </c>
      <c r="BI163" s="542">
        <v>0</v>
      </c>
      <c r="BJ163" s="542">
        <v>-38110</v>
      </c>
      <c r="BK163" s="542">
        <v>-6133</v>
      </c>
      <c r="BL163" s="542">
        <v>0</v>
      </c>
      <c r="BM163" s="542">
        <v>-6133</v>
      </c>
      <c r="BN163" s="542">
        <v>-2750922</v>
      </c>
      <c r="BO163" s="542">
        <v>0</v>
      </c>
      <c r="BP163" s="542">
        <v>-2750922</v>
      </c>
      <c r="BQ163" s="542">
        <v>-78202</v>
      </c>
      <c r="BR163" s="542">
        <v>0</v>
      </c>
      <c r="BS163" s="542">
        <v>-78202</v>
      </c>
      <c r="BT163" s="542">
        <v>-2873367</v>
      </c>
      <c r="BU163" s="542">
        <v>0</v>
      </c>
      <c r="BV163" s="542">
        <v>-2873367</v>
      </c>
      <c r="BW163" s="542">
        <v>-137638</v>
      </c>
      <c r="BX163" s="542">
        <v>0</v>
      </c>
      <c r="BY163" s="542">
        <v>-137638</v>
      </c>
      <c r="BZ163" s="542">
        <v>-1806</v>
      </c>
      <c r="CA163" s="542">
        <v>0</v>
      </c>
      <c r="CB163" s="542">
        <v>-1806</v>
      </c>
      <c r="CC163" s="542">
        <v>-8921</v>
      </c>
      <c r="CD163" s="542">
        <v>0</v>
      </c>
      <c r="CE163" s="542">
        <v>-8921</v>
      </c>
      <c r="CF163" s="542">
        <v>0</v>
      </c>
      <c r="CG163" s="542">
        <v>0</v>
      </c>
      <c r="CH163" s="542">
        <v>0</v>
      </c>
      <c r="CI163" s="542">
        <v>-7567</v>
      </c>
      <c r="CJ163" s="542">
        <v>0</v>
      </c>
      <c r="CK163" s="542">
        <v>-7567</v>
      </c>
      <c r="CL163" s="542">
        <v>1</v>
      </c>
      <c r="CM163" s="542">
        <v>0</v>
      </c>
      <c r="CN163" s="542">
        <v>1</v>
      </c>
      <c r="CO163" s="542">
        <v>-3362</v>
      </c>
      <c r="CP163" s="542">
        <v>0</v>
      </c>
      <c r="CQ163" s="542">
        <v>-3362</v>
      </c>
      <c r="CR163" s="542">
        <v>0</v>
      </c>
      <c r="CS163" s="542">
        <v>0</v>
      </c>
      <c r="CT163" s="542">
        <v>0</v>
      </c>
      <c r="CU163" s="542">
        <v>0</v>
      </c>
      <c r="CV163" s="542">
        <v>0</v>
      </c>
      <c r="CW163" s="542">
        <v>0</v>
      </c>
      <c r="CX163" s="542">
        <v>0</v>
      </c>
      <c r="CY163" s="542">
        <v>0</v>
      </c>
      <c r="CZ163" s="542">
        <v>0</v>
      </c>
      <c r="DA163" s="542">
        <v>0</v>
      </c>
      <c r="DB163" s="542">
        <v>0</v>
      </c>
      <c r="DC163" s="542">
        <v>0</v>
      </c>
      <c r="DD163" s="542">
        <v>0</v>
      </c>
      <c r="DE163" s="542">
        <v>0</v>
      </c>
      <c r="DF163" s="542">
        <v>0</v>
      </c>
      <c r="DG163" s="542"/>
      <c r="DH163" s="542">
        <v>0</v>
      </c>
      <c r="DI163" s="542"/>
      <c r="DJ163" s="542">
        <v>0</v>
      </c>
      <c r="DK163" s="542"/>
      <c r="DL163" s="542"/>
      <c r="DM163" s="542">
        <v>-159293</v>
      </c>
      <c r="DN163" s="542">
        <v>0</v>
      </c>
      <c r="DO163" s="542">
        <v>-159293</v>
      </c>
      <c r="DP163" s="542">
        <v>0</v>
      </c>
      <c r="DQ163" s="542">
        <v>0</v>
      </c>
      <c r="DR163" s="542">
        <v>0</v>
      </c>
      <c r="DS163" s="542">
        <v>0</v>
      </c>
      <c r="DT163" s="542">
        <v>0</v>
      </c>
      <c r="DU163" s="542">
        <v>0</v>
      </c>
      <c r="DV163" s="542">
        <v>-10397</v>
      </c>
      <c r="DW163" s="542">
        <v>0</v>
      </c>
      <c r="DX163" s="542">
        <v>-10397</v>
      </c>
      <c r="DY163" s="542">
        <v>-631306</v>
      </c>
      <c r="DZ163" s="542">
        <v>0</v>
      </c>
      <c r="EA163" s="542">
        <v>-631306</v>
      </c>
      <c r="EB163" s="542">
        <v>0</v>
      </c>
      <c r="EC163" s="542">
        <v>0</v>
      </c>
      <c r="ED163" s="542">
        <v>0</v>
      </c>
      <c r="EE163" s="542">
        <v>-177071</v>
      </c>
      <c r="EF163" s="542">
        <v>0</v>
      </c>
      <c r="EG163" s="542">
        <v>-177071</v>
      </c>
      <c r="EH163" s="542">
        <v>-818774</v>
      </c>
      <c r="EI163" s="542">
        <v>0</v>
      </c>
      <c r="EJ163" s="542">
        <v>-818774</v>
      </c>
      <c r="EK163" s="542">
        <v>0</v>
      </c>
      <c r="EL163" s="542">
        <v>0</v>
      </c>
      <c r="EM163" s="542">
        <v>0</v>
      </c>
      <c r="EN163" s="542">
        <v>0</v>
      </c>
      <c r="EO163" s="542">
        <v>0</v>
      </c>
      <c r="EP163" s="542">
        <v>0</v>
      </c>
      <c r="EQ163" s="542">
        <v>0</v>
      </c>
      <c r="ER163" s="542">
        <v>0</v>
      </c>
      <c r="ES163" s="542">
        <v>0</v>
      </c>
      <c r="ET163" s="542">
        <v>65751057</v>
      </c>
      <c r="EU163" s="542">
        <v>0</v>
      </c>
      <c r="EV163" s="542">
        <v>65751057</v>
      </c>
      <c r="EW163" s="542">
        <v>304612</v>
      </c>
      <c r="EX163" s="542">
        <v>0</v>
      </c>
      <c r="EY163" s="542">
        <v>304612</v>
      </c>
      <c r="EZ163" s="542">
        <v>-5296585</v>
      </c>
      <c r="FA163" s="542">
        <v>0</v>
      </c>
      <c r="FB163" s="542">
        <v>-5296585</v>
      </c>
      <c r="FC163" s="542">
        <v>-2873367</v>
      </c>
      <c r="FD163" s="542">
        <v>0</v>
      </c>
      <c r="FE163" s="542">
        <v>-2873367</v>
      </c>
      <c r="FF163" s="542">
        <v>-159293</v>
      </c>
      <c r="FG163" s="542">
        <v>0</v>
      </c>
      <c r="FH163" s="542">
        <v>-159293</v>
      </c>
      <c r="FI163" s="542">
        <v>-818774</v>
      </c>
      <c r="FJ163" s="542">
        <v>0</v>
      </c>
      <c r="FK163" s="542">
        <v>-818774</v>
      </c>
      <c r="FL163" s="542">
        <v>0</v>
      </c>
      <c r="FM163" s="542">
        <v>0</v>
      </c>
      <c r="FN163" s="542">
        <v>0</v>
      </c>
      <c r="FO163" s="542">
        <v>-8843407</v>
      </c>
      <c r="FP163" s="542">
        <v>0</v>
      </c>
      <c r="FQ163" s="542">
        <v>-8843407</v>
      </c>
      <c r="FR163" s="542">
        <v>56907650</v>
      </c>
      <c r="FS163" s="542">
        <v>0</v>
      </c>
      <c r="FT163" s="542">
        <v>56907650</v>
      </c>
    </row>
    <row r="164" spans="1:176" ht="12.75" x14ac:dyDescent="0.2">
      <c r="A164" s="93">
        <v>159</v>
      </c>
      <c r="B164" s="145" t="s">
        <v>196</v>
      </c>
      <c r="C164" s="604" t="s">
        <v>866</v>
      </c>
      <c r="D164" s="142" t="s">
        <v>870</v>
      </c>
      <c r="E164" s="149" t="s">
        <v>195</v>
      </c>
      <c r="F164" s="542">
        <v>-28187</v>
      </c>
      <c r="G164" s="542">
        <v>0</v>
      </c>
      <c r="H164" s="542">
        <v>-28187</v>
      </c>
      <c r="I164" s="542">
        <v>65053</v>
      </c>
      <c r="J164" s="542">
        <v>0</v>
      </c>
      <c r="K164" s="542">
        <v>65053</v>
      </c>
      <c r="L164" s="542">
        <v>35</v>
      </c>
      <c r="M164" s="542">
        <v>0</v>
      </c>
      <c r="N164" s="542">
        <v>35</v>
      </c>
      <c r="O164" s="542">
        <v>-11440</v>
      </c>
      <c r="P164" s="542">
        <v>0</v>
      </c>
      <c r="Q164" s="542">
        <v>-11440</v>
      </c>
      <c r="R164" s="542">
        <v>25461</v>
      </c>
      <c r="S164" s="542">
        <v>0</v>
      </c>
      <c r="T164" s="542">
        <v>25461</v>
      </c>
      <c r="U164" s="542">
        <v>-1798756</v>
      </c>
      <c r="V164" s="542">
        <v>0</v>
      </c>
      <c r="W164" s="542">
        <v>-1798756</v>
      </c>
      <c r="X164" s="542">
        <v>-951</v>
      </c>
      <c r="Y164" s="542">
        <v>0</v>
      </c>
      <c r="Z164" s="542">
        <v>-951</v>
      </c>
      <c r="AA164" s="542">
        <v>-129118</v>
      </c>
      <c r="AB164" s="542">
        <v>0</v>
      </c>
      <c r="AC164" s="542">
        <v>-129118</v>
      </c>
      <c r="AD164" s="542">
        <v>-153019</v>
      </c>
      <c r="AE164" s="542">
        <v>0</v>
      </c>
      <c r="AF164" s="542">
        <v>-153019</v>
      </c>
      <c r="AG164" s="542">
        <v>281711</v>
      </c>
      <c r="AH164" s="542">
        <v>0</v>
      </c>
      <c r="AI164" s="542">
        <v>281711</v>
      </c>
      <c r="AJ164" s="542">
        <v>-2798</v>
      </c>
      <c r="AK164" s="542">
        <v>0</v>
      </c>
      <c r="AL164" s="542">
        <v>-2798</v>
      </c>
      <c r="AM164" s="542">
        <v>-772685</v>
      </c>
      <c r="AN164" s="542">
        <v>0</v>
      </c>
      <c r="AO164" s="542">
        <v>-772685</v>
      </c>
      <c r="AP164" s="542">
        <v>18844</v>
      </c>
      <c r="AQ164" s="542">
        <v>0</v>
      </c>
      <c r="AR164" s="542">
        <v>18844</v>
      </c>
      <c r="AS164" s="542">
        <v>-24129</v>
      </c>
      <c r="AT164" s="542">
        <v>0</v>
      </c>
      <c r="AU164" s="542">
        <v>-24129</v>
      </c>
      <c r="AV164" s="542">
        <v>0</v>
      </c>
      <c r="AW164" s="542">
        <v>0</v>
      </c>
      <c r="AX164" s="542">
        <v>0</v>
      </c>
      <c r="AY164" s="542">
        <v>-14299</v>
      </c>
      <c r="AZ164" s="542">
        <v>0</v>
      </c>
      <c r="BA164" s="542">
        <v>-14299</v>
      </c>
      <c r="BB164" s="542">
        <v>0</v>
      </c>
      <c r="BC164" s="542">
        <v>0</v>
      </c>
      <c r="BD164" s="542">
        <v>0</v>
      </c>
      <c r="BE164" s="542">
        <v>-2441230</v>
      </c>
      <c r="BF164" s="542">
        <v>0</v>
      </c>
      <c r="BG164" s="542">
        <v>-2441230</v>
      </c>
      <c r="BH164" s="542">
        <v>-2739</v>
      </c>
      <c r="BI164" s="542">
        <v>0</v>
      </c>
      <c r="BJ164" s="542">
        <v>-2739</v>
      </c>
      <c r="BK164" s="542">
        <v>-7071</v>
      </c>
      <c r="BL164" s="542">
        <v>0</v>
      </c>
      <c r="BM164" s="542">
        <v>-7071</v>
      </c>
      <c r="BN164" s="542">
        <v>-443547</v>
      </c>
      <c r="BO164" s="542">
        <v>0</v>
      </c>
      <c r="BP164" s="542">
        <v>-443547</v>
      </c>
      <c r="BQ164" s="542">
        <v>-27232</v>
      </c>
      <c r="BR164" s="542">
        <v>0</v>
      </c>
      <c r="BS164" s="542">
        <v>-27232</v>
      </c>
      <c r="BT164" s="542">
        <v>-480589</v>
      </c>
      <c r="BU164" s="542">
        <v>0</v>
      </c>
      <c r="BV164" s="542">
        <v>-480589</v>
      </c>
      <c r="BW164" s="542">
        <v>-35890</v>
      </c>
      <c r="BX164" s="542">
        <v>0</v>
      </c>
      <c r="BY164" s="542">
        <v>-35890</v>
      </c>
      <c r="BZ164" s="542">
        <v>-528</v>
      </c>
      <c r="CA164" s="542">
        <v>0</v>
      </c>
      <c r="CB164" s="542">
        <v>-528</v>
      </c>
      <c r="CC164" s="542">
        <v>-11042</v>
      </c>
      <c r="CD164" s="542">
        <v>0</v>
      </c>
      <c r="CE164" s="542">
        <v>-11042</v>
      </c>
      <c r="CF164" s="542">
        <v>-245</v>
      </c>
      <c r="CG164" s="542">
        <v>0</v>
      </c>
      <c r="CH164" s="542">
        <v>-245</v>
      </c>
      <c r="CI164" s="542">
        <v>0</v>
      </c>
      <c r="CJ164" s="542">
        <v>0</v>
      </c>
      <c r="CK164" s="542">
        <v>0</v>
      </c>
      <c r="CL164" s="542">
        <v>0</v>
      </c>
      <c r="CM164" s="542">
        <v>0</v>
      </c>
      <c r="CN164" s="542">
        <v>0</v>
      </c>
      <c r="CO164" s="542">
        <v>-537</v>
      </c>
      <c r="CP164" s="542">
        <v>0</v>
      </c>
      <c r="CQ164" s="542">
        <v>-537</v>
      </c>
      <c r="CR164" s="542">
        <v>0</v>
      </c>
      <c r="CS164" s="542">
        <v>0</v>
      </c>
      <c r="CT164" s="542">
        <v>0</v>
      </c>
      <c r="CU164" s="542">
        <v>0</v>
      </c>
      <c r="CV164" s="542">
        <v>0</v>
      </c>
      <c r="CW164" s="542">
        <v>0</v>
      </c>
      <c r="CX164" s="542">
        <v>0</v>
      </c>
      <c r="CY164" s="542">
        <v>0</v>
      </c>
      <c r="CZ164" s="542">
        <v>0</v>
      </c>
      <c r="DA164" s="542">
        <v>0</v>
      </c>
      <c r="DB164" s="542">
        <v>0</v>
      </c>
      <c r="DC164" s="542">
        <v>0</v>
      </c>
      <c r="DD164" s="542">
        <v>0</v>
      </c>
      <c r="DE164" s="542">
        <v>0</v>
      </c>
      <c r="DF164" s="542">
        <v>0</v>
      </c>
      <c r="DG164" s="542"/>
      <c r="DH164" s="542">
        <v>0</v>
      </c>
      <c r="DI164" s="542"/>
      <c r="DJ164" s="542">
        <v>0</v>
      </c>
      <c r="DK164" s="542"/>
      <c r="DL164" s="542"/>
      <c r="DM164" s="542">
        <v>-48242</v>
      </c>
      <c r="DN164" s="542">
        <v>0</v>
      </c>
      <c r="DO164" s="542">
        <v>-48242</v>
      </c>
      <c r="DP164" s="542">
        <v>0</v>
      </c>
      <c r="DQ164" s="542">
        <v>0</v>
      </c>
      <c r="DR164" s="542">
        <v>0</v>
      </c>
      <c r="DS164" s="542">
        <v>0</v>
      </c>
      <c r="DT164" s="542">
        <v>0</v>
      </c>
      <c r="DU164" s="542">
        <v>0</v>
      </c>
      <c r="DV164" s="542">
        <v>0</v>
      </c>
      <c r="DW164" s="542">
        <v>0</v>
      </c>
      <c r="DX164" s="542">
        <v>0</v>
      </c>
      <c r="DY164" s="542">
        <v>-133736</v>
      </c>
      <c r="DZ164" s="542">
        <v>0</v>
      </c>
      <c r="EA164" s="542">
        <v>-133736</v>
      </c>
      <c r="EB164" s="542">
        <v>0</v>
      </c>
      <c r="EC164" s="542">
        <v>0</v>
      </c>
      <c r="ED164" s="542">
        <v>0</v>
      </c>
      <c r="EE164" s="542">
        <v>0</v>
      </c>
      <c r="EF164" s="542">
        <v>0</v>
      </c>
      <c r="EG164" s="542">
        <v>0</v>
      </c>
      <c r="EH164" s="542">
        <v>-133736</v>
      </c>
      <c r="EI164" s="542">
        <v>0</v>
      </c>
      <c r="EJ164" s="542">
        <v>-133736</v>
      </c>
      <c r="EK164" s="542">
        <v>0</v>
      </c>
      <c r="EL164" s="542">
        <v>0</v>
      </c>
      <c r="EM164" s="542">
        <v>0</v>
      </c>
      <c r="EN164" s="542">
        <v>0</v>
      </c>
      <c r="EO164" s="542">
        <v>0</v>
      </c>
      <c r="EP164" s="542">
        <v>0</v>
      </c>
      <c r="EQ164" s="542">
        <v>0</v>
      </c>
      <c r="ER164" s="542">
        <v>0</v>
      </c>
      <c r="ES164" s="542">
        <v>0</v>
      </c>
      <c r="ET164" s="542">
        <v>16774200</v>
      </c>
      <c r="EU164" s="542">
        <v>0</v>
      </c>
      <c r="EV164" s="542">
        <v>16774200</v>
      </c>
      <c r="EW164" s="542">
        <v>25461</v>
      </c>
      <c r="EX164" s="542">
        <v>0</v>
      </c>
      <c r="EY164" s="542">
        <v>25461</v>
      </c>
      <c r="EZ164" s="542">
        <v>-2441230</v>
      </c>
      <c r="FA164" s="542">
        <v>0</v>
      </c>
      <c r="FB164" s="542">
        <v>-2441230</v>
      </c>
      <c r="FC164" s="542">
        <v>-480589</v>
      </c>
      <c r="FD164" s="542">
        <v>0</v>
      </c>
      <c r="FE164" s="542">
        <v>-480589</v>
      </c>
      <c r="FF164" s="542">
        <v>-48242</v>
      </c>
      <c r="FG164" s="542">
        <v>0</v>
      </c>
      <c r="FH164" s="542">
        <v>-48242</v>
      </c>
      <c r="FI164" s="542">
        <v>-133736</v>
      </c>
      <c r="FJ164" s="542">
        <v>0</v>
      </c>
      <c r="FK164" s="542">
        <v>-133736</v>
      </c>
      <c r="FL164" s="542">
        <v>0</v>
      </c>
      <c r="FM164" s="542">
        <v>0</v>
      </c>
      <c r="FN164" s="542">
        <v>0</v>
      </c>
      <c r="FO164" s="542">
        <v>-3078336</v>
      </c>
      <c r="FP164" s="542">
        <v>0</v>
      </c>
      <c r="FQ164" s="542">
        <v>-3078336</v>
      </c>
      <c r="FR164" s="542">
        <v>13695864</v>
      </c>
      <c r="FS164" s="542">
        <v>0</v>
      </c>
      <c r="FT164" s="542">
        <v>13695864</v>
      </c>
    </row>
    <row r="165" spans="1:176" ht="12.75" x14ac:dyDescent="0.2">
      <c r="A165" s="93">
        <v>160</v>
      </c>
      <c r="B165" s="145" t="s">
        <v>198</v>
      </c>
      <c r="C165" s="604" t="s">
        <v>866</v>
      </c>
      <c r="D165" s="142" t="s">
        <v>876</v>
      </c>
      <c r="E165" s="149" t="s">
        <v>885</v>
      </c>
      <c r="F165" s="542">
        <v>-30074</v>
      </c>
      <c r="G165" s="542">
        <v>0</v>
      </c>
      <c r="H165" s="542">
        <v>-30074</v>
      </c>
      <c r="I165" s="542">
        <v>123547</v>
      </c>
      <c r="J165" s="542">
        <v>0</v>
      </c>
      <c r="K165" s="542">
        <v>123547</v>
      </c>
      <c r="L165" s="542">
        <v>86</v>
      </c>
      <c r="M165" s="542">
        <v>0</v>
      </c>
      <c r="N165" s="542">
        <v>86</v>
      </c>
      <c r="O165" s="542">
        <v>3844</v>
      </c>
      <c r="P165" s="542">
        <v>0</v>
      </c>
      <c r="Q165" s="542">
        <v>3844</v>
      </c>
      <c r="R165" s="542">
        <v>97403</v>
      </c>
      <c r="S165" s="542">
        <v>0</v>
      </c>
      <c r="T165" s="542">
        <v>97403</v>
      </c>
      <c r="U165" s="542">
        <v>-2046844</v>
      </c>
      <c r="V165" s="542">
        <v>0</v>
      </c>
      <c r="W165" s="542">
        <v>-2046844</v>
      </c>
      <c r="X165" s="542">
        <v>-232</v>
      </c>
      <c r="Y165" s="542">
        <v>0</v>
      </c>
      <c r="Z165" s="542">
        <v>-232</v>
      </c>
      <c r="AA165" s="542">
        <v>-84728</v>
      </c>
      <c r="AB165" s="542">
        <v>0</v>
      </c>
      <c r="AC165" s="542">
        <v>-84728</v>
      </c>
      <c r="AD165" s="542">
        <v>-48188</v>
      </c>
      <c r="AE165" s="542">
        <v>0</v>
      </c>
      <c r="AF165" s="542">
        <v>-48188</v>
      </c>
      <c r="AG165" s="542">
        <v>343184</v>
      </c>
      <c r="AH165" s="542">
        <v>0</v>
      </c>
      <c r="AI165" s="542">
        <v>343184</v>
      </c>
      <c r="AJ165" s="542">
        <v>-5570</v>
      </c>
      <c r="AK165" s="542">
        <v>0</v>
      </c>
      <c r="AL165" s="542">
        <v>-5570</v>
      </c>
      <c r="AM165" s="542">
        <v>-1707948</v>
      </c>
      <c r="AN165" s="542">
        <v>0</v>
      </c>
      <c r="AO165" s="542">
        <v>-1707948</v>
      </c>
      <c r="AP165" s="542">
        <v>-5109</v>
      </c>
      <c r="AQ165" s="542">
        <v>0</v>
      </c>
      <c r="AR165" s="542">
        <v>-5109</v>
      </c>
      <c r="AS165" s="542">
        <v>-42281</v>
      </c>
      <c r="AT165" s="542">
        <v>0</v>
      </c>
      <c r="AU165" s="542">
        <v>-42281</v>
      </c>
      <c r="AV165" s="542">
        <v>154</v>
      </c>
      <c r="AW165" s="542">
        <v>0</v>
      </c>
      <c r="AX165" s="542">
        <v>154</v>
      </c>
      <c r="AY165" s="542">
        <v>-58793</v>
      </c>
      <c r="AZ165" s="542">
        <v>0</v>
      </c>
      <c r="BA165" s="542">
        <v>-58793</v>
      </c>
      <c r="BB165" s="542">
        <v>-356</v>
      </c>
      <c r="BC165" s="542">
        <v>0</v>
      </c>
      <c r="BD165" s="542">
        <v>-356</v>
      </c>
      <c r="BE165" s="542">
        <v>-3608291</v>
      </c>
      <c r="BF165" s="542">
        <v>0</v>
      </c>
      <c r="BG165" s="542">
        <v>-3608291</v>
      </c>
      <c r="BH165" s="542">
        <v>-3829</v>
      </c>
      <c r="BI165" s="542">
        <v>0</v>
      </c>
      <c r="BJ165" s="542">
        <v>-3829</v>
      </c>
      <c r="BK165" s="542">
        <v>-800</v>
      </c>
      <c r="BL165" s="542">
        <v>0</v>
      </c>
      <c r="BM165" s="542">
        <v>-800</v>
      </c>
      <c r="BN165" s="542">
        <v>-414693</v>
      </c>
      <c r="BO165" s="542">
        <v>0</v>
      </c>
      <c r="BP165" s="542">
        <v>-414693</v>
      </c>
      <c r="BQ165" s="542">
        <v>-32481</v>
      </c>
      <c r="BR165" s="542">
        <v>0</v>
      </c>
      <c r="BS165" s="542">
        <v>-32481</v>
      </c>
      <c r="BT165" s="542">
        <v>-451803</v>
      </c>
      <c r="BU165" s="542">
        <v>0</v>
      </c>
      <c r="BV165" s="542">
        <v>-451803</v>
      </c>
      <c r="BW165" s="542">
        <v>-104265</v>
      </c>
      <c r="BX165" s="542">
        <v>0</v>
      </c>
      <c r="BY165" s="542">
        <v>-104265</v>
      </c>
      <c r="BZ165" s="542">
        <v>-15799</v>
      </c>
      <c r="CA165" s="542">
        <v>0</v>
      </c>
      <c r="CB165" s="542">
        <v>-15799</v>
      </c>
      <c r="CC165" s="542">
        <v>-57822</v>
      </c>
      <c r="CD165" s="542">
        <v>0</v>
      </c>
      <c r="CE165" s="542">
        <v>-57822</v>
      </c>
      <c r="CF165" s="542">
        <v>-1397</v>
      </c>
      <c r="CG165" s="542">
        <v>0</v>
      </c>
      <c r="CH165" s="542">
        <v>-1397</v>
      </c>
      <c r="CI165" s="542">
        <v>-10485</v>
      </c>
      <c r="CJ165" s="542">
        <v>0</v>
      </c>
      <c r="CK165" s="542">
        <v>-10485</v>
      </c>
      <c r="CL165" s="542">
        <v>29</v>
      </c>
      <c r="CM165" s="542">
        <v>0</v>
      </c>
      <c r="CN165" s="542">
        <v>29</v>
      </c>
      <c r="CO165" s="542">
        <v>-34393</v>
      </c>
      <c r="CP165" s="542">
        <v>0</v>
      </c>
      <c r="CQ165" s="542">
        <v>-34393</v>
      </c>
      <c r="CR165" s="542">
        <v>-3737</v>
      </c>
      <c r="CS165" s="542">
        <v>0</v>
      </c>
      <c r="CT165" s="542">
        <v>-3737</v>
      </c>
      <c r="CU165" s="542">
        <v>-30197</v>
      </c>
      <c r="CV165" s="542">
        <v>0</v>
      </c>
      <c r="CW165" s="542">
        <v>-30197</v>
      </c>
      <c r="CX165" s="542">
        <v>1219</v>
      </c>
      <c r="CY165" s="542">
        <v>0</v>
      </c>
      <c r="CZ165" s="542">
        <v>1219</v>
      </c>
      <c r="DA165" s="542">
        <v>0</v>
      </c>
      <c r="DB165" s="542">
        <v>0</v>
      </c>
      <c r="DC165" s="542">
        <v>0</v>
      </c>
      <c r="DD165" s="542">
        <v>0</v>
      </c>
      <c r="DE165" s="542">
        <v>0</v>
      </c>
      <c r="DF165" s="542">
        <v>0</v>
      </c>
      <c r="DG165" s="542"/>
      <c r="DH165" s="542">
        <v>0</v>
      </c>
      <c r="DI165" s="542"/>
      <c r="DJ165" s="542">
        <v>0</v>
      </c>
      <c r="DK165" s="542"/>
      <c r="DL165" s="542"/>
      <c r="DM165" s="542">
        <v>-256847</v>
      </c>
      <c r="DN165" s="542">
        <v>0</v>
      </c>
      <c r="DO165" s="542">
        <v>-256847</v>
      </c>
      <c r="DP165" s="542">
        <v>0</v>
      </c>
      <c r="DQ165" s="542">
        <v>0</v>
      </c>
      <c r="DR165" s="542">
        <v>0</v>
      </c>
      <c r="DS165" s="542">
        <v>0</v>
      </c>
      <c r="DT165" s="542">
        <v>0</v>
      </c>
      <c r="DU165" s="542">
        <v>0</v>
      </c>
      <c r="DV165" s="542">
        <v>0</v>
      </c>
      <c r="DW165" s="542">
        <v>0</v>
      </c>
      <c r="DX165" s="542">
        <v>0</v>
      </c>
      <c r="DY165" s="542">
        <v>-313824</v>
      </c>
      <c r="DZ165" s="542">
        <v>0</v>
      </c>
      <c r="EA165" s="542">
        <v>-313824</v>
      </c>
      <c r="EB165" s="542">
        <v>-23149</v>
      </c>
      <c r="EC165" s="542">
        <v>0</v>
      </c>
      <c r="ED165" s="542">
        <v>-23149</v>
      </c>
      <c r="EE165" s="542">
        <v>-16023</v>
      </c>
      <c r="EF165" s="542">
        <v>0</v>
      </c>
      <c r="EG165" s="542">
        <v>-16023</v>
      </c>
      <c r="EH165" s="542">
        <v>-352996</v>
      </c>
      <c r="EI165" s="542">
        <v>0</v>
      </c>
      <c r="EJ165" s="542">
        <v>-352996</v>
      </c>
      <c r="EK165" s="542">
        <v>0</v>
      </c>
      <c r="EL165" s="542">
        <v>0</v>
      </c>
      <c r="EM165" s="542">
        <v>0</v>
      </c>
      <c r="EN165" s="542">
        <v>0</v>
      </c>
      <c r="EO165" s="542">
        <v>0</v>
      </c>
      <c r="EP165" s="542">
        <v>0</v>
      </c>
      <c r="EQ165" s="542">
        <v>0</v>
      </c>
      <c r="ER165" s="542">
        <v>0</v>
      </c>
      <c r="ES165" s="542">
        <v>0</v>
      </c>
      <c r="ET165" s="542">
        <v>19462271</v>
      </c>
      <c r="EU165" s="542">
        <v>0</v>
      </c>
      <c r="EV165" s="542">
        <v>19462271</v>
      </c>
      <c r="EW165" s="542">
        <v>97403</v>
      </c>
      <c r="EX165" s="542">
        <v>0</v>
      </c>
      <c r="EY165" s="542">
        <v>97403</v>
      </c>
      <c r="EZ165" s="542">
        <v>-3608291</v>
      </c>
      <c r="FA165" s="542">
        <v>0</v>
      </c>
      <c r="FB165" s="542">
        <v>-3608291</v>
      </c>
      <c r="FC165" s="542">
        <v>-451803</v>
      </c>
      <c r="FD165" s="542">
        <v>0</v>
      </c>
      <c r="FE165" s="542">
        <v>-451803</v>
      </c>
      <c r="FF165" s="542">
        <v>-256847</v>
      </c>
      <c r="FG165" s="542">
        <v>0</v>
      </c>
      <c r="FH165" s="542">
        <v>-256847</v>
      </c>
      <c r="FI165" s="542">
        <v>-352996</v>
      </c>
      <c r="FJ165" s="542">
        <v>0</v>
      </c>
      <c r="FK165" s="542">
        <v>-352996</v>
      </c>
      <c r="FL165" s="542">
        <v>0</v>
      </c>
      <c r="FM165" s="542">
        <v>0</v>
      </c>
      <c r="FN165" s="542">
        <v>0</v>
      </c>
      <c r="FO165" s="542">
        <v>-4572534</v>
      </c>
      <c r="FP165" s="542">
        <v>0</v>
      </c>
      <c r="FQ165" s="542">
        <v>-4572534</v>
      </c>
      <c r="FR165" s="542">
        <v>14889737</v>
      </c>
      <c r="FS165" s="542">
        <v>0</v>
      </c>
      <c r="FT165" s="542">
        <v>14889737</v>
      </c>
    </row>
    <row r="166" spans="1:176" ht="12.75" x14ac:dyDescent="0.2">
      <c r="A166" s="93">
        <v>161</v>
      </c>
      <c r="B166" s="145" t="s">
        <v>200</v>
      </c>
      <c r="C166" s="604" t="s">
        <v>873</v>
      </c>
      <c r="D166" s="142" t="s">
        <v>868</v>
      </c>
      <c r="E166" s="149" t="s">
        <v>199</v>
      </c>
      <c r="F166" s="542">
        <v>-618389</v>
      </c>
      <c r="G166" s="542">
        <v>-233</v>
      </c>
      <c r="H166" s="542">
        <v>-618622</v>
      </c>
      <c r="I166" s="542">
        <v>1101645</v>
      </c>
      <c r="J166" s="542">
        <v>4016</v>
      </c>
      <c r="K166" s="542">
        <v>1105661</v>
      </c>
      <c r="L166" s="542">
        <v>106469</v>
      </c>
      <c r="M166" s="542">
        <v>0</v>
      </c>
      <c r="N166" s="542">
        <v>106469</v>
      </c>
      <c r="O166" s="542">
        <v>484058</v>
      </c>
      <c r="P166" s="542">
        <v>27330</v>
      </c>
      <c r="Q166" s="542">
        <v>511388</v>
      </c>
      <c r="R166" s="542">
        <v>1073783</v>
      </c>
      <c r="S166" s="542">
        <v>31113</v>
      </c>
      <c r="T166" s="542">
        <v>1104896</v>
      </c>
      <c r="U166" s="542">
        <v>-10177038</v>
      </c>
      <c r="V166" s="542">
        <v>-59553</v>
      </c>
      <c r="W166" s="542">
        <v>-10236591</v>
      </c>
      <c r="X166" s="542">
        <v>0</v>
      </c>
      <c r="Y166" s="542">
        <v>0</v>
      </c>
      <c r="Z166" s="542">
        <v>0</v>
      </c>
      <c r="AA166" s="542">
        <v>-682649</v>
      </c>
      <c r="AB166" s="542">
        <v>-9456</v>
      </c>
      <c r="AC166" s="542">
        <v>-692105</v>
      </c>
      <c r="AD166" s="542">
        <v>-402952</v>
      </c>
      <c r="AE166" s="542">
        <v>0</v>
      </c>
      <c r="AF166" s="542">
        <v>-402952</v>
      </c>
      <c r="AG166" s="542">
        <v>8284106</v>
      </c>
      <c r="AH166" s="542">
        <v>124546</v>
      </c>
      <c r="AI166" s="542">
        <v>8408652</v>
      </c>
      <c r="AJ166" s="542">
        <v>-324694</v>
      </c>
      <c r="AK166" s="542">
        <v>-22596</v>
      </c>
      <c r="AL166" s="542">
        <v>-347290</v>
      </c>
      <c r="AM166" s="542">
        <v>-24124436</v>
      </c>
      <c r="AN166" s="542">
        <v>-7037</v>
      </c>
      <c r="AO166" s="542">
        <v>-24131473</v>
      </c>
      <c r="AP166" s="542">
        <v>1992928</v>
      </c>
      <c r="AQ166" s="542">
        <v>-5399</v>
      </c>
      <c r="AR166" s="542">
        <v>1987529</v>
      </c>
      <c r="AS166" s="542">
        <v>-107960</v>
      </c>
      <c r="AT166" s="542">
        <v>0</v>
      </c>
      <c r="AU166" s="542">
        <v>-107960</v>
      </c>
      <c r="AV166" s="542">
        <v>0</v>
      </c>
      <c r="AW166" s="542">
        <v>0</v>
      </c>
      <c r="AX166" s="542">
        <v>0</v>
      </c>
      <c r="AY166" s="542">
        <v>0</v>
      </c>
      <c r="AZ166" s="542">
        <v>0</v>
      </c>
      <c r="BA166" s="542">
        <v>0</v>
      </c>
      <c r="BB166" s="542">
        <v>0</v>
      </c>
      <c r="BC166" s="542">
        <v>0</v>
      </c>
      <c r="BD166" s="542">
        <v>0</v>
      </c>
      <c r="BE166" s="542">
        <v>-25139743</v>
      </c>
      <c r="BF166" s="542">
        <v>20505</v>
      </c>
      <c r="BG166" s="542">
        <v>-25119238</v>
      </c>
      <c r="BH166" s="542">
        <v>0</v>
      </c>
      <c r="BI166" s="542">
        <v>0</v>
      </c>
      <c r="BJ166" s="542">
        <v>0</v>
      </c>
      <c r="BK166" s="542">
        <v>131948</v>
      </c>
      <c r="BL166" s="542">
        <v>26890</v>
      </c>
      <c r="BM166" s="542">
        <v>158838</v>
      </c>
      <c r="BN166" s="542">
        <v>-30072573</v>
      </c>
      <c r="BO166" s="542">
        <v>-331239</v>
      </c>
      <c r="BP166" s="542">
        <v>-30403812</v>
      </c>
      <c r="BQ166" s="542">
        <v>-1197986</v>
      </c>
      <c r="BR166" s="542">
        <v>233577</v>
      </c>
      <c r="BS166" s="542">
        <v>-964409</v>
      </c>
      <c r="BT166" s="542">
        <v>-31138611</v>
      </c>
      <c r="BU166" s="542">
        <v>-70772</v>
      </c>
      <c r="BV166" s="542">
        <v>-31209383</v>
      </c>
      <c r="BW166" s="542">
        <v>-695518</v>
      </c>
      <c r="BX166" s="542">
        <v>0</v>
      </c>
      <c r="BY166" s="542">
        <v>-695518</v>
      </c>
      <c r="BZ166" s="542">
        <v>-170580</v>
      </c>
      <c r="CA166" s="542">
        <v>0</v>
      </c>
      <c r="CB166" s="542">
        <v>-170580</v>
      </c>
      <c r="CC166" s="542">
        <v>-1177813</v>
      </c>
      <c r="CD166" s="542">
        <v>0</v>
      </c>
      <c r="CE166" s="542">
        <v>-1177813</v>
      </c>
      <c r="CF166" s="542">
        <v>-24679</v>
      </c>
      <c r="CG166" s="542">
        <v>0</v>
      </c>
      <c r="CH166" s="542">
        <v>-24679</v>
      </c>
      <c r="CI166" s="542">
        <v>0</v>
      </c>
      <c r="CJ166" s="542">
        <v>0</v>
      </c>
      <c r="CK166" s="542">
        <v>0</v>
      </c>
      <c r="CL166" s="542">
        <v>0</v>
      </c>
      <c r="CM166" s="542">
        <v>0</v>
      </c>
      <c r="CN166" s="542">
        <v>0</v>
      </c>
      <c r="CO166" s="542">
        <v>0</v>
      </c>
      <c r="CP166" s="542">
        <v>0</v>
      </c>
      <c r="CQ166" s="542">
        <v>0</v>
      </c>
      <c r="CR166" s="542">
        <v>0</v>
      </c>
      <c r="CS166" s="542">
        <v>0</v>
      </c>
      <c r="CT166" s="542">
        <v>0</v>
      </c>
      <c r="CU166" s="542">
        <v>0</v>
      </c>
      <c r="CV166" s="542">
        <v>0</v>
      </c>
      <c r="CW166" s="542">
        <v>0</v>
      </c>
      <c r="CX166" s="542">
        <v>0</v>
      </c>
      <c r="CY166" s="542">
        <v>0</v>
      </c>
      <c r="CZ166" s="542">
        <v>0</v>
      </c>
      <c r="DA166" s="542">
        <v>0</v>
      </c>
      <c r="DB166" s="542">
        <v>-588594</v>
      </c>
      <c r="DC166" s="542">
        <v>-588594</v>
      </c>
      <c r="DD166" s="542">
        <v>0</v>
      </c>
      <c r="DE166" s="542">
        <v>-9438</v>
      </c>
      <c r="DF166" s="542">
        <v>-9438</v>
      </c>
      <c r="DG166" s="542"/>
      <c r="DH166" s="542">
        <v>-598032</v>
      </c>
      <c r="DI166" s="542"/>
      <c r="DJ166" s="542">
        <v>0</v>
      </c>
      <c r="DK166" s="542"/>
      <c r="DL166" s="542"/>
      <c r="DM166" s="542">
        <v>-2068590</v>
      </c>
      <c r="DN166" s="542">
        <v>-598032</v>
      </c>
      <c r="DO166" s="542">
        <v>-2666622</v>
      </c>
      <c r="DP166" s="542">
        <v>-18902</v>
      </c>
      <c r="DQ166" s="542">
        <v>0</v>
      </c>
      <c r="DR166" s="542">
        <v>-18902</v>
      </c>
      <c r="DS166" s="542">
        <v>0</v>
      </c>
      <c r="DT166" s="542">
        <v>0</v>
      </c>
      <c r="DU166" s="542">
        <v>0</v>
      </c>
      <c r="DV166" s="542">
        <v>-64252</v>
      </c>
      <c r="DW166" s="542">
        <v>0</v>
      </c>
      <c r="DX166" s="542">
        <v>-64252</v>
      </c>
      <c r="DY166" s="542">
        <v>-1250984</v>
      </c>
      <c r="DZ166" s="542">
        <v>-1000</v>
      </c>
      <c r="EA166" s="542">
        <v>-1251984</v>
      </c>
      <c r="EB166" s="542">
        <v>0</v>
      </c>
      <c r="EC166" s="542">
        <v>0</v>
      </c>
      <c r="ED166" s="542">
        <v>0</v>
      </c>
      <c r="EE166" s="542">
        <v>0</v>
      </c>
      <c r="EF166" s="542">
        <v>0</v>
      </c>
      <c r="EG166" s="542">
        <v>0</v>
      </c>
      <c r="EH166" s="542">
        <v>-1334138</v>
      </c>
      <c r="EI166" s="542">
        <v>-1000</v>
      </c>
      <c r="EJ166" s="542">
        <v>-1335138</v>
      </c>
      <c r="EK166" s="542">
        <v>-7603</v>
      </c>
      <c r="EL166" s="542">
        <v>0</v>
      </c>
      <c r="EM166" s="542">
        <v>-7603</v>
      </c>
      <c r="EN166" s="542">
        <v>-1625</v>
      </c>
      <c r="EO166" s="542">
        <v>0</v>
      </c>
      <c r="EP166" s="542">
        <v>-1625</v>
      </c>
      <c r="EQ166" s="542">
        <v>-9228</v>
      </c>
      <c r="ER166" s="542">
        <v>0</v>
      </c>
      <c r="ES166" s="542">
        <v>-9228</v>
      </c>
      <c r="ET166" s="542">
        <v>373578278</v>
      </c>
      <c r="EU166" s="542">
        <v>4431756</v>
      </c>
      <c r="EV166" s="542">
        <v>378010034</v>
      </c>
      <c r="EW166" s="542">
        <v>1073783</v>
      </c>
      <c r="EX166" s="542">
        <v>31113</v>
      </c>
      <c r="EY166" s="542">
        <v>1104896</v>
      </c>
      <c r="EZ166" s="542">
        <v>-25139743</v>
      </c>
      <c r="FA166" s="542">
        <v>20505</v>
      </c>
      <c r="FB166" s="542">
        <v>-25119238</v>
      </c>
      <c r="FC166" s="542">
        <v>-31138611</v>
      </c>
      <c r="FD166" s="542">
        <v>-70772</v>
      </c>
      <c r="FE166" s="542">
        <v>-31209383</v>
      </c>
      <c r="FF166" s="542">
        <v>-2068590</v>
      </c>
      <c r="FG166" s="542">
        <v>-598032</v>
      </c>
      <c r="FH166" s="542">
        <v>-2666622</v>
      </c>
      <c r="FI166" s="542">
        <v>-1334138</v>
      </c>
      <c r="FJ166" s="542">
        <v>-1000</v>
      </c>
      <c r="FK166" s="542">
        <v>-1335138</v>
      </c>
      <c r="FL166" s="542">
        <v>-9228</v>
      </c>
      <c r="FM166" s="542">
        <v>0</v>
      </c>
      <c r="FN166" s="542">
        <v>-9228</v>
      </c>
      <c r="FO166" s="542">
        <v>-58616527</v>
      </c>
      <c r="FP166" s="542">
        <v>-618186</v>
      </c>
      <c r="FQ166" s="542">
        <v>-59234713</v>
      </c>
      <c r="FR166" s="542">
        <v>314961751</v>
      </c>
      <c r="FS166" s="542">
        <v>3813570</v>
      </c>
      <c r="FT166" s="542">
        <v>318775321</v>
      </c>
    </row>
    <row r="167" spans="1:176" ht="12.75" x14ac:dyDescent="0.2">
      <c r="A167" s="93">
        <v>162</v>
      </c>
      <c r="B167" s="145" t="s">
        <v>202</v>
      </c>
      <c r="C167" s="604" t="s">
        <v>866</v>
      </c>
      <c r="D167" s="142" t="s">
        <v>869</v>
      </c>
      <c r="E167" s="149" t="s">
        <v>201</v>
      </c>
      <c r="F167" s="542">
        <v>-10293</v>
      </c>
      <c r="G167" s="542">
        <v>0</v>
      </c>
      <c r="H167" s="542">
        <v>-10293</v>
      </c>
      <c r="I167" s="542">
        <v>129130</v>
      </c>
      <c r="J167" s="542">
        <v>0</v>
      </c>
      <c r="K167" s="542">
        <v>129130</v>
      </c>
      <c r="L167" s="542">
        <v>46034</v>
      </c>
      <c r="M167" s="542">
        <v>0</v>
      </c>
      <c r="N167" s="542">
        <v>46034</v>
      </c>
      <c r="O167" s="542">
        <v>359722</v>
      </c>
      <c r="P167" s="542">
        <v>0</v>
      </c>
      <c r="Q167" s="542">
        <v>359722</v>
      </c>
      <c r="R167" s="542">
        <v>524593</v>
      </c>
      <c r="S167" s="542">
        <v>0</v>
      </c>
      <c r="T167" s="542">
        <v>524593</v>
      </c>
      <c r="U167" s="542">
        <v>-1774611</v>
      </c>
      <c r="V167" s="542">
        <v>0</v>
      </c>
      <c r="W167" s="542">
        <v>-1774611</v>
      </c>
      <c r="X167" s="542">
        <v>-6663</v>
      </c>
      <c r="Y167" s="542">
        <v>0</v>
      </c>
      <c r="Z167" s="542">
        <v>-6663</v>
      </c>
      <c r="AA167" s="542">
        <v>-209424</v>
      </c>
      <c r="AB167" s="542">
        <v>0</v>
      </c>
      <c r="AC167" s="542">
        <v>-209424</v>
      </c>
      <c r="AD167" s="542">
        <v>-80016</v>
      </c>
      <c r="AE167" s="542">
        <v>0</v>
      </c>
      <c r="AF167" s="542">
        <v>-80016</v>
      </c>
      <c r="AG167" s="542">
        <v>668053</v>
      </c>
      <c r="AH167" s="542">
        <v>0</v>
      </c>
      <c r="AI167" s="542">
        <v>668053</v>
      </c>
      <c r="AJ167" s="542">
        <v>73753</v>
      </c>
      <c r="AK167" s="542">
        <v>0</v>
      </c>
      <c r="AL167" s="542">
        <v>73753</v>
      </c>
      <c r="AM167" s="542">
        <v>-1921190</v>
      </c>
      <c r="AN167" s="542">
        <v>0</v>
      </c>
      <c r="AO167" s="542">
        <v>-1921190</v>
      </c>
      <c r="AP167" s="542">
        <v>66708</v>
      </c>
      <c r="AQ167" s="542">
        <v>0</v>
      </c>
      <c r="AR167" s="542">
        <v>66708</v>
      </c>
      <c r="AS167" s="542">
        <v>-15424</v>
      </c>
      <c r="AT167" s="542">
        <v>0</v>
      </c>
      <c r="AU167" s="542">
        <v>-15424</v>
      </c>
      <c r="AV167" s="542">
        <v>0</v>
      </c>
      <c r="AW167" s="542">
        <v>0</v>
      </c>
      <c r="AX167" s="542">
        <v>0</v>
      </c>
      <c r="AY167" s="542">
        <v>0</v>
      </c>
      <c r="AZ167" s="542">
        <v>0</v>
      </c>
      <c r="BA167" s="542">
        <v>0</v>
      </c>
      <c r="BB167" s="542">
        <v>0</v>
      </c>
      <c r="BC167" s="542">
        <v>0</v>
      </c>
      <c r="BD167" s="542">
        <v>0</v>
      </c>
      <c r="BE167" s="542">
        <v>-3112135</v>
      </c>
      <c r="BF167" s="542">
        <v>0</v>
      </c>
      <c r="BG167" s="542">
        <v>-3112135</v>
      </c>
      <c r="BH167" s="542">
        <v>0</v>
      </c>
      <c r="BI167" s="542">
        <v>0</v>
      </c>
      <c r="BJ167" s="542">
        <v>0</v>
      </c>
      <c r="BK167" s="542">
        <v>0</v>
      </c>
      <c r="BL167" s="542">
        <v>0</v>
      </c>
      <c r="BM167" s="542">
        <v>0</v>
      </c>
      <c r="BN167" s="542">
        <v>-1025361</v>
      </c>
      <c r="BO167" s="542">
        <v>0</v>
      </c>
      <c r="BP167" s="542">
        <v>-1025361</v>
      </c>
      <c r="BQ167" s="542">
        <v>-56114</v>
      </c>
      <c r="BR167" s="542">
        <v>0</v>
      </c>
      <c r="BS167" s="542">
        <v>-56114</v>
      </c>
      <c r="BT167" s="542">
        <v>-1081475</v>
      </c>
      <c r="BU167" s="542">
        <v>0</v>
      </c>
      <c r="BV167" s="542">
        <v>-1081475</v>
      </c>
      <c r="BW167" s="542">
        <v>-7744</v>
      </c>
      <c r="BX167" s="542">
        <v>0</v>
      </c>
      <c r="BY167" s="542">
        <v>-7744</v>
      </c>
      <c r="BZ167" s="542">
        <v>0</v>
      </c>
      <c r="CA167" s="542">
        <v>0</v>
      </c>
      <c r="CB167" s="542">
        <v>0</v>
      </c>
      <c r="CC167" s="542">
        <v>-86400</v>
      </c>
      <c r="CD167" s="542">
        <v>0</v>
      </c>
      <c r="CE167" s="542">
        <v>-86400</v>
      </c>
      <c r="CF167" s="542">
        <v>1010</v>
      </c>
      <c r="CG167" s="542">
        <v>0</v>
      </c>
      <c r="CH167" s="542">
        <v>1010</v>
      </c>
      <c r="CI167" s="542">
        <v>0</v>
      </c>
      <c r="CJ167" s="542">
        <v>0</v>
      </c>
      <c r="CK167" s="542">
        <v>0</v>
      </c>
      <c r="CL167" s="542">
        <v>0</v>
      </c>
      <c r="CM167" s="542">
        <v>0</v>
      </c>
      <c r="CN167" s="542">
        <v>0</v>
      </c>
      <c r="CO167" s="542">
        <v>0</v>
      </c>
      <c r="CP167" s="542">
        <v>0</v>
      </c>
      <c r="CQ167" s="542">
        <v>0</v>
      </c>
      <c r="CR167" s="542">
        <v>0</v>
      </c>
      <c r="CS167" s="542">
        <v>0</v>
      </c>
      <c r="CT167" s="542">
        <v>0</v>
      </c>
      <c r="CU167" s="542">
        <v>0</v>
      </c>
      <c r="CV167" s="542">
        <v>0</v>
      </c>
      <c r="CW167" s="542">
        <v>0</v>
      </c>
      <c r="CX167" s="542">
        <v>0</v>
      </c>
      <c r="CY167" s="542">
        <v>0</v>
      </c>
      <c r="CZ167" s="542">
        <v>0</v>
      </c>
      <c r="DA167" s="542">
        <v>0</v>
      </c>
      <c r="DB167" s="542">
        <v>0</v>
      </c>
      <c r="DC167" s="542">
        <v>0</v>
      </c>
      <c r="DD167" s="542">
        <v>0</v>
      </c>
      <c r="DE167" s="542">
        <v>0</v>
      </c>
      <c r="DF167" s="542">
        <v>0</v>
      </c>
      <c r="DG167" s="542"/>
      <c r="DH167" s="542">
        <v>0</v>
      </c>
      <c r="DI167" s="542"/>
      <c r="DJ167" s="542">
        <v>0</v>
      </c>
      <c r="DK167" s="542"/>
      <c r="DL167" s="542"/>
      <c r="DM167" s="542">
        <v>-93134</v>
      </c>
      <c r="DN167" s="542">
        <v>0</v>
      </c>
      <c r="DO167" s="542">
        <v>-93134</v>
      </c>
      <c r="DP167" s="542">
        <v>-27721</v>
      </c>
      <c r="DQ167" s="542">
        <v>0</v>
      </c>
      <c r="DR167" s="542">
        <v>-27721</v>
      </c>
      <c r="DS167" s="542">
        <v>0</v>
      </c>
      <c r="DT167" s="542">
        <v>0</v>
      </c>
      <c r="DU167" s="542">
        <v>0</v>
      </c>
      <c r="DV167" s="542">
        <v>0</v>
      </c>
      <c r="DW167" s="542">
        <v>0</v>
      </c>
      <c r="DX167" s="542">
        <v>0</v>
      </c>
      <c r="DY167" s="542">
        <v>-227034</v>
      </c>
      <c r="DZ167" s="542">
        <v>0</v>
      </c>
      <c r="EA167" s="542">
        <v>-227034</v>
      </c>
      <c r="EB167" s="542">
        <v>0</v>
      </c>
      <c r="EC167" s="542">
        <v>0</v>
      </c>
      <c r="ED167" s="542">
        <v>0</v>
      </c>
      <c r="EE167" s="542">
        <v>0</v>
      </c>
      <c r="EF167" s="542">
        <v>0</v>
      </c>
      <c r="EG167" s="542">
        <v>0</v>
      </c>
      <c r="EH167" s="542">
        <v>-254755</v>
      </c>
      <c r="EI167" s="542">
        <v>0</v>
      </c>
      <c r="EJ167" s="542">
        <v>-254755</v>
      </c>
      <c r="EK167" s="542">
        <v>-4511</v>
      </c>
      <c r="EL167" s="542">
        <v>0</v>
      </c>
      <c r="EM167" s="542">
        <v>-4511</v>
      </c>
      <c r="EN167" s="542">
        <v>-315</v>
      </c>
      <c r="EO167" s="542">
        <v>0</v>
      </c>
      <c r="EP167" s="542">
        <v>-315</v>
      </c>
      <c r="EQ167" s="542">
        <v>-4826</v>
      </c>
      <c r="ER167" s="542">
        <v>0</v>
      </c>
      <c r="ES167" s="542">
        <v>-4826</v>
      </c>
      <c r="ET167" s="542">
        <v>31610122</v>
      </c>
      <c r="EU167" s="542">
        <v>0</v>
      </c>
      <c r="EV167" s="542">
        <v>31610122</v>
      </c>
      <c r="EW167" s="542">
        <v>524593</v>
      </c>
      <c r="EX167" s="542">
        <v>0</v>
      </c>
      <c r="EY167" s="542">
        <v>524593</v>
      </c>
      <c r="EZ167" s="542">
        <v>-3112135</v>
      </c>
      <c r="FA167" s="542">
        <v>0</v>
      </c>
      <c r="FB167" s="542">
        <v>-3112135</v>
      </c>
      <c r="FC167" s="542">
        <v>-1081475</v>
      </c>
      <c r="FD167" s="542">
        <v>0</v>
      </c>
      <c r="FE167" s="542">
        <v>-1081475</v>
      </c>
      <c r="FF167" s="542">
        <v>-93134</v>
      </c>
      <c r="FG167" s="542">
        <v>0</v>
      </c>
      <c r="FH167" s="542">
        <v>-93134</v>
      </c>
      <c r="FI167" s="542">
        <v>-254755</v>
      </c>
      <c r="FJ167" s="542">
        <v>0</v>
      </c>
      <c r="FK167" s="542">
        <v>-254755</v>
      </c>
      <c r="FL167" s="542">
        <v>-4826</v>
      </c>
      <c r="FM167" s="542">
        <v>0</v>
      </c>
      <c r="FN167" s="542">
        <v>-4826</v>
      </c>
      <c r="FO167" s="542">
        <v>-4021732</v>
      </c>
      <c r="FP167" s="542">
        <v>0</v>
      </c>
      <c r="FQ167" s="542">
        <v>-4021732</v>
      </c>
      <c r="FR167" s="542">
        <v>27588390</v>
      </c>
      <c r="FS167" s="542">
        <v>0</v>
      </c>
      <c r="FT167" s="542">
        <v>27588390</v>
      </c>
    </row>
    <row r="168" spans="1:176" ht="12.75" x14ac:dyDescent="0.2">
      <c r="A168" s="93">
        <v>163</v>
      </c>
      <c r="B168" s="145" t="s">
        <v>204</v>
      </c>
      <c r="C168" s="604" t="s">
        <v>770</v>
      </c>
      <c r="D168" s="142" t="s">
        <v>867</v>
      </c>
      <c r="E168" s="149" t="s">
        <v>705</v>
      </c>
      <c r="F168" s="542">
        <v>-1045081</v>
      </c>
      <c r="G168" s="542">
        <v>0</v>
      </c>
      <c r="H168" s="542">
        <v>-1045081</v>
      </c>
      <c r="I168" s="542">
        <v>56107</v>
      </c>
      <c r="J168" s="542">
        <v>0</v>
      </c>
      <c r="K168" s="542">
        <v>56107</v>
      </c>
      <c r="L168" s="542">
        <v>51099</v>
      </c>
      <c r="M168" s="542">
        <v>0</v>
      </c>
      <c r="N168" s="542">
        <v>51099</v>
      </c>
      <c r="O168" s="542">
        <v>1040867</v>
      </c>
      <c r="P168" s="542">
        <v>0</v>
      </c>
      <c r="Q168" s="542">
        <v>1040867</v>
      </c>
      <c r="R168" s="542">
        <v>102992</v>
      </c>
      <c r="S168" s="542">
        <v>0</v>
      </c>
      <c r="T168" s="542">
        <v>102992</v>
      </c>
      <c r="U168" s="542">
        <v>-3917546</v>
      </c>
      <c r="V168" s="542">
        <v>0</v>
      </c>
      <c r="W168" s="542">
        <v>-3917546</v>
      </c>
      <c r="X168" s="542">
        <v>-363</v>
      </c>
      <c r="Y168" s="542">
        <v>0</v>
      </c>
      <c r="Z168" s="542">
        <v>-363</v>
      </c>
      <c r="AA168" s="542">
        <v>-278398</v>
      </c>
      <c r="AB168" s="542">
        <v>0</v>
      </c>
      <c r="AC168" s="542">
        <v>-278398</v>
      </c>
      <c r="AD168" s="542">
        <v>0</v>
      </c>
      <c r="AE168" s="542">
        <v>0</v>
      </c>
      <c r="AF168" s="542">
        <v>0</v>
      </c>
      <c r="AG168" s="542">
        <v>2224982</v>
      </c>
      <c r="AH168" s="542">
        <v>0</v>
      </c>
      <c r="AI168" s="542">
        <v>2224982</v>
      </c>
      <c r="AJ168" s="542">
        <v>190110</v>
      </c>
      <c r="AK168" s="542">
        <v>0</v>
      </c>
      <c r="AL168" s="542">
        <v>190110</v>
      </c>
      <c r="AM168" s="542">
        <v>-6393266</v>
      </c>
      <c r="AN168" s="542">
        <v>0</v>
      </c>
      <c r="AO168" s="542">
        <v>-6393266</v>
      </c>
      <c r="AP168" s="542">
        <v>405561</v>
      </c>
      <c r="AQ168" s="542">
        <v>0</v>
      </c>
      <c r="AR168" s="542">
        <v>405561</v>
      </c>
      <c r="AS168" s="542">
        <v>-99862</v>
      </c>
      <c r="AT168" s="542">
        <v>0</v>
      </c>
      <c r="AU168" s="542">
        <v>-99862</v>
      </c>
      <c r="AV168" s="542">
        <v>0</v>
      </c>
      <c r="AW168" s="542">
        <v>0</v>
      </c>
      <c r="AX168" s="542">
        <v>0</v>
      </c>
      <c r="AY168" s="542">
        <v>-4663</v>
      </c>
      <c r="AZ168" s="542">
        <v>0</v>
      </c>
      <c r="BA168" s="542">
        <v>-4663</v>
      </c>
      <c r="BB168" s="542">
        <v>0</v>
      </c>
      <c r="BC168" s="542">
        <v>0</v>
      </c>
      <c r="BD168" s="542">
        <v>0</v>
      </c>
      <c r="BE168" s="542">
        <v>-7873082</v>
      </c>
      <c r="BF168" s="542">
        <v>0</v>
      </c>
      <c r="BG168" s="542">
        <v>-7873082</v>
      </c>
      <c r="BH168" s="542">
        <v>-34116</v>
      </c>
      <c r="BI168" s="542">
        <v>0</v>
      </c>
      <c r="BJ168" s="542">
        <v>-34116</v>
      </c>
      <c r="BK168" s="542">
        <v>-210644</v>
      </c>
      <c r="BL168" s="542">
        <v>0</v>
      </c>
      <c r="BM168" s="542">
        <v>-210644</v>
      </c>
      <c r="BN168" s="542">
        <v>-2947213</v>
      </c>
      <c r="BO168" s="542">
        <v>0</v>
      </c>
      <c r="BP168" s="542">
        <v>-2947213</v>
      </c>
      <c r="BQ168" s="542">
        <v>134145</v>
      </c>
      <c r="BR168" s="542">
        <v>0</v>
      </c>
      <c r="BS168" s="542">
        <v>134145</v>
      </c>
      <c r="BT168" s="542">
        <v>-3057828</v>
      </c>
      <c r="BU168" s="542">
        <v>0</v>
      </c>
      <c r="BV168" s="542">
        <v>-3057828</v>
      </c>
      <c r="BW168" s="542">
        <v>-312153</v>
      </c>
      <c r="BX168" s="542">
        <v>0</v>
      </c>
      <c r="BY168" s="542">
        <v>-312153</v>
      </c>
      <c r="BZ168" s="542">
        <v>-40056</v>
      </c>
      <c r="CA168" s="542">
        <v>0</v>
      </c>
      <c r="CB168" s="542">
        <v>-40056</v>
      </c>
      <c r="CC168" s="542">
        <v>-209816</v>
      </c>
      <c r="CD168" s="542">
        <v>0</v>
      </c>
      <c r="CE168" s="542">
        <v>-209816</v>
      </c>
      <c r="CF168" s="542">
        <v>-31422</v>
      </c>
      <c r="CG168" s="542">
        <v>0</v>
      </c>
      <c r="CH168" s="542">
        <v>-31422</v>
      </c>
      <c r="CI168" s="542">
        <v>-22507</v>
      </c>
      <c r="CJ168" s="542">
        <v>0</v>
      </c>
      <c r="CK168" s="542">
        <v>-22507</v>
      </c>
      <c r="CL168" s="542">
        <v>0</v>
      </c>
      <c r="CM168" s="542">
        <v>0</v>
      </c>
      <c r="CN168" s="542">
        <v>0</v>
      </c>
      <c r="CO168" s="542">
        <v>-2355</v>
      </c>
      <c r="CP168" s="542">
        <v>0</v>
      </c>
      <c r="CQ168" s="542">
        <v>-2355</v>
      </c>
      <c r="CR168" s="542">
        <v>0</v>
      </c>
      <c r="CS168" s="542">
        <v>0</v>
      </c>
      <c r="CT168" s="542">
        <v>0</v>
      </c>
      <c r="CU168" s="542">
        <v>0</v>
      </c>
      <c r="CV168" s="542">
        <v>0</v>
      </c>
      <c r="CW168" s="542">
        <v>0</v>
      </c>
      <c r="CX168" s="542">
        <v>0</v>
      </c>
      <c r="CY168" s="542">
        <v>0</v>
      </c>
      <c r="CZ168" s="542">
        <v>0</v>
      </c>
      <c r="DA168" s="542">
        <v>0</v>
      </c>
      <c r="DB168" s="542">
        <v>0</v>
      </c>
      <c r="DC168" s="542">
        <v>0</v>
      </c>
      <c r="DD168" s="542">
        <v>0</v>
      </c>
      <c r="DE168" s="542">
        <v>0</v>
      </c>
      <c r="DF168" s="542">
        <v>0</v>
      </c>
      <c r="DG168" s="542"/>
      <c r="DH168" s="542">
        <v>0</v>
      </c>
      <c r="DI168" s="542"/>
      <c r="DJ168" s="542">
        <v>0</v>
      </c>
      <c r="DK168" s="542"/>
      <c r="DL168" s="542"/>
      <c r="DM168" s="542">
        <v>-618309</v>
      </c>
      <c r="DN168" s="542">
        <v>0</v>
      </c>
      <c r="DO168" s="542">
        <v>-618309</v>
      </c>
      <c r="DP168" s="542">
        <v>-40273</v>
      </c>
      <c r="DQ168" s="542">
        <v>0</v>
      </c>
      <c r="DR168" s="542">
        <v>-40273</v>
      </c>
      <c r="DS168" s="542">
        <v>-13290</v>
      </c>
      <c r="DT168" s="542">
        <v>0</v>
      </c>
      <c r="DU168" s="542">
        <v>-13290</v>
      </c>
      <c r="DV168" s="542">
        <v>-3771</v>
      </c>
      <c r="DW168" s="542">
        <v>0</v>
      </c>
      <c r="DX168" s="542">
        <v>-3771</v>
      </c>
      <c r="DY168" s="542">
        <v>-483413</v>
      </c>
      <c r="DZ168" s="542">
        <v>0</v>
      </c>
      <c r="EA168" s="542">
        <v>-483413</v>
      </c>
      <c r="EB168" s="542">
        <v>0</v>
      </c>
      <c r="EC168" s="542">
        <v>0</v>
      </c>
      <c r="ED168" s="542">
        <v>0</v>
      </c>
      <c r="EE168" s="542">
        <v>0</v>
      </c>
      <c r="EF168" s="542">
        <v>0</v>
      </c>
      <c r="EG168" s="542">
        <v>0</v>
      </c>
      <c r="EH168" s="542">
        <v>-540747</v>
      </c>
      <c r="EI168" s="542">
        <v>0</v>
      </c>
      <c r="EJ168" s="542">
        <v>-540747</v>
      </c>
      <c r="EK168" s="542">
        <v>0</v>
      </c>
      <c r="EL168" s="542">
        <v>0</v>
      </c>
      <c r="EM168" s="542">
        <v>0</v>
      </c>
      <c r="EN168" s="542">
        <v>0</v>
      </c>
      <c r="EO168" s="542">
        <v>0</v>
      </c>
      <c r="EP168" s="542">
        <v>0</v>
      </c>
      <c r="EQ168" s="542">
        <v>0</v>
      </c>
      <c r="ER168" s="542">
        <v>0</v>
      </c>
      <c r="ES168" s="542">
        <v>0</v>
      </c>
      <c r="ET168" s="542">
        <v>98379517</v>
      </c>
      <c r="EU168" s="542">
        <v>0</v>
      </c>
      <c r="EV168" s="542">
        <v>98379517</v>
      </c>
      <c r="EW168" s="542">
        <v>102992</v>
      </c>
      <c r="EX168" s="542">
        <v>0</v>
      </c>
      <c r="EY168" s="542">
        <v>102992</v>
      </c>
      <c r="EZ168" s="542">
        <v>-7873082</v>
      </c>
      <c r="FA168" s="542">
        <v>0</v>
      </c>
      <c r="FB168" s="542">
        <v>-7873082</v>
      </c>
      <c r="FC168" s="542">
        <v>-3057828</v>
      </c>
      <c r="FD168" s="542">
        <v>0</v>
      </c>
      <c r="FE168" s="542">
        <v>-3057828</v>
      </c>
      <c r="FF168" s="542">
        <v>-618309</v>
      </c>
      <c r="FG168" s="542">
        <v>0</v>
      </c>
      <c r="FH168" s="542">
        <v>-618309</v>
      </c>
      <c r="FI168" s="542">
        <v>-540747</v>
      </c>
      <c r="FJ168" s="542">
        <v>0</v>
      </c>
      <c r="FK168" s="542">
        <v>-540747</v>
      </c>
      <c r="FL168" s="542">
        <v>0</v>
      </c>
      <c r="FM168" s="542">
        <v>0</v>
      </c>
      <c r="FN168" s="542">
        <v>0</v>
      </c>
      <c r="FO168" s="542">
        <v>-11986974</v>
      </c>
      <c r="FP168" s="542">
        <v>0</v>
      </c>
      <c r="FQ168" s="542">
        <v>-11986974</v>
      </c>
      <c r="FR168" s="542">
        <v>86392543</v>
      </c>
      <c r="FS168" s="542">
        <v>0</v>
      </c>
      <c r="FT168" s="542">
        <v>86392543</v>
      </c>
    </row>
    <row r="169" spans="1:176" ht="12.75" x14ac:dyDescent="0.2">
      <c r="A169" s="93">
        <v>164</v>
      </c>
      <c r="B169" s="145" t="s">
        <v>206</v>
      </c>
      <c r="C169" s="604" t="s">
        <v>866</v>
      </c>
      <c r="D169" s="142" t="s">
        <v>869</v>
      </c>
      <c r="E169" s="149" t="s">
        <v>205</v>
      </c>
      <c r="F169" s="542">
        <v>-42918</v>
      </c>
      <c r="G169" s="542">
        <v>0</v>
      </c>
      <c r="H169" s="542">
        <v>-42918</v>
      </c>
      <c r="I169" s="542">
        <v>9113</v>
      </c>
      <c r="J169" s="542">
        <v>0</v>
      </c>
      <c r="K169" s="542">
        <v>9113</v>
      </c>
      <c r="L169" s="542">
        <v>0</v>
      </c>
      <c r="M169" s="542">
        <v>0</v>
      </c>
      <c r="N169" s="542">
        <v>0</v>
      </c>
      <c r="O169" s="542">
        <v>44315</v>
      </c>
      <c r="P169" s="542">
        <v>0</v>
      </c>
      <c r="Q169" s="542">
        <v>44315</v>
      </c>
      <c r="R169" s="542">
        <v>10510</v>
      </c>
      <c r="S169" s="542">
        <v>0</v>
      </c>
      <c r="T169" s="542">
        <v>10510</v>
      </c>
      <c r="U169" s="542">
        <v>-1091789</v>
      </c>
      <c r="V169" s="542">
        <v>0</v>
      </c>
      <c r="W169" s="542">
        <v>-1091789</v>
      </c>
      <c r="X169" s="542">
        <v>0</v>
      </c>
      <c r="Y169" s="542">
        <v>0</v>
      </c>
      <c r="Z169" s="542">
        <v>0</v>
      </c>
      <c r="AA169" s="542">
        <v>-132499</v>
      </c>
      <c r="AB169" s="542">
        <v>0</v>
      </c>
      <c r="AC169" s="542">
        <v>-132499</v>
      </c>
      <c r="AD169" s="542">
        <v>-42322</v>
      </c>
      <c r="AE169" s="542">
        <v>0</v>
      </c>
      <c r="AF169" s="542">
        <v>-42322</v>
      </c>
      <c r="AG169" s="542">
        <v>299601</v>
      </c>
      <c r="AH169" s="542">
        <v>0</v>
      </c>
      <c r="AI169" s="542">
        <v>299601</v>
      </c>
      <c r="AJ169" s="542">
        <v>4334</v>
      </c>
      <c r="AK169" s="542">
        <v>0</v>
      </c>
      <c r="AL169" s="542">
        <v>4334</v>
      </c>
      <c r="AM169" s="542">
        <v>-963995</v>
      </c>
      <c r="AN169" s="542">
        <v>0</v>
      </c>
      <c r="AO169" s="542">
        <v>-963995</v>
      </c>
      <c r="AP169" s="542">
        <v>-62518</v>
      </c>
      <c r="AQ169" s="542">
        <v>0</v>
      </c>
      <c r="AR169" s="542">
        <v>-62518</v>
      </c>
      <c r="AS169" s="542">
        <v>-35948</v>
      </c>
      <c r="AT169" s="542">
        <v>0</v>
      </c>
      <c r="AU169" s="542">
        <v>-35948</v>
      </c>
      <c r="AV169" s="542">
        <v>0</v>
      </c>
      <c r="AW169" s="542">
        <v>0</v>
      </c>
      <c r="AX169" s="542">
        <v>0</v>
      </c>
      <c r="AY169" s="542">
        <v>-26994</v>
      </c>
      <c r="AZ169" s="542">
        <v>0</v>
      </c>
      <c r="BA169" s="542">
        <v>-26994</v>
      </c>
      <c r="BB169" s="542">
        <v>0</v>
      </c>
      <c r="BC169" s="542">
        <v>0</v>
      </c>
      <c r="BD169" s="542">
        <v>0</v>
      </c>
      <c r="BE169" s="542">
        <v>-2009808</v>
      </c>
      <c r="BF169" s="542">
        <v>0</v>
      </c>
      <c r="BG169" s="542">
        <v>-2009808</v>
      </c>
      <c r="BH169" s="542">
        <v>-8736</v>
      </c>
      <c r="BI169" s="542">
        <v>0</v>
      </c>
      <c r="BJ169" s="542">
        <v>-8736</v>
      </c>
      <c r="BK169" s="542">
        <v>8589</v>
      </c>
      <c r="BL169" s="542">
        <v>0</v>
      </c>
      <c r="BM169" s="542">
        <v>8589</v>
      </c>
      <c r="BN169" s="542">
        <v>-359375</v>
      </c>
      <c r="BO169" s="542">
        <v>0</v>
      </c>
      <c r="BP169" s="542">
        <v>-359375</v>
      </c>
      <c r="BQ169" s="542">
        <v>-30089</v>
      </c>
      <c r="BR169" s="542">
        <v>0</v>
      </c>
      <c r="BS169" s="542">
        <v>-30089</v>
      </c>
      <c r="BT169" s="542">
        <v>-389611</v>
      </c>
      <c r="BU169" s="542">
        <v>0</v>
      </c>
      <c r="BV169" s="542">
        <v>-389611</v>
      </c>
      <c r="BW169" s="542">
        <v>-14160</v>
      </c>
      <c r="BX169" s="542">
        <v>0</v>
      </c>
      <c r="BY169" s="542">
        <v>-14160</v>
      </c>
      <c r="BZ169" s="542">
        <v>-1969</v>
      </c>
      <c r="CA169" s="542">
        <v>0</v>
      </c>
      <c r="CB169" s="542">
        <v>-1969</v>
      </c>
      <c r="CC169" s="542">
        <v>-20957</v>
      </c>
      <c r="CD169" s="542">
        <v>0</v>
      </c>
      <c r="CE169" s="542">
        <v>-20957</v>
      </c>
      <c r="CF169" s="542">
        <v>0</v>
      </c>
      <c r="CG169" s="542">
        <v>0</v>
      </c>
      <c r="CH169" s="542">
        <v>0</v>
      </c>
      <c r="CI169" s="542">
        <v>-333</v>
      </c>
      <c r="CJ169" s="542">
        <v>0</v>
      </c>
      <c r="CK169" s="542">
        <v>-333</v>
      </c>
      <c r="CL169" s="542">
        <v>0</v>
      </c>
      <c r="CM169" s="542">
        <v>0</v>
      </c>
      <c r="CN169" s="542">
        <v>0</v>
      </c>
      <c r="CO169" s="542">
        <v>-9028</v>
      </c>
      <c r="CP169" s="542">
        <v>0</v>
      </c>
      <c r="CQ169" s="542">
        <v>-9028</v>
      </c>
      <c r="CR169" s="542">
        <v>0</v>
      </c>
      <c r="CS169" s="542">
        <v>0</v>
      </c>
      <c r="CT169" s="542">
        <v>0</v>
      </c>
      <c r="CU169" s="542">
        <v>-1189</v>
      </c>
      <c r="CV169" s="542">
        <v>0</v>
      </c>
      <c r="CW169" s="542">
        <v>-1189</v>
      </c>
      <c r="CX169" s="542">
        <v>0</v>
      </c>
      <c r="CY169" s="542">
        <v>0</v>
      </c>
      <c r="CZ169" s="542">
        <v>0</v>
      </c>
      <c r="DA169" s="542">
        <v>0</v>
      </c>
      <c r="DB169" s="542">
        <v>0</v>
      </c>
      <c r="DC169" s="542">
        <v>0</v>
      </c>
      <c r="DD169" s="542">
        <v>0</v>
      </c>
      <c r="DE169" s="542">
        <v>0</v>
      </c>
      <c r="DF169" s="542">
        <v>0</v>
      </c>
      <c r="DG169" s="542"/>
      <c r="DH169" s="542">
        <v>0</v>
      </c>
      <c r="DI169" s="542"/>
      <c r="DJ169" s="542">
        <v>0</v>
      </c>
      <c r="DK169" s="542"/>
      <c r="DL169" s="542"/>
      <c r="DM169" s="542">
        <v>-47636</v>
      </c>
      <c r="DN169" s="542">
        <v>0</v>
      </c>
      <c r="DO169" s="542">
        <v>-47636</v>
      </c>
      <c r="DP169" s="542">
        <v>0</v>
      </c>
      <c r="DQ169" s="542">
        <v>0</v>
      </c>
      <c r="DR169" s="542">
        <v>0</v>
      </c>
      <c r="DS169" s="542">
        <v>0</v>
      </c>
      <c r="DT169" s="542">
        <v>0</v>
      </c>
      <c r="DU169" s="542">
        <v>0</v>
      </c>
      <c r="DV169" s="542">
        <v>0</v>
      </c>
      <c r="DW169" s="542">
        <v>0</v>
      </c>
      <c r="DX169" s="542">
        <v>0</v>
      </c>
      <c r="DY169" s="542">
        <v>-231539</v>
      </c>
      <c r="DZ169" s="542">
        <v>0</v>
      </c>
      <c r="EA169" s="542">
        <v>-231539</v>
      </c>
      <c r="EB169" s="542">
        <v>0</v>
      </c>
      <c r="EC169" s="542">
        <v>0</v>
      </c>
      <c r="ED169" s="542">
        <v>0</v>
      </c>
      <c r="EE169" s="542">
        <v>0</v>
      </c>
      <c r="EF169" s="542">
        <v>0</v>
      </c>
      <c r="EG169" s="542">
        <v>0</v>
      </c>
      <c r="EH169" s="542">
        <v>-231539</v>
      </c>
      <c r="EI169" s="542">
        <v>0</v>
      </c>
      <c r="EJ169" s="542">
        <v>-231539</v>
      </c>
      <c r="EK169" s="542">
        <v>0</v>
      </c>
      <c r="EL169" s="542">
        <v>0</v>
      </c>
      <c r="EM169" s="542">
        <v>0</v>
      </c>
      <c r="EN169" s="542">
        <v>0</v>
      </c>
      <c r="EO169" s="542">
        <v>0</v>
      </c>
      <c r="EP169" s="542">
        <v>0</v>
      </c>
      <c r="EQ169" s="542">
        <v>0</v>
      </c>
      <c r="ER169" s="542">
        <v>0</v>
      </c>
      <c r="ES169" s="542">
        <v>0</v>
      </c>
      <c r="ET169" s="542">
        <v>15773843</v>
      </c>
      <c r="EU169" s="542">
        <v>0</v>
      </c>
      <c r="EV169" s="542">
        <v>15773843</v>
      </c>
      <c r="EW169" s="542">
        <v>10510</v>
      </c>
      <c r="EX169" s="542">
        <v>0</v>
      </c>
      <c r="EY169" s="542">
        <v>10510</v>
      </c>
      <c r="EZ169" s="542">
        <v>-2009808</v>
      </c>
      <c r="FA169" s="542">
        <v>0</v>
      </c>
      <c r="FB169" s="542">
        <v>-2009808</v>
      </c>
      <c r="FC169" s="542">
        <v>-389611</v>
      </c>
      <c r="FD169" s="542">
        <v>0</v>
      </c>
      <c r="FE169" s="542">
        <v>-389611</v>
      </c>
      <c r="FF169" s="542">
        <v>-47636</v>
      </c>
      <c r="FG169" s="542">
        <v>0</v>
      </c>
      <c r="FH169" s="542">
        <v>-47636</v>
      </c>
      <c r="FI169" s="542">
        <v>-231539</v>
      </c>
      <c r="FJ169" s="542">
        <v>0</v>
      </c>
      <c r="FK169" s="542">
        <v>-231539</v>
      </c>
      <c r="FL169" s="542">
        <v>0</v>
      </c>
      <c r="FM169" s="542">
        <v>0</v>
      </c>
      <c r="FN169" s="542">
        <v>0</v>
      </c>
      <c r="FO169" s="542">
        <v>-2668084</v>
      </c>
      <c r="FP169" s="542">
        <v>0</v>
      </c>
      <c r="FQ169" s="542">
        <v>-2668084</v>
      </c>
      <c r="FR169" s="542">
        <v>13105759</v>
      </c>
      <c r="FS169" s="542">
        <v>0</v>
      </c>
      <c r="FT169" s="542">
        <v>13105759</v>
      </c>
    </row>
    <row r="170" spans="1:176" ht="12.75" x14ac:dyDescent="0.2">
      <c r="A170" s="93">
        <v>165</v>
      </c>
      <c r="B170" s="145" t="s">
        <v>208</v>
      </c>
      <c r="C170" s="604" t="s">
        <v>866</v>
      </c>
      <c r="D170" s="142" t="s">
        <v>875</v>
      </c>
      <c r="E170" s="149" t="s">
        <v>207</v>
      </c>
      <c r="F170" s="542">
        <v>-99800</v>
      </c>
      <c r="G170" s="542">
        <v>0</v>
      </c>
      <c r="H170" s="542">
        <v>-99800</v>
      </c>
      <c r="I170" s="542">
        <v>193818</v>
      </c>
      <c r="J170" s="542">
        <v>0</v>
      </c>
      <c r="K170" s="542">
        <v>193818</v>
      </c>
      <c r="L170" s="542">
        <v>8619</v>
      </c>
      <c r="M170" s="542">
        <v>0</v>
      </c>
      <c r="N170" s="542">
        <v>8619</v>
      </c>
      <c r="O170" s="542">
        <v>33125</v>
      </c>
      <c r="P170" s="542">
        <v>0</v>
      </c>
      <c r="Q170" s="542">
        <v>33125</v>
      </c>
      <c r="R170" s="542">
        <v>135762</v>
      </c>
      <c r="S170" s="542">
        <v>0</v>
      </c>
      <c r="T170" s="542">
        <v>135762</v>
      </c>
      <c r="U170" s="542">
        <v>-3056559</v>
      </c>
      <c r="V170" s="542">
        <v>0</v>
      </c>
      <c r="W170" s="542">
        <v>-3056559</v>
      </c>
      <c r="X170" s="542">
        <v>-2788</v>
      </c>
      <c r="Y170" s="542">
        <v>0</v>
      </c>
      <c r="Z170" s="542">
        <v>-2788</v>
      </c>
      <c r="AA170" s="542">
        <v>-140033</v>
      </c>
      <c r="AB170" s="542">
        <v>0</v>
      </c>
      <c r="AC170" s="542">
        <v>-140033</v>
      </c>
      <c r="AD170" s="542">
        <v>-59583</v>
      </c>
      <c r="AE170" s="542">
        <v>0</v>
      </c>
      <c r="AF170" s="542">
        <v>-59583</v>
      </c>
      <c r="AG170" s="542">
        <v>752835</v>
      </c>
      <c r="AH170" s="542">
        <v>0</v>
      </c>
      <c r="AI170" s="542">
        <v>752835</v>
      </c>
      <c r="AJ170" s="542">
        <v>-20219</v>
      </c>
      <c r="AK170" s="542">
        <v>0</v>
      </c>
      <c r="AL170" s="542">
        <v>-20219</v>
      </c>
      <c r="AM170" s="542">
        <v>-2819505</v>
      </c>
      <c r="AN170" s="542">
        <v>0</v>
      </c>
      <c r="AO170" s="542">
        <v>-2819505</v>
      </c>
      <c r="AP170" s="542">
        <v>50556</v>
      </c>
      <c r="AQ170" s="542">
        <v>0</v>
      </c>
      <c r="AR170" s="542">
        <v>50556</v>
      </c>
      <c r="AS170" s="542">
        <v>-85815</v>
      </c>
      <c r="AT170" s="542">
        <v>0</v>
      </c>
      <c r="AU170" s="542">
        <v>-85815</v>
      </c>
      <c r="AV170" s="542">
        <v>-2899</v>
      </c>
      <c r="AW170" s="542">
        <v>0</v>
      </c>
      <c r="AX170" s="542">
        <v>-2899</v>
      </c>
      <c r="AY170" s="542">
        <v>-41706</v>
      </c>
      <c r="AZ170" s="542">
        <v>0</v>
      </c>
      <c r="BA170" s="542">
        <v>-41706</v>
      </c>
      <c r="BB170" s="542">
        <v>-837</v>
      </c>
      <c r="BC170" s="542">
        <v>0</v>
      </c>
      <c r="BD170" s="542">
        <v>-837</v>
      </c>
      <c r="BE170" s="542">
        <v>-5364182</v>
      </c>
      <c r="BF170" s="542">
        <v>0</v>
      </c>
      <c r="BG170" s="542">
        <v>-5364182</v>
      </c>
      <c r="BH170" s="542">
        <v>-34129</v>
      </c>
      <c r="BI170" s="542">
        <v>0</v>
      </c>
      <c r="BJ170" s="542">
        <v>-34129</v>
      </c>
      <c r="BK170" s="542">
        <v>-6721</v>
      </c>
      <c r="BL170" s="542">
        <v>0</v>
      </c>
      <c r="BM170" s="542">
        <v>-6721</v>
      </c>
      <c r="BN170" s="542">
        <v>-911926</v>
      </c>
      <c r="BO170" s="542">
        <v>0</v>
      </c>
      <c r="BP170" s="542">
        <v>-911926</v>
      </c>
      <c r="BQ170" s="542">
        <v>180939</v>
      </c>
      <c r="BR170" s="542">
        <v>0</v>
      </c>
      <c r="BS170" s="542">
        <v>180939</v>
      </c>
      <c r="BT170" s="542">
        <v>-771837</v>
      </c>
      <c r="BU170" s="542">
        <v>0</v>
      </c>
      <c r="BV170" s="542">
        <v>-771837</v>
      </c>
      <c r="BW170" s="542">
        <v>-40266</v>
      </c>
      <c r="BX170" s="542">
        <v>0</v>
      </c>
      <c r="BY170" s="542">
        <v>-40266</v>
      </c>
      <c r="BZ170" s="542">
        <v>69</v>
      </c>
      <c r="CA170" s="542">
        <v>0</v>
      </c>
      <c r="CB170" s="542">
        <v>69</v>
      </c>
      <c r="CC170" s="542">
        <v>-21915</v>
      </c>
      <c r="CD170" s="542">
        <v>0</v>
      </c>
      <c r="CE170" s="542">
        <v>-21915</v>
      </c>
      <c r="CF170" s="542">
        <v>0</v>
      </c>
      <c r="CG170" s="542">
        <v>0</v>
      </c>
      <c r="CH170" s="542">
        <v>0</v>
      </c>
      <c r="CI170" s="542">
        <v>-2818</v>
      </c>
      <c r="CJ170" s="542">
        <v>0</v>
      </c>
      <c r="CK170" s="542">
        <v>-2818</v>
      </c>
      <c r="CL170" s="542">
        <v>0</v>
      </c>
      <c r="CM170" s="542">
        <v>0</v>
      </c>
      <c r="CN170" s="542">
        <v>0</v>
      </c>
      <c r="CO170" s="542">
        <v>-27618</v>
      </c>
      <c r="CP170" s="542">
        <v>0</v>
      </c>
      <c r="CQ170" s="542">
        <v>-27618</v>
      </c>
      <c r="CR170" s="542">
        <v>101</v>
      </c>
      <c r="CS170" s="542">
        <v>0</v>
      </c>
      <c r="CT170" s="542">
        <v>101</v>
      </c>
      <c r="CU170" s="542">
        <v>-26571</v>
      </c>
      <c r="CV170" s="542">
        <v>0</v>
      </c>
      <c r="CW170" s="542">
        <v>-26571</v>
      </c>
      <c r="CX170" s="542">
        <v>0</v>
      </c>
      <c r="CY170" s="542">
        <v>0</v>
      </c>
      <c r="CZ170" s="542">
        <v>0</v>
      </c>
      <c r="DA170" s="542">
        <v>0</v>
      </c>
      <c r="DB170" s="542">
        <v>0</v>
      </c>
      <c r="DC170" s="542">
        <v>0</v>
      </c>
      <c r="DD170" s="542">
        <v>0</v>
      </c>
      <c r="DE170" s="542">
        <v>0</v>
      </c>
      <c r="DF170" s="542">
        <v>0</v>
      </c>
      <c r="DG170" s="542"/>
      <c r="DH170" s="542">
        <v>0</v>
      </c>
      <c r="DI170" s="542"/>
      <c r="DJ170" s="542">
        <v>0</v>
      </c>
      <c r="DK170" s="542"/>
      <c r="DL170" s="542"/>
      <c r="DM170" s="542">
        <v>-119018</v>
      </c>
      <c r="DN170" s="542">
        <v>0</v>
      </c>
      <c r="DO170" s="542">
        <v>-119018</v>
      </c>
      <c r="DP170" s="542">
        <v>-743</v>
      </c>
      <c r="DQ170" s="542">
        <v>0</v>
      </c>
      <c r="DR170" s="542">
        <v>-743</v>
      </c>
      <c r="DS170" s="542">
        <v>0</v>
      </c>
      <c r="DT170" s="542">
        <v>0</v>
      </c>
      <c r="DU170" s="542">
        <v>0</v>
      </c>
      <c r="DV170" s="542">
        <v>-444</v>
      </c>
      <c r="DW170" s="542">
        <v>0</v>
      </c>
      <c r="DX170" s="542">
        <v>-444</v>
      </c>
      <c r="DY170" s="542">
        <v>-470879</v>
      </c>
      <c r="DZ170" s="542">
        <v>0</v>
      </c>
      <c r="EA170" s="542">
        <v>-470879</v>
      </c>
      <c r="EB170" s="542">
        <v>0</v>
      </c>
      <c r="EC170" s="542">
        <v>0</v>
      </c>
      <c r="ED170" s="542">
        <v>0</v>
      </c>
      <c r="EE170" s="542">
        <v>0</v>
      </c>
      <c r="EF170" s="542">
        <v>0</v>
      </c>
      <c r="EG170" s="542">
        <v>0</v>
      </c>
      <c r="EH170" s="542">
        <v>-472066</v>
      </c>
      <c r="EI170" s="542">
        <v>0</v>
      </c>
      <c r="EJ170" s="542">
        <v>-472066</v>
      </c>
      <c r="EK170" s="542">
        <v>0</v>
      </c>
      <c r="EL170" s="542">
        <v>0</v>
      </c>
      <c r="EM170" s="542">
        <v>0</v>
      </c>
      <c r="EN170" s="542">
        <v>-4498</v>
      </c>
      <c r="EO170" s="542">
        <v>0</v>
      </c>
      <c r="EP170" s="542">
        <v>-4498</v>
      </c>
      <c r="EQ170" s="542">
        <v>-4498</v>
      </c>
      <c r="ER170" s="542">
        <v>0</v>
      </c>
      <c r="ES170" s="542">
        <v>-4498</v>
      </c>
      <c r="ET170" s="542">
        <v>39022104</v>
      </c>
      <c r="EU170" s="542">
        <v>0</v>
      </c>
      <c r="EV170" s="542">
        <v>39022104</v>
      </c>
      <c r="EW170" s="542">
        <v>135762</v>
      </c>
      <c r="EX170" s="542">
        <v>0</v>
      </c>
      <c r="EY170" s="542">
        <v>135762</v>
      </c>
      <c r="EZ170" s="542">
        <v>-5364182</v>
      </c>
      <c r="FA170" s="542">
        <v>0</v>
      </c>
      <c r="FB170" s="542">
        <v>-5364182</v>
      </c>
      <c r="FC170" s="542">
        <v>-771837</v>
      </c>
      <c r="FD170" s="542">
        <v>0</v>
      </c>
      <c r="FE170" s="542">
        <v>-771837</v>
      </c>
      <c r="FF170" s="542">
        <v>-119018</v>
      </c>
      <c r="FG170" s="542">
        <v>0</v>
      </c>
      <c r="FH170" s="542">
        <v>-119018</v>
      </c>
      <c r="FI170" s="542">
        <v>-472066</v>
      </c>
      <c r="FJ170" s="542">
        <v>0</v>
      </c>
      <c r="FK170" s="542">
        <v>-472066</v>
      </c>
      <c r="FL170" s="542">
        <v>-4498</v>
      </c>
      <c r="FM170" s="542">
        <v>0</v>
      </c>
      <c r="FN170" s="542">
        <v>-4498</v>
      </c>
      <c r="FO170" s="542">
        <v>-6595839</v>
      </c>
      <c r="FP170" s="542">
        <v>0</v>
      </c>
      <c r="FQ170" s="542">
        <v>-6595839</v>
      </c>
      <c r="FR170" s="542">
        <v>32426265</v>
      </c>
      <c r="FS170" s="542">
        <v>0</v>
      </c>
      <c r="FT170" s="542">
        <v>32426265</v>
      </c>
    </row>
    <row r="171" spans="1:176" ht="12.75" x14ac:dyDescent="0.2">
      <c r="A171" s="93">
        <v>166</v>
      </c>
      <c r="B171" s="145" t="s">
        <v>210</v>
      </c>
      <c r="C171" s="604" t="s">
        <v>871</v>
      </c>
      <c r="D171" s="142" t="s">
        <v>872</v>
      </c>
      <c r="E171" s="149" t="s">
        <v>209</v>
      </c>
      <c r="F171" s="542">
        <v>-43060</v>
      </c>
      <c r="G171" s="542">
        <v>0</v>
      </c>
      <c r="H171" s="542">
        <v>-43060</v>
      </c>
      <c r="I171" s="542">
        <v>50653</v>
      </c>
      <c r="J171" s="542">
        <v>0</v>
      </c>
      <c r="K171" s="542">
        <v>50653</v>
      </c>
      <c r="L171" s="542">
        <v>7376</v>
      </c>
      <c r="M171" s="542">
        <v>0</v>
      </c>
      <c r="N171" s="542">
        <v>7376</v>
      </c>
      <c r="O171" s="542">
        <v>256139</v>
      </c>
      <c r="P171" s="542">
        <v>0</v>
      </c>
      <c r="Q171" s="542">
        <v>256139</v>
      </c>
      <c r="R171" s="542">
        <v>271108</v>
      </c>
      <c r="S171" s="542">
        <v>0</v>
      </c>
      <c r="T171" s="542">
        <v>271108</v>
      </c>
      <c r="U171" s="542">
        <v>-2817323</v>
      </c>
      <c r="V171" s="542">
        <v>0</v>
      </c>
      <c r="W171" s="542">
        <v>-2817323</v>
      </c>
      <c r="X171" s="542">
        <v>0</v>
      </c>
      <c r="Y171" s="542">
        <v>0</v>
      </c>
      <c r="Z171" s="542">
        <v>0</v>
      </c>
      <c r="AA171" s="542">
        <v>-103302</v>
      </c>
      <c r="AB171" s="542">
        <v>0</v>
      </c>
      <c r="AC171" s="542">
        <v>-103302</v>
      </c>
      <c r="AD171" s="542">
        <v>-53387</v>
      </c>
      <c r="AE171" s="542">
        <v>0</v>
      </c>
      <c r="AF171" s="542">
        <v>-53387</v>
      </c>
      <c r="AG171" s="542">
        <v>1905144</v>
      </c>
      <c r="AH171" s="542">
        <v>0</v>
      </c>
      <c r="AI171" s="542">
        <v>1905144</v>
      </c>
      <c r="AJ171" s="542">
        <v>-27734</v>
      </c>
      <c r="AK171" s="542">
        <v>0</v>
      </c>
      <c r="AL171" s="542">
        <v>-27734</v>
      </c>
      <c r="AM171" s="542">
        <v>-5035528</v>
      </c>
      <c r="AN171" s="542">
        <v>0</v>
      </c>
      <c r="AO171" s="542">
        <v>-5035528</v>
      </c>
      <c r="AP171" s="542">
        <v>-49212</v>
      </c>
      <c r="AQ171" s="542">
        <v>0</v>
      </c>
      <c r="AR171" s="542">
        <v>-49212</v>
      </c>
      <c r="AS171" s="542">
        <v>-105211</v>
      </c>
      <c r="AT171" s="542">
        <v>0</v>
      </c>
      <c r="AU171" s="542">
        <v>-105211</v>
      </c>
      <c r="AV171" s="542">
        <v>15691</v>
      </c>
      <c r="AW171" s="542">
        <v>0</v>
      </c>
      <c r="AX171" s="542">
        <v>15691</v>
      </c>
      <c r="AY171" s="542">
        <v>0</v>
      </c>
      <c r="AZ171" s="542">
        <v>0</v>
      </c>
      <c r="BA171" s="542">
        <v>0</v>
      </c>
      <c r="BB171" s="542">
        <v>0</v>
      </c>
      <c r="BC171" s="542">
        <v>0</v>
      </c>
      <c r="BD171" s="542">
        <v>0</v>
      </c>
      <c r="BE171" s="542">
        <v>-6217475</v>
      </c>
      <c r="BF171" s="542">
        <v>0</v>
      </c>
      <c r="BG171" s="542">
        <v>-6217475</v>
      </c>
      <c r="BH171" s="542">
        <v>-16594</v>
      </c>
      <c r="BI171" s="542">
        <v>0</v>
      </c>
      <c r="BJ171" s="542">
        <v>-16594</v>
      </c>
      <c r="BK171" s="542">
        <v>-1713</v>
      </c>
      <c r="BL171" s="542">
        <v>0</v>
      </c>
      <c r="BM171" s="542">
        <v>-1713</v>
      </c>
      <c r="BN171" s="542">
        <v>-2124802</v>
      </c>
      <c r="BO171" s="542">
        <v>0</v>
      </c>
      <c r="BP171" s="542">
        <v>-2124802</v>
      </c>
      <c r="BQ171" s="542">
        <v>-354120</v>
      </c>
      <c r="BR171" s="542">
        <v>0</v>
      </c>
      <c r="BS171" s="542">
        <v>-354120</v>
      </c>
      <c r="BT171" s="542">
        <v>-2497229</v>
      </c>
      <c r="BU171" s="542">
        <v>0</v>
      </c>
      <c r="BV171" s="542">
        <v>-2497229</v>
      </c>
      <c r="BW171" s="542">
        <v>-395760</v>
      </c>
      <c r="BX171" s="542">
        <v>0</v>
      </c>
      <c r="BY171" s="542">
        <v>-395760</v>
      </c>
      <c r="BZ171" s="542">
        <v>-10613</v>
      </c>
      <c r="CA171" s="542">
        <v>0</v>
      </c>
      <c r="CB171" s="542">
        <v>-10613</v>
      </c>
      <c r="CC171" s="542">
        <v>-170957</v>
      </c>
      <c r="CD171" s="542">
        <v>0</v>
      </c>
      <c r="CE171" s="542">
        <v>-170957</v>
      </c>
      <c r="CF171" s="542">
        <v>-21614</v>
      </c>
      <c r="CG171" s="542">
        <v>0</v>
      </c>
      <c r="CH171" s="542">
        <v>-21614</v>
      </c>
      <c r="CI171" s="542">
        <v>-188</v>
      </c>
      <c r="CJ171" s="542">
        <v>0</v>
      </c>
      <c r="CK171" s="542">
        <v>-188</v>
      </c>
      <c r="CL171" s="542">
        <v>0</v>
      </c>
      <c r="CM171" s="542">
        <v>0</v>
      </c>
      <c r="CN171" s="542">
        <v>0</v>
      </c>
      <c r="CO171" s="542">
        <v>0</v>
      </c>
      <c r="CP171" s="542">
        <v>0</v>
      </c>
      <c r="CQ171" s="542">
        <v>0</v>
      </c>
      <c r="CR171" s="542">
        <v>0</v>
      </c>
      <c r="CS171" s="542">
        <v>0</v>
      </c>
      <c r="CT171" s="542">
        <v>0</v>
      </c>
      <c r="CU171" s="542">
        <v>0</v>
      </c>
      <c r="CV171" s="542">
        <v>0</v>
      </c>
      <c r="CW171" s="542">
        <v>0</v>
      </c>
      <c r="CX171" s="542">
        <v>0</v>
      </c>
      <c r="CY171" s="542">
        <v>0</v>
      </c>
      <c r="CZ171" s="542">
        <v>0</v>
      </c>
      <c r="DA171" s="542">
        <v>0</v>
      </c>
      <c r="DB171" s="542">
        <v>0</v>
      </c>
      <c r="DC171" s="542">
        <v>0</v>
      </c>
      <c r="DD171" s="542">
        <v>0</v>
      </c>
      <c r="DE171" s="542">
        <v>0</v>
      </c>
      <c r="DF171" s="542">
        <v>0</v>
      </c>
      <c r="DG171" s="542"/>
      <c r="DH171" s="542">
        <v>0</v>
      </c>
      <c r="DI171" s="542"/>
      <c r="DJ171" s="542">
        <v>0</v>
      </c>
      <c r="DK171" s="542"/>
      <c r="DL171" s="542"/>
      <c r="DM171" s="542">
        <v>-599132</v>
      </c>
      <c r="DN171" s="542">
        <v>0</v>
      </c>
      <c r="DO171" s="542">
        <v>-599132</v>
      </c>
      <c r="DP171" s="542">
        <v>0</v>
      </c>
      <c r="DQ171" s="542">
        <v>0</v>
      </c>
      <c r="DR171" s="542">
        <v>0</v>
      </c>
      <c r="DS171" s="542">
        <v>0</v>
      </c>
      <c r="DT171" s="542">
        <v>0</v>
      </c>
      <c r="DU171" s="542">
        <v>0</v>
      </c>
      <c r="DV171" s="542">
        <v>-4288</v>
      </c>
      <c r="DW171" s="542">
        <v>0</v>
      </c>
      <c r="DX171" s="542">
        <v>-4288</v>
      </c>
      <c r="DY171" s="542">
        <v>-763135</v>
      </c>
      <c r="DZ171" s="542">
        <v>0</v>
      </c>
      <c r="EA171" s="542">
        <v>-763135</v>
      </c>
      <c r="EB171" s="542">
        <v>0</v>
      </c>
      <c r="EC171" s="542">
        <v>0</v>
      </c>
      <c r="ED171" s="542">
        <v>0</v>
      </c>
      <c r="EE171" s="542">
        <v>0</v>
      </c>
      <c r="EF171" s="542">
        <v>0</v>
      </c>
      <c r="EG171" s="542">
        <v>0</v>
      </c>
      <c r="EH171" s="542">
        <v>-767423</v>
      </c>
      <c r="EI171" s="542">
        <v>0</v>
      </c>
      <c r="EJ171" s="542">
        <v>-767423</v>
      </c>
      <c r="EK171" s="542">
        <v>-18126</v>
      </c>
      <c r="EL171" s="542">
        <v>0</v>
      </c>
      <c r="EM171" s="542">
        <v>-18126</v>
      </c>
      <c r="EN171" s="542">
        <v>-2941</v>
      </c>
      <c r="EO171" s="542">
        <v>0</v>
      </c>
      <c r="EP171" s="542">
        <v>-2941</v>
      </c>
      <c r="EQ171" s="542">
        <v>-21067</v>
      </c>
      <c r="ER171" s="542">
        <v>0</v>
      </c>
      <c r="ES171" s="542">
        <v>-21067</v>
      </c>
      <c r="ET171" s="542">
        <v>93372108</v>
      </c>
      <c r="EU171" s="542">
        <v>0</v>
      </c>
      <c r="EV171" s="542">
        <v>93372108</v>
      </c>
      <c r="EW171" s="542">
        <v>271108</v>
      </c>
      <c r="EX171" s="542">
        <v>0</v>
      </c>
      <c r="EY171" s="542">
        <v>271108</v>
      </c>
      <c r="EZ171" s="542">
        <v>-6217475</v>
      </c>
      <c r="FA171" s="542">
        <v>0</v>
      </c>
      <c r="FB171" s="542">
        <v>-6217475</v>
      </c>
      <c r="FC171" s="542">
        <v>-2497229</v>
      </c>
      <c r="FD171" s="542">
        <v>0</v>
      </c>
      <c r="FE171" s="542">
        <v>-2497229</v>
      </c>
      <c r="FF171" s="542">
        <v>-599132</v>
      </c>
      <c r="FG171" s="542">
        <v>0</v>
      </c>
      <c r="FH171" s="542">
        <v>-599132</v>
      </c>
      <c r="FI171" s="542">
        <v>-767423</v>
      </c>
      <c r="FJ171" s="542">
        <v>0</v>
      </c>
      <c r="FK171" s="542">
        <v>-767423</v>
      </c>
      <c r="FL171" s="542">
        <v>-21067</v>
      </c>
      <c r="FM171" s="542">
        <v>0</v>
      </c>
      <c r="FN171" s="542">
        <v>-21067</v>
      </c>
      <c r="FO171" s="542">
        <v>-9831218</v>
      </c>
      <c r="FP171" s="542">
        <v>0</v>
      </c>
      <c r="FQ171" s="542">
        <v>-9831218</v>
      </c>
      <c r="FR171" s="542">
        <v>83540890</v>
      </c>
      <c r="FS171" s="542">
        <v>0</v>
      </c>
      <c r="FT171" s="542">
        <v>83540890</v>
      </c>
    </row>
    <row r="172" spans="1:176" ht="12.75" x14ac:dyDescent="0.2">
      <c r="A172" s="93">
        <v>167</v>
      </c>
      <c r="B172" s="145" t="s">
        <v>212</v>
      </c>
      <c r="C172" s="604" t="s">
        <v>866</v>
      </c>
      <c r="D172" s="142" t="s">
        <v>875</v>
      </c>
      <c r="E172" s="149" t="s">
        <v>211</v>
      </c>
      <c r="F172" s="542">
        <v>-75018</v>
      </c>
      <c r="G172" s="542">
        <v>0</v>
      </c>
      <c r="H172" s="542">
        <v>-75018</v>
      </c>
      <c r="I172" s="542">
        <v>64922</v>
      </c>
      <c r="J172" s="542">
        <v>0</v>
      </c>
      <c r="K172" s="542">
        <v>64922</v>
      </c>
      <c r="L172" s="542">
        <v>0</v>
      </c>
      <c r="M172" s="542">
        <v>0</v>
      </c>
      <c r="N172" s="542">
        <v>0</v>
      </c>
      <c r="O172" s="542">
        <v>4323</v>
      </c>
      <c r="P172" s="542">
        <v>0</v>
      </c>
      <c r="Q172" s="542">
        <v>4323</v>
      </c>
      <c r="R172" s="542">
        <v>-5773</v>
      </c>
      <c r="S172" s="542">
        <v>0</v>
      </c>
      <c r="T172" s="542">
        <v>-5773</v>
      </c>
      <c r="U172" s="542">
        <v>-2005294</v>
      </c>
      <c r="V172" s="542">
        <v>0</v>
      </c>
      <c r="W172" s="542">
        <v>-2005294</v>
      </c>
      <c r="X172" s="542">
        <v>-17072</v>
      </c>
      <c r="Y172" s="542">
        <v>0</v>
      </c>
      <c r="Z172" s="542">
        <v>-17072</v>
      </c>
      <c r="AA172" s="542">
        <v>-161716</v>
      </c>
      <c r="AB172" s="542">
        <v>0</v>
      </c>
      <c r="AC172" s="542">
        <v>-161716</v>
      </c>
      <c r="AD172" s="542">
        <v>-58670.79</v>
      </c>
      <c r="AE172" s="542">
        <v>0</v>
      </c>
      <c r="AF172" s="542">
        <v>-58670.79</v>
      </c>
      <c r="AG172" s="542">
        <v>370541</v>
      </c>
      <c r="AH172" s="542">
        <v>0</v>
      </c>
      <c r="AI172" s="542">
        <v>370541</v>
      </c>
      <c r="AJ172" s="542">
        <v>0</v>
      </c>
      <c r="AK172" s="542">
        <v>0</v>
      </c>
      <c r="AL172" s="542">
        <v>0</v>
      </c>
      <c r="AM172" s="542">
        <v>-1205618</v>
      </c>
      <c r="AN172" s="542">
        <v>0</v>
      </c>
      <c r="AO172" s="542">
        <v>-1205618</v>
      </c>
      <c r="AP172" s="542">
        <v>2129</v>
      </c>
      <c r="AQ172" s="542">
        <v>0</v>
      </c>
      <c r="AR172" s="542">
        <v>2129</v>
      </c>
      <c r="AS172" s="542">
        <v>-31600</v>
      </c>
      <c r="AT172" s="542">
        <v>0</v>
      </c>
      <c r="AU172" s="542">
        <v>-31600</v>
      </c>
      <c r="AV172" s="542">
        <v>-3547</v>
      </c>
      <c r="AW172" s="542">
        <v>0</v>
      </c>
      <c r="AX172" s="542">
        <v>-3547</v>
      </c>
      <c r="AY172" s="542">
        <v>-27287</v>
      </c>
      <c r="AZ172" s="542">
        <v>0</v>
      </c>
      <c r="BA172" s="542">
        <v>-27287</v>
      </c>
      <c r="BB172" s="542">
        <v>164</v>
      </c>
      <c r="BC172" s="542">
        <v>0</v>
      </c>
      <c r="BD172" s="542">
        <v>164</v>
      </c>
      <c r="BE172" s="542">
        <v>-3062228</v>
      </c>
      <c r="BF172" s="542">
        <v>0</v>
      </c>
      <c r="BG172" s="542">
        <v>-3062228</v>
      </c>
      <c r="BH172" s="542">
        <v>-8376</v>
      </c>
      <c r="BI172" s="542">
        <v>0</v>
      </c>
      <c r="BJ172" s="542">
        <v>-8376</v>
      </c>
      <c r="BK172" s="542">
        <v>1114</v>
      </c>
      <c r="BL172" s="542">
        <v>0</v>
      </c>
      <c r="BM172" s="542">
        <v>1114</v>
      </c>
      <c r="BN172" s="542">
        <v>-540394</v>
      </c>
      <c r="BO172" s="542">
        <v>0</v>
      </c>
      <c r="BP172" s="542">
        <v>-540394</v>
      </c>
      <c r="BQ172" s="542">
        <v>-28035</v>
      </c>
      <c r="BR172" s="542">
        <v>0</v>
      </c>
      <c r="BS172" s="542">
        <v>-28035</v>
      </c>
      <c r="BT172" s="542">
        <v>-575691</v>
      </c>
      <c r="BU172" s="542">
        <v>0</v>
      </c>
      <c r="BV172" s="542">
        <v>-575691</v>
      </c>
      <c r="BW172" s="542">
        <v>-47078</v>
      </c>
      <c r="BX172" s="542">
        <v>0</v>
      </c>
      <c r="BY172" s="542">
        <v>-47078</v>
      </c>
      <c r="BZ172" s="542">
        <v>-2552</v>
      </c>
      <c r="CA172" s="542">
        <v>0</v>
      </c>
      <c r="CB172" s="542">
        <v>-2552</v>
      </c>
      <c r="CC172" s="542">
        <v>-6697</v>
      </c>
      <c r="CD172" s="542">
        <v>0</v>
      </c>
      <c r="CE172" s="542">
        <v>-6697</v>
      </c>
      <c r="CF172" s="542">
        <v>-541</v>
      </c>
      <c r="CG172" s="542">
        <v>0</v>
      </c>
      <c r="CH172" s="542">
        <v>-541</v>
      </c>
      <c r="CI172" s="542">
        <v>-2437</v>
      </c>
      <c r="CJ172" s="542">
        <v>0</v>
      </c>
      <c r="CK172" s="542">
        <v>-2437</v>
      </c>
      <c r="CL172" s="542">
        <v>-414</v>
      </c>
      <c r="CM172" s="542">
        <v>0</v>
      </c>
      <c r="CN172" s="542">
        <v>-414</v>
      </c>
      <c r="CO172" s="542">
        <v>-4331</v>
      </c>
      <c r="CP172" s="542">
        <v>0</v>
      </c>
      <c r="CQ172" s="542">
        <v>-4331</v>
      </c>
      <c r="CR172" s="542">
        <v>0</v>
      </c>
      <c r="CS172" s="542">
        <v>0</v>
      </c>
      <c r="CT172" s="542">
        <v>0</v>
      </c>
      <c r="CU172" s="542">
        <v>0</v>
      </c>
      <c r="CV172" s="542">
        <v>0</v>
      </c>
      <c r="CW172" s="542">
        <v>0</v>
      </c>
      <c r="CX172" s="542">
        <v>0</v>
      </c>
      <c r="CY172" s="542">
        <v>0</v>
      </c>
      <c r="CZ172" s="542">
        <v>0</v>
      </c>
      <c r="DA172" s="542">
        <v>0</v>
      </c>
      <c r="DB172" s="542">
        <v>0</v>
      </c>
      <c r="DC172" s="542">
        <v>0</v>
      </c>
      <c r="DD172" s="542">
        <v>0</v>
      </c>
      <c r="DE172" s="542">
        <v>0</v>
      </c>
      <c r="DF172" s="542">
        <v>0</v>
      </c>
      <c r="DG172" s="542"/>
      <c r="DH172" s="542">
        <v>0</v>
      </c>
      <c r="DI172" s="542"/>
      <c r="DJ172" s="542">
        <v>0</v>
      </c>
      <c r="DK172" s="542"/>
      <c r="DL172" s="542"/>
      <c r="DM172" s="542">
        <v>-64050</v>
      </c>
      <c r="DN172" s="542">
        <v>0</v>
      </c>
      <c r="DO172" s="542">
        <v>-64050</v>
      </c>
      <c r="DP172" s="542">
        <v>-18455</v>
      </c>
      <c r="DQ172" s="542">
        <v>0</v>
      </c>
      <c r="DR172" s="542">
        <v>-18455</v>
      </c>
      <c r="DS172" s="542">
        <v>0</v>
      </c>
      <c r="DT172" s="542">
        <v>0</v>
      </c>
      <c r="DU172" s="542">
        <v>0</v>
      </c>
      <c r="DV172" s="542">
        <v>-7819</v>
      </c>
      <c r="DW172" s="542">
        <v>0</v>
      </c>
      <c r="DX172" s="542">
        <v>-7819</v>
      </c>
      <c r="DY172" s="542">
        <v>-194029</v>
      </c>
      <c r="DZ172" s="542">
        <v>0</v>
      </c>
      <c r="EA172" s="542">
        <v>-194029</v>
      </c>
      <c r="EB172" s="542">
        <v>0</v>
      </c>
      <c r="EC172" s="542">
        <v>0</v>
      </c>
      <c r="ED172" s="542">
        <v>0</v>
      </c>
      <c r="EE172" s="542">
        <v>0</v>
      </c>
      <c r="EF172" s="542">
        <v>0</v>
      </c>
      <c r="EG172" s="542">
        <v>0</v>
      </c>
      <c r="EH172" s="542">
        <v>-220303</v>
      </c>
      <c r="EI172" s="542">
        <v>0</v>
      </c>
      <c r="EJ172" s="542">
        <v>-220303</v>
      </c>
      <c r="EK172" s="542">
        <v>0</v>
      </c>
      <c r="EL172" s="542">
        <v>0</v>
      </c>
      <c r="EM172" s="542">
        <v>0</v>
      </c>
      <c r="EN172" s="542">
        <v>0</v>
      </c>
      <c r="EO172" s="542">
        <v>0</v>
      </c>
      <c r="EP172" s="542">
        <v>0</v>
      </c>
      <c r="EQ172" s="542">
        <v>0</v>
      </c>
      <c r="ER172" s="542">
        <v>0</v>
      </c>
      <c r="ES172" s="542">
        <v>0</v>
      </c>
      <c r="ET172" s="542">
        <v>19016356</v>
      </c>
      <c r="EU172" s="542">
        <v>0</v>
      </c>
      <c r="EV172" s="542">
        <v>19016356</v>
      </c>
      <c r="EW172" s="542">
        <v>-5773</v>
      </c>
      <c r="EX172" s="542">
        <v>0</v>
      </c>
      <c r="EY172" s="542">
        <v>-5773</v>
      </c>
      <c r="EZ172" s="542">
        <v>-3062228</v>
      </c>
      <c r="FA172" s="542">
        <v>0</v>
      </c>
      <c r="FB172" s="542">
        <v>-3062228</v>
      </c>
      <c r="FC172" s="542">
        <v>-575691</v>
      </c>
      <c r="FD172" s="542">
        <v>0</v>
      </c>
      <c r="FE172" s="542">
        <v>-575691</v>
      </c>
      <c r="FF172" s="542">
        <v>-64050</v>
      </c>
      <c r="FG172" s="542">
        <v>0</v>
      </c>
      <c r="FH172" s="542">
        <v>-64050</v>
      </c>
      <c r="FI172" s="542">
        <v>-220303</v>
      </c>
      <c r="FJ172" s="542">
        <v>0</v>
      </c>
      <c r="FK172" s="542">
        <v>-220303</v>
      </c>
      <c r="FL172" s="542">
        <v>0</v>
      </c>
      <c r="FM172" s="542">
        <v>0</v>
      </c>
      <c r="FN172" s="542">
        <v>0</v>
      </c>
      <c r="FO172" s="542">
        <v>-3928045</v>
      </c>
      <c r="FP172" s="542">
        <v>0</v>
      </c>
      <c r="FQ172" s="542">
        <v>-3928045</v>
      </c>
      <c r="FR172" s="542">
        <v>15088311</v>
      </c>
      <c r="FS172" s="542">
        <v>0</v>
      </c>
      <c r="FT172" s="542">
        <v>15088311</v>
      </c>
    </row>
    <row r="173" spans="1:176" ht="12.75" x14ac:dyDescent="0.2">
      <c r="A173" s="93">
        <v>168</v>
      </c>
      <c r="B173" s="145" t="s">
        <v>214</v>
      </c>
      <c r="C173" s="604" t="s">
        <v>866</v>
      </c>
      <c r="D173" s="142" t="s">
        <v>870</v>
      </c>
      <c r="E173" s="149" t="s">
        <v>213</v>
      </c>
      <c r="F173" s="542">
        <v>-35357</v>
      </c>
      <c r="G173" s="542">
        <v>0</v>
      </c>
      <c r="H173" s="542">
        <v>-35357</v>
      </c>
      <c r="I173" s="542">
        <v>21903</v>
      </c>
      <c r="J173" s="542">
        <v>0</v>
      </c>
      <c r="K173" s="542">
        <v>21903</v>
      </c>
      <c r="L173" s="542">
        <v>3726</v>
      </c>
      <c r="M173" s="542">
        <v>0</v>
      </c>
      <c r="N173" s="542">
        <v>3726</v>
      </c>
      <c r="O173" s="542">
        <v>39631</v>
      </c>
      <c r="P173" s="542">
        <v>0</v>
      </c>
      <c r="Q173" s="542">
        <v>39631</v>
      </c>
      <c r="R173" s="542">
        <v>29903</v>
      </c>
      <c r="S173" s="542">
        <v>0</v>
      </c>
      <c r="T173" s="542">
        <v>29903</v>
      </c>
      <c r="U173" s="542">
        <v>-1977875</v>
      </c>
      <c r="V173" s="542">
        <v>0</v>
      </c>
      <c r="W173" s="542">
        <v>-1977875</v>
      </c>
      <c r="X173" s="542">
        <v>-4243</v>
      </c>
      <c r="Y173" s="542">
        <v>0</v>
      </c>
      <c r="Z173" s="542">
        <v>-4243</v>
      </c>
      <c r="AA173" s="542">
        <v>-204748</v>
      </c>
      <c r="AB173" s="542">
        <v>0</v>
      </c>
      <c r="AC173" s="542">
        <v>-204748</v>
      </c>
      <c r="AD173" s="542">
        <v>0</v>
      </c>
      <c r="AE173" s="542">
        <v>0</v>
      </c>
      <c r="AF173" s="542">
        <v>0</v>
      </c>
      <c r="AG173" s="542">
        <v>462798</v>
      </c>
      <c r="AH173" s="542">
        <v>0</v>
      </c>
      <c r="AI173" s="542">
        <v>462798</v>
      </c>
      <c r="AJ173" s="542">
        <v>19193</v>
      </c>
      <c r="AK173" s="542">
        <v>0</v>
      </c>
      <c r="AL173" s="542">
        <v>19193</v>
      </c>
      <c r="AM173" s="542">
        <v>-920798</v>
      </c>
      <c r="AN173" s="542">
        <v>0</v>
      </c>
      <c r="AO173" s="542">
        <v>-920798</v>
      </c>
      <c r="AP173" s="542">
        <v>-25802</v>
      </c>
      <c r="AQ173" s="542">
        <v>0</v>
      </c>
      <c r="AR173" s="542">
        <v>-25802</v>
      </c>
      <c r="AS173" s="542">
        <v>-37178</v>
      </c>
      <c r="AT173" s="542">
        <v>0</v>
      </c>
      <c r="AU173" s="542">
        <v>-37178</v>
      </c>
      <c r="AV173" s="542">
        <v>0</v>
      </c>
      <c r="AW173" s="542">
        <v>0</v>
      </c>
      <c r="AX173" s="542">
        <v>0</v>
      </c>
      <c r="AY173" s="542">
        <v>-88237</v>
      </c>
      <c r="AZ173" s="542">
        <v>0</v>
      </c>
      <c r="BA173" s="542">
        <v>-88237</v>
      </c>
      <c r="BB173" s="542">
        <v>5316</v>
      </c>
      <c r="BC173" s="542">
        <v>0</v>
      </c>
      <c r="BD173" s="542">
        <v>5316</v>
      </c>
      <c r="BE173" s="542">
        <v>-2767331</v>
      </c>
      <c r="BF173" s="542">
        <v>0</v>
      </c>
      <c r="BG173" s="542">
        <v>-2767331</v>
      </c>
      <c r="BH173" s="542">
        <v>0</v>
      </c>
      <c r="BI173" s="542">
        <v>0</v>
      </c>
      <c r="BJ173" s="542">
        <v>0</v>
      </c>
      <c r="BK173" s="542">
        <v>0</v>
      </c>
      <c r="BL173" s="542">
        <v>0</v>
      </c>
      <c r="BM173" s="542">
        <v>0</v>
      </c>
      <c r="BN173" s="542">
        <v>-556534</v>
      </c>
      <c r="BO173" s="542">
        <v>0</v>
      </c>
      <c r="BP173" s="542">
        <v>-556534</v>
      </c>
      <c r="BQ173" s="542">
        <v>-8666</v>
      </c>
      <c r="BR173" s="542">
        <v>0</v>
      </c>
      <c r="BS173" s="542">
        <v>-8666</v>
      </c>
      <c r="BT173" s="542">
        <v>-565200</v>
      </c>
      <c r="BU173" s="542">
        <v>0</v>
      </c>
      <c r="BV173" s="542">
        <v>-565200</v>
      </c>
      <c r="BW173" s="542">
        <v>-166672</v>
      </c>
      <c r="BX173" s="542">
        <v>0</v>
      </c>
      <c r="BY173" s="542">
        <v>-166672</v>
      </c>
      <c r="BZ173" s="542">
        <v>-8950</v>
      </c>
      <c r="CA173" s="542">
        <v>0</v>
      </c>
      <c r="CB173" s="542">
        <v>-8950</v>
      </c>
      <c r="CC173" s="542">
        <v>-98822</v>
      </c>
      <c r="CD173" s="542">
        <v>0</v>
      </c>
      <c r="CE173" s="542">
        <v>-98822</v>
      </c>
      <c r="CF173" s="542">
        <v>-12746</v>
      </c>
      <c r="CG173" s="542">
        <v>0</v>
      </c>
      <c r="CH173" s="542">
        <v>-12746</v>
      </c>
      <c r="CI173" s="542">
        <v>-6634</v>
      </c>
      <c r="CJ173" s="542">
        <v>0</v>
      </c>
      <c r="CK173" s="542">
        <v>-6634</v>
      </c>
      <c r="CL173" s="542">
        <v>0</v>
      </c>
      <c r="CM173" s="542">
        <v>0</v>
      </c>
      <c r="CN173" s="542">
        <v>0</v>
      </c>
      <c r="CO173" s="542">
        <v>-88237</v>
      </c>
      <c r="CP173" s="542">
        <v>0</v>
      </c>
      <c r="CQ173" s="542">
        <v>-88237</v>
      </c>
      <c r="CR173" s="542">
        <v>5316</v>
      </c>
      <c r="CS173" s="542">
        <v>0</v>
      </c>
      <c r="CT173" s="542">
        <v>5316</v>
      </c>
      <c r="CU173" s="542">
        <v>-70136</v>
      </c>
      <c r="CV173" s="542">
        <v>0</v>
      </c>
      <c r="CW173" s="542">
        <v>-70136</v>
      </c>
      <c r="CX173" s="542">
        <v>15650</v>
      </c>
      <c r="CY173" s="542">
        <v>0</v>
      </c>
      <c r="CZ173" s="542">
        <v>15650</v>
      </c>
      <c r="DA173" s="542">
        <v>0</v>
      </c>
      <c r="DB173" s="542">
        <v>0</v>
      </c>
      <c r="DC173" s="542">
        <v>0</v>
      </c>
      <c r="DD173" s="542">
        <v>0</v>
      </c>
      <c r="DE173" s="542">
        <v>0</v>
      </c>
      <c r="DF173" s="542">
        <v>0</v>
      </c>
      <c r="DG173" s="542"/>
      <c r="DH173" s="542">
        <v>0</v>
      </c>
      <c r="DI173" s="542"/>
      <c r="DJ173" s="542">
        <v>0</v>
      </c>
      <c r="DK173" s="542"/>
      <c r="DL173" s="542"/>
      <c r="DM173" s="542">
        <v>-431231</v>
      </c>
      <c r="DN173" s="542">
        <v>0</v>
      </c>
      <c r="DO173" s="542">
        <v>-431231</v>
      </c>
      <c r="DP173" s="542">
        <v>0</v>
      </c>
      <c r="DQ173" s="542">
        <v>0</v>
      </c>
      <c r="DR173" s="542">
        <v>0</v>
      </c>
      <c r="DS173" s="542">
        <v>0</v>
      </c>
      <c r="DT173" s="542">
        <v>0</v>
      </c>
      <c r="DU173" s="542">
        <v>0</v>
      </c>
      <c r="DV173" s="542">
        <v>-179</v>
      </c>
      <c r="DW173" s="542">
        <v>0</v>
      </c>
      <c r="DX173" s="542">
        <v>-179</v>
      </c>
      <c r="DY173" s="542">
        <v>-148028</v>
      </c>
      <c r="DZ173" s="542">
        <v>0</v>
      </c>
      <c r="EA173" s="542">
        <v>-148028</v>
      </c>
      <c r="EB173" s="542">
        <v>0</v>
      </c>
      <c r="EC173" s="542">
        <v>0</v>
      </c>
      <c r="ED173" s="542">
        <v>0</v>
      </c>
      <c r="EE173" s="542">
        <v>0</v>
      </c>
      <c r="EF173" s="542">
        <v>0</v>
      </c>
      <c r="EG173" s="542">
        <v>0</v>
      </c>
      <c r="EH173" s="542">
        <v>-148207</v>
      </c>
      <c r="EI173" s="542">
        <v>0</v>
      </c>
      <c r="EJ173" s="542">
        <v>-148207</v>
      </c>
      <c r="EK173" s="542">
        <v>0</v>
      </c>
      <c r="EL173" s="542">
        <v>0</v>
      </c>
      <c r="EM173" s="542">
        <v>0</v>
      </c>
      <c r="EN173" s="542">
        <v>0</v>
      </c>
      <c r="EO173" s="542">
        <v>0</v>
      </c>
      <c r="EP173" s="542">
        <v>0</v>
      </c>
      <c r="EQ173" s="542">
        <v>0</v>
      </c>
      <c r="ER173" s="542">
        <v>0</v>
      </c>
      <c r="ES173" s="542">
        <v>0</v>
      </c>
      <c r="ET173" s="542">
        <v>25018502</v>
      </c>
      <c r="EU173" s="542">
        <v>0</v>
      </c>
      <c r="EV173" s="542">
        <v>25018502</v>
      </c>
      <c r="EW173" s="542">
        <v>29903</v>
      </c>
      <c r="EX173" s="542">
        <v>0</v>
      </c>
      <c r="EY173" s="542">
        <v>29903</v>
      </c>
      <c r="EZ173" s="542">
        <v>-2767331</v>
      </c>
      <c r="FA173" s="542">
        <v>0</v>
      </c>
      <c r="FB173" s="542">
        <v>-2767331</v>
      </c>
      <c r="FC173" s="542">
        <v>-565200</v>
      </c>
      <c r="FD173" s="542">
        <v>0</v>
      </c>
      <c r="FE173" s="542">
        <v>-565200</v>
      </c>
      <c r="FF173" s="542">
        <v>-431231</v>
      </c>
      <c r="FG173" s="542">
        <v>0</v>
      </c>
      <c r="FH173" s="542">
        <v>-431231</v>
      </c>
      <c r="FI173" s="542">
        <v>-148207</v>
      </c>
      <c r="FJ173" s="542">
        <v>0</v>
      </c>
      <c r="FK173" s="542">
        <v>-148207</v>
      </c>
      <c r="FL173" s="542">
        <v>0</v>
      </c>
      <c r="FM173" s="542">
        <v>0</v>
      </c>
      <c r="FN173" s="542">
        <v>0</v>
      </c>
      <c r="FO173" s="542">
        <v>-3882066</v>
      </c>
      <c r="FP173" s="542">
        <v>0</v>
      </c>
      <c r="FQ173" s="542">
        <v>-3882066</v>
      </c>
      <c r="FR173" s="542">
        <v>21136436</v>
      </c>
      <c r="FS173" s="542">
        <v>0</v>
      </c>
      <c r="FT173" s="542">
        <v>21136436</v>
      </c>
    </row>
    <row r="174" spans="1:176" ht="12.75" x14ac:dyDescent="0.2">
      <c r="A174" s="93">
        <v>169</v>
      </c>
      <c r="B174" s="145" t="s">
        <v>216</v>
      </c>
      <c r="C174" s="604" t="s">
        <v>866</v>
      </c>
      <c r="D174" s="142" t="s">
        <v>867</v>
      </c>
      <c r="E174" s="149" t="s">
        <v>215</v>
      </c>
      <c r="F174" s="542">
        <v>-46449</v>
      </c>
      <c r="G174" s="542">
        <v>0</v>
      </c>
      <c r="H174" s="542">
        <v>-46449</v>
      </c>
      <c r="I174" s="542">
        <v>66233</v>
      </c>
      <c r="J174" s="542">
        <v>0</v>
      </c>
      <c r="K174" s="542">
        <v>66233</v>
      </c>
      <c r="L174" s="542">
        <v>1369</v>
      </c>
      <c r="M174" s="542">
        <v>0</v>
      </c>
      <c r="N174" s="542">
        <v>1369</v>
      </c>
      <c r="O174" s="542">
        <v>23310</v>
      </c>
      <c r="P174" s="542">
        <v>0</v>
      </c>
      <c r="Q174" s="542">
        <v>23310</v>
      </c>
      <c r="R174" s="542">
        <v>44463</v>
      </c>
      <c r="S174" s="542">
        <v>0</v>
      </c>
      <c r="T174" s="542">
        <v>44463</v>
      </c>
      <c r="U174" s="542">
        <v>-2443206</v>
      </c>
      <c r="V174" s="542">
        <v>0</v>
      </c>
      <c r="W174" s="542">
        <v>-2443206</v>
      </c>
      <c r="X174" s="542">
        <v>0</v>
      </c>
      <c r="Y174" s="542">
        <v>0</v>
      </c>
      <c r="Z174" s="542">
        <v>0</v>
      </c>
      <c r="AA174" s="542">
        <v>-292557</v>
      </c>
      <c r="AB174" s="542">
        <v>0</v>
      </c>
      <c r="AC174" s="542">
        <v>-292557</v>
      </c>
      <c r="AD174" s="542">
        <v>-114191</v>
      </c>
      <c r="AE174" s="542">
        <v>0</v>
      </c>
      <c r="AF174" s="542">
        <v>-114191</v>
      </c>
      <c r="AG174" s="542">
        <v>977751</v>
      </c>
      <c r="AH174" s="542">
        <v>0</v>
      </c>
      <c r="AI174" s="542">
        <v>977751</v>
      </c>
      <c r="AJ174" s="542">
        <v>-13077</v>
      </c>
      <c r="AK174" s="542">
        <v>0</v>
      </c>
      <c r="AL174" s="542">
        <v>-13077</v>
      </c>
      <c r="AM174" s="542">
        <v>-3579813</v>
      </c>
      <c r="AN174" s="542">
        <v>0</v>
      </c>
      <c r="AO174" s="542">
        <v>-3579813</v>
      </c>
      <c r="AP174" s="542">
        <v>-27682</v>
      </c>
      <c r="AQ174" s="542">
        <v>0</v>
      </c>
      <c r="AR174" s="542">
        <v>-27682</v>
      </c>
      <c r="AS174" s="542">
        <v>-59091</v>
      </c>
      <c r="AT174" s="542">
        <v>0</v>
      </c>
      <c r="AU174" s="542">
        <v>-59091</v>
      </c>
      <c r="AV174" s="542">
        <v>0</v>
      </c>
      <c r="AW174" s="542">
        <v>0</v>
      </c>
      <c r="AX174" s="542">
        <v>0</v>
      </c>
      <c r="AY174" s="542">
        <v>-5037</v>
      </c>
      <c r="AZ174" s="542">
        <v>0</v>
      </c>
      <c r="BA174" s="542">
        <v>-5037</v>
      </c>
      <c r="BB174" s="542">
        <v>168</v>
      </c>
      <c r="BC174" s="542">
        <v>0</v>
      </c>
      <c r="BD174" s="542">
        <v>168</v>
      </c>
      <c r="BE174" s="542">
        <v>-5442544</v>
      </c>
      <c r="BF174" s="542">
        <v>0</v>
      </c>
      <c r="BG174" s="542">
        <v>-5442544</v>
      </c>
      <c r="BH174" s="542">
        <v>-17425</v>
      </c>
      <c r="BI174" s="542">
        <v>0</v>
      </c>
      <c r="BJ174" s="542">
        <v>-17425</v>
      </c>
      <c r="BK174" s="542">
        <v>-2961</v>
      </c>
      <c r="BL174" s="542">
        <v>0</v>
      </c>
      <c r="BM174" s="542">
        <v>-2961</v>
      </c>
      <c r="BN174" s="542">
        <v>-939210</v>
      </c>
      <c r="BO174" s="542">
        <v>0</v>
      </c>
      <c r="BP174" s="542">
        <v>-939210</v>
      </c>
      <c r="BQ174" s="542">
        <v>-38181</v>
      </c>
      <c r="BR174" s="542">
        <v>0</v>
      </c>
      <c r="BS174" s="542">
        <v>-38181</v>
      </c>
      <c r="BT174" s="542">
        <v>-997777</v>
      </c>
      <c r="BU174" s="542">
        <v>0</v>
      </c>
      <c r="BV174" s="542">
        <v>-997777</v>
      </c>
      <c r="BW174" s="542">
        <v>-91552</v>
      </c>
      <c r="BX174" s="542">
        <v>0</v>
      </c>
      <c r="BY174" s="542">
        <v>-91552</v>
      </c>
      <c r="BZ174" s="542">
        <v>-2638</v>
      </c>
      <c r="CA174" s="542">
        <v>0</v>
      </c>
      <c r="CB174" s="542">
        <v>-2638</v>
      </c>
      <c r="CC174" s="542">
        <v>-538835</v>
      </c>
      <c r="CD174" s="542">
        <v>0</v>
      </c>
      <c r="CE174" s="542">
        <v>-538835</v>
      </c>
      <c r="CF174" s="542">
        <v>0</v>
      </c>
      <c r="CG174" s="542">
        <v>0</v>
      </c>
      <c r="CH174" s="542">
        <v>0</v>
      </c>
      <c r="CI174" s="542">
        <v>-4588</v>
      </c>
      <c r="CJ174" s="542">
        <v>0</v>
      </c>
      <c r="CK174" s="542">
        <v>-4588</v>
      </c>
      <c r="CL174" s="542">
        <v>0</v>
      </c>
      <c r="CM174" s="542">
        <v>0</v>
      </c>
      <c r="CN174" s="542">
        <v>0</v>
      </c>
      <c r="CO174" s="542">
        <v>-5037</v>
      </c>
      <c r="CP174" s="542">
        <v>0</v>
      </c>
      <c r="CQ174" s="542">
        <v>-5037</v>
      </c>
      <c r="CR174" s="542">
        <v>168</v>
      </c>
      <c r="CS174" s="542">
        <v>0</v>
      </c>
      <c r="CT174" s="542">
        <v>168</v>
      </c>
      <c r="CU174" s="542">
        <v>0</v>
      </c>
      <c r="CV174" s="542">
        <v>0</v>
      </c>
      <c r="CW174" s="542">
        <v>0</v>
      </c>
      <c r="CX174" s="542">
        <v>0</v>
      </c>
      <c r="CY174" s="542">
        <v>0</v>
      </c>
      <c r="CZ174" s="542">
        <v>0</v>
      </c>
      <c r="DA174" s="542">
        <v>0</v>
      </c>
      <c r="DB174" s="542">
        <v>0</v>
      </c>
      <c r="DC174" s="542">
        <v>0</v>
      </c>
      <c r="DD174" s="542">
        <v>0</v>
      </c>
      <c r="DE174" s="542">
        <v>0</v>
      </c>
      <c r="DF174" s="542">
        <v>0</v>
      </c>
      <c r="DG174" s="542"/>
      <c r="DH174" s="542">
        <v>0</v>
      </c>
      <c r="DI174" s="542"/>
      <c r="DJ174" s="542">
        <v>0</v>
      </c>
      <c r="DK174" s="542"/>
      <c r="DL174" s="542"/>
      <c r="DM174" s="542">
        <v>-642482</v>
      </c>
      <c r="DN174" s="542">
        <v>0</v>
      </c>
      <c r="DO174" s="542">
        <v>-642482</v>
      </c>
      <c r="DP174" s="542">
        <v>-1504</v>
      </c>
      <c r="DQ174" s="542">
        <v>0</v>
      </c>
      <c r="DR174" s="542">
        <v>-1504</v>
      </c>
      <c r="DS174" s="542">
        <v>0</v>
      </c>
      <c r="DT174" s="542">
        <v>0</v>
      </c>
      <c r="DU174" s="542">
        <v>0</v>
      </c>
      <c r="DV174" s="542">
        <v>0</v>
      </c>
      <c r="DW174" s="542">
        <v>0</v>
      </c>
      <c r="DX174" s="542">
        <v>0</v>
      </c>
      <c r="DY174" s="542">
        <v>-533867</v>
      </c>
      <c r="DZ174" s="542">
        <v>0</v>
      </c>
      <c r="EA174" s="542">
        <v>-533867</v>
      </c>
      <c r="EB174" s="542">
        <v>-3489</v>
      </c>
      <c r="EC174" s="542">
        <v>0</v>
      </c>
      <c r="ED174" s="542">
        <v>-3489</v>
      </c>
      <c r="EE174" s="542">
        <v>0</v>
      </c>
      <c r="EF174" s="542">
        <v>0</v>
      </c>
      <c r="EG174" s="542">
        <v>0</v>
      </c>
      <c r="EH174" s="542">
        <v>-538860</v>
      </c>
      <c r="EI174" s="542">
        <v>0</v>
      </c>
      <c r="EJ174" s="542">
        <v>-538860</v>
      </c>
      <c r="EK174" s="542">
        <v>-13853</v>
      </c>
      <c r="EL174" s="542">
        <v>0</v>
      </c>
      <c r="EM174" s="542">
        <v>-13853</v>
      </c>
      <c r="EN174" s="542">
        <v>0</v>
      </c>
      <c r="EO174" s="542">
        <v>0</v>
      </c>
      <c r="EP174" s="542">
        <v>0</v>
      </c>
      <c r="EQ174" s="542">
        <v>-13853</v>
      </c>
      <c r="ER174" s="542">
        <v>0</v>
      </c>
      <c r="ES174" s="542">
        <v>-13853</v>
      </c>
      <c r="ET174" s="542">
        <v>49590042</v>
      </c>
      <c r="EU174" s="542">
        <v>0</v>
      </c>
      <c r="EV174" s="542">
        <v>49590042</v>
      </c>
      <c r="EW174" s="542">
        <v>44463</v>
      </c>
      <c r="EX174" s="542">
        <v>0</v>
      </c>
      <c r="EY174" s="542">
        <v>44463</v>
      </c>
      <c r="EZ174" s="542">
        <v>-5442544</v>
      </c>
      <c r="FA174" s="542">
        <v>0</v>
      </c>
      <c r="FB174" s="542">
        <v>-5442544</v>
      </c>
      <c r="FC174" s="542">
        <v>-997777</v>
      </c>
      <c r="FD174" s="542">
        <v>0</v>
      </c>
      <c r="FE174" s="542">
        <v>-997777</v>
      </c>
      <c r="FF174" s="542">
        <v>-642482</v>
      </c>
      <c r="FG174" s="542">
        <v>0</v>
      </c>
      <c r="FH174" s="542">
        <v>-642482</v>
      </c>
      <c r="FI174" s="542">
        <v>-538860</v>
      </c>
      <c r="FJ174" s="542">
        <v>0</v>
      </c>
      <c r="FK174" s="542">
        <v>-538860</v>
      </c>
      <c r="FL174" s="542">
        <v>-13853</v>
      </c>
      <c r="FM174" s="542">
        <v>0</v>
      </c>
      <c r="FN174" s="542">
        <v>-13853</v>
      </c>
      <c r="FO174" s="542">
        <v>-7591053</v>
      </c>
      <c r="FP174" s="542">
        <v>0</v>
      </c>
      <c r="FQ174" s="542">
        <v>-7591053</v>
      </c>
      <c r="FR174" s="542">
        <v>41998989</v>
      </c>
      <c r="FS174" s="542">
        <v>0</v>
      </c>
      <c r="FT174" s="542">
        <v>41998989</v>
      </c>
    </row>
    <row r="175" spans="1:176" ht="12.75" x14ac:dyDescent="0.2">
      <c r="A175" s="93">
        <v>170</v>
      </c>
      <c r="B175" s="145" t="s">
        <v>218</v>
      </c>
      <c r="C175" s="604" t="s">
        <v>770</v>
      </c>
      <c r="D175" s="142" t="s">
        <v>878</v>
      </c>
      <c r="E175" s="149" t="s">
        <v>706</v>
      </c>
      <c r="F175" s="542">
        <v>-23654</v>
      </c>
      <c r="G175" s="542">
        <v>0</v>
      </c>
      <c r="H175" s="542">
        <v>-23654</v>
      </c>
      <c r="I175" s="542">
        <v>75729</v>
      </c>
      <c r="J175" s="542">
        <v>0</v>
      </c>
      <c r="K175" s="542">
        <v>75729</v>
      </c>
      <c r="L175" s="542">
        <v>25465</v>
      </c>
      <c r="M175" s="542">
        <v>0</v>
      </c>
      <c r="N175" s="542">
        <v>25465</v>
      </c>
      <c r="O175" s="542">
        <v>308868</v>
      </c>
      <c r="P175" s="542">
        <v>0</v>
      </c>
      <c r="Q175" s="542">
        <v>308868</v>
      </c>
      <c r="R175" s="542">
        <v>386408</v>
      </c>
      <c r="S175" s="542">
        <v>0</v>
      </c>
      <c r="T175" s="542">
        <v>386408</v>
      </c>
      <c r="U175" s="542">
        <v>-2420172</v>
      </c>
      <c r="V175" s="542">
        <v>0</v>
      </c>
      <c r="W175" s="542">
        <v>-2420172</v>
      </c>
      <c r="X175" s="542">
        <v>0</v>
      </c>
      <c r="Y175" s="542">
        <v>0</v>
      </c>
      <c r="Z175" s="542">
        <v>0</v>
      </c>
      <c r="AA175" s="542">
        <v>-95510</v>
      </c>
      <c r="AB175" s="542">
        <v>0</v>
      </c>
      <c r="AC175" s="542">
        <v>-95510</v>
      </c>
      <c r="AD175" s="542">
        <v>-68607</v>
      </c>
      <c r="AE175" s="542">
        <v>0</v>
      </c>
      <c r="AF175" s="542">
        <v>-68607</v>
      </c>
      <c r="AG175" s="542">
        <v>1035409</v>
      </c>
      <c r="AH175" s="542">
        <v>0</v>
      </c>
      <c r="AI175" s="542">
        <v>1035409</v>
      </c>
      <c r="AJ175" s="542">
        <v>61235</v>
      </c>
      <c r="AK175" s="542">
        <v>0</v>
      </c>
      <c r="AL175" s="542">
        <v>61235</v>
      </c>
      <c r="AM175" s="542">
        <v>-4811474</v>
      </c>
      <c r="AN175" s="542">
        <v>0</v>
      </c>
      <c r="AO175" s="542">
        <v>-4811474</v>
      </c>
      <c r="AP175" s="542">
        <v>259616</v>
      </c>
      <c r="AQ175" s="542">
        <v>0</v>
      </c>
      <c r="AR175" s="542">
        <v>259616</v>
      </c>
      <c r="AS175" s="542">
        <v>-32071</v>
      </c>
      <c r="AT175" s="542">
        <v>0</v>
      </c>
      <c r="AU175" s="542">
        <v>-32071</v>
      </c>
      <c r="AV175" s="542">
        <v>0</v>
      </c>
      <c r="AW175" s="542">
        <v>0</v>
      </c>
      <c r="AX175" s="542">
        <v>0</v>
      </c>
      <c r="AY175" s="542">
        <v>0</v>
      </c>
      <c r="AZ175" s="542">
        <v>0</v>
      </c>
      <c r="BA175" s="542">
        <v>0</v>
      </c>
      <c r="BB175" s="542">
        <v>0</v>
      </c>
      <c r="BC175" s="542">
        <v>0</v>
      </c>
      <c r="BD175" s="542">
        <v>0</v>
      </c>
      <c r="BE175" s="542">
        <v>-6002967</v>
      </c>
      <c r="BF175" s="542">
        <v>0</v>
      </c>
      <c r="BG175" s="542">
        <v>-6002967</v>
      </c>
      <c r="BH175" s="542">
        <v>0</v>
      </c>
      <c r="BI175" s="542">
        <v>0</v>
      </c>
      <c r="BJ175" s="542">
        <v>0</v>
      </c>
      <c r="BK175" s="542">
        <v>17299</v>
      </c>
      <c r="BL175" s="542">
        <v>0</v>
      </c>
      <c r="BM175" s="542">
        <v>17299</v>
      </c>
      <c r="BN175" s="542">
        <v>-2208558</v>
      </c>
      <c r="BO175" s="542">
        <v>0</v>
      </c>
      <c r="BP175" s="542">
        <v>-2208558</v>
      </c>
      <c r="BQ175" s="542">
        <v>71489</v>
      </c>
      <c r="BR175" s="542">
        <v>0</v>
      </c>
      <c r="BS175" s="542">
        <v>71489</v>
      </c>
      <c r="BT175" s="542">
        <v>-2119770</v>
      </c>
      <c r="BU175" s="542">
        <v>0</v>
      </c>
      <c r="BV175" s="542">
        <v>-2119770</v>
      </c>
      <c r="BW175" s="542">
        <v>-5770</v>
      </c>
      <c r="BX175" s="542">
        <v>0</v>
      </c>
      <c r="BY175" s="542">
        <v>-5770</v>
      </c>
      <c r="BZ175" s="542">
        <v>0</v>
      </c>
      <c r="CA175" s="542">
        <v>0</v>
      </c>
      <c r="CB175" s="542">
        <v>0</v>
      </c>
      <c r="CC175" s="542">
        <v>-54588</v>
      </c>
      <c r="CD175" s="542">
        <v>0</v>
      </c>
      <c r="CE175" s="542">
        <v>-54588</v>
      </c>
      <c r="CF175" s="542">
        <v>-7992</v>
      </c>
      <c r="CG175" s="542">
        <v>0</v>
      </c>
      <c r="CH175" s="542">
        <v>-7992</v>
      </c>
      <c r="CI175" s="542">
        <v>-5013</v>
      </c>
      <c r="CJ175" s="542">
        <v>0</v>
      </c>
      <c r="CK175" s="542">
        <v>-5013</v>
      </c>
      <c r="CL175" s="542">
        <v>0</v>
      </c>
      <c r="CM175" s="542">
        <v>0</v>
      </c>
      <c r="CN175" s="542">
        <v>0</v>
      </c>
      <c r="CO175" s="542">
        <v>0</v>
      </c>
      <c r="CP175" s="542">
        <v>0</v>
      </c>
      <c r="CQ175" s="542">
        <v>0</v>
      </c>
      <c r="CR175" s="542">
        <v>0</v>
      </c>
      <c r="CS175" s="542">
        <v>0</v>
      </c>
      <c r="CT175" s="542">
        <v>0</v>
      </c>
      <c r="CU175" s="542">
        <v>0</v>
      </c>
      <c r="CV175" s="542">
        <v>0</v>
      </c>
      <c r="CW175" s="542">
        <v>0</v>
      </c>
      <c r="CX175" s="542">
        <v>0</v>
      </c>
      <c r="CY175" s="542">
        <v>0</v>
      </c>
      <c r="CZ175" s="542">
        <v>0</v>
      </c>
      <c r="DA175" s="542">
        <v>0</v>
      </c>
      <c r="DB175" s="542">
        <v>0</v>
      </c>
      <c r="DC175" s="542">
        <v>0</v>
      </c>
      <c r="DD175" s="542">
        <v>0</v>
      </c>
      <c r="DE175" s="542">
        <v>0</v>
      </c>
      <c r="DF175" s="542">
        <v>0</v>
      </c>
      <c r="DG175" s="542"/>
      <c r="DH175" s="542">
        <v>0</v>
      </c>
      <c r="DI175" s="542"/>
      <c r="DJ175" s="542">
        <v>0</v>
      </c>
      <c r="DK175" s="542"/>
      <c r="DL175" s="542"/>
      <c r="DM175" s="542">
        <v>-73363</v>
      </c>
      <c r="DN175" s="542">
        <v>0</v>
      </c>
      <c r="DO175" s="542">
        <v>-73363</v>
      </c>
      <c r="DP175" s="542">
        <v>0</v>
      </c>
      <c r="DQ175" s="542">
        <v>0</v>
      </c>
      <c r="DR175" s="542">
        <v>0</v>
      </c>
      <c r="DS175" s="542">
        <v>1286</v>
      </c>
      <c r="DT175" s="542">
        <v>0</v>
      </c>
      <c r="DU175" s="542">
        <v>1286</v>
      </c>
      <c r="DV175" s="542">
        <v>-23447</v>
      </c>
      <c r="DW175" s="542">
        <v>0</v>
      </c>
      <c r="DX175" s="542">
        <v>-23447</v>
      </c>
      <c r="DY175" s="542">
        <v>-338343</v>
      </c>
      <c r="DZ175" s="542">
        <v>0</v>
      </c>
      <c r="EA175" s="542">
        <v>-338343</v>
      </c>
      <c r="EB175" s="542">
        <v>0</v>
      </c>
      <c r="EC175" s="542">
        <v>0</v>
      </c>
      <c r="ED175" s="542">
        <v>0</v>
      </c>
      <c r="EE175" s="542">
        <v>0</v>
      </c>
      <c r="EF175" s="542">
        <v>0</v>
      </c>
      <c r="EG175" s="542">
        <v>0</v>
      </c>
      <c r="EH175" s="542">
        <v>-360504</v>
      </c>
      <c r="EI175" s="542">
        <v>0</v>
      </c>
      <c r="EJ175" s="542">
        <v>-360504</v>
      </c>
      <c r="EK175" s="542">
        <v>-886887</v>
      </c>
      <c r="EL175" s="542">
        <v>0</v>
      </c>
      <c r="EM175" s="542">
        <v>-886887</v>
      </c>
      <c r="EN175" s="542">
        <v>0</v>
      </c>
      <c r="EO175" s="542">
        <v>0</v>
      </c>
      <c r="EP175" s="542">
        <v>0</v>
      </c>
      <c r="EQ175" s="542">
        <v>-886887</v>
      </c>
      <c r="ER175" s="542">
        <v>0</v>
      </c>
      <c r="ES175" s="542">
        <v>-886887</v>
      </c>
      <c r="ET175" s="542">
        <v>50122602</v>
      </c>
      <c r="EU175" s="542">
        <v>0</v>
      </c>
      <c r="EV175" s="542">
        <v>50122602</v>
      </c>
      <c r="EW175" s="542">
        <v>386408</v>
      </c>
      <c r="EX175" s="542">
        <v>0</v>
      </c>
      <c r="EY175" s="542">
        <v>386408</v>
      </c>
      <c r="EZ175" s="542">
        <v>-6002967</v>
      </c>
      <c r="FA175" s="542">
        <v>0</v>
      </c>
      <c r="FB175" s="542">
        <v>-6002967</v>
      </c>
      <c r="FC175" s="542">
        <v>-2119770</v>
      </c>
      <c r="FD175" s="542">
        <v>0</v>
      </c>
      <c r="FE175" s="542">
        <v>-2119770</v>
      </c>
      <c r="FF175" s="542">
        <v>-73363</v>
      </c>
      <c r="FG175" s="542">
        <v>0</v>
      </c>
      <c r="FH175" s="542">
        <v>-73363</v>
      </c>
      <c r="FI175" s="542">
        <v>-360504</v>
      </c>
      <c r="FJ175" s="542">
        <v>0</v>
      </c>
      <c r="FK175" s="542">
        <v>-360504</v>
      </c>
      <c r="FL175" s="542">
        <v>-886887</v>
      </c>
      <c r="FM175" s="542">
        <v>0</v>
      </c>
      <c r="FN175" s="542">
        <v>-886887</v>
      </c>
      <c r="FO175" s="542">
        <v>-9057083</v>
      </c>
      <c r="FP175" s="542">
        <v>0</v>
      </c>
      <c r="FQ175" s="542">
        <v>-9057083</v>
      </c>
      <c r="FR175" s="542">
        <v>41065519</v>
      </c>
      <c r="FS175" s="542">
        <v>0</v>
      </c>
      <c r="FT175" s="542">
        <v>41065519</v>
      </c>
    </row>
    <row r="176" spans="1:176" ht="12.75" x14ac:dyDescent="0.2">
      <c r="A176" s="93">
        <v>171</v>
      </c>
      <c r="B176" s="145" t="s">
        <v>220</v>
      </c>
      <c r="C176" s="604" t="s">
        <v>770</v>
      </c>
      <c r="D176" s="142" t="s">
        <v>867</v>
      </c>
      <c r="E176" s="149" t="s">
        <v>707</v>
      </c>
      <c r="F176" s="542">
        <v>-69598</v>
      </c>
      <c r="G176" s="542">
        <v>0</v>
      </c>
      <c r="H176" s="542">
        <v>-69598</v>
      </c>
      <c r="I176" s="542">
        <v>489556</v>
      </c>
      <c r="J176" s="542">
        <v>0</v>
      </c>
      <c r="K176" s="542">
        <v>489556</v>
      </c>
      <c r="L176" s="542">
        <v>69044</v>
      </c>
      <c r="M176" s="542">
        <v>0</v>
      </c>
      <c r="N176" s="542">
        <v>69044</v>
      </c>
      <c r="O176" s="542">
        <v>1433295</v>
      </c>
      <c r="P176" s="542">
        <v>0</v>
      </c>
      <c r="Q176" s="542">
        <v>1433295</v>
      </c>
      <c r="R176" s="542">
        <v>1922297</v>
      </c>
      <c r="S176" s="542">
        <v>0</v>
      </c>
      <c r="T176" s="542">
        <v>1922297</v>
      </c>
      <c r="U176" s="542">
        <v>-3332450</v>
      </c>
      <c r="V176" s="542">
        <v>0</v>
      </c>
      <c r="W176" s="542">
        <v>-3332450</v>
      </c>
      <c r="X176" s="542">
        <v>-15029</v>
      </c>
      <c r="Y176" s="542">
        <v>0</v>
      </c>
      <c r="Z176" s="542">
        <v>-15029</v>
      </c>
      <c r="AA176" s="542">
        <v>-240638</v>
      </c>
      <c r="AB176" s="542">
        <v>0</v>
      </c>
      <c r="AC176" s="542">
        <v>-240638</v>
      </c>
      <c r="AD176" s="542">
        <v>-103976</v>
      </c>
      <c r="AE176" s="542">
        <v>0</v>
      </c>
      <c r="AF176" s="542">
        <v>-103976</v>
      </c>
      <c r="AG176" s="542">
        <v>3694683</v>
      </c>
      <c r="AH176" s="542">
        <v>0</v>
      </c>
      <c r="AI176" s="542">
        <v>3694683</v>
      </c>
      <c r="AJ176" s="542">
        <v>163718</v>
      </c>
      <c r="AK176" s="542">
        <v>0</v>
      </c>
      <c r="AL176" s="542">
        <v>163718</v>
      </c>
      <c r="AM176" s="542">
        <v>-8233602</v>
      </c>
      <c r="AN176" s="542">
        <v>0</v>
      </c>
      <c r="AO176" s="542">
        <v>-8233602</v>
      </c>
      <c r="AP176" s="542">
        <v>-593676</v>
      </c>
      <c r="AQ176" s="542">
        <v>0</v>
      </c>
      <c r="AR176" s="542">
        <v>-593676</v>
      </c>
      <c r="AS176" s="542">
        <v>-64359</v>
      </c>
      <c r="AT176" s="542">
        <v>0</v>
      </c>
      <c r="AU176" s="542">
        <v>-64359</v>
      </c>
      <c r="AV176" s="542">
        <v>0</v>
      </c>
      <c r="AW176" s="542">
        <v>0</v>
      </c>
      <c r="AX176" s="542">
        <v>0</v>
      </c>
      <c r="AY176" s="542">
        <v>-12815</v>
      </c>
      <c r="AZ176" s="542">
        <v>0</v>
      </c>
      <c r="BA176" s="542">
        <v>-12815</v>
      </c>
      <c r="BB176" s="542">
        <v>0</v>
      </c>
      <c r="BC176" s="542">
        <v>0</v>
      </c>
      <c r="BD176" s="542">
        <v>0</v>
      </c>
      <c r="BE176" s="542">
        <v>-8619139</v>
      </c>
      <c r="BF176" s="542">
        <v>0</v>
      </c>
      <c r="BG176" s="542">
        <v>-8619139</v>
      </c>
      <c r="BH176" s="542">
        <v>-47000</v>
      </c>
      <c r="BI176" s="542">
        <v>0</v>
      </c>
      <c r="BJ176" s="542">
        <v>-47000</v>
      </c>
      <c r="BK176" s="542">
        <v>-240528</v>
      </c>
      <c r="BL176" s="542">
        <v>0</v>
      </c>
      <c r="BM176" s="542">
        <v>-240528</v>
      </c>
      <c r="BN176" s="542">
        <v>-4468136</v>
      </c>
      <c r="BO176" s="542">
        <v>0</v>
      </c>
      <c r="BP176" s="542">
        <v>-4468136</v>
      </c>
      <c r="BQ176" s="542">
        <v>34250</v>
      </c>
      <c r="BR176" s="542">
        <v>0</v>
      </c>
      <c r="BS176" s="542">
        <v>34250</v>
      </c>
      <c r="BT176" s="542">
        <v>-4721414</v>
      </c>
      <c r="BU176" s="542">
        <v>0</v>
      </c>
      <c r="BV176" s="542">
        <v>-4721414</v>
      </c>
      <c r="BW176" s="542">
        <v>-405747</v>
      </c>
      <c r="BX176" s="542">
        <v>0</v>
      </c>
      <c r="BY176" s="542">
        <v>-405747</v>
      </c>
      <c r="BZ176" s="542">
        <v>17507</v>
      </c>
      <c r="CA176" s="542">
        <v>0</v>
      </c>
      <c r="CB176" s="542">
        <v>17507</v>
      </c>
      <c r="CC176" s="542">
        <v>-42435</v>
      </c>
      <c r="CD176" s="542">
        <v>0</v>
      </c>
      <c r="CE176" s="542">
        <v>-42435</v>
      </c>
      <c r="CF176" s="542">
        <v>-623</v>
      </c>
      <c r="CG176" s="542">
        <v>0</v>
      </c>
      <c r="CH176" s="542">
        <v>-623</v>
      </c>
      <c r="CI176" s="542">
        <v>-16090</v>
      </c>
      <c r="CJ176" s="542">
        <v>0</v>
      </c>
      <c r="CK176" s="542">
        <v>-16090</v>
      </c>
      <c r="CL176" s="542">
        <v>0</v>
      </c>
      <c r="CM176" s="542">
        <v>0</v>
      </c>
      <c r="CN176" s="542">
        <v>0</v>
      </c>
      <c r="CO176" s="542">
        <v>0</v>
      </c>
      <c r="CP176" s="542">
        <v>0</v>
      </c>
      <c r="CQ176" s="542">
        <v>0</v>
      </c>
      <c r="CR176" s="542">
        <v>0</v>
      </c>
      <c r="CS176" s="542">
        <v>0</v>
      </c>
      <c r="CT176" s="542">
        <v>0</v>
      </c>
      <c r="CU176" s="542">
        <v>0</v>
      </c>
      <c r="CV176" s="542">
        <v>0</v>
      </c>
      <c r="CW176" s="542">
        <v>0</v>
      </c>
      <c r="CX176" s="542">
        <v>0</v>
      </c>
      <c r="CY176" s="542">
        <v>0</v>
      </c>
      <c r="CZ176" s="542">
        <v>0</v>
      </c>
      <c r="DA176" s="542">
        <v>0</v>
      </c>
      <c r="DB176" s="542">
        <v>0</v>
      </c>
      <c r="DC176" s="542">
        <v>0</v>
      </c>
      <c r="DD176" s="542">
        <v>0</v>
      </c>
      <c r="DE176" s="542">
        <v>0</v>
      </c>
      <c r="DF176" s="542">
        <v>0</v>
      </c>
      <c r="DG176" s="542"/>
      <c r="DH176" s="542">
        <v>0</v>
      </c>
      <c r="DI176" s="542"/>
      <c r="DJ176" s="542">
        <v>0</v>
      </c>
      <c r="DK176" s="542"/>
      <c r="DL176" s="542"/>
      <c r="DM176" s="542">
        <v>-447388</v>
      </c>
      <c r="DN176" s="542">
        <v>0</v>
      </c>
      <c r="DO176" s="542">
        <v>-447388</v>
      </c>
      <c r="DP176" s="542">
        <v>0</v>
      </c>
      <c r="DQ176" s="542">
        <v>0</v>
      </c>
      <c r="DR176" s="542">
        <v>0</v>
      </c>
      <c r="DS176" s="542">
        <v>0</v>
      </c>
      <c r="DT176" s="542">
        <v>0</v>
      </c>
      <c r="DU176" s="542">
        <v>0</v>
      </c>
      <c r="DV176" s="542">
        <v>-10853</v>
      </c>
      <c r="DW176" s="542">
        <v>0</v>
      </c>
      <c r="DX176" s="542">
        <v>-10853</v>
      </c>
      <c r="DY176" s="542">
        <v>-710223</v>
      </c>
      <c r="DZ176" s="542">
        <v>0</v>
      </c>
      <c r="EA176" s="542">
        <v>-710223</v>
      </c>
      <c r="EB176" s="542">
        <v>0</v>
      </c>
      <c r="EC176" s="542">
        <v>0</v>
      </c>
      <c r="ED176" s="542">
        <v>0</v>
      </c>
      <c r="EE176" s="542">
        <v>0</v>
      </c>
      <c r="EF176" s="542">
        <v>0</v>
      </c>
      <c r="EG176" s="542">
        <v>0</v>
      </c>
      <c r="EH176" s="542">
        <v>-721076</v>
      </c>
      <c r="EI176" s="542">
        <v>0</v>
      </c>
      <c r="EJ176" s="542">
        <v>-721076</v>
      </c>
      <c r="EK176" s="542">
        <v>0</v>
      </c>
      <c r="EL176" s="542">
        <v>0</v>
      </c>
      <c r="EM176" s="542">
        <v>0</v>
      </c>
      <c r="EN176" s="542">
        <v>1109</v>
      </c>
      <c r="EO176" s="542">
        <v>0</v>
      </c>
      <c r="EP176" s="542">
        <v>1109</v>
      </c>
      <c r="EQ176" s="542">
        <v>1109</v>
      </c>
      <c r="ER176" s="542">
        <v>0</v>
      </c>
      <c r="ES176" s="542">
        <v>1109</v>
      </c>
      <c r="ET176" s="542">
        <v>163316863</v>
      </c>
      <c r="EU176" s="542">
        <v>0</v>
      </c>
      <c r="EV176" s="542">
        <v>163316863</v>
      </c>
      <c r="EW176" s="542">
        <v>1922297</v>
      </c>
      <c r="EX176" s="542">
        <v>0</v>
      </c>
      <c r="EY176" s="542">
        <v>1922297</v>
      </c>
      <c r="EZ176" s="542">
        <v>-8619139</v>
      </c>
      <c r="FA176" s="542">
        <v>0</v>
      </c>
      <c r="FB176" s="542">
        <v>-8619139</v>
      </c>
      <c r="FC176" s="542">
        <v>-4721414</v>
      </c>
      <c r="FD176" s="542">
        <v>0</v>
      </c>
      <c r="FE176" s="542">
        <v>-4721414</v>
      </c>
      <c r="FF176" s="542">
        <v>-447388</v>
      </c>
      <c r="FG176" s="542">
        <v>0</v>
      </c>
      <c r="FH176" s="542">
        <v>-447388</v>
      </c>
      <c r="FI176" s="542">
        <v>-721076</v>
      </c>
      <c r="FJ176" s="542">
        <v>0</v>
      </c>
      <c r="FK176" s="542">
        <v>-721076</v>
      </c>
      <c r="FL176" s="542">
        <v>1109</v>
      </c>
      <c r="FM176" s="542">
        <v>0</v>
      </c>
      <c r="FN176" s="542">
        <v>1109</v>
      </c>
      <c r="FO176" s="542">
        <v>-12585611</v>
      </c>
      <c r="FP176" s="542">
        <v>0</v>
      </c>
      <c r="FQ176" s="542">
        <v>-12585611</v>
      </c>
      <c r="FR176" s="542">
        <v>150731252</v>
      </c>
      <c r="FS176" s="542">
        <v>0</v>
      </c>
      <c r="FT176" s="542">
        <v>150731252</v>
      </c>
    </row>
    <row r="177" spans="1:176" ht="12.75" x14ac:dyDescent="0.2">
      <c r="A177" s="93">
        <v>172</v>
      </c>
      <c r="B177" s="145" t="s">
        <v>222</v>
      </c>
      <c r="C177" s="604" t="s">
        <v>866</v>
      </c>
      <c r="D177" s="142" t="s">
        <v>867</v>
      </c>
      <c r="E177" s="149" t="s">
        <v>221</v>
      </c>
      <c r="F177" s="542">
        <v>-16799</v>
      </c>
      <c r="G177" s="542">
        <v>0</v>
      </c>
      <c r="H177" s="542">
        <v>-16799</v>
      </c>
      <c r="I177" s="542">
        <v>49448</v>
      </c>
      <c r="J177" s="542">
        <v>0</v>
      </c>
      <c r="K177" s="542">
        <v>49448</v>
      </c>
      <c r="L177" s="542">
        <v>7101</v>
      </c>
      <c r="M177" s="542">
        <v>0</v>
      </c>
      <c r="N177" s="542">
        <v>7101</v>
      </c>
      <c r="O177" s="542">
        <v>21057</v>
      </c>
      <c r="P177" s="542">
        <v>0</v>
      </c>
      <c r="Q177" s="542">
        <v>21057</v>
      </c>
      <c r="R177" s="542">
        <v>60807</v>
      </c>
      <c r="S177" s="542">
        <v>0</v>
      </c>
      <c r="T177" s="542">
        <v>60807</v>
      </c>
      <c r="U177" s="542">
        <v>-1820848</v>
      </c>
      <c r="V177" s="542">
        <v>0</v>
      </c>
      <c r="W177" s="542">
        <v>-1820848</v>
      </c>
      <c r="X177" s="542">
        <v>-6424</v>
      </c>
      <c r="Y177" s="542">
        <v>0</v>
      </c>
      <c r="Z177" s="542">
        <v>-6424</v>
      </c>
      <c r="AA177" s="542">
        <v>-149820</v>
      </c>
      <c r="AB177" s="542">
        <v>0</v>
      </c>
      <c r="AC177" s="542">
        <v>-149820</v>
      </c>
      <c r="AD177" s="542">
        <v>-59920</v>
      </c>
      <c r="AE177" s="542">
        <v>0</v>
      </c>
      <c r="AF177" s="542">
        <v>-59920</v>
      </c>
      <c r="AG177" s="542">
        <v>844421</v>
      </c>
      <c r="AH177" s="542">
        <v>0</v>
      </c>
      <c r="AI177" s="542">
        <v>844421</v>
      </c>
      <c r="AJ177" s="542">
        <v>-10183</v>
      </c>
      <c r="AK177" s="542">
        <v>0</v>
      </c>
      <c r="AL177" s="542">
        <v>-10183</v>
      </c>
      <c r="AM177" s="542">
        <v>-2092650</v>
      </c>
      <c r="AN177" s="542">
        <v>0</v>
      </c>
      <c r="AO177" s="542">
        <v>-2092650</v>
      </c>
      <c r="AP177" s="542">
        <v>-3368</v>
      </c>
      <c r="AQ177" s="542">
        <v>0</v>
      </c>
      <c r="AR177" s="542">
        <v>-3368</v>
      </c>
      <c r="AS177" s="542">
        <v>-30029</v>
      </c>
      <c r="AT177" s="542">
        <v>0</v>
      </c>
      <c r="AU177" s="542">
        <v>-30029</v>
      </c>
      <c r="AV177" s="542">
        <v>11064</v>
      </c>
      <c r="AW177" s="542">
        <v>0</v>
      </c>
      <c r="AX177" s="542">
        <v>11064</v>
      </c>
      <c r="AY177" s="542">
        <v>-10411</v>
      </c>
      <c r="AZ177" s="542">
        <v>0</v>
      </c>
      <c r="BA177" s="542">
        <v>-10411</v>
      </c>
      <c r="BB177" s="542">
        <v>145</v>
      </c>
      <c r="BC177" s="542">
        <v>0</v>
      </c>
      <c r="BD177" s="542">
        <v>145</v>
      </c>
      <c r="BE177" s="542">
        <v>-3261679</v>
      </c>
      <c r="BF177" s="542">
        <v>0</v>
      </c>
      <c r="BG177" s="542">
        <v>-3261679</v>
      </c>
      <c r="BH177" s="542">
        <v>-8034</v>
      </c>
      <c r="BI177" s="542">
        <v>0</v>
      </c>
      <c r="BJ177" s="542">
        <v>-8034</v>
      </c>
      <c r="BK177" s="542">
        <v>-4476</v>
      </c>
      <c r="BL177" s="542">
        <v>0</v>
      </c>
      <c r="BM177" s="542">
        <v>-4476</v>
      </c>
      <c r="BN177" s="542">
        <v>-1073347</v>
      </c>
      <c r="BO177" s="542">
        <v>0</v>
      </c>
      <c r="BP177" s="542">
        <v>-1073347</v>
      </c>
      <c r="BQ177" s="542">
        <v>-48995</v>
      </c>
      <c r="BR177" s="542">
        <v>0</v>
      </c>
      <c r="BS177" s="542">
        <v>-48995</v>
      </c>
      <c r="BT177" s="542">
        <v>-1134852</v>
      </c>
      <c r="BU177" s="542">
        <v>0</v>
      </c>
      <c r="BV177" s="542">
        <v>-1134852</v>
      </c>
      <c r="BW177" s="542">
        <v>-21489</v>
      </c>
      <c r="BX177" s="542">
        <v>0</v>
      </c>
      <c r="BY177" s="542">
        <v>-21489</v>
      </c>
      <c r="BZ177" s="542">
        <v>-35</v>
      </c>
      <c r="CA177" s="542">
        <v>0</v>
      </c>
      <c r="CB177" s="542">
        <v>-35</v>
      </c>
      <c r="CC177" s="542">
        <v>-13574</v>
      </c>
      <c r="CD177" s="542">
        <v>0</v>
      </c>
      <c r="CE177" s="542">
        <v>-13574</v>
      </c>
      <c r="CF177" s="542">
        <v>0</v>
      </c>
      <c r="CG177" s="542">
        <v>0</v>
      </c>
      <c r="CH177" s="542">
        <v>0</v>
      </c>
      <c r="CI177" s="542">
        <v>-1746</v>
      </c>
      <c r="CJ177" s="542">
        <v>0</v>
      </c>
      <c r="CK177" s="542">
        <v>-1746</v>
      </c>
      <c r="CL177" s="542">
        <v>0</v>
      </c>
      <c r="CM177" s="542">
        <v>0</v>
      </c>
      <c r="CN177" s="542">
        <v>0</v>
      </c>
      <c r="CO177" s="542">
        <v>-9086</v>
      </c>
      <c r="CP177" s="542">
        <v>0</v>
      </c>
      <c r="CQ177" s="542">
        <v>-9086</v>
      </c>
      <c r="CR177" s="542">
        <v>145</v>
      </c>
      <c r="CS177" s="542">
        <v>0</v>
      </c>
      <c r="CT177" s="542">
        <v>145</v>
      </c>
      <c r="CU177" s="542">
        <v>-27638</v>
      </c>
      <c r="CV177" s="542">
        <v>0</v>
      </c>
      <c r="CW177" s="542">
        <v>-27638</v>
      </c>
      <c r="CX177" s="542">
        <v>0</v>
      </c>
      <c r="CY177" s="542">
        <v>0</v>
      </c>
      <c r="CZ177" s="542">
        <v>0</v>
      </c>
      <c r="DA177" s="542">
        <v>0</v>
      </c>
      <c r="DB177" s="542">
        <v>0</v>
      </c>
      <c r="DC177" s="542">
        <v>0</v>
      </c>
      <c r="DD177" s="542">
        <v>0</v>
      </c>
      <c r="DE177" s="542">
        <v>0</v>
      </c>
      <c r="DF177" s="542">
        <v>0</v>
      </c>
      <c r="DG177" s="542"/>
      <c r="DH177" s="542">
        <v>0</v>
      </c>
      <c r="DI177" s="542"/>
      <c r="DJ177" s="542">
        <v>0</v>
      </c>
      <c r="DK177" s="542"/>
      <c r="DL177" s="542"/>
      <c r="DM177" s="542">
        <v>-73423</v>
      </c>
      <c r="DN177" s="542">
        <v>0</v>
      </c>
      <c r="DO177" s="542">
        <v>-73423</v>
      </c>
      <c r="DP177" s="542">
        <v>0</v>
      </c>
      <c r="DQ177" s="542">
        <v>0</v>
      </c>
      <c r="DR177" s="542">
        <v>0</v>
      </c>
      <c r="DS177" s="542">
        <v>0</v>
      </c>
      <c r="DT177" s="542">
        <v>0</v>
      </c>
      <c r="DU177" s="542">
        <v>0</v>
      </c>
      <c r="DV177" s="542">
        <v>-4547</v>
      </c>
      <c r="DW177" s="542">
        <v>0</v>
      </c>
      <c r="DX177" s="542">
        <v>-4547</v>
      </c>
      <c r="DY177" s="542">
        <v>-311967</v>
      </c>
      <c r="DZ177" s="542">
        <v>0</v>
      </c>
      <c r="EA177" s="542">
        <v>-311967</v>
      </c>
      <c r="EB177" s="542">
        <v>0</v>
      </c>
      <c r="EC177" s="542">
        <v>0</v>
      </c>
      <c r="ED177" s="542">
        <v>0</v>
      </c>
      <c r="EE177" s="542">
        <v>-136864</v>
      </c>
      <c r="EF177" s="542">
        <v>0</v>
      </c>
      <c r="EG177" s="542">
        <v>-136864</v>
      </c>
      <c r="EH177" s="542">
        <v>-453378</v>
      </c>
      <c r="EI177" s="542">
        <v>0</v>
      </c>
      <c r="EJ177" s="542">
        <v>-453378</v>
      </c>
      <c r="EK177" s="542">
        <v>0</v>
      </c>
      <c r="EL177" s="542">
        <v>0</v>
      </c>
      <c r="EM177" s="542">
        <v>0</v>
      </c>
      <c r="EN177" s="542">
        <v>0</v>
      </c>
      <c r="EO177" s="542">
        <v>0</v>
      </c>
      <c r="EP177" s="542">
        <v>0</v>
      </c>
      <c r="EQ177" s="542">
        <v>0</v>
      </c>
      <c r="ER177" s="542">
        <v>0</v>
      </c>
      <c r="ES177" s="542">
        <v>0</v>
      </c>
      <c r="ET177" s="542">
        <v>41824575</v>
      </c>
      <c r="EU177" s="542">
        <v>0</v>
      </c>
      <c r="EV177" s="542">
        <v>41824575</v>
      </c>
      <c r="EW177" s="542">
        <v>60807</v>
      </c>
      <c r="EX177" s="542">
        <v>0</v>
      </c>
      <c r="EY177" s="542">
        <v>60807</v>
      </c>
      <c r="EZ177" s="542">
        <v>-3261679</v>
      </c>
      <c r="FA177" s="542">
        <v>0</v>
      </c>
      <c r="FB177" s="542">
        <v>-3261679</v>
      </c>
      <c r="FC177" s="542">
        <v>-1134852</v>
      </c>
      <c r="FD177" s="542">
        <v>0</v>
      </c>
      <c r="FE177" s="542">
        <v>-1134852</v>
      </c>
      <c r="FF177" s="542">
        <v>-73423</v>
      </c>
      <c r="FG177" s="542">
        <v>0</v>
      </c>
      <c r="FH177" s="542">
        <v>-73423</v>
      </c>
      <c r="FI177" s="542">
        <v>-453378</v>
      </c>
      <c r="FJ177" s="542">
        <v>0</v>
      </c>
      <c r="FK177" s="542">
        <v>-453378</v>
      </c>
      <c r="FL177" s="542">
        <v>0</v>
      </c>
      <c r="FM177" s="542">
        <v>0</v>
      </c>
      <c r="FN177" s="542">
        <v>0</v>
      </c>
      <c r="FO177" s="542">
        <v>-4862525</v>
      </c>
      <c r="FP177" s="542">
        <v>0</v>
      </c>
      <c r="FQ177" s="542">
        <v>-4862525</v>
      </c>
      <c r="FR177" s="542">
        <v>36962050</v>
      </c>
      <c r="FS177" s="542">
        <v>0</v>
      </c>
      <c r="FT177" s="542">
        <v>36962050</v>
      </c>
    </row>
    <row r="178" spans="1:176" ht="12.75" x14ac:dyDescent="0.2">
      <c r="A178" s="93">
        <v>173</v>
      </c>
      <c r="B178" s="145" t="s">
        <v>224</v>
      </c>
      <c r="C178" s="604" t="s">
        <v>866</v>
      </c>
      <c r="D178" s="142" t="s">
        <v>867</v>
      </c>
      <c r="E178" s="149" t="s">
        <v>223</v>
      </c>
      <c r="F178" s="542">
        <v>-554805</v>
      </c>
      <c r="G178" s="542">
        <v>0</v>
      </c>
      <c r="H178" s="542">
        <v>-554805</v>
      </c>
      <c r="I178" s="542">
        <v>138926</v>
      </c>
      <c r="J178" s="542">
        <v>0</v>
      </c>
      <c r="K178" s="542">
        <v>138926</v>
      </c>
      <c r="L178" s="542">
        <v>34771</v>
      </c>
      <c r="M178" s="542">
        <v>0</v>
      </c>
      <c r="N178" s="542">
        <v>34771</v>
      </c>
      <c r="O178" s="542">
        <v>75289</v>
      </c>
      <c r="P178" s="542">
        <v>0</v>
      </c>
      <c r="Q178" s="542">
        <v>75289</v>
      </c>
      <c r="R178" s="542">
        <v>-305819</v>
      </c>
      <c r="S178" s="542">
        <v>0</v>
      </c>
      <c r="T178" s="542">
        <v>-305819</v>
      </c>
      <c r="U178" s="542">
        <v>-4230479</v>
      </c>
      <c r="V178" s="542">
        <v>0</v>
      </c>
      <c r="W178" s="542">
        <v>-4230479</v>
      </c>
      <c r="X178" s="542">
        <v>-722.39</v>
      </c>
      <c r="Y178" s="542">
        <v>0</v>
      </c>
      <c r="Z178" s="542">
        <v>-722.39</v>
      </c>
      <c r="AA178" s="542">
        <v>-206144</v>
      </c>
      <c r="AB178" s="542">
        <v>0</v>
      </c>
      <c r="AC178" s="542">
        <v>-206144</v>
      </c>
      <c r="AD178" s="542">
        <v>-65598</v>
      </c>
      <c r="AE178" s="542">
        <v>0</v>
      </c>
      <c r="AF178" s="542">
        <v>-65598</v>
      </c>
      <c r="AG178" s="542">
        <v>1458817</v>
      </c>
      <c r="AH178" s="542">
        <v>0</v>
      </c>
      <c r="AI178" s="542">
        <v>1458817</v>
      </c>
      <c r="AJ178" s="542">
        <v>29321</v>
      </c>
      <c r="AK178" s="542">
        <v>0</v>
      </c>
      <c r="AL178" s="542">
        <v>29321</v>
      </c>
      <c r="AM178" s="542">
        <v>-3190497</v>
      </c>
      <c r="AN178" s="542">
        <v>0</v>
      </c>
      <c r="AO178" s="542">
        <v>-3190497</v>
      </c>
      <c r="AP178" s="542">
        <v>35433</v>
      </c>
      <c r="AQ178" s="542">
        <v>0</v>
      </c>
      <c r="AR178" s="542">
        <v>35433</v>
      </c>
      <c r="AS178" s="542">
        <v>-128401</v>
      </c>
      <c r="AT178" s="542">
        <v>0</v>
      </c>
      <c r="AU178" s="542">
        <v>-128401</v>
      </c>
      <c r="AV178" s="542">
        <v>0</v>
      </c>
      <c r="AW178" s="542">
        <v>0</v>
      </c>
      <c r="AX178" s="542">
        <v>0</v>
      </c>
      <c r="AY178" s="542">
        <v>-18297</v>
      </c>
      <c r="AZ178" s="542">
        <v>0</v>
      </c>
      <c r="BA178" s="542">
        <v>-18297</v>
      </c>
      <c r="BB178" s="542">
        <v>0</v>
      </c>
      <c r="BC178" s="542">
        <v>0</v>
      </c>
      <c r="BD178" s="542">
        <v>0</v>
      </c>
      <c r="BE178" s="542">
        <v>-6250247</v>
      </c>
      <c r="BF178" s="542">
        <v>0</v>
      </c>
      <c r="BG178" s="542">
        <v>-6250247</v>
      </c>
      <c r="BH178" s="542">
        <v>-9684</v>
      </c>
      <c r="BI178" s="542">
        <v>0</v>
      </c>
      <c r="BJ178" s="542">
        <v>-9684</v>
      </c>
      <c r="BK178" s="542">
        <v>-2460</v>
      </c>
      <c r="BL178" s="542">
        <v>0</v>
      </c>
      <c r="BM178" s="542">
        <v>-2460</v>
      </c>
      <c r="BN178" s="542">
        <v>-1266277</v>
      </c>
      <c r="BO178" s="542">
        <v>0</v>
      </c>
      <c r="BP178" s="542">
        <v>-1266277</v>
      </c>
      <c r="BQ178" s="542">
        <v>217465</v>
      </c>
      <c r="BR178" s="542">
        <v>0</v>
      </c>
      <c r="BS178" s="542">
        <v>217465</v>
      </c>
      <c r="BT178" s="542">
        <v>-1060956</v>
      </c>
      <c r="BU178" s="542">
        <v>0</v>
      </c>
      <c r="BV178" s="542">
        <v>-1060956</v>
      </c>
      <c r="BW178" s="542">
        <v>-106596</v>
      </c>
      <c r="BX178" s="542">
        <v>0</v>
      </c>
      <c r="BY178" s="542">
        <v>-106596</v>
      </c>
      <c r="BZ178" s="542">
        <v>-25070</v>
      </c>
      <c r="CA178" s="542">
        <v>0</v>
      </c>
      <c r="CB178" s="542">
        <v>-25070</v>
      </c>
      <c r="CC178" s="542">
        <v>-47283</v>
      </c>
      <c r="CD178" s="542">
        <v>0</v>
      </c>
      <c r="CE178" s="542">
        <v>-47283</v>
      </c>
      <c r="CF178" s="542">
        <v>-2356</v>
      </c>
      <c r="CG178" s="542">
        <v>0</v>
      </c>
      <c r="CH178" s="542">
        <v>-2356</v>
      </c>
      <c r="CI178" s="542">
        <v>-2367</v>
      </c>
      <c r="CJ178" s="542">
        <v>0</v>
      </c>
      <c r="CK178" s="542">
        <v>-2367</v>
      </c>
      <c r="CL178" s="542">
        <v>0</v>
      </c>
      <c r="CM178" s="542">
        <v>0</v>
      </c>
      <c r="CN178" s="542">
        <v>0</v>
      </c>
      <c r="CO178" s="542">
        <v>-9672</v>
      </c>
      <c r="CP178" s="542">
        <v>0</v>
      </c>
      <c r="CQ178" s="542">
        <v>-9672</v>
      </c>
      <c r="CR178" s="542">
        <v>0</v>
      </c>
      <c r="CS178" s="542">
        <v>0</v>
      </c>
      <c r="CT178" s="542">
        <v>0</v>
      </c>
      <c r="CU178" s="542">
        <v>-5299</v>
      </c>
      <c r="CV178" s="542">
        <v>0</v>
      </c>
      <c r="CW178" s="542">
        <v>-5299</v>
      </c>
      <c r="CX178" s="542">
        <v>0</v>
      </c>
      <c r="CY178" s="542">
        <v>0</v>
      </c>
      <c r="CZ178" s="542">
        <v>0</v>
      </c>
      <c r="DA178" s="542">
        <v>0</v>
      </c>
      <c r="DB178" s="542">
        <v>0</v>
      </c>
      <c r="DC178" s="542">
        <v>0</v>
      </c>
      <c r="DD178" s="542">
        <v>0</v>
      </c>
      <c r="DE178" s="542">
        <v>0</v>
      </c>
      <c r="DF178" s="542">
        <v>0</v>
      </c>
      <c r="DG178" s="542"/>
      <c r="DH178" s="542">
        <v>0</v>
      </c>
      <c r="DI178" s="542"/>
      <c r="DJ178" s="542">
        <v>0</v>
      </c>
      <c r="DK178" s="542"/>
      <c r="DL178" s="542"/>
      <c r="DM178" s="542">
        <v>-198643</v>
      </c>
      <c r="DN178" s="542">
        <v>0</v>
      </c>
      <c r="DO178" s="542">
        <v>-198643</v>
      </c>
      <c r="DP178" s="542">
        <v>0</v>
      </c>
      <c r="DQ178" s="542">
        <v>0</v>
      </c>
      <c r="DR178" s="542">
        <v>0</v>
      </c>
      <c r="DS178" s="542">
        <v>0</v>
      </c>
      <c r="DT178" s="542">
        <v>0</v>
      </c>
      <c r="DU178" s="542">
        <v>0</v>
      </c>
      <c r="DV178" s="542">
        <v>-32010</v>
      </c>
      <c r="DW178" s="542">
        <v>0</v>
      </c>
      <c r="DX178" s="542">
        <v>-32010</v>
      </c>
      <c r="DY178" s="542">
        <v>-814324</v>
      </c>
      <c r="DZ178" s="542">
        <v>0</v>
      </c>
      <c r="EA178" s="542">
        <v>-814324</v>
      </c>
      <c r="EB178" s="542">
        <v>-5510</v>
      </c>
      <c r="EC178" s="542">
        <v>0</v>
      </c>
      <c r="ED178" s="542">
        <v>-5510</v>
      </c>
      <c r="EE178" s="542">
        <v>-25389</v>
      </c>
      <c r="EF178" s="542">
        <v>0</v>
      </c>
      <c r="EG178" s="542">
        <v>-25389</v>
      </c>
      <c r="EH178" s="542">
        <v>-877233</v>
      </c>
      <c r="EI178" s="542">
        <v>0</v>
      </c>
      <c r="EJ178" s="542">
        <v>-877233</v>
      </c>
      <c r="EK178" s="542">
        <v>-6277</v>
      </c>
      <c r="EL178" s="542">
        <v>0</v>
      </c>
      <c r="EM178" s="542">
        <v>-6277</v>
      </c>
      <c r="EN178" s="542">
        <v>0</v>
      </c>
      <c r="EO178" s="542">
        <v>0</v>
      </c>
      <c r="EP178" s="542">
        <v>0</v>
      </c>
      <c r="EQ178" s="542">
        <v>-6277</v>
      </c>
      <c r="ER178" s="542">
        <v>0</v>
      </c>
      <c r="ES178" s="542">
        <v>-6277</v>
      </c>
      <c r="ET178" s="542">
        <v>73629526</v>
      </c>
      <c r="EU178" s="542">
        <v>0</v>
      </c>
      <c r="EV178" s="542">
        <v>73629526</v>
      </c>
      <c r="EW178" s="542">
        <v>-305819</v>
      </c>
      <c r="EX178" s="542">
        <v>0</v>
      </c>
      <c r="EY178" s="542">
        <v>-305819</v>
      </c>
      <c r="EZ178" s="542">
        <v>-6250247</v>
      </c>
      <c r="FA178" s="542">
        <v>0</v>
      </c>
      <c r="FB178" s="542">
        <v>-6250247</v>
      </c>
      <c r="FC178" s="542">
        <v>-1060956</v>
      </c>
      <c r="FD178" s="542">
        <v>0</v>
      </c>
      <c r="FE178" s="542">
        <v>-1060956</v>
      </c>
      <c r="FF178" s="542">
        <v>-198643</v>
      </c>
      <c r="FG178" s="542">
        <v>0</v>
      </c>
      <c r="FH178" s="542">
        <v>-198643</v>
      </c>
      <c r="FI178" s="542">
        <v>-877233</v>
      </c>
      <c r="FJ178" s="542">
        <v>0</v>
      </c>
      <c r="FK178" s="542">
        <v>-877233</v>
      </c>
      <c r="FL178" s="542">
        <v>-6277</v>
      </c>
      <c r="FM178" s="542">
        <v>0</v>
      </c>
      <c r="FN178" s="542">
        <v>-6277</v>
      </c>
      <c r="FO178" s="542">
        <v>-8699175</v>
      </c>
      <c r="FP178" s="542">
        <v>0</v>
      </c>
      <c r="FQ178" s="542">
        <v>-8699175</v>
      </c>
      <c r="FR178" s="542">
        <v>64930351</v>
      </c>
      <c r="FS178" s="542">
        <v>0</v>
      </c>
      <c r="FT178" s="542">
        <v>64930351</v>
      </c>
    </row>
    <row r="179" spans="1:176" ht="12.75" x14ac:dyDescent="0.2">
      <c r="A179" s="93">
        <v>174</v>
      </c>
      <c r="B179" s="145" t="s">
        <v>226</v>
      </c>
      <c r="C179" s="604" t="s">
        <v>866</v>
      </c>
      <c r="D179" s="142" t="s">
        <v>869</v>
      </c>
      <c r="E179" s="149" t="s">
        <v>708</v>
      </c>
      <c r="F179" s="542">
        <v>-44796</v>
      </c>
      <c r="G179" s="542">
        <v>0</v>
      </c>
      <c r="H179" s="542">
        <v>-44796</v>
      </c>
      <c r="I179" s="542">
        <v>104176</v>
      </c>
      <c r="J179" s="542">
        <v>0</v>
      </c>
      <c r="K179" s="542">
        <v>104176</v>
      </c>
      <c r="L179" s="542">
        <v>22798</v>
      </c>
      <c r="M179" s="542">
        <v>0</v>
      </c>
      <c r="N179" s="542">
        <v>22798</v>
      </c>
      <c r="O179" s="542">
        <v>303487</v>
      </c>
      <c r="P179" s="542">
        <v>0</v>
      </c>
      <c r="Q179" s="542">
        <v>303487</v>
      </c>
      <c r="R179" s="542">
        <v>385665</v>
      </c>
      <c r="S179" s="542">
        <v>0</v>
      </c>
      <c r="T179" s="542">
        <v>385665</v>
      </c>
      <c r="U179" s="542">
        <v>-2496400</v>
      </c>
      <c r="V179" s="542">
        <v>0</v>
      </c>
      <c r="W179" s="542">
        <v>-2496400</v>
      </c>
      <c r="X179" s="542">
        <v>0</v>
      </c>
      <c r="Y179" s="542">
        <v>0</v>
      </c>
      <c r="Z179" s="542">
        <v>0</v>
      </c>
      <c r="AA179" s="542">
        <v>-133312</v>
      </c>
      <c r="AB179" s="542">
        <v>0</v>
      </c>
      <c r="AC179" s="542">
        <v>-133312</v>
      </c>
      <c r="AD179" s="542">
        <v>-85331</v>
      </c>
      <c r="AE179" s="542">
        <v>0</v>
      </c>
      <c r="AF179" s="542">
        <v>-85331</v>
      </c>
      <c r="AG179" s="542">
        <v>855588</v>
      </c>
      <c r="AH179" s="542">
        <v>0</v>
      </c>
      <c r="AI179" s="542">
        <v>855588</v>
      </c>
      <c r="AJ179" s="542">
        <v>-30235</v>
      </c>
      <c r="AK179" s="542">
        <v>0</v>
      </c>
      <c r="AL179" s="542">
        <v>-30235</v>
      </c>
      <c r="AM179" s="542">
        <v>-1504225</v>
      </c>
      <c r="AN179" s="542">
        <v>0</v>
      </c>
      <c r="AO179" s="542">
        <v>-1504225</v>
      </c>
      <c r="AP179" s="542">
        <v>164099</v>
      </c>
      <c r="AQ179" s="542">
        <v>0</v>
      </c>
      <c r="AR179" s="542">
        <v>164099</v>
      </c>
      <c r="AS179" s="542">
        <v>-84754</v>
      </c>
      <c r="AT179" s="542">
        <v>0</v>
      </c>
      <c r="AU179" s="542">
        <v>-84754</v>
      </c>
      <c r="AV179" s="542">
        <v>-11</v>
      </c>
      <c r="AW179" s="542">
        <v>0</v>
      </c>
      <c r="AX179" s="542">
        <v>-11</v>
      </c>
      <c r="AY179" s="542">
        <v>-26880</v>
      </c>
      <c r="AZ179" s="542">
        <v>0</v>
      </c>
      <c r="BA179" s="542">
        <v>-26880</v>
      </c>
      <c r="BB179" s="542">
        <v>0</v>
      </c>
      <c r="BC179" s="542">
        <v>0</v>
      </c>
      <c r="BD179" s="542">
        <v>0</v>
      </c>
      <c r="BE179" s="542">
        <v>-3256130</v>
      </c>
      <c r="BF179" s="542">
        <v>0</v>
      </c>
      <c r="BG179" s="542">
        <v>-3256130</v>
      </c>
      <c r="BH179" s="542">
        <v>0</v>
      </c>
      <c r="BI179" s="542">
        <v>0</v>
      </c>
      <c r="BJ179" s="542">
        <v>0</v>
      </c>
      <c r="BK179" s="542">
        <v>415</v>
      </c>
      <c r="BL179" s="542">
        <v>0</v>
      </c>
      <c r="BM179" s="542">
        <v>415</v>
      </c>
      <c r="BN179" s="542">
        <v>-963014</v>
      </c>
      <c r="BO179" s="542">
        <v>0</v>
      </c>
      <c r="BP179" s="542">
        <v>-963014</v>
      </c>
      <c r="BQ179" s="542">
        <v>-78076</v>
      </c>
      <c r="BR179" s="542">
        <v>0</v>
      </c>
      <c r="BS179" s="542">
        <v>-78076</v>
      </c>
      <c r="BT179" s="542">
        <v>-1040675</v>
      </c>
      <c r="BU179" s="542">
        <v>0</v>
      </c>
      <c r="BV179" s="542">
        <v>-1040675</v>
      </c>
      <c r="BW179" s="542">
        <v>-25078</v>
      </c>
      <c r="BX179" s="542">
        <v>0</v>
      </c>
      <c r="BY179" s="542">
        <v>-25078</v>
      </c>
      <c r="BZ179" s="542">
        <v>221</v>
      </c>
      <c r="CA179" s="542">
        <v>0</v>
      </c>
      <c r="CB179" s="542">
        <v>221</v>
      </c>
      <c r="CC179" s="542">
        <v>-50209</v>
      </c>
      <c r="CD179" s="542">
        <v>0</v>
      </c>
      <c r="CE179" s="542">
        <v>-50209</v>
      </c>
      <c r="CF179" s="542">
        <v>241</v>
      </c>
      <c r="CG179" s="542">
        <v>0</v>
      </c>
      <c r="CH179" s="542">
        <v>241</v>
      </c>
      <c r="CI179" s="542">
        <v>0</v>
      </c>
      <c r="CJ179" s="542">
        <v>0</v>
      </c>
      <c r="CK179" s="542">
        <v>0</v>
      </c>
      <c r="CL179" s="542">
        <v>0</v>
      </c>
      <c r="CM179" s="542">
        <v>0</v>
      </c>
      <c r="CN179" s="542">
        <v>0</v>
      </c>
      <c r="CO179" s="542">
        <v>-4361</v>
      </c>
      <c r="CP179" s="542">
        <v>0</v>
      </c>
      <c r="CQ179" s="542">
        <v>-4361</v>
      </c>
      <c r="CR179" s="542">
        <v>0</v>
      </c>
      <c r="CS179" s="542">
        <v>0</v>
      </c>
      <c r="CT179" s="542">
        <v>0</v>
      </c>
      <c r="CU179" s="542">
        <v>0</v>
      </c>
      <c r="CV179" s="542">
        <v>0</v>
      </c>
      <c r="CW179" s="542">
        <v>0</v>
      </c>
      <c r="CX179" s="542">
        <v>0</v>
      </c>
      <c r="CY179" s="542">
        <v>0</v>
      </c>
      <c r="CZ179" s="542">
        <v>0</v>
      </c>
      <c r="DA179" s="542">
        <v>0</v>
      </c>
      <c r="DB179" s="542">
        <v>0</v>
      </c>
      <c r="DC179" s="542">
        <v>0</v>
      </c>
      <c r="DD179" s="542">
        <v>0</v>
      </c>
      <c r="DE179" s="542">
        <v>0</v>
      </c>
      <c r="DF179" s="542">
        <v>0</v>
      </c>
      <c r="DG179" s="542"/>
      <c r="DH179" s="542">
        <v>0</v>
      </c>
      <c r="DI179" s="542"/>
      <c r="DJ179" s="542">
        <v>0</v>
      </c>
      <c r="DK179" s="542"/>
      <c r="DL179" s="542"/>
      <c r="DM179" s="542">
        <v>-79186</v>
      </c>
      <c r="DN179" s="542">
        <v>0</v>
      </c>
      <c r="DO179" s="542">
        <v>-79186</v>
      </c>
      <c r="DP179" s="542">
        <v>0</v>
      </c>
      <c r="DQ179" s="542">
        <v>0</v>
      </c>
      <c r="DR179" s="542">
        <v>0</v>
      </c>
      <c r="DS179" s="542">
        <v>0</v>
      </c>
      <c r="DT179" s="542">
        <v>0</v>
      </c>
      <c r="DU179" s="542">
        <v>0</v>
      </c>
      <c r="DV179" s="542">
        <v>0</v>
      </c>
      <c r="DW179" s="542">
        <v>0</v>
      </c>
      <c r="DX179" s="542">
        <v>0</v>
      </c>
      <c r="DY179" s="542">
        <v>-268098</v>
      </c>
      <c r="DZ179" s="542">
        <v>0</v>
      </c>
      <c r="EA179" s="542">
        <v>-268098</v>
      </c>
      <c r="EB179" s="542">
        <v>0</v>
      </c>
      <c r="EC179" s="542">
        <v>0</v>
      </c>
      <c r="ED179" s="542">
        <v>0</v>
      </c>
      <c r="EE179" s="542">
        <v>0</v>
      </c>
      <c r="EF179" s="542">
        <v>0</v>
      </c>
      <c r="EG179" s="542">
        <v>0</v>
      </c>
      <c r="EH179" s="542">
        <v>-268098</v>
      </c>
      <c r="EI179" s="542">
        <v>0</v>
      </c>
      <c r="EJ179" s="542">
        <v>-268098</v>
      </c>
      <c r="EK179" s="542">
        <v>0</v>
      </c>
      <c r="EL179" s="542">
        <v>0</v>
      </c>
      <c r="EM179" s="542">
        <v>0</v>
      </c>
      <c r="EN179" s="542">
        <v>7277</v>
      </c>
      <c r="EO179" s="542">
        <v>0</v>
      </c>
      <c r="EP179" s="542">
        <v>7277</v>
      </c>
      <c r="EQ179" s="542">
        <v>7277</v>
      </c>
      <c r="ER179" s="542">
        <v>0</v>
      </c>
      <c r="ES179" s="542">
        <v>7277</v>
      </c>
      <c r="ET179" s="542">
        <v>41877111</v>
      </c>
      <c r="EU179" s="542">
        <v>0</v>
      </c>
      <c r="EV179" s="542">
        <v>41877111</v>
      </c>
      <c r="EW179" s="542">
        <v>385665</v>
      </c>
      <c r="EX179" s="542">
        <v>0</v>
      </c>
      <c r="EY179" s="542">
        <v>385665</v>
      </c>
      <c r="EZ179" s="542">
        <v>-3256130</v>
      </c>
      <c r="FA179" s="542">
        <v>0</v>
      </c>
      <c r="FB179" s="542">
        <v>-3256130</v>
      </c>
      <c r="FC179" s="542">
        <v>-1040675</v>
      </c>
      <c r="FD179" s="542">
        <v>0</v>
      </c>
      <c r="FE179" s="542">
        <v>-1040675</v>
      </c>
      <c r="FF179" s="542">
        <v>-79186</v>
      </c>
      <c r="FG179" s="542">
        <v>0</v>
      </c>
      <c r="FH179" s="542">
        <v>-79186</v>
      </c>
      <c r="FI179" s="542">
        <v>-268098</v>
      </c>
      <c r="FJ179" s="542">
        <v>0</v>
      </c>
      <c r="FK179" s="542">
        <v>-268098</v>
      </c>
      <c r="FL179" s="542">
        <v>7277</v>
      </c>
      <c r="FM179" s="542">
        <v>0</v>
      </c>
      <c r="FN179" s="542">
        <v>7277</v>
      </c>
      <c r="FO179" s="542">
        <v>-4251147</v>
      </c>
      <c r="FP179" s="542">
        <v>0</v>
      </c>
      <c r="FQ179" s="542">
        <v>-4251147</v>
      </c>
      <c r="FR179" s="542">
        <v>37625964</v>
      </c>
      <c r="FS179" s="542">
        <v>0</v>
      </c>
      <c r="FT179" s="542">
        <v>37625964</v>
      </c>
    </row>
    <row r="180" spans="1:176" ht="12.75" x14ac:dyDescent="0.2">
      <c r="A180" s="93">
        <v>175</v>
      </c>
      <c r="B180" s="145" t="s">
        <v>228</v>
      </c>
      <c r="C180" s="604" t="s">
        <v>873</v>
      </c>
      <c r="D180" s="142" t="s">
        <v>878</v>
      </c>
      <c r="E180" s="149" t="s">
        <v>886</v>
      </c>
      <c r="F180" s="542">
        <v>-139443.96</v>
      </c>
      <c r="G180" s="542">
        <v>-3721</v>
      </c>
      <c r="H180" s="542">
        <v>-143164.96</v>
      </c>
      <c r="I180" s="542">
        <v>631255.16</v>
      </c>
      <c r="J180" s="542">
        <v>0</v>
      </c>
      <c r="K180" s="542">
        <v>631255.16</v>
      </c>
      <c r="L180" s="542">
        <v>37000.36</v>
      </c>
      <c r="M180" s="542">
        <v>0</v>
      </c>
      <c r="N180" s="542">
        <v>37000.36</v>
      </c>
      <c r="O180" s="542">
        <v>381549.59</v>
      </c>
      <c r="P180" s="542">
        <v>0</v>
      </c>
      <c r="Q180" s="542">
        <v>381549.59</v>
      </c>
      <c r="R180" s="542">
        <v>910361</v>
      </c>
      <c r="S180" s="542">
        <v>-3721</v>
      </c>
      <c r="T180" s="542">
        <v>906640</v>
      </c>
      <c r="U180" s="542">
        <v>-4902929</v>
      </c>
      <c r="V180" s="542">
        <v>-19722</v>
      </c>
      <c r="W180" s="542">
        <v>-4922651</v>
      </c>
      <c r="X180" s="542">
        <v>0</v>
      </c>
      <c r="Y180" s="542">
        <v>0</v>
      </c>
      <c r="Z180" s="542">
        <v>0</v>
      </c>
      <c r="AA180" s="542">
        <v>-249585</v>
      </c>
      <c r="AB180" s="542">
        <v>0</v>
      </c>
      <c r="AC180" s="542">
        <v>-249585</v>
      </c>
      <c r="AD180" s="542">
        <v>0</v>
      </c>
      <c r="AE180" s="542">
        <v>0</v>
      </c>
      <c r="AF180" s="542">
        <v>0</v>
      </c>
      <c r="AG180" s="542">
        <v>3814249</v>
      </c>
      <c r="AH180" s="542">
        <v>0</v>
      </c>
      <c r="AI180" s="542">
        <v>3814249</v>
      </c>
      <c r="AJ180" s="542">
        <v>90195</v>
      </c>
      <c r="AK180" s="542">
        <v>0</v>
      </c>
      <c r="AL180" s="542">
        <v>90195</v>
      </c>
      <c r="AM180" s="542">
        <v>-12523012</v>
      </c>
      <c r="AN180" s="542">
        <v>-681047</v>
      </c>
      <c r="AO180" s="542">
        <v>-13204059</v>
      </c>
      <c r="AP180" s="542">
        <v>-391263</v>
      </c>
      <c r="AQ180" s="542">
        <v>0</v>
      </c>
      <c r="AR180" s="542">
        <v>-391263</v>
      </c>
      <c r="AS180" s="542">
        <v>-113916</v>
      </c>
      <c r="AT180" s="542">
        <v>0</v>
      </c>
      <c r="AU180" s="542">
        <v>-113916</v>
      </c>
      <c r="AV180" s="542">
        <v>0</v>
      </c>
      <c r="AW180" s="542">
        <v>0</v>
      </c>
      <c r="AX180" s="542">
        <v>0</v>
      </c>
      <c r="AY180" s="542">
        <v>-2142</v>
      </c>
      <c r="AZ180" s="542">
        <v>0</v>
      </c>
      <c r="BA180" s="542">
        <v>-2142</v>
      </c>
      <c r="BB180" s="542">
        <v>0</v>
      </c>
      <c r="BC180" s="542">
        <v>0</v>
      </c>
      <c r="BD180" s="542">
        <v>0</v>
      </c>
      <c r="BE180" s="542">
        <v>-14278403</v>
      </c>
      <c r="BF180" s="542">
        <v>-700769</v>
      </c>
      <c r="BG180" s="542">
        <v>-14979172</v>
      </c>
      <c r="BH180" s="542">
        <v>-68230</v>
      </c>
      <c r="BI180" s="542">
        <v>-32186</v>
      </c>
      <c r="BJ180" s="542">
        <v>-100416</v>
      </c>
      <c r="BK180" s="542">
        <v>24191</v>
      </c>
      <c r="BL180" s="542">
        <v>0</v>
      </c>
      <c r="BM180" s="542">
        <v>24191</v>
      </c>
      <c r="BN180" s="542">
        <v>-9567120</v>
      </c>
      <c r="BO180" s="542">
        <v>-816517</v>
      </c>
      <c r="BP180" s="542">
        <v>-10383637</v>
      </c>
      <c r="BQ180" s="542">
        <v>-449654</v>
      </c>
      <c r="BR180" s="542">
        <v>0</v>
      </c>
      <c r="BS180" s="542">
        <v>-449654</v>
      </c>
      <c r="BT180" s="542">
        <v>-10060813</v>
      </c>
      <c r="BU180" s="542">
        <v>-848703</v>
      </c>
      <c r="BV180" s="542">
        <v>-10909516</v>
      </c>
      <c r="BW180" s="542">
        <v>-205978</v>
      </c>
      <c r="BX180" s="542">
        <v>0</v>
      </c>
      <c r="BY180" s="542">
        <v>-205978</v>
      </c>
      <c r="BZ180" s="542">
        <v>14847</v>
      </c>
      <c r="CA180" s="542">
        <v>0</v>
      </c>
      <c r="CB180" s="542">
        <v>14847</v>
      </c>
      <c r="CC180" s="542">
        <v>-418980</v>
      </c>
      <c r="CD180" s="542">
        <v>0</v>
      </c>
      <c r="CE180" s="542">
        <v>-418980</v>
      </c>
      <c r="CF180" s="542">
        <v>3573</v>
      </c>
      <c r="CG180" s="542">
        <v>0</v>
      </c>
      <c r="CH180" s="542">
        <v>3573</v>
      </c>
      <c r="CI180" s="542">
        <v>-19405.32</v>
      </c>
      <c r="CJ180" s="542">
        <v>0</v>
      </c>
      <c r="CK180" s="542">
        <v>-19405.32</v>
      </c>
      <c r="CL180" s="542">
        <v>0</v>
      </c>
      <c r="CM180" s="542">
        <v>0</v>
      </c>
      <c r="CN180" s="542">
        <v>0</v>
      </c>
      <c r="CO180" s="542">
        <v>0</v>
      </c>
      <c r="CP180" s="542">
        <v>0</v>
      </c>
      <c r="CQ180" s="542">
        <v>0</v>
      </c>
      <c r="CR180" s="542">
        <v>0</v>
      </c>
      <c r="CS180" s="542">
        <v>0</v>
      </c>
      <c r="CT180" s="542">
        <v>0</v>
      </c>
      <c r="CU180" s="542">
        <v>0</v>
      </c>
      <c r="CV180" s="542">
        <v>0</v>
      </c>
      <c r="CW180" s="542">
        <v>0</v>
      </c>
      <c r="CX180" s="542">
        <v>0</v>
      </c>
      <c r="CY180" s="542">
        <v>0</v>
      </c>
      <c r="CZ180" s="542">
        <v>0</v>
      </c>
      <c r="DA180" s="542">
        <v>0</v>
      </c>
      <c r="DB180" s="542">
        <v>0</v>
      </c>
      <c r="DC180" s="542">
        <v>0</v>
      </c>
      <c r="DD180" s="542">
        <v>0</v>
      </c>
      <c r="DE180" s="542">
        <v>0</v>
      </c>
      <c r="DF180" s="542">
        <v>0</v>
      </c>
      <c r="DG180" s="542"/>
      <c r="DH180" s="542">
        <v>0</v>
      </c>
      <c r="DI180" s="542"/>
      <c r="DJ180" s="542">
        <v>0</v>
      </c>
      <c r="DK180" s="542"/>
      <c r="DL180" s="542"/>
      <c r="DM180" s="542">
        <v>-625943</v>
      </c>
      <c r="DN180" s="542">
        <v>0</v>
      </c>
      <c r="DO180" s="542">
        <v>-625943</v>
      </c>
      <c r="DP180" s="542">
        <v>0</v>
      </c>
      <c r="DQ180" s="542">
        <v>0</v>
      </c>
      <c r="DR180" s="542">
        <v>0</v>
      </c>
      <c r="DS180" s="542">
        <v>0</v>
      </c>
      <c r="DT180" s="542">
        <v>0</v>
      </c>
      <c r="DU180" s="542">
        <v>0</v>
      </c>
      <c r="DV180" s="542">
        <v>0</v>
      </c>
      <c r="DW180" s="542">
        <v>0</v>
      </c>
      <c r="DX180" s="542">
        <v>0</v>
      </c>
      <c r="DY180" s="542">
        <v>-644591</v>
      </c>
      <c r="DZ180" s="542">
        <v>-9860</v>
      </c>
      <c r="EA180" s="542">
        <v>-654451</v>
      </c>
      <c r="EB180" s="542">
        <v>0</v>
      </c>
      <c r="EC180" s="542">
        <v>0</v>
      </c>
      <c r="ED180" s="542">
        <v>0</v>
      </c>
      <c r="EE180" s="542">
        <v>0</v>
      </c>
      <c r="EF180" s="542">
        <v>0</v>
      </c>
      <c r="EG180" s="542">
        <v>0</v>
      </c>
      <c r="EH180" s="542">
        <v>-644591</v>
      </c>
      <c r="EI180" s="542">
        <v>-9860</v>
      </c>
      <c r="EJ180" s="542">
        <v>-654451</v>
      </c>
      <c r="EK180" s="542">
        <v>0</v>
      </c>
      <c r="EL180" s="542">
        <v>0</v>
      </c>
      <c r="EM180" s="542">
        <v>0</v>
      </c>
      <c r="EN180" s="542">
        <v>0</v>
      </c>
      <c r="EO180" s="542">
        <v>0</v>
      </c>
      <c r="EP180" s="542">
        <v>0</v>
      </c>
      <c r="EQ180" s="542">
        <v>0</v>
      </c>
      <c r="ER180" s="542">
        <v>0</v>
      </c>
      <c r="ES180" s="542">
        <v>0</v>
      </c>
      <c r="ET180" s="542">
        <v>163279099</v>
      </c>
      <c r="EU180" s="542">
        <v>7989605</v>
      </c>
      <c r="EV180" s="542">
        <v>171268704</v>
      </c>
      <c r="EW180" s="542">
        <v>910361</v>
      </c>
      <c r="EX180" s="542">
        <v>-3721</v>
      </c>
      <c r="EY180" s="542">
        <v>906640</v>
      </c>
      <c r="EZ180" s="542">
        <v>-14278403</v>
      </c>
      <c r="FA180" s="542">
        <v>-700769</v>
      </c>
      <c r="FB180" s="542">
        <v>-14979172</v>
      </c>
      <c r="FC180" s="542">
        <v>-10060813</v>
      </c>
      <c r="FD180" s="542">
        <v>-848703</v>
      </c>
      <c r="FE180" s="542">
        <v>-10909516</v>
      </c>
      <c r="FF180" s="542">
        <v>-625943</v>
      </c>
      <c r="FG180" s="542">
        <v>0</v>
      </c>
      <c r="FH180" s="542">
        <v>-625943</v>
      </c>
      <c r="FI180" s="542">
        <v>-644591</v>
      </c>
      <c r="FJ180" s="542">
        <v>-9860</v>
      </c>
      <c r="FK180" s="542">
        <v>-654451</v>
      </c>
      <c r="FL180" s="542">
        <v>0</v>
      </c>
      <c r="FM180" s="542">
        <v>0</v>
      </c>
      <c r="FN180" s="542">
        <v>0</v>
      </c>
      <c r="FO180" s="542">
        <v>-24699389</v>
      </c>
      <c r="FP180" s="542">
        <v>-1563053</v>
      </c>
      <c r="FQ180" s="542">
        <v>-26262442</v>
      </c>
      <c r="FR180" s="542">
        <v>138579710</v>
      </c>
      <c r="FS180" s="542">
        <v>6426552</v>
      </c>
      <c r="FT180" s="542">
        <v>145006262</v>
      </c>
    </row>
    <row r="181" spans="1:176" ht="12.75" x14ac:dyDescent="0.2">
      <c r="A181" s="93">
        <v>176</v>
      </c>
      <c r="B181" s="145" t="s">
        <v>230</v>
      </c>
      <c r="C181" s="604" t="s">
        <v>866</v>
      </c>
      <c r="D181" s="142" t="s">
        <v>876</v>
      </c>
      <c r="E181" s="149" t="s">
        <v>229</v>
      </c>
      <c r="F181" s="542">
        <v>-33182</v>
      </c>
      <c r="G181" s="542">
        <v>0</v>
      </c>
      <c r="H181" s="542">
        <v>-33182</v>
      </c>
      <c r="I181" s="542">
        <v>21480</v>
      </c>
      <c r="J181" s="542">
        <v>0</v>
      </c>
      <c r="K181" s="542">
        <v>21480</v>
      </c>
      <c r="L181" s="542">
        <v>11274</v>
      </c>
      <c r="M181" s="542">
        <v>0</v>
      </c>
      <c r="N181" s="542">
        <v>11274</v>
      </c>
      <c r="O181" s="542">
        <v>131675</v>
      </c>
      <c r="P181" s="542">
        <v>0</v>
      </c>
      <c r="Q181" s="542">
        <v>131675</v>
      </c>
      <c r="R181" s="542">
        <v>131247</v>
      </c>
      <c r="S181" s="542">
        <v>0</v>
      </c>
      <c r="T181" s="542">
        <v>131247</v>
      </c>
      <c r="U181" s="542">
        <v>-2192894</v>
      </c>
      <c r="V181" s="542">
        <v>0</v>
      </c>
      <c r="W181" s="542">
        <v>-2192894</v>
      </c>
      <c r="X181" s="542">
        <v>0</v>
      </c>
      <c r="Y181" s="542">
        <v>0</v>
      </c>
      <c r="Z181" s="542">
        <v>0</v>
      </c>
      <c r="AA181" s="542">
        <v>-171417</v>
      </c>
      <c r="AB181" s="542">
        <v>0</v>
      </c>
      <c r="AC181" s="542">
        <v>-171417</v>
      </c>
      <c r="AD181" s="542">
        <v>-171417</v>
      </c>
      <c r="AE181" s="542">
        <v>0</v>
      </c>
      <c r="AF181" s="542">
        <v>-171417</v>
      </c>
      <c r="AG181" s="542">
        <v>776430</v>
      </c>
      <c r="AH181" s="542">
        <v>0</v>
      </c>
      <c r="AI181" s="542">
        <v>776430</v>
      </c>
      <c r="AJ181" s="542">
        <v>2071</v>
      </c>
      <c r="AK181" s="542">
        <v>0</v>
      </c>
      <c r="AL181" s="542">
        <v>2071</v>
      </c>
      <c r="AM181" s="542">
        <v>-2566723</v>
      </c>
      <c r="AN181" s="542">
        <v>0</v>
      </c>
      <c r="AO181" s="542">
        <v>-2566723</v>
      </c>
      <c r="AP181" s="542">
        <v>85180</v>
      </c>
      <c r="AQ181" s="542">
        <v>0</v>
      </c>
      <c r="AR181" s="542">
        <v>85180</v>
      </c>
      <c r="AS181" s="542">
        <v>-14730</v>
      </c>
      <c r="AT181" s="542">
        <v>0</v>
      </c>
      <c r="AU181" s="542">
        <v>-14730</v>
      </c>
      <c r="AV181" s="542">
        <v>-36</v>
      </c>
      <c r="AW181" s="542">
        <v>0</v>
      </c>
      <c r="AX181" s="542">
        <v>-36</v>
      </c>
      <c r="AY181" s="542">
        <v>-12395</v>
      </c>
      <c r="AZ181" s="542">
        <v>0</v>
      </c>
      <c r="BA181" s="542">
        <v>-12395</v>
      </c>
      <c r="BB181" s="542">
        <v>0</v>
      </c>
      <c r="BC181" s="542">
        <v>0</v>
      </c>
      <c r="BD181" s="542">
        <v>0</v>
      </c>
      <c r="BE181" s="542">
        <v>-4094514</v>
      </c>
      <c r="BF181" s="542">
        <v>0</v>
      </c>
      <c r="BG181" s="542">
        <v>-4094514</v>
      </c>
      <c r="BH181" s="542">
        <v>-482151</v>
      </c>
      <c r="BI181" s="542">
        <v>0</v>
      </c>
      <c r="BJ181" s="542">
        <v>-482151</v>
      </c>
      <c r="BK181" s="542">
        <v>-48430</v>
      </c>
      <c r="BL181" s="542">
        <v>0</v>
      </c>
      <c r="BM181" s="542">
        <v>-48430</v>
      </c>
      <c r="BN181" s="542">
        <v>-845276</v>
      </c>
      <c r="BO181" s="542">
        <v>0</v>
      </c>
      <c r="BP181" s="542">
        <v>-845276</v>
      </c>
      <c r="BQ181" s="542">
        <v>-18130</v>
      </c>
      <c r="BR181" s="542">
        <v>0</v>
      </c>
      <c r="BS181" s="542">
        <v>-18130</v>
      </c>
      <c r="BT181" s="542">
        <v>-1393987</v>
      </c>
      <c r="BU181" s="542">
        <v>0</v>
      </c>
      <c r="BV181" s="542">
        <v>-1393987</v>
      </c>
      <c r="BW181" s="542">
        <v>-24974</v>
      </c>
      <c r="BX181" s="542">
        <v>0</v>
      </c>
      <c r="BY181" s="542">
        <v>-24974</v>
      </c>
      <c r="BZ181" s="542">
        <v>-39</v>
      </c>
      <c r="CA181" s="542">
        <v>0</v>
      </c>
      <c r="CB181" s="542">
        <v>-39</v>
      </c>
      <c r="CC181" s="542">
        <v>-86462</v>
      </c>
      <c r="CD181" s="542">
        <v>0</v>
      </c>
      <c r="CE181" s="542">
        <v>-86462</v>
      </c>
      <c r="CF181" s="542">
        <v>-17646</v>
      </c>
      <c r="CG181" s="542">
        <v>0</v>
      </c>
      <c r="CH181" s="542">
        <v>-17646</v>
      </c>
      <c r="CI181" s="542">
        <v>0</v>
      </c>
      <c r="CJ181" s="542">
        <v>0</v>
      </c>
      <c r="CK181" s="542">
        <v>0</v>
      </c>
      <c r="CL181" s="542">
        <v>0</v>
      </c>
      <c r="CM181" s="542">
        <v>0</v>
      </c>
      <c r="CN181" s="542">
        <v>0</v>
      </c>
      <c r="CO181" s="542">
        <v>0</v>
      </c>
      <c r="CP181" s="542">
        <v>0</v>
      </c>
      <c r="CQ181" s="542">
        <v>0</v>
      </c>
      <c r="CR181" s="542">
        <v>0</v>
      </c>
      <c r="CS181" s="542">
        <v>0</v>
      </c>
      <c r="CT181" s="542">
        <v>0</v>
      </c>
      <c r="CU181" s="542">
        <v>0</v>
      </c>
      <c r="CV181" s="542">
        <v>0</v>
      </c>
      <c r="CW181" s="542">
        <v>0</v>
      </c>
      <c r="CX181" s="542">
        <v>0</v>
      </c>
      <c r="CY181" s="542">
        <v>0</v>
      </c>
      <c r="CZ181" s="542">
        <v>0</v>
      </c>
      <c r="DA181" s="542">
        <v>0</v>
      </c>
      <c r="DB181" s="542">
        <v>0</v>
      </c>
      <c r="DC181" s="542">
        <v>0</v>
      </c>
      <c r="DD181" s="542">
        <v>0</v>
      </c>
      <c r="DE181" s="542">
        <v>0</v>
      </c>
      <c r="DF181" s="542">
        <v>0</v>
      </c>
      <c r="DG181" s="542"/>
      <c r="DH181" s="542">
        <v>0</v>
      </c>
      <c r="DI181" s="542"/>
      <c r="DJ181" s="542">
        <v>0</v>
      </c>
      <c r="DK181" s="542"/>
      <c r="DL181" s="542"/>
      <c r="DM181" s="542">
        <v>-129121</v>
      </c>
      <c r="DN181" s="542">
        <v>0</v>
      </c>
      <c r="DO181" s="542">
        <v>-129121</v>
      </c>
      <c r="DP181" s="542">
        <v>0</v>
      </c>
      <c r="DQ181" s="542">
        <v>0</v>
      </c>
      <c r="DR181" s="542">
        <v>0</v>
      </c>
      <c r="DS181" s="542">
        <v>0</v>
      </c>
      <c r="DT181" s="542">
        <v>0</v>
      </c>
      <c r="DU181" s="542">
        <v>0</v>
      </c>
      <c r="DV181" s="542">
        <v>-3230</v>
      </c>
      <c r="DW181" s="542">
        <v>0</v>
      </c>
      <c r="DX181" s="542">
        <v>-3230</v>
      </c>
      <c r="DY181" s="542">
        <v>-538525</v>
      </c>
      <c r="DZ181" s="542">
        <v>0</v>
      </c>
      <c r="EA181" s="542">
        <v>-538525</v>
      </c>
      <c r="EB181" s="542">
        <v>0</v>
      </c>
      <c r="EC181" s="542">
        <v>0</v>
      </c>
      <c r="ED181" s="542">
        <v>0</v>
      </c>
      <c r="EE181" s="542">
        <v>0</v>
      </c>
      <c r="EF181" s="542">
        <v>0</v>
      </c>
      <c r="EG181" s="542">
        <v>0</v>
      </c>
      <c r="EH181" s="542">
        <v>-541755</v>
      </c>
      <c r="EI181" s="542">
        <v>0</v>
      </c>
      <c r="EJ181" s="542">
        <v>-541755</v>
      </c>
      <c r="EK181" s="542">
        <v>0</v>
      </c>
      <c r="EL181" s="542">
        <v>0</v>
      </c>
      <c r="EM181" s="542">
        <v>0</v>
      </c>
      <c r="EN181" s="542">
        <v>0</v>
      </c>
      <c r="EO181" s="542">
        <v>0</v>
      </c>
      <c r="EP181" s="542">
        <v>0</v>
      </c>
      <c r="EQ181" s="542">
        <v>0</v>
      </c>
      <c r="ER181" s="542">
        <v>0</v>
      </c>
      <c r="ES181" s="542">
        <v>0</v>
      </c>
      <c r="ET181" s="542">
        <v>38585431</v>
      </c>
      <c r="EU181" s="542">
        <v>0</v>
      </c>
      <c r="EV181" s="542">
        <v>38585431</v>
      </c>
      <c r="EW181" s="542">
        <v>131247</v>
      </c>
      <c r="EX181" s="542">
        <v>0</v>
      </c>
      <c r="EY181" s="542">
        <v>131247</v>
      </c>
      <c r="EZ181" s="542">
        <v>-4094514</v>
      </c>
      <c r="FA181" s="542">
        <v>0</v>
      </c>
      <c r="FB181" s="542">
        <v>-4094514</v>
      </c>
      <c r="FC181" s="542">
        <v>-1393987</v>
      </c>
      <c r="FD181" s="542">
        <v>0</v>
      </c>
      <c r="FE181" s="542">
        <v>-1393987</v>
      </c>
      <c r="FF181" s="542">
        <v>-129121</v>
      </c>
      <c r="FG181" s="542">
        <v>0</v>
      </c>
      <c r="FH181" s="542">
        <v>-129121</v>
      </c>
      <c r="FI181" s="542">
        <v>-541755</v>
      </c>
      <c r="FJ181" s="542">
        <v>0</v>
      </c>
      <c r="FK181" s="542">
        <v>-541755</v>
      </c>
      <c r="FL181" s="542">
        <v>0</v>
      </c>
      <c r="FM181" s="542">
        <v>0</v>
      </c>
      <c r="FN181" s="542">
        <v>0</v>
      </c>
      <c r="FO181" s="542">
        <v>-6028130</v>
      </c>
      <c r="FP181" s="542">
        <v>0</v>
      </c>
      <c r="FQ181" s="542">
        <v>-6028130</v>
      </c>
      <c r="FR181" s="542">
        <v>32557301</v>
      </c>
      <c r="FS181" s="542">
        <v>0</v>
      </c>
      <c r="FT181" s="542">
        <v>32557301</v>
      </c>
    </row>
    <row r="182" spans="1:176" ht="12.75" x14ac:dyDescent="0.2">
      <c r="A182" s="93">
        <v>177</v>
      </c>
      <c r="B182" s="145" t="s">
        <v>232</v>
      </c>
      <c r="C182" s="604" t="s">
        <v>871</v>
      </c>
      <c r="D182" s="142" t="s">
        <v>872</v>
      </c>
      <c r="E182" s="149" t="s">
        <v>231</v>
      </c>
      <c r="F182" s="542">
        <v>-543131.84</v>
      </c>
      <c r="G182" s="542">
        <v>-285</v>
      </c>
      <c r="H182" s="542">
        <v>-543416.84</v>
      </c>
      <c r="I182" s="542">
        <v>640027.18000000005</v>
      </c>
      <c r="J182" s="542">
        <v>0</v>
      </c>
      <c r="K182" s="542">
        <v>640027.18000000005</v>
      </c>
      <c r="L182" s="542">
        <v>35058.99</v>
      </c>
      <c r="M182" s="542">
        <v>0</v>
      </c>
      <c r="N182" s="542">
        <v>35058.99</v>
      </c>
      <c r="O182" s="542">
        <v>-364834.52</v>
      </c>
      <c r="P182" s="542">
        <v>0</v>
      </c>
      <c r="Q182" s="542">
        <v>-364834.52</v>
      </c>
      <c r="R182" s="542">
        <v>-232880</v>
      </c>
      <c r="S182" s="542">
        <v>-285</v>
      </c>
      <c r="T182" s="542">
        <v>-233165</v>
      </c>
      <c r="U182" s="542">
        <v>-4526181.3</v>
      </c>
      <c r="V182" s="542">
        <v>-4501.76</v>
      </c>
      <c r="W182" s="542">
        <v>-4530683.0999999996</v>
      </c>
      <c r="X182" s="542">
        <v>0</v>
      </c>
      <c r="Y182" s="542">
        <v>0</v>
      </c>
      <c r="Z182" s="542">
        <v>0</v>
      </c>
      <c r="AA182" s="542">
        <v>-204681.97</v>
      </c>
      <c r="AB182" s="542">
        <v>0</v>
      </c>
      <c r="AC182" s="542">
        <v>-204681.97</v>
      </c>
      <c r="AD182" s="542">
        <v>0</v>
      </c>
      <c r="AE182" s="542">
        <v>0</v>
      </c>
      <c r="AF182" s="542">
        <v>0</v>
      </c>
      <c r="AG182" s="542">
        <v>2965304.49</v>
      </c>
      <c r="AH182" s="542">
        <v>13017</v>
      </c>
      <c r="AI182" s="542">
        <v>2978321.49</v>
      </c>
      <c r="AJ182" s="542">
        <v>147870.35</v>
      </c>
      <c r="AK182" s="542">
        <v>646.87</v>
      </c>
      <c r="AL182" s="542">
        <v>148517.22</v>
      </c>
      <c r="AM182" s="542">
        <v>-9414562.1999999993</v>
      </c>
      <c r="AN182" s="542">
        <v>-80590.399999999994</v>
      </c>
      <c r="AO182" s="542">
        <v>-9495152.5999999996</v>
      </c>
      <c r="AP182" s="542">
        <v>-1024200.7</v>
      </c>
      <c r="AQ182" s="542">
        <v>0</v>
      </c>
      <c r="AR182" s="542">
        <v>-1024200.7</v>
      </c>
      <c r="AS182" s="542">
        <v>0</v>
      </c>
      <c r="AT182" s="542">
        <v>0</v>
      </c>
      <c r="AU182" s="542">
        <v>0</v>
      </c>
      <c r="AV182" s="542">
        <v>0</v>
      </c>
      <c r="AW182" s="542">
        <v>0</v>
      </c>
      <c r="AX182" s="542">
        <v>0</v>
      </c>
      <c r="AY182" s="542">
        <v>0</v>
      </c>
      <c r="AZ182" s="542">
        <v>0</v>
      </c>
      <c r="BA182" s="542">
        <v>0</v>
      </c>
      <c r="BB182" s="542">
        <v>0</v>
      </c>
      <c r="BC182" s="542">
        <v>0</v>
      </c>
      <c r="BD182" s="542">
        <v>0</v>
      </c>
      <c r="BE182" s="542">
        <v>-12056451</v>
      </c>
      <c r="BF182" s="542">
        <v>-71428</v>
      </c>
      <c r="BG182" s="542">
        <v>-12127879</v>
      </c>
      <c r="BH182" s="542">
        <v>-71400.570000000007</v>
      </c>
      <c r="BI182" s="542">
        <v>0</v>
      </c>
      <c r="BJ182" s="542">
        <v>-71400.570000000007</v>
      </c>
      <c r="BK182" s="542">
        <v>-26705.85</v>
      </c>
      <c r="BL182" s="542">
        <v>0</v>
      </c>
      <c r="BM182" s="542">
        <v>-26705.85</v>
      </c>
      <c r="BN182" s="542">
        <v>-5168107.5</v>
      </c>
      <c r="BO182" s="542">
        <v>0</v>
      </c>
      <c r="BP182" s="542">
        <v>-5168107.5</v>
      </c>
      <c r="BQ182" s="542">
        <v>-607992.03</v>
      </c>
      <c r="BR182" s="542">
        <v>0</v>
      </c>
      <c r="BS182" s="542">
        <v>-607992.03</v>
      </c>
      <c r="BT182" s="542">
        <v>-5874206</v>
      </c>
      <c r="BU182" s="542">
        <v>0</v>
      </c>
      <c r="BV182" s="542">
        <v>-5874206</v>
      </c>
      <c r="BW182" s="542">
        <v>0</v>
      </c>
      <c r="BX182" s="542">
        <v>0</v>
      </c>
      <c r="BY182" s="542">
        <v>0</v>
      </c>
      <c r="BZ182" s="542">
        <v>0</v>
      </c>
      <c r="CA182" s="542">
        <v>0</v>
      </c>
      <c r="CB182" s="542">
        <v>0</v>
      </c>
      <c r="CC182" s="542">
        <v>0</v>
      </c>
      <c r="CD182" s="542">
        <v>0</v>
      </c>
      <c r="CE182" s="542">
        <v>0</v>
      </c>
      <c r="CF182" s="542">
        <v>0</v>
      </c>
      <c r="CG182" s="542">
        <v>0</v>
      </c>
      <c r="CH182" s="542">
        <v>0</v>
      </c>
      <c r="CI182" s="542">
        <v>0</v>
      </c>
      <c r="CJ182" s="542">
        <v>0</v>
      </c>
      <c r="CK182" s="542">
        <v>0</v>
      </c>
      <c r="CL182" s="542">
        <v>0</v>
      </c>
      <c r="CM182" s="542">
        <v>0</v>
      </c>
      <c r="CN182" s="542">
        <v>0</v>
      </c>
      <c r="CO182" s="542">
        <v>0</v>
      </c>
      <c r="CP182" s="542">
        <v>0</v>
      </c>
      <c r="CQ182" s="542">
        <v>0</v>
      </c>
      <c r="CR182" s="542">
        <v>0</v>
      </c>
      <c r="CS182" s="542">
        <v>0</v>
      </c>
      <c r="CT182" s="542">
        <v>0</v>
      </c>
      <c r="CU182" s="542">
        <v>0</v>
      </c>
      <c r="CV182" s="542">
        <v>0</v>
      </c>
      <c r="CW182" s="542">
        <v>0</v>
      </c>
      <c r="CX182" s="542">
        <v>0</v>
      </c>
      <c r="CY182" s="542">
        <v>0</v>
      </c>
      <c r="CZ182" s="542">
        <v>0</v>
      </c>
      <c r="DA182" s="542">
        <v>0</v>
      </c>
      <c r="DB182" s="542">
        <v>-175097</v>
      </c>
      <c r="DC182" s="542">
        <v>-175097</v>
      </c>
      <c r="DD182" s="542">
        <v>0</v>
      </c>
      <c r="DE182" s="542">
        <v>-123926.58</v>
      </c>
      <c r="DF182" s="542">
        <v>-123926.58</v>
      </c>
      <c r="DG182" s="542"/>
      <c r="DH182" s="542">
        <v>-299023</v>
      </c>
      <c r="DI182" s="542"/>
      <c r="DJ182" s="542">
        <v>0</v>
      </c>
      <c r="DK182" s="542"/>
      <c r="DL182" s="542"/>
      <c r="DM182" s="542">
        <v>0</v>
      </c>
      <c r="DN182" s="542">
        <v>-299024</v>
      </c>
      <c r="DO182" s="542">
        <v>-299024</v>
      </c>
      <c r="DP182" s="542">
        <v>0</v>
      </c>
      <c r="DQ182" s="542">
        <v>0</v>
      </c>
      <c r="DR182" s="542">
        <v>0</v>
      </c>
      <c r="DS182" s="542">
        <v>0</v>
      </c>
      <c r="DT182" s="542">
        <v>0</v>
      </c>
      <c r="DU182" s="542">
        <v>0</v>
      </c>
      <c r="DV182" s="542">
        <v>0</v>
      </c>
      <c r="DW182" s="542">
        <v>0</v>
      </c>
      <c r="DX182" s="542">
        <v>0</v>
      </c>
      <c r="DY182" s="542">
        <v>-1034516</v>
      </c>
      <c r="DZ182" s="542">
        <v>0</v>
      </c>
      <c r="EA182" s="542">
        <v>-1034516</v>
      </c>
      <c r="EB182" s="542">
        <v>0</v>
      </c>
      <c r="EC182" s="542">
        <v>0</v>
      </c>
      <c r="ED182" s="542">
        <v>0</v>
      </c>
      <c r="EE182" s="542">
        <v>0</v>
      </c>
      <c r="EF182" s="542">
        <v>0</v>
      </c>
      <c r="EG182" s="542">
        <v>0</v>
      </c>
      <c r="EH182" s="542">
        <v>-1034516</v>
      </c>
      <c r="EI182" s="542">
        <v>0</v>
      </c>
      <c r="EJ182" s="542">
        <v>-1034516</v>
      </c>
      <c r="EK182" s="542">
        <v>0</v>
      </c>
      <c r="EL182" s="542">
        <v>0</v>
      </c>
      <c r="EM182" s="542">
        <v>0</v>
      </c>
      <c r="EN182" s="542">
        <v>0</v>
      </c>
      <c r="EO182" s="542">
        <v>0</v>
      </c>
      <c r="EP182" s="542">
        <v>0</v>
      </c>
      <c r="EQ182" s="542">
        <v>0</v>
      </c>
      <c r="ER182" s="542">
        <v>0</v>
      </c>
      <c r="ES182" s="542">
        <v>0</v>
      </c>
      <c r="ET182" s="542">
        <v>138598501</v>
      </c>
      <c r="EU182" s="542">
        <v>567922</v>
      </c>
      <c r="EV182" s="542">
        <v>139166423</v>
      </c>
      <c r="EW182" s="542">
        <v>-232880</v>
      </c>
      <c r="EX182" s="542">
        <v>-285</v>
      </c>
      <c r="EY182" s="542">
        <v>-233165</v>
      </c>
      <c r="EZ182" s="542">
        <v>-12056451</v>
      </c>
      <c r="FA182" s="542">
        <v>-71428</v>
      </c>
      <c r="FB182" s="542">
        <v>-12127879</v>
      </c>
      <c r="FC182" s="542">
        <v>-5874206</v>
      </c>
      <c r="FD182" s="542">
        <v>0</v>
      </c>
      <c r="FE182" s="542">
        <v>-5874206</v>
      </c>
      <c r="FF182" s="542">
        <v>0</v>
      </c>
      <c r="FG182" s="542">
        <v>-299024</v>
      </c>
      <c r="FH182" s="542">
        <v>-299024</v>
      </c>
      <c r="FI182" s="542">
        <v>-1034516</v>
      </c>
      <c r="FJ182" s="542">
        <v>0</v>
      </c>
      <c r="FK182" s="542">
        <v>-1034516</v>
      </c>
      <c r="FL182" s="542">
        <v>0</v>
      </c>
      <c r="FM182" s="542">
        <v>0</v>
      </c>
      <c r="FN182" s="542">
        <v>0</v>
      </c>
      <c r="FO182" s="542">
        <v>-19198053</v>
      </c>
      <c r="FP182" s="542">
        <v>-370737</v>
      </c>
      <c r="FQ182" s="542">
        <v>-19568790</v>
      </c>
      <c r="FR182" s="542">
        <v>119400448</v>
      </c>
      <c r="FS182" s="542">
        <v>197185</v>
      </c>
      <c r="FT182" s="542">
        <v>119597633</v>
      </c>
    </row>
    <row r="183" spans="1:176" ht="12.75" x14ac:dyDescent="0.2">
      <c r="A183" s="93">
        <v>178</v>
      </c>
      <c r="B183" s="145" t="s">
        <v>234</v>
      </c>
      <c r="C183" s="604" t="s">
        <v>866</v>
      </c>
      <c r="D183" s="142" t="s">
        <v>875</v>
      </c>
      <c r="E183" s="149" t="s">
        <v>233</v>
      </c>
      <c r="F183" s="542">
        <v>-114149</v>
      </c>
      <c r="G183" s="542">
        <v>0</v>
      </c>
      <c r="H183" s="542">
        <v>-114149</v>
      </c>
      <c r="I183" s="542">
        <v>15315</v>
      </c>
      <c r="J183" s="542">
        <v>0</v>
      </c>
      <c r="K183" s="542">
        <v>15315</v>
      </c>
      <c r="L183" s="542">
        <v>2536</v>
      </c>
      <c r="M183" s="542">
        <v>0</v>
      </c>
      <c r="N183" s="542">
        <v>2536</v>
      </c>
      <c r="O183" s="542">
        <v>-19470</v>
      </c>
      <c r="P183" s="542">
        <v>0</v>
      </c>
      <c r="Q183" s="542">
        <v>-19470</v>
      </c>
      <c r="R183" s="542">
        <v>-115768</v>
      </c>
      <c r="S183" s="542">
        <v>0</v>
      </c>
      <c r="T183" s="542">
        <v>-115768</v>
      </c>
      <c r="U183" s="542">
        <v>-4268229</v>
      </c>
      <c r="V183" s="542">
        <v>0</v>
      </c>
      <c r="W183" s="542">
        <v>-4268229</v>
      </c>
      <c r="X183" s="542">
        <v>-11580</v>
      </c>
      <c r="Y183" s="542">
        <v>0</v>
      </c>
      <c r="Z183" s="542">
        <v>-11580</v>
      </c>
      <c r="AA183" s="542">
        <v>-486387</v>
      </c>
      <c r="AB183" s="542">
        <v>0</v>
      </c>
      <c r="AC183" s="542">
        <v>-486387</v>
      </c>
      <c r="AD183" s="542">
        <v>-197654</v>
      </c>
      <c r="AE183" s="542">
        <v>0</v>
      </c>
      <c r="AF183" s="542">
        <v>-197654</v>
      </c>
      <c r="AG183" s="542">
        <v>699612</v>
      </c>
      <c r="AH183" s="542">
        <v>0</v>
      </c>
      <c r="AI183" s="542">
        <v>699612</v>
      </c>
      <c r="AJ183" s="542">
        <v>-9080</v>
      </c>
      <c r="AK183" s="542">
        <v>0</v>
      </c>
      <c r="AL183" s="542">
        <v>-9080</v>
      </c>
      <c r="AM183" s="542">
        <v>-2094496</v>
      </c>
      <c r="AN183" s="542">
        <v>0</v>
      </c>
      <c r="AO183" s="542">
        <v>-2094496</v>
      </c>
      <c r="AP183" s="542">
        <v>21942</v>
      </c>
      <c r="AQ183" s="542">
        <v>0</v>
      </c>
      <c r="AR183" s="542">
        <v>21942</v>
      </c>
      <c r="AS183" s="542">
        <v>-125504</v>
      </c>
      <c r="AT183" s="542">
        <v>0</v>
      </c>
      <c r="AU183" s="542">
        <v>-125504</v>
      </c>
      <c r="AV183" s="542">
        <v>-315</v>
      </c>
      <c r="AW183" s="542">
        <v>0</v>
      </c>
      <c r="AX183" s="542">
        <v>-315</v>
      </c>
      <c r="AY183" s="542">
        <v>-37403</v>
      </c>
      <c r="AZ183" s="542">
        <v>0</v>
      </c>
      <c r="BA183" s="542">
        <v>-37403</v>
      </c>
      <c r="BB183" s="542">
        <v>-15520</v>
      </c>
      <c r="BC183" s="542">
        <v>0</v>
      </c>
      <c r="BD183" s="542">
        <v>-15520</v>
      </c>
      <c r="BE183" s="542">
        <v>-6315380</v>
      </c>
      <c r="BF183" s="542">
        <v>0</v>
      </c>
      <c r="BG183" s="542">
        <v>-6315380</v>
      </c>
      <c r="BH183" s="542">
        <v>0</v>
      </c>
      <c r="BI183" s="542">
        <v>0</v>
      </c>
      <c r="BJ183" s="542">
        <v>0</v>
      </c>
      <c r="BK183" s="542">
        <v>-4318</v>
      </c>
      <c r="BL183" s="542">
        <v>0</v>
      </c>
      <c r="BM183" s="542">
        <v>-4318</v>
      </c>
      <c r="BN183" s="542">
        <v>-713562</v>
      </c>
      <c r="BO183" s="542">
        <v>0</v>
      </c>
      <c r="BP183" s="542">
        <v>-713562</v>
      </c>
      <c r="BQ183" s="542">
        <v>-100039</v>
      </c>
      <c r="BR183" s="542">
        <v>0</v>
      </c>
      <c r="BS183" s="542">
        <v>-100039</v>
      </c>
      <c r="BT183" s="542">
        <v>-817919</v>
      </c>
      <c r="BU183" s="542">
        <v>0</v>
      </c>
      <c r="BV183" s="542">
        <v>-817919</v>
      </c>
      <c r="BW183" s="542">
        <v>-120146</v>
      </c>
      <c r="BX183" s="542">
        <v>0</v>
      </c>
      <c r="BY183" s="542">
        <v>-120146</v>
      </c>
      <c r="BZ183" s="542">
        <v>-561</v>
      </c>
      <c r="CA183" s="542">
        <v>0</v>
      </c>
      <c r="CB183" s="542">
        <v>-561</v>
      </c>
      <c r="CC183" s="542">
        <v>-155501</v>
      </c>
      <c r="CD183" s="542">
        <v>0</v>
      </c>
      <c r="CE183" s="542">
        <v>-155501</v>
      </c>
      <c r="CF183" s="542">
        <v>0</v>
      </c>
      <c r="CG183" s="542">
        <v>0</v>
      </c>
      <c r="CH183" s="542">
        <v>0</v>
      </c>
      <c r="CI183" s="542">
        <v>-9498</v>
      </c>
      <c r="CJ183" s="542">
        <v>0</v>
      </c>
      <c r="CK183" s="542">
        <v>-9498</v>
      </c>
      <c r="CL183" s="542">
        <v>0</v>
      </c>
      <c r="CM183" s="542">
        <v>0</v>
      </c>
      <c r="CN183" s="542">
        <v>0</v>
      </c>
      <c r="CO183" s="542">
        <v>-14749</v>
      </c>
      <c r="CP183" s="542">
        <v>0</v>
      </c>
      <c r="CQ183" s="542">
        <v>-14749</v>
      </c>
      <c r="CR183" s="542">
        <v>-185</v>
      </c>
      <c r="CS183" s="542">
        <v>0</v>
      </c>
      <c r="CT183" s="542">
        <v>-185</v>
      </c>
      <c r="CU183" s="542">
        <v>-9917</v>
      </c>
      <c r="CV183" s="542">
        <v>0</v>
      </c>
      <c r="CW183" s="542">
        <v>-9917</v>
      </c>
      <c r="CX183" s="542">
        <v>0</v>
      </c>
      <c r="CY183" s="542">
        <v>0</v>
      </c>
      <c r="CZ183" s="542">
        <v>0</v>
      </c>
      <c r="DA183" s="542">
        <v>0</v>
      </c>
      <c r="DB183" s="542">
        <v>0</v>
      </c>
      <c r="DC183" s="542">
        <v>0</v>
      </c>
      <c r="DD183" s="542">
        <v>0</v>
      </c>
      <c r="DE183" s="542">
        <v>0</v>
      </c>
      <c r="DF183" s="542">
        <v>0</v>
      </c>
      <c r="DG183" s="542"/>
      <c r="DH183" s="542">
        <v>0</v>
      </c>
      <c r="DI183" s="542"/>
      <c r="DJ183" s="542">
        <v>0</v>
      </c>
      <c r="DK183" s="542"/>
      <c r="DL183" s="542"/>
      <c r="DM183" s="542">
        <v>-310557</v>
      </c>
      <c r="DN183" s="542">
        <v>0</v>
      </c>
      <c r="DO183" s="542">
        <v>-310557</v>
      </c>
      <c r="DP183" s="542">
        <v>0</v>
      </c>
      <c r="DQ183" s="542">
        <v>0</v>
      </c>
      <c r="DR183" s="542">
        <v>0</v>
      </c>
      <c r="DS183" s="542">
        <v>0</v>
      </c>
      <c r="DT183" s="542">
        <v>0</v>
      </c>
      <c r="DU183" s="542">
        <v>0</v>
      </c>
      <c r="DV183" s="542">
        <v>-11728</v>
      </c>
      <c r="DW183" s="542">
        <v>0</v>
      </c>
      <c r="DX183" s="542">
        <v>-11728</v>
      </c>
      <c r="DY183" s="542">
        <v>-579568</v>
      </c>
      <c r="DZ183" s="542">
        <v>0</v>
      </c>
      <c r="EA183" s="542">
        <v>-579568</v>
      </c>
      <c r="EB183" s="542">
        <v>-1786</v>
      </c>
      <c r="EC183" s="542">
        <v>0</v>
      </c>
      <c r="ED183" s="542">
        <v>-1786</v>
      </c>
      <c r="EE183" s="542">
        <v>-14334</v>
      </c>
      <c r="EF183" s="542">
        <v>0</v>
      </c>
      <c r="EG183" s="542">
        <v>-14334</v>
      </c>
      <c r="EH183" s="542">
        <v>-607416</v>
      </c>
      <c r="EI183" s="542">
        <v>0</v>
      </c>
      <c r="EJ183" s="542">
        <v>-607416</v>
      </c>
      <c r="EK183" s="542">
        <v>0</v>
      </c>
      <c r="EL183" s="542">
        <v>0</v>
      </c>
      <c r="EM183" s="542">
        <v>0</v>
      </c>
      <c r="EN183" s="542">
        <v>0</v>
      </c>
      <c r="EO183" s="542">
        <v>0</v>
      </c>
      <c r="EP183" s="542">
        <v>0</v>
      </c>
      <c r="EQ183" s="542">
        <v>0</v>
      </c>
      <c r="ER183" s="542">
        <v>0</v>
      </c>
      <c r="ES183" s="542">
        <v>0</v>
      </c>
      <c r="ET183" s="542">
        <v>39994082</v>
      </c>
      <c r="EU183" s="542">
        <v>0</v>
      </c>
      <c r="EV183" s="542">
        <v>39994082</v>
      </c>
      <c r="EW183" s="542">
        <v>-115768</v>
      </c>
      <c r="EX183" s="542">
        <v>0</v>
      </c>
      <c r="EY183" s="542">
        <v>-115768</v>
      </c>
      <c r="EZ183" s="542">
        <v>-6315380</v>
      </c>
      <c r="FA183" s="542">
        <v>0</v>
      </c>
      <c r="FB183" s="542">
        <v>-6315380</v>
      </c>
      <c r="FC183" s="542">
        <v>-817919</v>
      </c>
      <c r="FD183" s="542">
        <v>0</v>
      </c>
      <c r="FE183" s="542">
        <v>-817919</v>
      </c>
      <c r="FF183" s="542">
        <v>-310557</v>
      </c>
      <c r="FG183" s="542">
        <v>0</v>
      </c>
      <c r="FH183" s="542">
        <v>-310557</v>
      </c>
      <c r="FI183" s="542">
        <v>-607416</v>
      </c>
      <c r="FJ183" s="542">
        <v>0</v>
      </c>
      <c r="FK183" s="542">
        <v>-607416</v>
      </c>
      <c r="FL183" s="542">
        <v>0</v>
      </c>
      <c r="FM183" s="542">
        <v>0</v>
      </c>
      <c r="FN183" s="542">
        <v>0</v>
      </c>
      <c r="FO183" s="542">
        <v>-8167040</v>
      </c>
      <c r="FP183" s="542">
        <v>0</v>
      </c>
      <c r="FQ183" s="542">
        <v>-8167040</v>
      </c>
      <c r="FR183" s="542">
        <v>31827042</v>
      </c>
      <c r="FS183" s="542">
        <v>0</v>
      </c>
      <c r="FT183" s="542">
        <v>31827042</v>
      </c>
    </row>
    <row r="184" spans="1:176" ht="12.75" x14ac:dyDescent="0.2">
      <c r="A184" s="93">
        <v>179</v>
      </c>
      <c r="B184" s="145" t="s">
        <v>236</v>
      </c>
      <c r="C184" s="604" t="s">
        <v>866</v>
      </c>
      <c r="D184" s="142" t="s">
        <v>875</v>
      </c>
      <c r="E184" s="149" t="s">
        <v>235</v>
      </c>
      <c r="F184" s="542">
        <v>-55432</v>
      </c>
      <c r="G184" s="542">
        <v>0</v>
      </c>
      <c r="H184" s="542">
        <v>-55432</v>
      </c>
      <c r="I184" s="542">
        <v>64940</v>
      </c>
      <c r="J184" s="542">
        <v>0</v>
      </c>
      <c r="K184" s="542">
        <v>64940</v>
      </c>
      <c r="L184" s="542">
        <v>979</v>
      </c>
      <c r="M184" s="542">
        <v>0</v>
      </c>
      <c r="N184" s="542">
        <v>979</v>
      </c>
      <c r="O184" s="542">
        <v>-111778</v>
      </c>
      <c r="P184" s="542">
        <v>0</v>
      </c>
      <c r="Q184" s="542">
        <v>-111778</v>
      </c>
      <c r="R184" s="542">
        <v>-101291</v>
      </c>
      <c r="S184" s="542">
        <v>0</v>
      </c>
      <c r="T184" s="542">
        <v>-101291</v>
      </c>
      <c r="U184" s="542">
        <v>-1774474</v>
      </c>
      <c r="V184" s="542">
        <v>0</v>
      </c>
      <c r="W184" s="542">
        <v>-1774474</v>
      </c>
      <c r="X184" s="542">
        <v>-1014</v>
      </c>
      <c r="Y184" s="542">
        <v>0</v>
      </c>
      <c r="Z184" s="542">
        <v>-1014</v>
      </c>
      <c r="AA184" s="542">
        <v>-153180</v>
      </c>
      <c r="AB184" s="542">
        <v>0</v>
      </c>
      <c r="AC184" s="542">
        <v>-153180</v>
      </c>
      <c r="AD184" s="542">
        <v>0</v>
      </c>
      <c r="AE184" s="542">
        <v>0</v>
      </c>
      <c r="AF184" s="542">
        <v>0</v>
      </c>
      <c r="AG184" s="542">
        <v>314314</v>
      </c>
      <c r="AH184" s="542">
        <v>0</v>
      </c>
      <c r="AI184" s="542">
        <v>314314</v>
      </c>
      <c r="AJ184" s="542">
        <v>-2292</v>
      </c>
      <c r="AK184" s="542">
        <v>0</v>
      </c>
      <c r="AL184" s="542">
        <v>-2292</v>
      </c>
      <c r="AM184" s="542">
        <v>-2584708</v>
      </c>
      <c r="AN184" s="542">
        <v>0</v>
      </c>
      <c r="AO184" s="542">
        <v>-2584708</v>
      </c>
      <c r="AP184" s="542">
        <v>-1960</v>
      </c>
      <c r="AQ184" s="542">
        <v>0</v>
      </c>
      <c r="AR184" s="542">
        <v>-1960</v>
      </c>
      <c r="AS184" s="542">
        <v>-1099</v>
      </c>
      <c r="AT184" s="542">
        <v>0</v>
      </c>
      <c r="AU184" s="542">
        <v>-1099</v>
      </c>
      <c r="AV184" s="542">
        <v>0</v>
      </c>
      <c r="AW184" s="542">
        <v>0</v>
      </c>
      <c r="AX184" s="542">
        <v>0</v>
      </c>
      <c r="AY184" s="542">
        <v>-41864</v>
      </c>
      <c r="AZ184" s="542">
        <v>0</v>
      </c>
      <c r="BA184" s="542">
        <v>-41864</v>
      </c>
      <c r="BB184" s="542">
        <v>590</v>
      </c>
      <c r="BC184" s="542">
        <v>0</v>
      </c>
      <c r="BD184" s="542">
        <v>590</v>
      </c>
      <c r="BE184" s="542">
        <v>-4244673</v>
      </c>
      <c r="BF184" s="542">
        <v>0</v>
      </c>
      <c r="BG184" s="542">
        <v>-4244673</v>
      </c>
      <c r="BH184" s="542">
        <v>-12446</v>
      </c>
      <c r="BI184" s="542">
        <v>0</v>
      </c>
      <c r="BJ184" s="542">
        <v>-12446</v>
      </c>
      <c r="BK184" s="542">
        <v>-2189</v>
      </c>
      <c r="BL184" s="542">
        <v>0</v>
      </c>
      <c r="BM184" s="542">
        <v>-2189</v>
      </c>
      <c r="BN184" s="542">
        <v>-312388</v>
      </c>
      <c r="BO184" s="542">
        <v>0</v>
      </c>
      <c r="BP184" s="542">
        <v>-312388</v>
      </c>
      <c r="BQ184" s="542">
        <v>-108507</v>
      </c>
      <c r="BR184" s="542">
        <v>0</v>
      </c>
      <c r="BS184" s="542">
        <v>-108507</v>
      </c>
      <c r="BT184" s="542">
        <v>-435530</v>
      </c>
      <c r="BU184" s="542">
        <v>0</v>
      </c>
      <c r="BV184" s="542">
        <v>-435530</v>
      </c>
      <c r="BW184" s="542">
        <v>-28898</v>
      </c>
      <c r="BX184" s="542">
        <v>0</v>
      </c>
      <c r="BY184" s="542">
        <v>-28898</v>
      </c>
      <c r="BZ184" s="542">
        <v>0</v>
      </c>
      <c r="CA184" s="542">
        <v>0</v>
      </c>
      <c r="CB184" s="542">
        <v>0</v>
      </c>
      <c r="CC184" s="542">
        <v>-959</v>
      </c>
      <c r="CD184" s="542">
        <v>0</v>
      </c>
      <c r="CE184" s="542">
        <v>-959</v>
      </c>
      <c r="CF184" s="542">
        <v>4761</v>
      </c>
      <c r="CG184" s="542">
        <v>0</v>
      </c>
      <c r="CH184" s="542">
        <v>4761</v>
      </c>
      <c r="CI184" s="542">
        <v>0</v>
      </c>
      <c r="CJ184" s="542">
        <v>0</v>
      </c>
      <c r="CK184" s="542">
        <v>0</v>
      </c>
      <c r="CL184" s="542">
        <v>0</v>
      </c>
      <c r="CM184" s="542">
        <v>0</v>
      </c>
      <c r="CN184" s="542">
        <v>0</v>
      </c>
      <c r="CO184" s="542">
        <v>-4063</v>
      </c>
      <c r="CP184" s="542">
        <v>0</v>
      </c>
      <c r="CQ184" s="542">
        <v>-4063</v>
      </c>
      <c r="CR184" s="542">
        <v>0</v>
      </c>
      <c r="CS184" s="542">
        <v>0</v>
      </c>
      <c r="CT184" s="542">
        <v>0</v>
      </c>
      <c r="CU184" s="542">
        <v>0</v>
      </c>
      <c r="CV184" s="542">
        <v>0</v>
      </c>
      <c r="CW184" s="542">
        <v>0</v>
      </c>
      <c r="CX184" s="542">
        <v>0</v>
      </c>
      <c r="CY184" s="542">
        <v>0</v>
      </c>
      <c r="CZ184" s="542">
        <v>0</v>
      </c>
      <c r="DA184" s="542">
        <v>0</v>
      </c>
      <c r="DB184" s="542">
        <v>0</v>
      </c>
      <c r="DC184" s="542">
        <v>0</v>
      </c>
      <c r="DD184" s="542">
        <v>0</v>
      </c>
      <c r="DE184" s="542">
        <v>0</v>
      </c>
      <c r="DF184" s="542">
        <v>0</v>
      </c>
      <c r="DG184" s="542"/>
      <c r="DH184" s="542">
        <v>0</v>
      </c>
      <c r="DI184" s="542"/>
      <c r="DJ184" s="542">
        <v>0</v>
      </c>
      <c r="DK184" s="542"/>
      <c r="DL184" s="542"/>
      <c r="DM184" s="542">
        <v>-29159</v>
      </c>
      <c r="DN184" s="542">
        <v>0</v>
      </c>
      <c r="DO184" s="542">
        <v>-29159</v>
      </c>
      <c r="DP184" s="542">
        <v>0</v>
      </c>
      <c r="DQ184" s="542">
        <v>0</v>
      </c>
      <c r="DR184" s="542">
        <v>0</v>
      </c>
      <c r="DS184" s="542">
        <v>0</v>
      </c>
      <c r="DT184" s="542">
        <v>0</v>
      </c>
      <c r="DU184" s="542">
        <v>0</v>
      </c>
      <c r="DV184" s="542">
        <v>0</v>
      </c>
      <c r="DW184" s="542">
        <v>0</v>
      </c>
      <c r="DX184" s="542">
        <v>0</v>
      </c>
      <c r="DY184" s="542">
        <v>-332303</v>
      </c>
      <c r="DZ184" s="542">
        <v>0</v>
      </c>
      <c r="EA184" s="542">
        <v>-332303</v>
      </c>
      <c r="EB184" s="542">
        <v>-68</v>
      </c>
      <c r="EC184" s="542">
        <v>0</v>
      </c>
      <c r="ED184" s="542">
        <v>-68</v>
      </c>
      <c r="EE184" s="542">
        <v>-6590</v>
      </c>
      <c r="EF184" s="542">
        <v>0</v>
      </c>
      <c r="EG184" s="542">
        <v>-6590</v>
      </c>
      <c r="EH184" s="542">
        <v>-338961</v>
      </c>
      <c r="EI184" s="542">
        <v>0</v>
      </c>
      <c r="EJ184" s="542">
        <v>-338961</v>
      </c>
      <c r="EK184" s="542">
        <v>0</v>
      </c>
      <c r="EL184" s="542">
        <v>0</v>
      </c>
      <c r="EM184" s="542">
        <v>0</v>
      </c>
      <c r="EN184" s="542">
        <v>0</v>
      </c>
      <c r="EO184" s="542">
        <v>0</v>
      </c>
      <c r="EP184" s="542">
        <v>0</v>
      </c>
      <c r="EQ184" s="542">
        <v>0</v>
      </c>
      <c r="ER184" s="542">
        <v>0</v>
      </c>
      <c r="ES184" s="542">
        <v>0</v>
      </c>
      <c r="ET184" s="542">
        <v>18279407</v>
      </c>
      <c r="EU184" s="542">
        <v>0</v>
      </c>
      <c r="EV184" s="542">
        <v>18279407</v>
      </c>
      <c r="EW184" s="542">
        <v>-101291</v>
      </c>
      <c r="EX184" s="542">
        <v>0</v>
      </c>
      <c r="EY184" s="542">
        <v>-101291</v>
      </c>
      <c r="EZ184" s="542">
        <v>-4244673</v>
      </c>
      <c r="FA184" s="542">
        <v>0</v>
      </c>
      <c r="FB184" s="542">
        <v>-4244673</v>
      </c>
      <c r="FC184" s="542">
        <v>-435530</v>
      </c>
      <c r="FD184" s="542">
        <v>0</v>
      </c>
      <c r="FE184" s="542">
        <v>-435530</v>
      </c>
      <c r="FF184" s="542">
        <v>-29159</v>
      </c>
      <c r="FG184" s="542">
        <v>0</v>
      </c>
      <c r="FH184" s="542">
        <v>-29159</v>
      </c>
      <c r="FI184" s="542">
        <v>-338961</v>
      </c>
      <c r="FJ184" s="542">
        <v>0</v>
      </c>
      <c r="FK184" s="542">
        <v>-338961</v>
      </c>
      <c r="FL184" s="542">
        <v>0</v>
      </c>
      <c r="FM184" s="542">
        <v>0</v>
      </c>
      <c r="FN184" s="542">
        <v>0</v>
      </c>
      <c r="FO184" s="542">
        <v>-5149614</v>
      </c>
      <c r="FP184" s="542">
        <v>0</v>
      </c>
      <c r="FQ184" s="542">
        <v>-5149614</v>
      </c>
      <c r="FR184" s="542">
        <v>13129793</v>
      </c>
      <c r="FS184" s="542">
        <v>0</v>
      </c>
      <c r="FT184" s="542">
        <v>13129793</v>
      </c>
    </row>
    <row r="185" spans="1:176" ht="12.75" x14ac:dyDescent="0.2">
      <c r="A185" s="93">
        <v>180</v>
      </c>
      <c r="B185" s="145" t="s">
        <v>238</v>
      </c>
      <c r="C185" s="604" t="s">
        <v>866</v>
      </c>
      <c r="D185" s="142" t="s">
        <v>869</v>
      </c>
      <c r="E185" s="149" t="s">
        <v>237</v>
      </c>
      <c r="F185" s="542">
        <v>-36198</v>
      </c>
      <c r="G185" s="542">
        <v>0</v>
      </c>
      <c r="H185" s="542">
        <v>-36198</v>
      </c>
      <c r="I185" s="542">
        <v>210.16</v>
      </c>
      <c r="J185" s="542">
        <v>0</v>
      </c>
      <c r="K185" s="542">
        <v>210.16</v>
      </c>
      <c r="L185" s="542">
        <v>506</v>
      </c>
      <c r="M185" s="542">
        <v>0</v>
      </c>
      <c r="N185" s="542">
        <v>506</v>
      </c>
      <c r="O185" s="542">
        <v>-6467</v>
      </c>
      <c r="P185" s="542">
        <v>0</v>
      </c>
      <c r="Q185" s="542">
        <v>-6467</v>
      </c>
      <c r="R185" s="542">
        <v>-41949</v>
      </c>
      <c r="S185" s="542">
        <v>0</v>
      </c>
      <c r="T185" s="542">
        <v>-41949</v>
      </c>
      <c r="U185" s="542">
        <v>-1698603</v>
      </c>
      <c r="V185" s="542">
        <v>0</v>
      </c>
      <c r="W185" s="542">
        <v>-1698603</v>
      </c>
      <c r="X185" s="542">
        <v>0</v>
      </c>
      <c r="Y185" s="542">
        <v>0</v>
      </c>
      <c r="Z185" s="542">
        <v>0</v>
      </c>
      <c r="AA185" s="542">
        <v>-125410.45</v>
      </c>
      <c r="AB185" s="542">
        <v>0</v>
      </c>
      <c r="AC185" s="542">
        <v>-125410.45</v>
      </c>
      <c r="AD185" s="542">
        <v>0</v>
      </c>
      <c r="AE185" s="542">
        <v>0</v>
      </c>
      <c r="AF185" s="542">
        <v>0</v>
      </c>
      <c r="AG185" s="542">
        <v>331415</v>
      </c>
      <c r="AH185" s="542">
        <v>0</v>
      </c>
      <c r="AI185" s="542">
        <v>331415</v>
      </c>
      <c r="AJ185" s="542">
        <v>-2937</v>
      </c>
      <c r="AK185" s="542">
        <v>0</v>
      </c>
      <c r="AL185" s="542">
        <v>-2937</v>
      </c>
      <c r="AM185" s="542">
        <v>-465458</v>
      </c>
      <c r="AN185" s="542">
        <v>0</v>
      </c>
      <c r="AO185" s="542">
        <v>-465458</v>
      </c>
      <c r="AP185" s="542">
        <v>789</v>
      </c>
      <c r="AQ185" s="542">
        <v>0</v>
      </c>
      <c r="AR185" s="542">
        <v>789</v>
      </c>
      <c r="AS185" s="542">
        <v>-10006</v>
      </c>
      <c r="AT185" s="542">
        <v>0</v>
      </c>
      <c r="AU185" s="542">
        <v>-10006</v>
      </c>
      <c r="AV185" s="542">
        <v>0</v>
      </c>
      <c r="AW185" s="542">
        <v>0</v>
      </c>
      <c r="AX185" s="542">
        <v>0</v>
      </c>
      <c r="AY185" s="542">
        <v>-9321</v>
      </c>
      <c r="AZ185" s="542">
        <v>0</v>
      </c>
      <c r="BA185" s="542">
        <v>-9321</v>
      </c>
      <c r="BB185" s="542">
        <v>-2618</v>
      </c>
      <c r="BC185" s="542">
        <v>0</v>
      </c>
      <c r="BD185" s="542">
        <v>-2618</v>
      </c>
      <c r="BE185" s="542">
        <v>-1982149</v>
      </c>
      <c r="BF185" s="542">
        <v>0</v>
      </c>
      <c r="BG185" s="542">
        <v>-1982149</v>
      </c>
      <c r="BH185" s="542">
        <v>-154943</v>
      </c>
      <c r="BI185" s="542">
        <v>0</v>
      </c>
      <c r="BJ185" s="542">
        <v>-154943</v>
      </c>
      <c r="BK185" s="542">
        <v>247.37</v>
      </c>
      <c r="BL185" s="542">
        <v>0</v>
      </c>
      <c r="BM185" s="542">
        <v>247.37</v>
      </c>
      <c r="BN185" s="542">
        <v>-315151</v>
      </c>
      <c r="BO185" s="542">
        <v>0</v>
      </c>
      <c r="BP185" s="542">
        <v>-315151</v>
      </c>
      <c r="BQ185" s="542">
        <v>-10768</v>
      </c>
      <c r="BR185" s="542">
        <v>0</v>
      </c>
      <c r="BS185" s="542">
        <v>-10768</v>
      </c>
      <c r="BT185" s="542">
        <v>-480615</v>
      </c>
      <c r="BU185" s="542">
        <v>0</v>
      </c>
      <c r="BV185" s="542">
        <v>-480615</v>
      </c>
      <c r="BW185" s="542">
        <v>-30214</v>
      </c>
      <c r="BX185" s="542">
        <v>0</v>
      </c>
      <c r="BY185" s="542">
        <v>-30214</v>
      </c>
      <c r="BZ185" s="542">
        <v>-5455</v>
      </c>
      <c r="CA185" s="542">
        <v>0</v>
      </c>
      <c r="CB185" s="542">
        <v>-5455</v>
      </c>
      <c r="CC185" s="542">
        <v>-16261</v>
      </c>
      <c r="CD185" s="542">
        <v>0</v>
      </c>
      <c r="CE185" s="542">
        <v>-16261</v>
      </c>
      <c r="CF185" s="542">
        <v>0</v>
      </c>
      <c r="CG185" s="542">
        <v>0</v>
      </c>
      <c r="CH185" s="542">
        <v>0</v>
      </c>
      <c r="CI185" s="542">
        <v>-222</v>
      </c>
      <c r="CJ185" s="542">
        <v>0</v>
      </c>
      <c r="CK185" s="542">
        <v>-222</v>
      </c>
      <c r="CL185" s="542">
        <v>0</v>
      </c>
      <c r="CM185" s="542">
        <v>0</v>
      </c>
      <c r="CN185" s="542">
        <v>0</v>
      </c>
      <c r="CO185" s="542">
        <v>-1235</v>
      </c>
      <c r="CP185" s="542">
        <v>0</v>
      </c>
      <c r="CQ185" s="542">
        <v>-1235</v>
      </c>
      <c r="CR185" s="542">
        <v>0</v>
      </c>
      <c r="CS185" s="542">
        <v>0</v>
      </c>
      <c r="CT185" s="542">
        <v>0</v>
      </c>
      <c r="CU185" s="542">
        <v>0</v>
      </c>
      <c r="CV185" s="542">
        <v>0</v>
      </c>
      <c r="CW185" s="542">
        <v>0</v>
      </c>
      <c r="CX185" s="542">
        <v>0</v>
      </c>
      <c r="CY185" s="542">
        <v>0</v>
      </c>
      <c r="CZ185" s="542">
        <v>0</v>
      </c>
      <c r="DA185" s="542">
        <v>0</v>
      </c>
      <c r="DB185" s="542">
        <v>0</v>
      </c>
      <c r="DC185" s="542">
        <v>0</v>
      </c>
      <c r="DD185" s="542">
        <v>0</v>
      </c>
      <c r="DE185" s="542">
        <v>0</v>
      </c>
      <c r="DF185" s="542">
        <v>0</v>
      </c>
      <c r="DG185" s="542"/>
      <c r="DH185" s="542">
        <v>0</v>
      </c>
      <c r="DI185" s="542"/>
      <c r="DJ185" s="542">
        <v>0</v>
      </c>
      <c r="DK185" s="542"/>
      <c r="DL185" s="542"/>
      <c r="DM185" s="542">
        <v>-53387</v>
      </c>
      <c r="DN185" s="542">
        <v>0</v>
      </c>
      <c r="DO185" s="542">
        <v>-53387</v>
      </c>
      <c r="DP185" s="542">
        <v>0</v>
      </c>
      <c r="DQ185" s="542">
        <v>0</v>
      </c>
      <c r="DR185" s="542">
        <v>0</v>
      </c>
      <c r="DS185" s="542">
        <v>0</v>
      </c>
      <c r="DT185" s="542">
        <v>0</v>
      </c>
      <c r="DU185" s="542">
        <v>0</v>
      </c>
      <c r="DV185" s="542">
        <v>0</v>
      </c>
      <c r="DW185" s="542">
        <v>0</v>
      </c>
      <c r="DX185" s="542">
        <v>0</v>
      </c>
      <c r="DY185" s="542">
        <v>-240907</v>
      </c>
      <c r="DZ185" s="542">
        <v>0</v>
      </c>
      <c r="EA185" s="542">
        <v>-240907</v>
      </c>
      <c r="EB185" s="542">
        <v>0</v>
      </c>
      <c r="EC185" s="542">
        <v>0</v>
      </c>
      <c r="ED185" s="542">
        <v>0</v>
      </c>
      <c r="EE185" s="542">
        <v>0</v>
      </c>
      <c r="EF185" s="542">
        <v>0</v>
      </c>
      <c r="EG185" s="542">
        <v>0</v>
      </c>
      <c r="EH185" s="542">
        <v>-240907</v>
      </c>
      <c r="EI185" s="542">
        <v>0</v>
      </c>
      <c r="EJ185" s="542">
        <v>-240907</v>
      </c>
      <c r="EK185" s="542">
        <v>0</v>
      </c>
      <c r="EL185" s="542">
        <v>0</v>
      </c>
      <c r="EM185" s="542">
        <v>0</v>
      </c>
      <c r="EN185" s="542">
        <v>0</v>
      </c>
      <c r="EO185" s="542">
        <v>0</v>
      </c>
      <c r="EP185" s="542">
        <v>0</v>
      </c>
      <c r="EQ185" s="542">
        <v>0</v>
      </c>
      <c r="ER185" s="542">
        <v>0</v>
      </c>
      <c r="ES185" s="542">
        <v>0</v>
      </c>
      <c r="ET185" s="542">
        <v>18636489</v>
      </c>
      <c r="EU185" s="542">
        <v>0</v>
      </c>
      <c r="EV185" s="542">
        <v>18636489</v>
      </c>
      <c r="EW185" s="542">
        <v>-41949</v>
      </c>
      <c r="EX185" s="542">
        <v>0</v>
      </c>
      <c r="EY185" s="542">
        <v>-41949</v>
      </c>
      <c r="EZ185" s="542">
        <v>-1982149</v>
      </c>
      <c r="FA185" s="542">
        <v>0</v>
      </c>
      <c r="FB185" s="542">
        <v>-1982149</v>
      </c>
      <c r="FC185" s="542">
        <v>-480615</v>
      </c>
      <c r="FD185" s="542">
        <v>0</v>
      </c>
      <c r="FE185" s="542">
        <v>-480615</v>
      </c>
      <c r="FF185" s="542">
        <v>-53387</v>
      </c>
      <c r="FG185" s="542">
        <v>0</v>
      </c>
      <c r="FH185" s="542">
        <v>-53387</v>
      </c>
      <c r="FI185" s="542">
        <v>-240907</v>
      </c>
      <c r="FJ185" s="542">
        <v>0</v>
      </c>
      <c r="FK185" s="542">
        <v>-240907</v>
      </c>
      <c r="FL185" s="542">
        <v>0</v>
      </c>
      <c r="FM185" s="542">
        <v>0</v>
      </c>
      <c r="FN185" s="542">
        <v>0</v>
      </c>
      <c r="FO185" s="542">
        <v>-2799007</v>
      </c>
      <c r="FP185" s="542">
        <v>0</v>
      </c>
      <c r="FQ185" s="542">
        <v>-2799007</v>
      </c>
      <c r="FR185" s="542">
        <v>15837482</v>
      </c>
      <c r="FS185" s="542">
        <v>0</v>
      </c>
      <c r="FT185" s="542">
        <v>15837482</v>
      </c>
    </row>
    <row r="186" spans="1:176" ht="12.75" x14ac:dyDescent="0.2">
      <c r="A186" s="93">
        <v>181</v>
      </c>
      <c r="B186" s="145" t="s">
        <v>240</v>
      </c>
      <c r="C186" s="604" t="s">
        <v>770</v>
      </c>
      <c r="D186" s="142" t="s">
        <v>874</v>
      </c>
      <c r="E186" s="149" t="s">
        <v>709</v>
      </c>
      <c r="F186" s="542">
        <v>-17217</v>
      </c>
      <c r="G186" s="542">
        <v>0</v>
      </c>
      <c r="H186" s="542">
        <v>-17217</v>
      </c>
      <c r="I186" s="542">
        <v>571226</v>
      </c>
      <c r="J186" s="542">
        <v>0</v>
      </c>
      <c r="K186" s="542">
        <v>571226</v>
      </c>
      <c r="L186" s="542">
        <v>38991</v>
      </c>
      <c r="M186" s="542">
        <v>0</v>
      </c>
      <c r="N186" s="542">
        <v>38991</v>
      </c>
      <c r="O186" s="542">
        <v>338969</v>
      </c>
      <c r="P186" s="542">
        <v>0</v>
      </c>
      <c r="Q186" s="542">
        <v>338969</v>
      </c>
      <c r="R186" s="542">
        <v>931969</v>
      </c>
      <c r="S186" s="542">
        <v>0</v>
      </c>
      <c r="T186" s="542">
        <v>931969</v>
      </c>
      <c r="U186" s="542">
        <v>-3310474</v>
      </c>
      <c r="V186" s="542">
        <v>0</v>
      </c>
      <c r="W186" s="542">
        <v>-3310474</v>
      </c>
      <c r="X186" s="542">
        <v>-8945</v>
      </c>
      <c r="Y186" s="542">
        <v>0</v>
      </c>
      <c r="Z186" s="542">
        <v>-8945</v>
      </c>
      <c r="AA186" s="542">
        <v>-339433</v>
      </c>
      <c r="AB186" s="542">
        <v>0</v>
      </c>
      <c r="AC186" s="542">
        <v>-339433</v>
      </c>
      <c r="AD186" s="542">
        <v>-123448</v>
      </c>
      <c r="AE186" s="542">
        <v>0</v>
      </c>
      <c r="AF186" s="542">
        <v>-123448</v>
      </c>
      <c r="AG186" s="542">
        <v>1560561</v>
      </c>
      <c r="AH186" s="542">
        <v>0</v>
      </c>
      <c r="AI186" s="542">
        <v>1560561</v>
      </c>
      <c r="AJ186" s="542">
        <v>345691</v>
      </c>
      <c r="AK186" s="542">
        <v>0</v>
      </c>
      <c r="AL186" s="542">
        <v>345691</v>
      </c>
      <c r="AM186" s="542">
        <v>-2853843</v>
      </c>
      <c r="AN186" s="542">
        <v>0</v>
      </c>
      <c r="AO186" s="542">
        <v>-2853843</v>
      </c>
      <c r="AP186" s="542">
        <v>-219105</v>
      </c>
      <c r="AQ186" s="542">
        <v>0</v>
      </c>
      <c r="AR186" s="542">
        <v>-219105</v>
      </c>
      <c r="AS186" s="542">
        <v>-89498</v>
      </c>
      <c r="AT186" s="542">
        <v>0</v>
      </c>
      <c r="AU186" s="542">
        <v>-89498</v>
      </c>
      <c r="AV186" s="542">
        <v>0</v>
      </c>
      <c r="AW186" s="542">
        <v>0</v>
      </c>
      <c r="AX186" s="542">
        <v>0</v>
      </c>
      <c r="AY186" s="542">
        <v>-578</v>
      </c>
      <c r="AZ186" s="542">
        <v>0</v>
      </c>
      <c r="BA186" s="542">
        <v>-578</v>
      </c>
      <c r="BB186" s="542">
        <v>0</v>
      </c>
      <c r="BC186" s="542">
        <v>0</v>
      </c>
      <c r="BD186" s="542">
        <v>0</v>
      </c>
      <c r="BE186" s="542">
        <v>-4906679</v>
      </c>
      <c r="BF186" s="542">
        <v>0</v>
      </c>
      <c r="BG186" s="542">
        <v>-4906679</v>
      </c>
      <c r="BH186" s="542">
        <v>-31638</v>
      </c>
      <c r="BI186" s="542">
        <v>0</v>
      </c>
      <c r="BJ186" s="542">
        <v>-31638</v>
      </c>
      <c r="BK186" s="542">
        <v>-64426</v>
      </c>
      <c r="BL186" s="542">
        <v>0</v>
      </c>
      <c r="BM186" s="542">
        <v>-64426</v>
      </c>
      <c r="BN186" s="542">
        <v>-2214532</v>
      </c>
      <c r="BO186" s="542">
        <v>0</v>
      </c>
      <c r="BP186" s="542">
        <v>-2214532</v>
      </c>
      <c r="BQ186" s="542">
        <v>-144762</v>
      </c>
      <c r="BR186" s="542">
        <v>0</v>
      </c>
      <c r="BS186" s="542">
        <v>-144762</v>
      </c>
      <c r="BT186" s="542">
        <v>-2455358</v>
      </c>
      <c r="BU186" s="542">
        <v>0</v>
      </c>
      <c r="BV186" s="542">
        <v>-2455358</v>
      </c>
      <c r="BW186" s="542">
        <v>-41391</v>
      </c>
      <c r="BX186" s="542">
        <v>0</v>
      </c>
      <c r="BY186" s="542">
        <v>-41391</v>
      </c>
      <c r="BZ186" s="542">
        <v>-5831</v>
      </c>
      <c r="CA186" s="542">
        <v>0</v>
      </c>
      <c r="CB186" s="542">
        <v>-5831</v>
      </c>
      <c r="CC186" s="542">
        <v>-567357</v>
      </c>
      <c r="CD186" s="542">
        <v>0</v>
      </c>
      <c r="CE186" s="542">
        <v>-567357</v>
      </c>
      <c r="CF186" s="542">
        <v>-120736</v>
      </c>
      <c r="CG186" s="542">
        <v>0</v>
      </c>
      <c r="CH186" s="542">
        <v>-120736</v>
      </c>
      <c r="CI186" s="542">
        <v>-2778</v>
      </c>
      <c r="CJ186" s="542">
        <v>0</v>
      </c>
      <c r="CK186" s="542">
        <v>-2778</v>
      </c>
      <c r="CL186" s="542">
        <v>0</v>
      </c>
      <c r="CM186" s="542">
        <v>0</v>
      </c>
      <c r="CN186" s="542">
        <v>0</v>
      </c>
      <c r="CO186" s="542">
        <v>-578</v>
      </c>
      <c r="CP186" s="542">
        <v>0</v>
      </c>
      <c r="CQ186" s="542">
        <v>-578</v>
      </c>
      <c r="CR186" s="542">
        <v>0</v>
      </c>
      <c r="CS186" s="542">
        <v>0</v>
      </c>
      <c r="CT186" s="542">
        <v>0</v>
      </c>
      <c r="CU186" s="542">
        <v>0</v>
      </c>
      <c r="CV186" s="542">
        <v>0</v>
      </c>
      <c r="CW186" s="542">
        <v>0</v>
      </c>
      <c r="CX186" s="542">
        <v>0</v>
      </c>
      <c r="CY186" s="542">
        <v>0</v>
      </c>
      <c r="CZ186" s="542">
        <v>0</v>
      </c>
      <c r="DA186" s="542">
        <v>0</v>
      </c>
      <c r="DB186" s="542">
        <v>-63744</v>
      </c>
      <c r="DC186" s="542">
        <v>-63744</v>
      </c>
      <c r="DD186" s="542">
        <v>0</v>
      </c>
      <c r="DE186" s="542">
        <v>-22964</v>
      </c>
      <c r="DF186" s="542">
        <v>-22964</v>
      </c>
      <c r="DG186" s="542"/>
      <c r="DH186" s="542">
        <v>-86708</v>
      </c>
      <c r="DI186" s="542"/>
      <c r="DJ186" s="542">
        <v>0</v>
      </c>
      <c r="DK186" s="542"/>
      <c r="DL186" s="542"/>
      <c r="DM186" s="542">
        <v>-738671</v>
      </c>
      <c r="DN186" s="542">
        <v>-86708</v>
      </c>
      <c r="DO186" s="542">
        <v>-825379</v>
      </c>
      <c r="DP186" s="542">
        <v>-1840</v>
      </c>
      <c r="DQ186" s="542">
        <v>0</v>
      </c>
      <c r="DR186" s="542">
        <v>-1840</v>
      </c>
      <c r="DS186" s="542">
        <v>0</v>
      </c>
      <c r="DT186" s="542">
        <v>0</v>
      </c>
      <c r="DU186" s="542">
        <v>0</v>
      </c>
      <c r="DV186" s="542">
        <v>-353</v>
      </c>
      <c r="DW186" s="542">
        <v>0</v>
      </c>
      <c r="DX186" s="542">
        <v>-353</v>
      </c>
      <c r="DY186" s="542">
        <v>-462755</v>
      </c>
      <c r="DZ186" s="542">
        <v>0</v>
      </c>
      <c r="EA186" s="542">
        <v>-462755</v>
      </c>
      <c r="EB186" s="542">
        <v>0</v>
      </c>
      <c r="EC186" s="542">
        <v>0</v>
      </c>
      <c r="ED186" s="542">
        <v>0</v>
      </c>
      <c r="EE186" s="542">
        <v>-686370</v>
      </c>
      <c r="EF186" s="542">
        <v>0</v>
      </c>
      <c r="EG186" s="542">
        <v>-686370</v>
      </c>
      <c r="EH186" s="542">
        <v>-1151318</v>
      </c>
      <c r="EI186" s="542">
        <v>0</v>
      </c>
      <c r="EJ186" s="542">
        <v>-1151318</v>
      </c>
      <c r="EK186" s="542">
        <v>0</v>
      </c>
      <c r="EL186" s="542">
        <v>0</v>
      </c>
      <c r="EM186" s="542">
        <v>0</v>
      </c>
      <c r="EN186" s="542">
        <v>0</v>
      </c>
      <c r="EO186" s="542">
        <v>0</v>
      </c>
      <c r="EP186" s="542">
        <v>0</v>
      </c>
      <c r="EQ186" s="542">
        <v>0</v>
      </c>
      <c r="ER186" s="542">
        <v>0</v>
      </c>
      <c r="ES186" s="542">
        <v>0</v>
      </c>
      <c r="ET186" s="542">
        <v>69989520</v>
      </c>
      <c r="EU186" s="542">
        <v>86708</v>
      </c>
      <c r="EV186" s="542">
        <v>70076228</v>
      </c>
      <c r="EW186" s="542">
        <v>931969</v>
      </c>
      <c r="EX186" s="542">
        <v>0</v>
      </c>
      <c r="EY186" s="542">
        <v>931969</v>
      </c>
      <c r="EZ186" s="542">
        <v>-4906679</v>
      </c>
      <c r="FA186" s="542">
        <v>0</v>
      </c>
      <c r="FB186" s="542">
        <v>-4906679</v>
      </c>
      <c r="FC186" s="542">
        <v>-2455358</v>
      </c>
      <c r="FD186" s="542">
        <v>0</v>
      </c>
      <c r="FE186" s="542">
        <v>-2455358</v>
      </c>
      <c r="FF186" s="542">
        <v>-738671</v>
      </c>
      <c r="FG186" s="542">
        <v>-86708</v>
      </c>
      <c r="FH186" s="542">
        <v>-825379</v>
      </c>
      <c r="FI186" s="542">
        <v>-1151318</v>
      </c>
      <c r="FJ186" s="542">
        <v>0</v>
      </c>
      <c r="FK186" s="542">
        <v>-1151318</v>
      </c>
      <c r="FL186" s="542">
        <v>0</v>
      </c>
      <c r="FM186" s="542">
        <v>0</v>
      </c>
      <c r="FN186" s="542">
        <v>0</v>
      </c>
      <c r="FO186" s="542">
        <v>-8320057</v>
      </c>
      <c r="FP186" s="542">
        <v>-86708</v>
      </c>
      <c r="FQ186" s="542">
        <v>-8406765</v>
      </c>
      <c r="FR186" s="542">
        <v>61669463</v>
      </c>
      <c r="FS186" s="542">
        <v>0</v>
      </c>
      <c r="FT186" s="542">
        <v>61669463</v>
      </c>
    </row>
    <row r="187" spans="1:176" ht="12.75" x14ac:dyDescent="0.2">
      <c r="A187" s="93">
        <v>182</v>
      </c>
      <c r="B187" s="145" t="s">
        <v>242</v>
      </c>
      <c r="C187" s="604" t="s">
        <v>866</v>
      </c>
      <c r="D187" s="142" t="s">
        <v>870</v>
      </c>
      <c r="E187" s="149" t="s">
        <v>241</v>
      </c>
      <c r="F187" s="542">
        <v>-92151</v>
      </c>
      <c r="G187" s="542">
        <v>0</v>
      </c>
      <c r="H187" s="542">
        <v>-92151</v>
      </c>
      <c r="I187" s="542">
        <v>110127</v>
      </c>
      <c r="J187" s="542">
        <v>0</v>
      </c>
      <c r="K187" s="542">
        <v>110127</v>
      </c>
      <c r="L187" s="542">
        <v>26206</v>
      </c>
      <c r="M187" s="542">
        <v>0</v>
      </c>
      <c r="N187" s="542">
        <v>26206</v>
      </c>
      <c r="O187" s="542">
        <v>26321</v>
      </c>
      <c r="P187" s="542">
        <v>0</v>
      </c>
      <c r="Q187" s="542">
        <v>26321</v>
      </c>
      <c r="R187" s="542">
        <v>70503</v>
      </c>
      <c r="S187" s="542">
        <v>0</v>
      </c>
      <c r="T187" s="542">
        <v>70503</v>
      </c>
      <c r="U187" s="542">
        <v>-2426119</v>
      </c>
      <c r="V187" s="542">
        <v>0</v>
      </c>
      <c r="W187" s="542">
        <v>-2426119</v>
      </c>
      <c r="X187" s="542">
        <v>0</v>
      </c>
      <c r="Y187" s="542">
        <v>0</v>
      </c>
      <c r="Z187" s="542">
        <v>0</v>
      </c>
      <c r="AA187" s="542">
        <v>-188575</v>
      </c>
      <c r="AB187" s="542">
        <v>0</v>
      </c>
      <c r="AC187" s="542">
        <v>-188575</v>
      </c>
      <c r="AD187" s="542">
        <v>-82875</v>
      </c>
      <c r="AE187" s="542">
        <v>0</v>
      </c>
      <c r="AF187" s="542">
        <v>-82875</v>
      </c>
      <c r="AG187" s="542">
        <v>842508</v>
      </c>
      <c r="AH187" s="542">
        <v>0</v>
      </c>
      <c r="AI187" s="542">
        <v>842508</v>
      </c>
      <c r="AJ187" s="542">
        <v>52318</v>
      </c>
      <c r="AK187" s="542">
        <v>0</v>
      </c>
      <c r="AL187" s="542">
        <v>52318</v>
      </c>
      <c r="AM187" s="542">
        <v>-2463702</v>
      </c>
      <c r="AN187" s="542">
        <v>0</v>
      </c>
      <c r="AO187" s="542">
        <v>-2463702</v>
      </c>
      <c r="AP187" s="542">
        <v>-10443</v>
      </c>
      <c r="AQ187" s="542">
        <v>0</v>
      </c>
      <c r="AR187" s="542">
        <v>-10443</v>
      </c>
      <c r="AS187" s="542">
        <v>-123409</v>
      </c>
      <c r="AT187" s="542">
        <v>0</v>
      </c>
      <c r="AU187" s="542">
        <v>-123409</v>
      </c>
      <c r="AV187" s="542">
        <v>16859</v>
      </c>
      <c r="AW187" s="542">
        <v>0</v>
      </c>
      <c r="AX187" s="542">
        <v>16859</v>
      </c>
      <c r="AY187" s="542">
        <v>-14993</v>
      </c>
      <c r="AZ187" s="542">
        <v>0</v>
      </c>
      <c r="BA187" s="542">
        <v>-14993</v>
      </c>
      <c r="BB187" s="542">
        <v>-4091</v>
      </c>
      <c r="BC187" s="542">
        <v>0</v>
      </c>
      <c r="BD187" s="542">
        <v>-4091</v>
      </c>
      <c r="BE187" s="542">
        <v>-4319647</v>
      </c>
      <c r="BF187" s="542">
        <v>0</v>
      </c>
      <c r="BG187" s="542">
        <v>-4319647</v>
      </c>
      <c r="BH187" s="542">
        <v>-16028</v>
      </c>
      <c r="BI187" s="542">
        <v>0</v>
      </c>
      <c r="BJ187" s="542">
        <v>-16028</v>
      </c>
      <c r="BK187" s="542">
        <v>-1141</v>
      </c>
      <c r="BL187" s="542">
        <v>0</v>
      </c>
      <c r="BM187" s="542">
        <v>-1141</v>
      </c>
      <c r="BN187" s="542">
        <v>-1700749</v>
      </c>
      <c r="BO187" s="542">
        <v>0</v>
      </c>
      <c r="BP187" s="542">
        <v>-1700749</v>
      </c>
      <c r="BQ187" s="542">
        <v>-83467</v>
      </c>
      <c r="BR187" s="542">
        <v>0</v>
      </c>
      <c r="BS187" s="542">
        <v>-83467</v>
      </c>
      <c r="BT187" s="542">
        <v>-1801385</v>
      </c>
      <c r="BU187" s="542">
        <v>0</v>
      </c>
      <c r="BV187" s="542">
        <v>-1801385</v>
      </c>
      <c r="BW187" s="542">
        <v>-169800</v>
      </c>
      <c r="BX187" s="542">
        <v>0</v>
      </c>
      <c r="BY187" s="542">
        <v>-169800</v>
      </c>
      <c r="BZ187" s="542">
        <v>-802</v>
      </c>
      <c r="CA187" s="542">
        <v>0</v>
      </c>
      <c r="CB187" s="542">
        <v>-802</v>
      </c>
      <c r="CC187" s="542">
        <v>-103798</v>
      </c>
      <c r="CD187" s="542">
        <v>0</v>
      </c>
      <c r="CE187" s="542">
        <v>-103798</v>
      </c>
      <c r="CF187" s="542">
        <v>-2803</v>
      </c>
      <c r="CG187" s="542">
        <v>0</v>
      </c>
      <c r="CH187" s="542">
        <v>-2803</v>
      </c>
      <c r="CI187" s="542">
        <v>-15180</v>
      </c>
      <c r="CJ187" s="542">
        <v>0</v>
      </c>
      <c r="CK187" s="542">
        <v>-15180</v>
      </c>
      <c r="CL187" s="542">
        <v>0</v>
      </c>
      <c r="CM187" s="542">
        <v>0</v>
      </c>
      <c r="CN187" s="542">
        <v>0</v>
      </c>
      <c r="CO187" s="542">
        <v>-11858</v>
      </c>
      <c r="CP187" s="542">
        <v>0</v>
      </c>
      <c r="CQ187" s="542">
        <v>-11858</v>
      </c>
      <c r="CR187" s="542">
        <v>11217</v>
      </c>
      <c r="CS187" s="542">
        <v>0</v>
      </c>
      <c r="CT187" s="542">
        <v>11217</v>
      </c>
      <c r="CU187" s="542">
        <v>-7030</v>
      </c>
      <c r="CV187" s="542">
        <v>0</v>
      </c>
      <c r="CW187" s="542">
        <v>-7030</v>
      </c>
      <c r="CX187" s="542">
        <v>-7126</v>
      </c>
      <c r="CY187" s="542">
        <v>0</v>
      </c>
      <c r="CZ187" s="542">
        <v>-7126</v>
      </c>
      <c r="DA187" s="542">
        <v>0</v>
      </c>
      <c r="DB187" s="542">
        <v>0</v>
      </c>
      <c r="DC187" s="542">
        <v>0</v>
      </c>
      <c r="DD187" s="542">
        <v>0</v>
      </c>
      <c r="DE187" s="542">
        <v>0</v>
      </c>
      <c r="DF187" s="542">
        <v>0</v>
      </c>
      <c r="DG187" s="542"/>
      <c r="DH187" s="542">
        <v>0</v>
      </c>
      <c r="DI187" s="542"/>
      <c r="DJ187" s="542">
        <v>0</v>
      </c>
      <c r="DK187" s="542"/>
      <c r="DL187" s="542"/>
      <c r="DM187" s="542">
        <v>-307180</v>
      </c>
      <c r="DN187" s="542">
        <v>0</v>
      </c>
      <c r="DO187" s="542">
        <v>-307180</v>
      </c>
      <c r="DP187" s="542">
        <v>0</v>
      </c>
      <c r="DQ187" s="542">
        <v>0</v>
      </c>
      <c r="DR187" s="542">
        <v>0</v>
      </c>
      <c r="DS187" s="542">
        <v>0</v>
      </c>
      <c r="DT187" s="542">
        <v>0</v>
      </c>
      <c r="DU187" s="542">
        <v>0</v>
      </c>
      <c r="DV187" s="542">
        <v>0</v>
      </c>
      <c r="DW187" s="542">
        <v>0</v>
      </c>
      <c r="DX187" s="542">
        <v>0</v>
      </c>
      <c r="DY187" s="542">
        <v>-472900</v>
      </c>
      <c r="DZ187" s="542">
        <v>0</v>
      </c>
      <c r="EA187" s="542">
        <v>-472900</v>
      </c>
      <c r="EB187" s="542">
        <v>-3291</v>
      </c>
      <c r="EC187" s="542">
        <v>0</v>
      </c>
      <c r="ED187" s="542">
        <v>-3291</v>
      </c>
      <c r="EE187" s="542">
        <v>0</v>
      </c>
      <c r="EF187" s="542">
        <v>0</v>
      </c>
      <c r="EG187" s="542">
        <v>0</v>
      </c>
      <c r="EH187" s="542">
        <v>-476191</v>
      </c>
      <c r="EI187" s="542">
        <v>0</v>
      </c>
      <c r="EJ187" s="542">
        <v>-476191</v>
      </c>
      <c r="EK187" s="542">
        <v>0</v>
      </c>
      <c r="EL187" s="542">
        <v>0</v>
      </c>
      <c r="EM187" s="542">
        <v>0</v>
      </c>
      <c r="EN187" s="542">
        <v>0</v>
      </c>
      <c r="EO187" s="542">
        <v>0</v>
      </c>
      <c r="EP187" s="542">
        <v>0</v>
      </c>
      <c r="EQ187" s="542">
        <v>0</v>
      </c>
      <c r="ER187" s="542">
        <v>0</v>
      </c>
      <c r="ES187" s="542">
        <v>0</v>
      </c>
      <c r="ET187" s="542">
        <v>44482568</v>
      </c>
      <c r="EU187" s="542">
        <v>0</v>
      </c>
      <c r="EV187" s="542">
        <v>44482568</v>
      </c>
      <c r="EW187" s="542">
        <v>70503</v>
      </c>
      <c r="EX187" s="542">
        <v>0</v>
      </c>
      <c r="EY187" s="542">
        <v>70503</v>
      </c>
      <c r="EZ187" s="542">
        <v>-4319647</v>
      </c>
      <c r="FA187" s="542">
        <v>0</v>
      </c>
      <c r="FB187" s="542">
        <v>-4319647</v>
      </c>
      <c r="FC187" s="542">
        <v>-1801385</v>
      </c>
      <c r="FD187" s="542">
        <v>0</v>
      </c>
      <c r="FE187" s="542">
        <v>-1801385</v>
      </c>
      <c r="FF187" s="542">
        <v>-307180</v>
      </c>
      <c r="FG187" s="542">
        <v>0</v>
      </c>
      <c r="FH187" s="542">
        <v>-307180</v>
      </c>
      <c r="FI187" s="542">
        <v>-476191</v>
      </c>
      <c r="FJ187" s="542">
        <v>0</v>
      </c>
      <c r="FK187" s="542">
        <v>-476191</v>
      </c>
      <c r="FL187" s="542">
        <v>0</v>
      </c>
      <c r="FM187" s="542">
        <v>0</v>
      </c>
      <c r="FN187" s="542">
        <v>0</v>
      </c>
      <c r="FO187" s="542">
        <v>-6833900</v>
      </c>
      <c r="FP187" s="542">
        <v>0</v>
      </c>
      <c r="FQ187" s="542">
        <v>-6833900</v>
      </c>
      <c r="FR187" s="542">
        <v>37648668</v>
      </c>
      <c r="FS187" s="542">
        <v>0</v>
      </c>
      <c r="FT187" s="542">
        <v>37648668</v>
      </c>
    </row>
    <row r="188" spans="1:176" ht="12.75" x14ac:dyDescent="0.2">
      <c r="A188" s="93">
        <v>183</v>
      </c>
      <c r="B188" s="145" t="s">
        <v>244</v>
      </c>
      <c r="C188" s="604" t="s">
        <v>866</v>
      </c>
      <c r="D188" s="142" t="s">
        <v>869</v>
      </c>
      <c r="E188" s="149" t="s">
        <v>243</v>
      </c>
      <c r="F188" s="542">
        <v>-27840</v>
      </c>
      <c r="G188" s="542">
        <v>0</v>
      </c>
      <c r="H188" s="542">
        <v>-27840</v>
      </c>
      <c r="I188" s="542">
        <v>33954</v>
      </c>
      <c r="J188" s="542">
        <v>0</v>
      </c>
      <c r="K188" s="542">
        <v>33954</v>
      </c>
      <c r="L188" s="542">
        <v>9911</v>
      </c>
      <c r="M188" s="542">
        <v>0</v>
      </c>
      <c r="N188" s="542">
        <v>9911</v>
      </c>
      <c r="O188" s="542">
        <v>231339</v>
      </c>
      <c r="P188" s="542">
        <v>0</v>
      </c>
      <c r="Q188" s="542">
        <v>231339</v>
      </c>
      <c r="R188" s="542">
        <v>247364</v>
      </c>
      <c r="S188" s="542">
        <v>0</v>
      </c>
      <c r="T188" s="542">
        <v>247364</v>
      </c>
      <c r="U188" s="542">
        <v>-2230511</v>
      </c>
      <c r="V188" s="542">
        <v>0</v>
      </c>
      <c r="W188" s="542">
        <v>-2230511</v>
      </c>
      <c r="X188" s="542">
        <v>-4206</v>
      </c>
      <c r="Y188" s="542">
        <v>0</v>
      </c>
      <c r="Z188" s="542">
        <v>-4206</v>
      </c>
      <c r="AA188" s="542">
        <v>69247</v>
      </c>
      <c r="AB188" s="542">
        <v>0</v>
      </c>
      <c r="AC188" s="542">
        <v>69247</v>
      </c>
      <c r="AD188" s="542">
        <v>31614</v>
      </c>
      <c r="AE188" s="542">
        <v>0</v>
      </c>
      <c r="AF188" s="542">
        <v>31614</v>
      </c>
      <c r="AG188" s="542">
        <v>535611</v>
      </c>
      <c r="AH188" s="542">
        <v>0</v>
      </c>
      <c r="AI188" s="542">
        <v>535611</v>
      </c>
      <c r="AJ188" s="542">
        <v>16018</v>
      </c>
      <c r="AK188" s="542">
        <v>0</v>
      </c>
      <c r="AL188" s="542">
        <v>16018</v>
      </c>
      <c r="AM188" s="542">
        <v>-1583129</v>
      </c>
      <c r="AN188" s="542">
        <v>0</v>
      </c>
      <c r="AO188" s="542">
        <v>-1583129</v>
      </c>
      <c r="AP188" s="542">
        <v>-9352</v>
      </c>
      <c r="AQ188" s="542">
        <v>0</v>
      </c>
      <c r="AR188" s="542">
        <v>-9352</v>
      </c>
      <c r="AS188" s="542">
        <v>-44209</v>
      </c>
      <c r="AT188" s="542">
        <v>0</v>
      </c>
      <c r="AU188" s="542">
        <v>-44209</v>
      </c>
      <c r="AV188" s="542">
        <v>0</v>
      </c>
      <c r="AW188" s="542">
        <v>0</v>
      </c>
      <c r="AX188" s="542">
        <v>0</v>
      </c>
      <c r="AY188" s="542">
        <v>-45363</v>
      </c>
      <c r="AZ188" s="542">
        <v>0</v>
      </c>
      <c r="BA188" s="542">
        <v>-45363</v>
      </c>
      <c r="BB188" s="542">
        <v>1223</v>
      </c>
      <c r="BC188" s="542">
        <v>0</v>
      </c>
      <c r="BD188" s="542">
        <v>1223</v>
      </c>
      <c r="BE188" s="542">
        <v>-3290465</v>
      </c>
      <c r="BF188" s="542">
        <v>0</v>
      </c>
      <c r="BG188" s="542">
        <v>-3290465</v>
      </c>
      <c r="BH188" s="542">
        <v>0</v>
      </c>
      <c r="BI188" s="542">
        <v>0</v>
      </c>
      <c r="BJ188" s="542">
        <v>0</v>
      </c>
      <c r="BK188" s="542">
        <v>0</v>
      </c>
      <c r="BL188" s="542">
        <v>0</v>
      </c>
      <c r="BM188" s="542">
        <v>0</v>
      </c>
      <c r="BN188" s="542">
        <v>-770953</v>
      </c>
      <c r="BO188" s="542">
        <v>0</v>
      </c>
      <c r="BP188" s="542">
        <v>-770953</v>
      </c>
      <c r="BQ188" s="542">
        <v>-133507</v>
      </c>
      <c r="BR188" s="542">
        <v>0</v>
      </c>
      <c r="BS188" s="542">
        <v>-133507</v>
      </c>
      <c r="BT188" s="542">
        <v>-904460</v>
      </c>
      <c r="BU188" s="542">
        <v>0</v>
      </c>
      <c r="BV188" s="542">
        <v>-904460</v>
      </c>
      <c r="BW188" s="542">
        <v>-62886</v>
      </c>
      <c r="BX188" s="542">
        <v>0</v>
      </c>
      <c r="BY188" s="542">
        <v>-62886</v>
      </c>
      <c r="BZ188" s="542">
        <v>1385</v>
      </c>
      <c r="CA188" s="542">
        <v>0</v>
      </c>
      <c r="CB188" s="542">
        <v>1385</v>
      </c>
      <c r="CC188" s="542">
        <v>-13046</v>
      </c>
      <c r="CD188" s="542">
        <v>0</v>
      </c>
      <c r="CE188" s="542">
        <v>-13046</v>
      </c>
      <c r="CF188" s="542">
        <v>-860</v>
      </c>
      <c r="CG188" s="542">
        <v>0</v>
      </c>
      <c r="CH188" s="542">
        <v>-860</v>
      </c>
      <c r="CI188" s="542">
        <v>0</v>
      </c>
      <c r="CJ188" s="542">
        <v>0</v>
      </c>
      <c r="CK188" s="542">
        <v>0</v>
      </c>
      <c r="CL188" s="542">
        <v>0</v>
      </c>
      <c r="CM188" s="542">
        <v>0</v>
      </c>
      <c r="CN188" s="542">
        <v>0</v>
      </c>
      <c r="CO188" s="542">
        <v>-7855</v>
      </c>
      <c r="CP188" s="542">
        <v>0</v>
      </c>
      <c r="CQ188" s="542">
        <v>-7855</v>
      </c>
      <c r="CR188" s="542">
        <v>-1074</v>
      </c>
      <c r="CS188" s="542">
        <v>0</v>
      </c>
      <c r="CT188" s="542">
        <v>-1074</v>
      </c>
      <c r="CU188" s="542">
        <v>0</v>
      </c>
      <c r="CV188" s="542">
        <v>0</v>
      </c>
      <c r="CW188" s="542">
        <v>0</v>
      </c>
      <c r="CX188" s="542">
        <v>0</v>
      </c>
      <c r="CY188" s="542">
        <v>0</v>
      </c>
      <c r="CZ188" s="542">
        <v>0</v>
      </c>
      <c r="DA188" s="542">
        <v>0</v>
      </c>
      <c r="DB188" s="542">
        <v>0</v>
      </c>
      <c r="DC188" s="542">
        <v>0</v>
      </c>
      <c r="DD188" s="542">
        <v>0</v>
      </c>
      <c r="DE188" s="542">
        <v>0</v>
      </c>
      <c r="DF188" s="542">
        <v>0</v>
      </c>
      <c r="DG188" s="542"/>
      <c r="DH188" s="542">
        <v>0</v>
      </c>
      <c r="DI188" s="542"/>
      <c r="DJ188" s="542">
        <v>0</v>
      </c>
      <c r="DK188" s="542"/>
      <c r="DL188" s="542"/>
      <c r="DM188" s="542">
        <v>-84336</v>
      </c>
      <c r="DN188" s="542">
        <v>0</v>
      </c>
      <c r="DO188" s="542">
        <v>-84336</v>
      </c>
      <c r="DP188" s="542">
        <v>-14493</v>
      </c>
      <c r="DQ188" s="542">
        <v>0</v>
      </c>
      <c r="DR188" s="542">
        <v>-14493</v>
      </c>
      <c r="DS188" s="542">
        <v>0</v>
      </c>
      <c r="DT188" s="542">
        <v>0</v>
      </c>
      <c r="DU188" s="542">
        <v>0</v>
      </c>
      <c r="DV188" s="542">
        <v>-16027</v>
      </c>
      <c r="DW188" s="542">
        <v>0</v>
      </c>
      <c r="DX188" s="542">
        <v>-16027</v>
      </c>
      <c r="DY188" s="542">
        <v>-183818</v>
      </c>
      <c r="DZ188" s="542">
        <v>0</v>
      </c>
      <c r="EA188" s="542">
        <v>-183818</v>
      </c>
      <c r="EB188" s="542">
        <v>0</v>
      </c>
      <c r="EC188" s="542">
        <v>0</v>
      </c>
      <c r="ED188" s="542">
        <v>0</v>
      </c>
      <c r="EE188" s="542">
        <v>0</v>
      </c>
      <c r="EF188" s="542">
        <v>0</v>
      </c>
      <c r="EG188" s="542">
        <v>0</v>
      </c>
      <c r="EH188" s="542">
        <v>-214338</v>
      </c>
      <c r="EI188" s="542">
        <v>0</v>
      </c>
      <c r="EJ188" s="542">
        <v>-214338</v>
      </c>
      <c r="EK188" s="542">
        <v>0</v>
      </c>
      <c r="EL188" s="542">
        <v>0</v>
      </c>
      <c r="EM188" s="542">
        <v>0</v>
      </c>
      <c r="EN188" s="542">
        <v>0</v>
      </c>
      <c r="EO188" s="542">
        <v>0</v>
      </c>
      <c r="EP188" s="542">
        <v>0</v>
      </c>
      <c r="EQ188" s="542">
        <v>0</v>
      </c>
      <c r="ER188" s="542">
        <v>0</v>
      </c>
      <c r="ES188" s="542">
        <v>0</v>
      </c>
      <c r="ET188" s="542">
        <v>27308120</v>
      </c>
      <c r="EU188" s="542">
        <v>0</v>
      </c>
      <c r="EV188" s="542">
        <v>27308120</v>
      </c>
      <c r="EW188" s="542">
        <v>247364</v>
      </c>
      <c r="EX188" s="542">
        <v>0</v>
      </c>
      <c r="EY188" s="542">
        <v>247364</v>
      </c>
      <c r="EZ188" s="542">
        <v>-3290465</v>
      </c>
      <c r="FA188" s="542">
        <v>0</v>
      </c>
      <c r="FB188" s="542">
        <v>-3290465</v>
      </c>
      <c r="FC188" s="542">
        <v>-904460</v>
      </c>
      <c r="FD188" s="542">
        <v>0</v>
      </c>
      <c r="FE188" s="542">
        <v>-904460</v>
      </c>
      <c r="FF188" s="542">
        <v>-84336</v>
      </c>
      <c r="FG188" s="542">
        <v>0</v>
      </c>
      <c r="FH188" s="542">
        <v>-84336</v>
      </c>
      <c r="FI188" s="542">
        <v>-214338</v>
      </c>
      <c r="FJ188" s="542">
        <v>0</v>
      </c>
      <c r="FK188" s="542">
        <v>-214338</v>
      </c>
      <c r="FL188" s="542">
        <v>0</v>
      </c>
      <c r="FM188" s="542">
        <v>0</v>
      </c>
      <c r="FN188" s="542">
        <v>0</v>
      </c>
      <c r="FO188" s="542">
        <v>-4246235</v>
      </c>
      <c r="FP188" s="542">
        <v>0</v>
      </c>
      <c r="FQ188" s="542">
        <v>-4246235</v>
      </c>
      <c r="FR188" s="542">
        <v>23061885</v>
      </c>
      <c r="FS188" s="542">
        <v>0</v>
      </c>
      <c r="FT188" s="542">
        <v>23061885</v>
      </c>
    </row>
    <row r="189" spans="1:176" ht="12.75" x14ac:dyDescent="0.2">
      <c r="A189" s="93">
        <v>184</v>
      </c>
      <c r="B189" s="145" t="s">
        <v>246</v>
      </c>
      <c r="C189" s="604" t="s">
        <v>770</v>
      </c>
      <c r="D189" s="142" t="s">
        <v>874</v>
      </c>
      <c r="E189" s="149" t="s">
        <v>710</v>
      </c>
      <c r="F189" s="542">
        <v>-366736</v>
      </c>
      <c r="G189" s="542">
        <v>-9347</v>
      </c>
      <c r="H189" s="542">
        <v>-376083</v>
      </c>
      <c r="I189" s="542">
        <v>585126</v>
      </c>
      <c r="J189" s="542">
        <v>0</v>
      </c>
      <c r="K189" s="542">
        <v>585126</v>
      </c>
      <c r="L189" s="542">
        <v>6093</v>
      </c>
      <c r="M189" s="542">
        <v>0</v>
      </c>
      <c r="N189" s="542">
        <v>6093</v>
      </c>
      <c r="O189" s="542">
        <v>49512</v>
      </c>
      <c r="P189" s="542">
        <v>0</v>
      </c>
      <c r="Q189" s="542">
        <v>49512</v>
      </c>
      <c r="R189" s="542">
        <v>273995</v>
      </c>
      <c r="S189" s="542">
        <v>-9347</v>
      </c>
      <c r="T189" s="542">
        <v>264648</v>
      </c>
      <c r="U189" s="542">
        <v>-3431354</v>
      </c>
      <c r="V189" s="542">
        <v>0</v>
      </c>
      <c r="W189" s="542">
        <v>-3431354</v>
      </c>
      <c r="X189" s="542">
        <v>-11753</v>
      </c>
      <c r="Y189" s="542">
        <v>0</v>
      </c>
      <c r="Z189" s="542">
        <v>-11753</v>
      </c>
      <c r="AA189" s="542">
        <v>-177367</v>
      </c>
      <c r="AB189" s="542">
        <v>0</v>
      </c>
      <c r="AC189" s="542">
        <v>-177367</v>
      </c>
      <c r="AD189" s="542">
        <v>-83160</v>
      </c>
      <c r="AE189" s="542">
        <v>0</v>
      </c>
      <c r="AF189" s="542">
        <v>-83160</v>
      </c>
      <c r="AG189" s="542">
        <v>2128081</v>
      </c>
      <c r="AH189" s="542">
        <v>0</v>
      </c>
      <c r="AI189" s="542">
        <v>2128081</v>
      </c>
      <c r="AJ189" s="542">
        <v>71749</v>
      </c>
      <c r="AK189" s="542">
        <v>0</v>
      </c>
      <c r="AL189" s="542">
        <v>71749</v>
      </c>
      <c r="AM189" s="542">
        <v>-2194713</v>
      </c>
      <c r="AN189" s="542">
        <v>0</v>
      </c>
      <c r="AO189" s="542">
        <v>-2194713</v>
      </c>
      <c r="AP189" s="542">
        <v>-294903</v>
      </c>
      <c r="AQ189" s="542">
        <v>0</v>
      </c>
      <c r="AR189" s="542">
        <v>-294903</v>
      </c>
      <c r="AS189" s="542">
        <v>-35871</v>
      </c>
      <c r="AT189" s="542">
        <v>0</v>
      </c>
      <c r="AU189" s="542">
        <v>-35871</v>
      </c>
      <c r="AV189" s="542">
        <v>0</v>
      </c>
      <c r="AW189" s="542">
        <v>0</v>
      </c>
      <c r="AX189" s="542">
        <v>0</v>
      </c>
      <c r="AY189" s="542">
        <v>-25191</v>
      </c>
      <c r="AZ189" s="542">
        <v>0</v>
      </c>
      <c r="BA189" s="542">
        <v>-25191</v>
      </c>
      <c r="BB189" s="542">
        <v>-516</v>
      </c>
      <c r="BC189" s="542">
        <v>0</v>
      </c>
      <c r="BD189" s="542">
        <v>-516</v>
      </c>
      <c r="BE189" s="542">
        <v>-3960085</v>
      </c>
      <c r="BF189" s="542">
        <v>0</v>
      </c>
      <c r="BG189" s="542">
        <v>-3960085</v>
      </c>
      <c r="BH189" s="542">
        <v>-9739</v>
      </c>
      <c r="BI189" s="542">
        <v>0</v>
      </c>
      <c r="BJ189" s="542">
        <v>-9739</v>
      </c>
      <c r="BK189" s="542">
        <v>-169384</v>
      </c>
      <c r="BL189" s="542">
        <v>0</v>
      </c>
      <c r="BM189" s="542">
        <v>-169384</v>
      </c>
      <c r="BN189" s="542">
        <v>-2317104</v>
      </c>
      <c r="BO189" s="542">
        <v>0</v>
      </c>
      <c r="BP189" s="542">
        <v>-2317104</v>
      </c>
      <c r="BQ189" s="542">
        <v>595136</v>
      </c>
      <c r="BR189" s="542">
        <v>0</v>
      </c>
      <c r="BS189" s="542">
        <v>595136</v>
      </c>
      <c r="BT189" s="542">
        <v>-1901091</v>
      </c>
      <c r="BU189" s="542">
        <v>0</v>
      </c>
      <c r="BV189" s="542">
        <v>-1901091</v>
      </c>
      <c r="BW189" s="542">
        <v>-78146</v>
      </c>
      <c r="BX189" s="542">
        <v>0</v>
      </c>
      <c r="BY189" s="542">
        <v>-78146</v>
      </c>
      <c r="BZ189" s="542">
        <v>56</v>
      </c>
      <c r="CA189" s="542">
        <v>0</v>
      </c>
      <c r="CB189" s="542">
        <v>56</v>
      </c>
      <c r="CC189" s="542">
        <v>-78628</v>
      </c>
      <c r="CD189" s="542">
        <v>0</v>
      </c>
      <c r="CE189" s="542">
        <v>-78628</v>
      </c>
      <c r="CF189" s="542">
        <v>-4200</v>
      </c>
      <c r="CG189" s="542">
        <v>0</v>
      </c>
      <c r="CH189" s="542">
        <v>-4200</v>
      </c>
      <c r="CI189" s="542">
        <v>-4177</v>
      </c>
      <c r="CJ189" s="542">
        <v>0</v>
      </c>
      <c r="CK189" s="542">
        <v>-4177</v>
      </c>
      <c r="CL189" s="542">
        <v>0</v>
      </c>
      <c r="CM189" s="542">
        <v>0</v>
      </c>
      <c r="CN189" s="542">
        <v>0</v>
      </c>
      <c r="CO189" s="542">
        <v>-20687</v>
      </c>
      <c r="CP189" s="542">
        <v>0</v>
      </c>
      <c r="CQ189" s="542">
        <v>-20687</v>
      </c>
      <c r="CR189" s="542">
        <v>-516</v>
      </c>
      <c r="CS189" s="542">
        <v>0</v>
      </c>
      <c r="CT189" s="542">
        <v>-516</v>
      </c>
      <c r="CU189" s="542">
        <v>-1958</v>
      </c>
      <c r="CV189" s="542">
        <v>0</v>
      </c>
      <c r="CW189" s="542">
        <v>-1958</v>
      </c>
      <c r="CX189" s="542">
        <v>0</v>
      </c>
      <c r="CY189" s="542">
        <v>0</v>
      </c>
      <c r="CZ189" s="542">
        <v>0</v>
      </c>
      <c r="DA189" s="542">
        <v>0</v>
      </c>
      <c r="DB189" s="542">
        <v>0</v>
      </c>
      <c r="DC189" s="542">
        <v>0</v>
      </c>
      <c r="DD189" s="542">
        <v>0</v>
      </c>
      <c r="DE189" s="542">
        <v>0</v>
      </c>
      <c r="DF189" s="542">
        <v>0</v>
      </c>
      <c r="DG189" s="542"/>
      <c r="DH189" s="542">
        <v>0</v>
      </c>
      <c r="DI189" s="542"/>
      <c r="DJ189" s="542">
        <v>0</v>
      </c>
      <c r="DK189" s="542"/>
      <c r="DL189" s="542"/>
      <c r="DM189" s="542">
        <v>-188256</v>
      </c>
      <c r="DN189" s="542">
        <v>0</v>
      </c>
      <c r="DO189" s="542">
        <v>-188256</v>
      </c>
      <c r="DP189" s="542">
        <v>0</v>
      </c>
      <c r="DQ189" s="542">
        <v>0</v>
      </c>
      <c r="DR189" s="542">
        <v>0</v>
      </c>
      <c r="DS189" s="542">
        <v>0</v>
      </c>
      <c r="DT189" s="542">
        <v>0</v>
      </c>
      <c r="DU189" s="542">
        <v>0</v>
      </c>
      <c r="DV189" s="542">
        <v>-3780</v>
      </c>
      <c r="DW189" s="542">
        <v>0</v>
      </c>
      <c r="DX189" s="542">
        <v>-3780</v>
      </c>
      <c r="DY189" s="542">
        <v>-427266</v>
      </c>
      <c r="DZ189" s="542">
        <v>0</v>
      </c>
      <c r="EA189" s="542">
        <v>-427266</v>
      </c>
      <c r="EB189" s="542">
        <v>0</v>
      </c>
      <c r="EC189" s="542">
        <v>0</v>
      </c>
      <c r="ED189" s="542">
        <v>0</v>
      </c>
      <c r="EE189" s="542">
        <v>-68222</v>
      </c>
      <c r="EF189" s="542">
        <v>0</v>
      </c>
      <c r="EG189" s="542">
        <v>-68222</v>
      </c>
      <c r="EH189" s="542">
        <v>-499268</v>
      </c>
      <c r="EI189" s="542">
        <v>0</v>
      </c>
      <c r="EJ189" s="542">
        <v>-499268</v>
      </c>
      <c r="EK189" s="542">
        <v>0</v>
      </c>
      <c r="EL189" s="542">
        <v>0</v>
      </c>
      <c r="EM189" s="542">
        <v>0</v>
      </c>
      <c r="EN189" s="542">
        <v>0</v>
      </c>
      <c r="EO189" s="542">
        <v>0</v>
      </c>
      <c r="EP189" s="542">
        <v>0</v>
      </c>
      <c r="EQ189" s="542">
        <v>0</v>
      </c>
      <c r="ER189" s="542">
        <v>0</v>
      </c>
      <c r="ES189" s="542">
        <v>0</v>
      </c>
      <c r="ET189" s="542">
        <v>96439458</v>
      </c>
      <c r="EU189" s="542">
        <v>975331</v>
      </c>
      <c r="EV189" s="542">
        <v>97414789</v>
      </c>
      <c r="EW189" s="542">
        <v>273995</v>
      </c>
      <c r="EX189" s="542">
        <v>-9347</v>
      </c>
      <c r="EY189" s="542">
        <v>264648</v>
      </c>
      <c r="EZ189" s="542">
        <v>-3960085</v>
      </c>
      <c r="FA189" s="542">
        <v>0</v>
      </c>
      <c r="FB189" s="542">
        <v>-3960085</v>
      </c>
      <c r="FC189" s="542">
        <v>-1901091</v>
      </c>
      <c r="FD189" s="542">
        <v>0</v>
      </c>
      <c r="FE189" s="542">
        <v>-1901091</v>
      </c>
      <c r="FF189" s="542">
        <v>-188256</v>
      </c>
      <c r="FG189" s="542">
        <v>0</v>
      </c>
      <c r="FH189" s="542">
        <v>-188256</v>
      </c>
      <c r="FI189" s="542">
        <v>-499268</v>
      </c>
      <c r="FJ189" s="542">
        <v>0</v>
      </c>
      <c r="FK189" s="542">
        <v>-499268</v>
      </c>
      <c r="FL189" s="542">
        <v>0</v>
      </c>
      <c r="FM189" s="542">
        <v>0</v>
      </c>
      <c r="FN189" s="542">
        <v>0</v>
      </c>
      <c r="FO189" s="542">
        <v>-6274705</v>
      </c>
      <c r="FP189" s="542">
        <v>-9347</v>
      </c>
      <c r="FQ189" s="542">
        <v>-6284052</v>
      </c>
      <c r="FR189" s="542">
        <v>90164753</v>
      </c>
      <c r="FS189" s="542">
        <v>965984</v>
      </c>
      <c r="FT189" s="542">
        <v>91130737</v>
      </c>
    </row>
    <row r="190" spans="1:176" ht="12.75" x14ac:dyDescent="0.2">
      <c r="A190" s="93">
        <v>185</v>
      </c>
      <c r="B190" s="145" t="s">
        <v>248</v>
      </c>
      <c r="C190" s="604" t="s">
        <v>866</v>
      </c>
      <c r="D190" s="142" t="s">
        <v>870</v>
      </c>
      <c r="E190" s="149" t="s">
        <v>247</v>
      </c>
      <c r="F190" s="542">
        <v>-169300</v>
      </c>
      <c r="G190" s="542">
        <v>0</v>
      </c>
      <c r="H190" s="542">
        <v>-169300</v>
      </c>
      <c r="I190" s="542">
        <v>148222</v>
      </c>
      <c r="J190" s="542">
        <v>0</v>
      </c>
      <c r="K190" s="542">
        <v>148222</v>
      </c>
      <c r="L190" s="542">
        <v>0</v>
      </c>
      <c r="M190" s="542">
        <v>0</v>
      </c>
      <c r="N190" s="542">
        <v>0</v>
      </c>
      <c r="O190" s="542">
        <v>-33124</v>
      </c>
      <c r="P190" s="542">
        <v>0</v>
      </c>
      <c r="Q190" s="542">
        <v>-33124</v>
      </c>
      <c r="R190" s="542">
        <v>-54202</v>
      </c>
      <c r="S190" s="542">
        <v>0</v>
      </c>
      <c r="T190" s="542">
        <v>-54202</v>
      </c>
      <c r="U190" s="542">
        <v>-4204570</v>
      </c>
      <c r="V190" s="542">
        <v>0</v>
      </c>
      <c r="W190" s="542">
        <v>-4204570</v>
      </c>
      <c r="X190" s="542">
        <v>-9847</v>
      </c>
      <c r="Y190" s="542">
        <v>0</v>
      </c>
      <c r="Z190" s="542">
        <v>-9847</v>
      </c>
      <c r="AA190" s="542">
        <v>-172556</v>
      </c>
      <c r="AB190" s="542">
        <v>0</v>
      </c>
      <c r="AC190" s="542">
        <v>-172556</v>
      </c>
      <c r="AD190" s="542">
        <v>-60268</v>
      </c>
      <c r="AE190" s="542">
        <v>0</v>
      </c>
      <c r="AF190" s="542">
        <v>-60268</v>
      </c>
      <c r="AG190" s="542">
        <v>489921</v>
      </c>
      <c r="AH190" s="542">
        <v>0</v>
      </c>
      <c r="AI190" s="542">
        <v>489921</v>
      </c>
      <c r="AJ190" s="542">
        <v>12177</v>
      </c>
      <c r="AK190" s="542">
        <v>0</v>
      </c>
      <c r="AL190" s="542">
        <v>12177</v>
      </c>
      <c r="AM190" s="542">
        <v>-1447707</v>
      </c>
      <c r="AN190" s="542">
        <v>0</v>
      </c>
      <c r="AO190" s="542">
        <v>-1447707</v>
      </c>
      <c r="AP190" s="542">
        <v>-11649</v>
      </c>
      <c r="AQ190" s="542">
        <v>0</v>
      </c>
      <c r="AR190" s="542">
        <v>-11649</v>
      </c>
      <c r="AS190" s="542">
        <v>-58515</v>
      </c>
      <c r="AT190" s="542">
        <v>0</v>
      </c>
      <c r="AU190" s="542">
        <v>-58515</v>
      </c>
      <c r="AV190" s="542">
        <v>272</v>
      </c>
      <c r="AW190" s="542">
        <v>0</v>
      </c>
      <c r="AX190" s="542">
        <v>272</v>
      </c>
      <c r="AY190" s="542">
        <v>-100802</v>
      </c>
      <c r="AZ190" s="542">
        <v>0</v>
      </c>
      <c r="BA190" s="542">
        <v>-100802</v>
      </c>
      <c r="BB190" s="542">
        <v>-2067</v>
      </c>
      <c r="BC190" s="542">
        <v>0</v>
      </c>
      <c r="BD190" s="542">
        <v>-2067</v>
      </c>
      <c r="BE190" s="542">
        <v>-5495496</v>
      </c>
      <c r="BF190" s="542">
        <v>0</v>
      </c>
      <c r="BG190" s="542">
        <v>-5495496</v>
      </c>
      <c r="BH190" s="542">
        <v>-451</v>
      </c>
      <c r="BI190" s="542">
        <v>0</v>
      </c>
      <c r="BJ190" s="542">
        <v>-451</v>
      </c>
      <c r="BK190" s="542">
        <v>-3062</v>
      </c>
      <c r="BL190" s="542">
        <v>0</v>
      </c>
      <c r="BM190" s="542">
        <v>-3062</v>
      </c>
      <c r="BN190" s="542">
        <v>-463429</v>
      </c>
      <c r="BO190" s="542">
        <v>0</v>
      </c>
      <c r="BP190" s="542">
        <v>-463429</v>
      </c>
      <c r="BQ190" s="542">
        <v>7533</v>
      </c>
      <c r="BR190" s="542">
        <v>0</v>
      </c>
      <c r="BS190" s="542">
        <v>7533</v>
      </c>
      <c r="BT190" s="542">
        <v>-459409</v>
      </c>
      <c r="BU190" s="542">
        <v>0</v>
      </c>
      <c r="BV190" s="542">
        <v>-459409</v>
      </c>
      <c r="BW190" s="542">
        <v>-21329</v>
      </c>
      <c r="BX190" s="542">
        <v>0</v>
      </c>
      <c r="BY190" s="542">
        <v>-21329</v>
      </c>
      <c r="BZ190" s="542">
        <v>-3513</v>
      </c>
      <c r="CA190" s="542">
        <v>0</v>
      </c>
      <c r="CB190" s="542">
        <v>-3513</v>
      </c>
      <c r="CC190" s="542">
        <v>-181277</v>
      </c>
      <c r="CD190" s="542">
        <v>0</v>
      </c>
      <c r="CE190" s="542">
        <v>-181277</v>
      </c>
      <c r="CF190" s="542">
        <v>0</v>
      </c>
      <c r="CG190" s="542">
        <v>0</v>
      </c>
      <c r="CH190" s="542">
        <v>0</v>
      </c>
      <c r="CI190" s="542">
        <v>0</v>
      </c>
      <c r="CJ190" s="542">
        <v>0</v>
      </c>
      <c r="CK190" s="542">
        <v>0</v>
      </c>
      <c r="CL190" s="542">
        <v>0</v>
      </c>
      <c r="CM190" s="542">
        <v>0</v>
      </c>
      <c r="CN190" s="542">
        <v>0</v>
      </c>
      <c r="CO190" s="542">
        <v>-5974</v>
      </c>
      <c r="CP190" s="542">
        <v>0</v>
      </c>
      <c r="CQ190" s="542">
        <v>-5974</v>
      </c>
      <c r="CR190" s="542">
        <v>992</v>
      </c>
      <c r="CS190" s="542">
        <v>0</v>
      </c>
      <c r="CT190" s="542">
        <v>992</v>
      </c>
      <c r="CU190" s="542">
        <v>0</v>
      </c>
      <c r="CV190" s="542">
        <v>0</v>
      </c>
      <c r="CW190" s="542">
        <v>0</v>
      </c>
      <c r="CX190" s="542">
        <v>0</v>
      </c>
      <c r="CY190" s="542">
        <v>0</v>
      </c>
      <c r="CZ190" s="542">
        <v>0</v>
      </c>
      <c r="DA190" s="542">
        <v>0</v>
      </c>
      <c r="DB190" s="542">
        <v>0</v>
      </c>
      <c r="DC190" s="542">
        <v>0</v>
      </c>
      <c r="DD190" s="542">
        <v>0</v>
      </c>
      <c r="DE190" s="542">
        <v>0</v>
      </c>
      <c r="DF190" s="542">
        <v>0</v>
      </c>
      <c r="DG190" s="542"/>
      <c r="DH190" s="542">
        <v>0</v>
      </c>
      <c r="DI190" s="542"/>
      <c r="DJ190" s="542">
        <v>0</v>
      </c>
      <c r="DK190" s="542"/>
      <c r="DL190" s="542"/>
      <c r="DM190" s="542">
        <v>-211101</v>
      </c>
      <c r="DN190" s="542">
        <v>0</v>
      </c>
      <c r="DO190" s="542">
        <v>-211101</v>
      </c>
      <c r="DP190" s="542">
        <v>-15443</v>
      </c>
      <c r="DQ190" s="542">
        <v>0</v>
      </c>
      <c r="DR190" s="542">
        <v>-15443</v>
      </c>
      <c r="DS190" s="542">
        <v>0</v>
      </c>
      <c r="DT190" s="542">
        <v>0</v>
      </c>
      <c r="DU190" s="542">
        <v>0</v>
      </c>
      <c r="DV190" s="542">
        <v>0</v>
      </c>
      <c r="DW190" s="542">
        <v>0</v>
      </c>
      <c r="DX190" s="542">
        <v>0</v>
      </c>
      <c r="DY190" s="542">
        <v>-763959</v>
      </c>
      <c r="DZ190" s="542">
        <v>0</v>
      </c>
      <c r="EA190" s="542">
        <v>-763959</v>
      </c>
      <c r="EB190" s="542">
        <v>0</v>
      </c>
      <c r="EC190" s="542">
        <v>0</v>
      </c>
      <c r="ED190" s="542">
        <v>0</v>
      </c>
      <c r="EE190" s="542">
        <v>-104195</v>
      </c>
      <c r="EF190" s="542">
        <v>0</v>
      </c>
      <c r="EG190" s="542">
        <v>-104195</v>
      </c>
      <c r="EH190" s="542">
        <v>-883597</v>
      </c>
      <c r="EI190" s="542">
        <v>0</v>
      </c>
      <c r="EJ190" s="542">
        <v>-883597</v>
      </c>
      <c r="EK190" s="542">
        <v>0</v>
      </c>
      <c r="EL190" s="542">
        <v>0</v>
      </c>
      <c r="EM190" s="542">
        <v>0</v>
      </c>
      <c r="EN190" s="542">
        <v>0</v>
      </c>
      <c r="EO190" s="542">
        <v>0</v>
      </c>
      <c r="EP190" s="542">
        <v>0</v>
      </c>
      <c r="EQ190" s="542">
        <v>0</v>
      </c>
      <c r="ER190" s="542">
        <v>0</v>
      </c>
      <c r="ES190" s="542">
        <v>0</v>
      </c>
      <c r="ET190" s="542">
        <v>30311576</v>
      </c>
      <c r="EU190" s="542">
        <v>0</v>
      </c>
      <c r="EV190" s="542">
        <v>30311576</v>
      </c>
      <c r="EW190" s="542">
        <v>-54202</v>
      </c>
      <c r="EX190" s="542">
        <v>0</v>
      </c>
      <c r="EY190" s="542">
        <v>-54202</v>
      </c>
      <c r="EZ190" s="542">
        <v>-5495496</v>
      </c>
      <c r="FA190" s="542">
        <v>0</v>
      </c>
      <c r="FB190" s="542">
        <v>-5495496</v>
      </c>
      <c r="FC190" s="542">
        <v>-459409</v>
      </c>
      <c r="FD190" s="542">
        <v>0</v>
      </c>
      <c r="FE190" s="542">
        <v>-459409</v>
      </c>
      <c r="FF190" s="542">
        <v>-211101</v>
      </c>
      <c r="FG190" s="542">
        <v>0</v>
      </c>
      <c r="FH190" s="542">
        <v>-211101</v>
      </c>
      <c r="FI190" s="542">
        <v>-883597</v>
      </c>
      <c r="FJ190" s="542">
        <v>0</v>
      </c>
      <c r="FK190" s="542">
        <v>-883597</v>
      </c>
      <c r="FL190" s="542">
        <v>0</v>
      </c>
      <c r="FM190" s="542">
        <v>0</v>
      </c>
      <c r="FN190" s="542">
        <v>0</v>
      </c>
      <c r="FO190" s="542">
        <v>-7103805</v>
      </c>
      <c r="FP190" s="542">
        <v>0</v>
      </c>
      <c r="FQ190" s="542">
        <v>-7103805</v>
      </c>
      <c r="FR190" s="542">
        <v>23207771</v>
      </c>
      <c r="FS190" s="542">
        <v>0</v>
      </c>
      <c r="FT190" s="542">
        <v>23207771</v>
      </c>
    </row>
    <row r="191" spans="1:176" ht="12.75" x14ac:dyDescent="0.2">
      <c r="A191" s="93">
        <v>186</v>
      </c>
      <c r="B191" s="145" t="s">
        <v>250</v>
      </c>
      <c r="C191" s="604" t="s">
        <v>770</v>
      </c>
      <c r="D191" s="142" t="s">
        <v>875</v>
      </c>
      <c r="E191" s="149" t="s">
        <v>711</v>
      </c>
      <c r="F191" s="542">
        <v>-101954</v>
      </c>
      <c r="G191" s="542">
        <v>-412</v>
      </c>
      <c r="H191" s="542">
        <v>-102366</v>
      </c>
      <c r="I191" s="542">
        <v>63946.82</v>
      </c>
      <c r="J191" s="542">
        <v>475</v>
      </c>
      <c r="K191" s="542">
        <v>64421.82</v>
      </c>
      <c r="L191" s="542">
        <v>219</v>
      </c>
      <c r="M191" s="542">
        <v>0</v>
      </c>
      <c r="N191" s="542">
        <v>219</v>
      </c>
      <c r="O191" s="542">
        <v>-5267</v>
      </c>
      <c r="P191" s="542">
        <v>2199</v>
      </c>
      <c r="Q191" s="542">
        <v>-3068</v>
      </c>
      <c r="R191" s="542">
        <v>-43055</v>
      </c>
      <c r="S191" s="542">
        <v>2262</v>
      </c>
      <c r="T191" s="542">
        <v>-40793</v>
      </c>
      <c r="U191" s="542">
        <v>-3925755</v>
      </c>
      <c r="V191" s="542">
        <v>-29953</v>
      </c>
      <c r="W191" s="542">
        <v>-3955708</v>
      </c>
      <c r="X191" s="542">
        <v>0</v>
      </c>
      <c r="Y191" s="542">
        <v>0</v>
      </c>
      <c r="Z191" s="542">
        <v>0</v>
      </c>
      <c r="AA191" s="542">
        <v>-284160</v>
      </c>
      <c r="AB191" s="542">
        <v>-5395</v>
      </c>
      <c r="AC191" s="542">
        <v>-289555</v>
      </c>
      <c r="AD191" s="542">
        <v>-115159</v>
      </c>
      <c r="AE191" s="542">
        <v>-1722</v>
      </c>
      <c r="AF191" s="542">
        <v>-116881</v>
      </c>
      <c r="AG191" s="542">
        <v>1332291</v>
      </c>
      <c r="AH191" s="542">
        <v>13782</v>
      </c>
      <c r="AI191" s="542">
        <v>1346073</v>
      </c>
      <c r="AJ191" s="542">
        <v>123122</v>
      </c>
      <c r="AK191" s="542">
        <v>-598</v>
      </c>
      <c r="AL191" s="542">
        <v>122524</v>
      </c>
      <c r="AM191" s="542">
        <v>-3973315</v>
      </c>
      <c r="AN191" s="542">
        <v>-136319</v>
      </c>
      <c r="AO191" s="542">
        <v>-4109634</v>
      </c>
      <c r="AP191" s="542">
        <v>-35377</v>
      </c>
      <c r="AQ191" s="542">
        <v>-59165</v>
      </c>
      <c r="AR191" s="542">
        <v>-94542</v>
      </c>
      <c r="AS191" s="542">
        <v>-111234</v>
      </c>
      <c r="AT191" s="542">
        <v>0</v>
      </c>
      <c r="AU191" s="542">
        <v>-111234</v>
      </c>
      <c r="AV191" s="542">
        <v>0</v>
      </c>
      <c r="AW191" s="542">
        <v>0</v>
      </c>
      <c r="AX191" s="542">
        <v>0</v>
      </c>
      <c r="AY191" s="542">
        <v>-15502</v>
      </c>
      <c r="AZ191" s="542">
        <v>0</v>
      </c>
      <c r="BA191" s="542">
        <v>-15502</v>
      </c>
      <c r="BB191" s="542">
        <v>459</v>
      </c>
      <c r="BC191" s="542">
        <v>0</v>
      </c>
      <c r="BD191" s="542">
        <v>459</v>
      </c>
      <c r="BE191" s="542">
        <v>-6889471</v>
      </c>
      <c r="BF191" s="542">
        <v>-217648</v>
      </c>
      <c r="BG191" s="542">
        <v>-7107119</v>
      </c>
      <c r="BH191" s="542">
        <v>-5858</v>
      </c>
      <c r="BI191" s="542">
        <v>0</v>
      </c>
      <c r="BJ191" s="542">
        <v>-5858</v>
      </c>
      <c r="BK191" s="542">
        <v>-1660</v>
      </c>
      <c r="BL191" s="542">
        <v>0</v>
      </c>
      <c r="BM191" s="542">
        <v>-1660</v>
      </c>
      <c r="BN191" s="542">
        <v>-1885949</v>
      </c>
      <c r="BO191" s="542">
        <v>-60900</v>
      </c>
      <c r="BP191" s="542">
        <v>-1946849</v>
      </c>
      <c r="BQ191" s="542">
        <v>-266550</v>
      </c>
      <c r="BR191" s="542">
        <v>27697</v>
      </c>
      <c r="BS191" s="542">
        <v>-238853</v>
      </c>
      <c r="BT191" s="542">
        <v>-2160017</v>
      </c>
      <c r="BU191" s="542">
        <v>-33203</v>
      </c>
      <c r="BV191" s="542">
        <v>-2193220</v>
      </c>
      <c r="BW191" s="542">
        <v>-62670</v>
      </c>
      <c r="BX191" s="542">
        <v>0</v>
      </c>
      <c r="BY191" s="542">
        <v>-62670</v>
      </c>
      <c r="BZ191" s="542">
        <v>-3533</v>
      </c>
      <c r="CA191" s="542">
        <v>0</v>
      </c>
      <c r="CB191" s="542">
        <v>-3533</v>
      </c>
      <c r="CC191" s="542">
        <v>-627413</v>
      </c>
      <c r="CD191" s="542">
        <v>-10888</v>
      </c>
      <c r="CE191" s="542">
        <v>-638301</v>
      </c>
      <c r="CF191" s="542">
        <v>6595</v>
      </c>
      <c r="CG191" s="542">
        <v>0</v>
      </c>
      <c r="CH191" s="542">
        <v>6595</v>
      </c>
      <c r="CI191" s="542">
        <v>0</v>
      </c>
      <c r="CJ191" s="542">
        <v>0</v>
      </c>
      <c r="CK191" s="542">
        <v>0</v>
      </c>
      <c r="CL191" s="542">
        <v>0</v>
      </c>
      <c r="CM191" s="542">
        <v>0</v>
      </c>
      <c r="CN191" s="542">
        <v>0</v>
      </c>
      <c r="CO191" s="542">
        <v>-4556</v>
      </c>
      <c r="CP191" s="542">
        <v>0</v>
      </c>
      <c r="CQ191" s="542">
        <v>-4556</v>
      </c>
      <c r="CR191" s="542">
        <v>0</v>
      </c>
      <c r="CS191" s="542">
        <v>0</v>
      </c>
      <c r="CT191" s="542">
        <v>0</v>
      </c>
      <c r="CU191" s="542">
        <v>-1748</v>
      </c>
      <c r="CV191" s="542">
        <v>0</v>
      </c>
      <c r="CW191" s="542">
        <v>-1748</v>
      </c>
      <c r="CX191" s="542">
        <v>-238</v>
      </c>
      <c r="CY191" s="542">
        <v>0</v>
      </c>
      <c r="CZ191" s="542">
        <v>-238</v>
      </c>
      <c r="DA191" s="542">
        <v>0</v>
      </c>
      <c r="DB191" s="542">
        <v>0</v>
      </c>
      <c r="DC191" s="542">
        <v>0</v>
      </c>
      <c r="DD191" s="542">
        <v>0</v>
      </c>
      <c r="DE191" s="542">
        <v>0</v>
      </c>
      <c r="DF191" s="542">
        <v>0</v>
      </c>
      <c r="DG191" s="542"/>
      <c r="DH191" s="542">
        <v>0</v>
      </c>
      <c r="DI191" s="542"/>
      <c r="DJ191" s="542">
        <v>0</v>
      </c>
      <c r="DK191" s="542"/>
      <c r="DL191" s="542"/>
      <c r="DM191" s="542">
        <v>-693563</v>
      </c>
      <c r="DN191" s="542">
        <v>-10888</v>
      </c>
      <c r="DO191" s="542">
        <v>-704451</v>
      </c>
      <c r="DP191" s="542">
        <v>-121552</v>
      </c>
      <c r="DQ191" s="542">
        <v>-29259</v>
      </c>
      <c r="DR191" s="542">
        <v>-150811</v>
      </c>
      <c r="DS191" s="542">
        <v>0</v>
      </c>
      <c r="DT191" s="542">
        <v>0</v>
      </c>
      <c r="DU191" s="542">
        <v>0</v>
      </c>
      <c r="DV191" s="542">
        <v>-2962</v>
      </c>
      <c r="DW191" s="542">
        <v>0</v>
      </c>
      <c r="DX191" s="542">
        <v>-2962</v>
      </c>
      <c r="DY191" s="542">
        <v>-484127</v>
      </c>
      <c r="DZ191" s="542">
        <v>-2000</v>
      </c>
      <c r="EA191" s="542">
        <v>-486127</v>
      </c>
      <c r="EB191" s="542">
        <v>0</v>
      </c>
      <c r="EC191" s="542">
        <v>0</v>
      </c>
      <c r="ED191" s="542">
        <v>0</v>
      </c>
      <c r="EE191" s="542">
        <v>0</v>
      </c>
      <c r="EF191" s="542">
        <v>0</v>
      </c>
      <c r="EG191" s="542">
        <v>0</v>
      </c>
      <c r="EH191" s="542">
        <v>-608641</v>
      </c>
      <c r="EI191" s="542">
        <v>-31259</v>
      </c>
      <c r="EJ191" s="542">
        <v>-639900</v>
      </c>
      <c r="EK191" s="542">
        <v>0</v>
      </c>
      <c r="EL191" s="542">
        <v>0</v>
      </c>
      <c r="EM191" s="542">
        <v>0</v>
      </c>
      <c r="EN191" s="542">
        <v>0</v>
      </c>
      <c r="EO191" s="542">
        <v>0</v>
      </c>
      <c r="EP191" s="542">
        <v>0</v>
      </c>
      <c r="EQ191" s="542">
        <v>0</v>
      </c>
      <c r="ER191" s="542">
        <v>0</v>
      </c>
      <c r="ES191" s="542">
        <v>0</v>
      </c>
      <c r="ET191" s="542">
        <v>66900781</v>
      </c>
      <c r="EU191" s="542">
        <v>621787</v>
      </c>
      <c r="EV191" s="542">
        <v>67522568</v>
      </c>
      <c r="EW191" s="542">
        <v>-43055</v>
      </c>
      <c r="EX191" s="542">
        <v>2262</v>
      </c>
      <c r="EY191" s="542">
        <v>-40793</v>
      </c>
      <c r="EZ191" s="542">
        <v>-6889471</v>
      </c>
      <c r="FA191" s="542">
        <v>-217648</v>
      </c>
      <c r="FB191" s="542">
        <v>-7107119</v>
      </c>
      <c r="FC191" s="542">
        <v>-2160017</v>
      </c>
      <c r="FD191" s="542">
        <v>-33203</v>
      </c>
      <c r="FE191" s="542">
        <v>-2193220</v>
      </c>
      <c r="FF191" s="542">
        <v>-693563</v>
      </c>
      <c r="FG191" s="542">
        <v>-10888</v>
      </c>
      <c r="FH191" s="542">
        <v>-704451</v>
      </c>
      <c r="FI191" s="542">
        <v>-608641</v>
      </c>
      <c r="FJ191" s="542">
        <v>-31259</v>
      </c>
      <c r="FK191" s="542">
        <v>-639900</v>
      </c>
      <c r="FL191" s="542">
        <v>0</v>
      </c>
      <c r="FM191" s="542">
        <v>0</v>
      </c>
      <c r="FN191" s="542">
        <v>0</v>
      </c>
      <c r="FO191" s="542">
        <v>-10394747</v>
      </c>
      <c r="FP191" s="542">
        <v>-290736</v>
      </c>
      <c r="FQ191" s="542">
        <v>-10685483</v>
      </c>
      <c r="FR191" s="542">
        <v>56506034</v>
      </c>
      <c r="FS191" s="542">
        <v>331051</v>
      </c>
      <c r="FT191" s="542">
        <v>56837085</v>
      </c>
    </row>
    <row r="192" spans="1:176" ht="12.75" x14ac:dyDescent="0.2">
      <c r="A192" s="93">
        <v>187</v>
      </c>
      <c r="B192" s="145" t="s">
        <v>252</v>
      </c>
      <c r="C192" s="604" t="s">
        <v>873</v>
      </c>
      <c r="D192" s="142" t="s">
        <v>878</v>
      </c>
      <c r="E192" s="149" t="s">
        <v>251</v>
      </c>
      <c r="F192" s="542">
        <v>-35156</v>
      </c>
      <c r="G192" s="542">
        <v>0</v>
      </c>
      <c r="H192" s="542">
        <v>-35156</v>
      </c>
      <c r="I192" s="542">
        <v>138137</v>
      </c>
      <c r="J192" s="542">
        <v>0</v>
      </c>
      <c r="K192" s="542">
        <v>138137</v>
      </c>
      <c r="L192" s="542">
        <v>38739</v>
      </c>
      <c r="M192" s="542">
        <v>0</v>
      </c>
      <c r="N192" s="542">
        <v>38739</v>
      </c>
      <c r="O192" s="542">
        <v>3179570</v>
      </c>
      <c r="P192" s="542">
        <v>0</v>
      </c>
      <c r="Q192" s="542">
        <v>3179570</v>
      </c>
      <c r="R192" s="542">
        <v>3321290</v>
      </c>
      <c r="S192" s="542">
        <v>0</v>
      </c>
      <c r="T192" s="542">
        <v>3321290</v>
      </c>
      <c r="U192" s="542">
        <v>-3414918</v>
      </c>
      <c r="V192" s="542">
        <v>-2713</v>
      </c>
      <c r="W192" s="542">
        <v>-3417631</v>
      </c>
      <c r="X192" s="542">
        <v>-13878</v>
      </c>
      <c r="Y192" s="542">
        <v>0</v>
      </c>
      <c r="Z192" s="542">
        <v>-13878</v>
      </c>
      <c r="AA192" s="542">
        <v>-86003</v>
      </c>
      <c r="AB192" s="542">
        <v>0</v>
      </c>
      <c r="AC192" s="542">
        <v>-86003</v>
      </c>
      <c r="AD192" s="542">
        <v>-34747</v>
      </c>
      <c r="AE192" s="542">
        <v>0</v>
      </c>
      <c r="AF192" s="542">
        <v>-34747</v>
      </c>
      <c r="AG192" s="542">
        <v>1371744</v>
      </c>
      <c r="AH192" s="542">
        <v>12608</v>
      </c>
      <c r="AI192" s="542">
        <v>1384352</v>
      </c>
      <c r="AJ192" s="542">
        <v>-79300</v>
      </c>
      <c r="AK192" s="542">
        <v>468</v>
      </c>
      <c r="AL192" s="542">
        <v>-78832</v>
      </c>
      <c r="AM192" s="542">
        <v>-4050570</v>
      </c>
      <c r="AN192" s="542">
        <v>0</v>
      </c>
      <c r="AO192" s="542">
        <v>-4050570</v>
      </c>
      <c r="AP192" s="542">
        <v>141917</v>
      </c>
      <c r="AQ192" s="542">
        <v>0</v>
      </c>
      <c r="AR192" s="542">
        <v>141917</v>
      </c>
      <c r="AS192" s="542">
        <v>-58820</v>
      </c>
      <c r="AT192" s="542">
        <v>0</v>
      </c>
      <c r="AU192" s="542">
        <v>-58820</v>
      </c>
      <c r="AV192" s="542">
        <v>0</v>
      </c>
      <c r="AW192" s="542">
        <v>0</v>
      </c>
      <c r="AX192" s="542">
        <v>0</v>
      </c>
      <c r="AY192" s="542">
        <v>0</v>
      </c>
      <c r="AZ192" s="542">
        <v>0</v>
      </c>
      <c r="BA192" s="542">
        <v>0</v>
      </c>
      <c r="BB192" s="542">
        <v>0</v>
      </c>
      <c r="BC192" s="542">
        <v>0</v>
      </c>
      <c r="BD192" s="542">
        <v>0</v>
      </c>
      <c r="BE192" s="542">
        <v>-6175950</v>
      </c>
      <c r="BF192" s="542">
        <v>10363</v>
      </c>
      <c r="BG192" s="542">
        <v>-6165587</v>
      </c>
      <c r="BH192" s="542">
        <v>-105794</v>
      </c>
      <c r="BI192" s="542">
        <v>0</v>
      </c>
      <c r="BJ192" s="542">
        <v>-105794</v>
      </c>
      <c r="BK192" s="542">
        <v>156699</v>
      </c>
      <c r="BL192" s="542">
        <v>0</v>
      </c>
      <c r="BM192" s="542">
        <v>156699</v>
      </c>
      <c r="BN192" s="542">
        <v>-2072600</v>
      </c>
      <c r="BO192" s="542">
        <v>0</v>
      </c>
      <c r="BP192" s="542">
        <v>-2072600</v>
      </c>
      <c r="BQ192" s="542">
        <v>339488</v>
      </c>
      <c r="BR192" s="542">
        <v>0</v>
      </c>
      <c r="BS192" s="542">
        <v>339488</v>
      </c>
      <c r="BT192" s="542">
        <v>-1682207</v>
      </c>
      <c r="BU192" s="542">
        <v>0</v>
      </c>
      <c r="BV192" s="542">
        <v>-1682207</v>
      </c>
      <c r="BW192" s="542">
        <v>-285134</v>
      </c>
      <c r="BX192" s="542">
        <v>0</v>
      </c>
      <c r="BY192" s="542">
        <v>-285134</v>
      </c>
      <c r="BZ192" s="542">
        <v>15606</v>
      </c>
      <c r="CA192" s="542">
        <v>0</v>
      </c>
      <c r="CB192" s="542">
        <v>15606</v>
      </c>
      <c r="CC192" s="542">
        <v>-33609</v>
      </c>
      <c r="CD192" s="542">
        <v>0</v>
      </c>
      <c r="CE192" s="542">
        <v>-33609</v>
      </c>
      <c r="CF192" s="542">
        <v>-4574</v>
      </c>
      <c r="CG192" s="542">
        <v>0</v>
      </c>
      <c r="CH192" s="542">
        <v>-4574</v>
      </c>
      <c r="CI192" s="542">
        <v>-14705</v>
      </c>
      <c r="CJ192" s="542">
        <v>0</v>
      </c>
      <c r="CK192" s="542">
        <v>-14705</v>
      </c>
      <c r="CL192" s="542">
        <v>0</v>
      </c>
      <c r="CM192" s="542">
        <v>0</v>
      </c>
      <c r="CN192" s="542">
        <v>0</v>
      </c>
      <c r="CO192" s="542">
        <v>0</v>
      </c>
      <c r="CP192" s="542">
        <v>0</v>
      </c>
      <c r="CQ192" s="542">
        <v>0</v>
      </c>
      <c r="CR192" s="542">
        <v>0</v>
      </c>
      <c r="CS192" s="542">
        <v>0</v>
      </c>
      <c r="CT192" s="542">
        <v>0</v>
      </c>
      <c r="CU192" s="542">
        <v>0</v>
      </c>
      <c r="CV192" s="542">
        <v>0</v>
      </c>
      <c r="CW192" s="542">
        <v>0</v>
      </c>
      <c r="CX192" s="542">
        <v>0</v>
      </c>
      <c r="CY192" s="542">
        <v>0</v>
      </c>
      <c r="CZ192" s="542">
        <v>0</v>
      </c>
      <c r="DA192" s="542">
        <v>0</v>
      </c>
      <c r="DB192" s="542">
        <v>-55509</v>
      </c>
      <c r="DC192" s="542">
        <v>-55509</v>
      </c>
      <c r="DD192" s="542">
        <v>0</v>
      </c>
      <c r="DE192" s="542">
        <v>-84607</v>
      </c>
      <c r="DF192" s="542">
        <v>-84607</v>
      </c>
      <c r="DG192" s="542"/>
      <c r="DH192" s="542">
        <v>-140116</v>
      </c>
      <c r="DI192" s="542"/>
      <c r="DJ192" s="542">
        <v>0</v>
      </c>
      <c r="DK192" s="542"/>
      <c r="DL192" s="542"/>
      <c r="DM192" s="542">
        <v>-322416</v>
      </c>
      <c r="DN192" s="542">
        <v>-140116</v>
      </c>
      <c r="DO192" s="542">
        <v>-462532</v>
      </c>
      <c r="DP192" s="542">
        <v>-332</v>
      </c>
      <c r="DQ192" s="542">
        <v>0</v>
      </c>
      <c r="DR192" s="542">
        <v>-332</v>
      </c>
      <c r="DS192" s="542">
        <v>0</v>
      </c>
      <c r="DT192" s="542">
        <v>0</v>
      </c>
      <c r="DU192" s="542">
        <v>0</v>
      </c>
      <c r="DV192" s="542">
        <v>-1488</v>
      </c>
      <c r="DW192" s="542">
        <v>0</v>
      </c>
      <c r="DX192" s="542">
        <v>-1488</v>
      </c>
      <c r="DY192" s="542">
        <v>-697919</v>
      </c>
      <c r="DZ192" s="542">
        <v>0</v>
      </c>
      <c r="EA192" s="542">
        <v>-697919</v>
      </c>
      <c r="EB192" s="542">
        <v>0</v>
      </c>
      <c r="EC192" s="542">
        <v>0</v>
      </c>
      <c r="ED192" s="542">
        <v>0</v>
      </c>
      <c r="EE192" s="542">
        <v>0</v>
      </c>
      <c r="EF192" s="542">
        <v>0</v>
      </c>
      <c r="EG192" s="542">
        <v>0</v>
      </c>
      <c r="EH192" s="542">
        <v>-699739</v>
      </c>
      <c r="EI192" s="542">
        <v>0</v>
      </c>
      <c r="EJ192" s="542">
        <v>-699739</v>
      </c>
      <c r="EK192" s="542">
        <v>-86396</v>
      </c>
      <c r="EL192" s="542">
        <v>0</v>
      </c>
      <c r="EM192" s="542">
        <v>-86396</v>
      </c>
      <c r="EN192" s="542">
        <v>-89</v>
      </c>
      <c r="EO192" s="542">
        <v>0</v>
      </c>
      <c r="EP192" s="542">
        <v>-89</v>
      </c>
      <c r="EQ192" s="542">
        <v>-86485</v>
      </c>
      <c r="ER192" s="542">
        <v>0</v>
      </c>
      <c r="ES192" s="542">
        <v>-86485</v>
      </c>
      <c r="ET192" s="542">
        <v>59958892</v>
      </c>
      <c r="EU192" s="542">
        <v>725210</v>
      </c>
      <c r="EV192" s="542">
        <v>60684102</v>
      </c>
      <c r="EW192" s="542">
        <v>3321290</v>
      </c>
      <c r="EX192" s="542">
        <v>0</v>
      </c>
      <c r="EY192" s="542">
        <v>3321290</v>
      </c>
      <c r="EZ192" s="542">
        <v>-6175950</v>
      </c>
      <c r="FA192" s="542">
        <v>10363</v>
      </c>
      <c r="FB192" s="542">
        <v>-6165587</v>
      </c>
      <c r="FC192" s="542">
        <v>-1682207</v>
      </c>
      <c r="FD192" s="542">
        <v>0</v>
      </c>
      <c r="FE192" s="542">
        <v>-1682207</v>
      </c>
      <c r="FF192" s="542">
        <v>-322416</v>
      </c>
      <c r="FG192" s="542">
        <v>-140116</v>
      </c>
      <c r="FH192" s="542">
        <v>-462532</v>
      </c>
      <c r="FI192" s="542">
        <v>-699739</v>
      </c>
      <c r="FJ192" s="542">
        <v>0</v>
      </c>
      <c r="FK192" s="542">
        <v>-699739</v>
      </c>
      <c r="FL192" s="542">
        <v>-86485</v>
      </c>
      <c r="FM192" s="542">
        <v>0</v>
      </c>
      <c r="FN192" s="542">
        <v>-86485</v>
      </c>
      <c r="FO192" s="542">
        <v>-5645507</v>
      </c>
      <c r="FP192" s="542">
        <v>-129753</v>
      </c>
      <c r="FQ192" s="542">
        <v>-5775260</v>
      </c>
      <c r="FR192" s="542">
        <v>54313385</v>
      </c>
      <c r="FS192" s="542">
        <v>595457</v>
      </c>
      <c r="FT192" s="542">
        <v>54908842</v>
      </c>
    </row>
    <row r="193" spans="1:176" ht="12.75" x14ac:dyDescent="0.2">
      <c r="A193" s="93">
        <v>188</v>
      </c>
      <c r="B193" s="145" t="s">
        <v>254</v>
      </c>
      <c r="C193" s="604" t="s">
        <v>866</v>
      </c>
      <c r="D193" s="142" t="s">
        <v>876</v>
      </c>
      <c r="E193" s="149" t="s">
        <v>253</v>
      </c>
      <c r="F193" s="542">
        <v>-28142</v>
      </c>
      <c r="G193" s="542">
        <v>0</v>
      </c>
      <c r="H193" s="542">
        <v>-28142</v>
      </c>
      <c r="I193" s="542">
        <v>-179256</v>
      </c>
      <c r="J193" s="542">
        <v>0</v>
      </c>
      <c r="K193" s="542">
        <v>-179256</v>
      </c>
      <c r="L193" s="542">
        <v>0</v>
      </c>
      <c r="M193" s="542">
        <v>0</v>
      </c>
      <c r="N193" s="542">
        <v>0</v>
      </c>
      <c r="O193" s="542">
        <v>540130</v>
      </c>
      <c r="P193" s="542">
        <v>0</v>
      </c>
      <c r="Q193" s="542">
        <v>540130</v>
      </c>
      <c r="R193" s="542">
        <v>332732</v>
      </c>
      <c r="S193" s="542">
        <v>0</v>
      </c>
      <c r="T193" s="542">
        <v>332732</v>
      </c>
      <c r="U193" s="542">
        <v>-1313563</v>
      </c>
      <c r="V193" s="542">
        <v>0</v>
      </c>
      <c r="W193" s="542">
        <v>-1313563</v>
      </c>
      <c r="X193" s="542">
        <v>-2804</v>
      </c>
      <c r="Y193" s="542">
        <v>0</v>
      </c>
      <c r="Z193" s="542">
        <v>-2804</v>
      </c>
      <c r="AA193" s="542">
        <v>-138149</v>
      </c>
      <c r="AB193" s="542">
        <v>0</v>
      </c>
      <c r="AC193" s="542">
        <v>-138149</v>
      </c>
      <c r="AD193" s="542">
        <v>-53100</v>
      </c>
      <c r="AE193" s="542">
        <v>0</v>
      </c>
      <c r="AF193" s="542">
        <v>-53100</v>
      </c>
      <c r="AG193" s="542">
        <v>985492</v>
      </c>
      <c r="AH193" s="542">
        <v>0</v>
      </c>
      <c r="AI193" s="542">
        <v>985492</v>
      </c>
      <c r="AJ193" s="542">
        <v>-29058</v>
      </c>
      <c r="AK193" s="542">
        <v>0</v>
      </c>
      <c r="AL193" s="542">
        <v>-29058</v>
      </c>
      <c r="AM193" s="542">
        <v>-810893</v>
      </c>
      <c r="AN193" s="542">
        <v>0</v>
      </c>
      <c r="AO193" s="542">
        <v>-810893</v>
      </c>
      <c r="AP193" s="542">
        <v>100331</v>
      </c>
      <c r="AQ193" s="542">
        <v>0</v>
      </c>
      <c r="AR193" s="542">
        <v>100331</v>
      </c>
      <c r="AS193" s="542">
        <v>-29778</v>
      </c>
      <c r="AT193" s="542">
        <v>0</v>
      </c>
      <c r="AU193" s="542">
        <v>-29778</v>
      </c>
      <c r="AV193" s="542">
        <v>0</v>
      </c>
      <c r="AW193" s="542">
        <v>0</v>
      </c>
      <c r="AX193" s="542">
        <v>0</v>
      </c>
      <c r="AY193" s="542">
        <v>-16352</v>
      </c>
      <c r="AZ193" s="542">
        <v>0</v>
      </c>
      <c r="BA193" s="542">
        <v>-16352</v>
      </c>
      <c r="BB193" s="542">
        <v>52</v>
      </c>
      <c r="BC193" s="542">
        <v>0</v>
      </c>
      <c r="BD193" s="542">
        <v>52</v>
      </c>
      <c r="BE193" s="542">
        <v>-1251918</v>
      </c>
      <c r="BF193" s="542">
        <v>0</v>
      </c>
      <c r="BG193" s="542">
        <v>-1251918</v>
      </c>
      <c r="BH193" s="542">
        <v>-244439</v>
      </c>
      <c r="BI193" s="542">
        <v>0</v>
      </c>
      <c r="BJ193" s="542">
        <v>-244439</v>
      </c>
      <c r="BK193" s="542">
        <v>-277489</v>
      </c>
      <c r="BL193" s="542">
        <v>0</v>
      </c>
      <c r="BM193" s="542">
        <v>-277489</v>
      </c>
      <c r="BN193" s="542">
        <v>-1187929</v>
      </c>
      <c r="BO193" s="542">
        <v>0</v>
      </c>
      <c r="BP193" s="542">
        <v>-1187929</v>
      </c>
      <c r="BQ193" s="542">
        <v>-56206</v>
      </c>
      <c r="BR193" s="542">
        <v>0</v>
      </c>
      <c r="BS193" s="542">
        <v>-56206</v>
      </c>
      <c r="BT193" s="542">
        <v>-1766063</v>
      </c>
      <c r="BU193" s="542">
        <v>0</v>
      </c>
      <c r="BV193" s="542">
        <v>-1766063</v>
      </c>
      <c r="BW193" s="542">
        <v>-27819</v>
      </c>
      <c r="BX193" s="542">
        <v>0</v>
      </c>
      <c r="BY193" s="542">
        <v>-27819</v>
      </c>
      <c r="BZ193" s="542">
        <v>-14443</v>
      </c>
      <c r="CA193" s="542">
        <v>0</v>
      </c>
      <c r="CB193" s="542">
        <v>-14443</v>
      </c>
      <c r="CC193" s="542">
        <v>-8771</v>
      </c>
      <c r="CD193" s="542">
        <v>0</v>
      </c>
      <c r="CE193" s="542">
        <v>-8771</v>
      </c>
      <c r="CF193" s="542">
        <v>-6122</v>
      </c>
      <c r="CG193" s="542">
        <v>0</v>
      </c>
      <c r="CH193" s="542">
        <v>-6122</v>
      </c>
      <c r="CI193" s="542">
        <v>-408</v>
      </c>
      <c r="CJ193" s="542">
        <v>0</v>
      </c>
      <c r="CK193" s="542">
        <v>-408</v>
      </c>
      <c r="CL193" s="542">
        <v>0</v>
      </c>
      <c r="CM193" s="542">
        <v>0</v>
      </c>
      <c r="CN193" s="542">
        <v>0</v>
      </c>
      <c r="CO193" s="542">
        <v>0</v>
      </c>
      <c r="CP193" s="542">
        <v>0</v>
      </c>
      <c r="CQ193" s="542">
        <v>0</v>
      </c>
      <c r="CR193" s="542">
        <v>0</v>
      </c>
      <c r="CS193" s="542">
        <v>0</v>
      </c>
      <c r="CT193" s="542">
        <v>0</v>
      </c>
      <c r="CU193" s="542">
        <v>0</v>
      </c>
      <c r="CV193" s="542">
        <v>0</v>
      </c>
      <c r="CW193" s="542">
        <v>0</v>
      </c>
      <c r="CX193" s="542">
        <v>0</v>
      </c>
      <c r="CY193" s="542">
        <v>0</v>
      </c>
      <c r="CZ193" s="542">
        <v>0</v>
      </c>
      <c r="DA193" s="542">
        <v>0</v>
      </c>
      <c r="DB193" s="542">
        <v>0</v>
      </c>
      <c r="DC193" s="542">
        <v>0</v>
      </c>
      <c r="DD193" s="542">
        <v>0</v>
      </c>
      <c r="DE193" s="542">
        <v>0</v>
      </c>
      <c r="DF193" s="542">
        <v>0</v>
      </c>
      <c r="DG193" s="542"/>
      <c r="DH193" s="542">
        <v>0</v>
      </c>
      <c r="DI193" s="542"/>
      <c r="DJ193" s="542">
        <v>0</v>
      </c>
      <c r="DK193" s="542"/>
      <c r="DL193" s="542"/>
      <c r="DM193" s="542">
        <v>-57563</v>
      </c>
      <c r="DN193" s="542">
        <v>0</v>
      </c>
      <c r="DO193" s="542">
        <v>-57563</v>
      </c>
      <c r="DP193" s="542">
        <v>0</v>
      </c>
      <c r="DQ193" s="542">
        <v>0</v>
      </c>
      <c r="DR193" s="542">
        <v>0</v>
      </c>
      <c r="DS193" s="542">
        <v>0</v>
      </c>
      <c r="DT193" s="542">
        <v>0</v>
      </c>
      <c r="DU193" s="542">
        <v>0</v>
      </c>
      <c r="DV193" s="542">
        <v>-5600</v>
      </c>
      <c r="DW193" s="542">
        <v>0</v>
      </c>
      <c r="DX193" s="542">
        <v>-5600</v>
      </c>
      <c r="DY193" s="542">
        <v>-162631</v>
      </c>
      <c r="DZ193" s="542">
        <v>0</v>
      </c>
      <c r="EA193" s="542">
        <v>-162631</v>
      </c>
      <c r="EB193" s="542">
        <v>0</v>
      </c>
      <c r="EC193" s="542">
        <v>0</v>
      </c>
      <c r="ED193" s="542">
        <v>0</v>
      </c>
      <c r="EE193" s="542">
        <v>0</v>
      </c>
      <c r="EF193" s="542">
        <v>0</v>
      </c>
      <c r="EG193" s="542">
        <v>0</v>
      </c>
      <c r="EH193" s="542">
        <v>-168231</v>
      </c>
      <c r="EI193" s="542">
        <v>0</v>
      </c>
      <c r="EJ193" s="542">
        <v>-168231</v>
      </c>
      <c r="EK193" s="542">
        <v>0</v>
      </c>
      <c r="EL193" s="542">
        <v>0</v>
      </c>
      <c r="EM193" s="542">
        <v>0</v>
      </c>
      <c r="EN193" s="542">
        <v>0</v>
      </c>
      <c r="EO193" s="542">
        <v>0</v>
      </c>
      <c r="EP193" s="542">
        <v>0</v>
      </c>
      <c r="EQ193" s="542">
        <v>0</v>
      </c>
      <c r="ER193" s="542">
        <v>0</v>
      </c>
      <c r="ES193" s="542">
        <v>0</v>
      </c>
      <c r="ET193" s="542">
        <v>44598735</v>
      </c>
      <c r="EU193" s="542">
        <v>0</v>
      </c>
      <c r="EV193" s="542">
        <v>44598735</v>
      </c>
      <c r="EW193" s="542">
        <v>332732</v>
      </c>
      <c r="EX193" s="542">
        <v>0</v>
      </c>
      <c r="EY193" s="542">
        <v>332732</v>
      </c>
      <c r="EZ193" s="542">
        <v>-1251918</v>
      </c>
      <c r="FA193" s="542">
        <v>0</v>
      </c>
      <c r="FB193" s="542">
        <v>-1251918</v>
      </c>
      <c r="FC193" s="542">
        <v>-1766063</v>
      </c>
      <c r="FD193" s="542">
        <v>0</v>
      </c>
      <c r="FE193" s="542">
        <v>-1766063</v>
      </c>
      <c r="FF193" s="542">
        <v>-57563</v>
      </c>
      <c r="FG193" s="542">
        <v>0</v>
      </c>
      <c r="FH193" s="542">
        <v>-57563</v>
      </c>
      <c r="FI193" s="542">
        <v>-168231</v>
      </c>
      <c r="FJ193" s="542">
        <v>0</v>
      </c>
      <c r="FK193" s="542">
        <v>-168231</v>
      </c>
      <c r="FL193" s="542">
        <v>0</v>
      </c>
      <c r="FM193" s="542">
        <v>0</v>
      </c>
      <c r="FN193" s="542">
        <v>0</v>
      </c>
      <c r="FO193" s="542">
        <v>-2911043</v>
      </c>
      <c r="FP193" s="542">
        <v>0</v>
      </c>
      <c r="FQ193" s="542">
        <v>-2911043</v>
      </c>
      <c r="FR193" s="542">
        <v>41687692</v>
      </c>
      <c r="FS193" s="542">
        <v>0</v>
      </c>
      <c r="FT193" s="542">
        <v>41687692</v>
      </c>
    </row>
    <row r="194" spans="1:176" ht="12.75" x14ac:dyDescent="0.2">
      <c r="A194" s="93">
        <v>189</v>
      </c>
      <c r="B194" s="145" t="s">
        <v>256</v>
      </c>
      <c r="C194" s="604" t="s">
        <v>866</v>
      </c>
      <c r="D194" s="142" t="s">
        <v>869</v>
      </c>
      <c r="E194" s="149" t="s">
        <v>255</v>
      </c>
      <c r="F194" s="542">
        <v>-30448</v>
      </c>
      <c r="G194" s="542">
        <v>0</v>
      </c>
      <c r="H194" s="542">
        <v>-30448</v>
      </c>
      <c r="I194" s="542">
        <v>60416</v>
      </c>
      <c r="J194" s="542">
        <v>0</v>
      </c>
      <c r="K194" s="542">
        <v>60416</v>
      </c>
      <c r="L194" s="542">
        <v>2111</v>
      </c>
      <c r="M194" s="542">
        <v>0</v>
      </c>
      <c r="N194" s="542">
        <v>2111</v>
      </c>
      <c r="O194" s="542">
        <v>176293</v>
      </c>
      <c r="P194" s="542">
        <v>0</v>
      </c>
      <c r="Q194" s="542">
        <v>176293</v>
      </c>
      <c r="R194" s="542">
        <v>208372</v>
      </c>
      <c r="S194" s="542">
        <v>0</v>
      </c>
      <c r="T194" s="542">
        <v>208372</v>
      </c>
      <c r="U194" s="542">
        <v>-1864468</v>
      </c>
      <c r="V194" s="542">
        <v>0</v>
      </c>
      <c r="W194" s="542">
        <v>-1864468</v>
      </c>
      <c r="X194" s="542">
        <v>-5348</v>
      </c>
      <c r="Y194" s="542">
        <v>0</v>
      </c>
      <c r="Z194" s="542">
        <v>-5348</v>
      </c>
      <c r="AA194" s="542">
        <v>-126465</v>
      </c>
      <c r="AB194" s="542">
        <v>0</v>
      </c>
      <c r="AC194" s="542">
        <v>-126465</v>
      </c>
      <c r="AD194" s="542">
        <v>0</v>
      </c>
      <c r="AE194" s="542">
        <v>0</v>
      </c>
      <c r="AF194" s="542">
        <v>0</v>
      </c>
      <c r="AG194" s="542">
        <v>1160260</v>
      </c>
      <c r="AH194" s="542">
        <v>0</v>
      </c>
      <c r="AI194" s="542">
        <v>1160260</v>
      </c>
      <c r="AJ194" s="542">
        <v>-17698</v>
      </c>
      <c r="AK194" s="542">
        <v>0</v>
      </c>
      <c r="AL194" s="542">
        <v>-17698</v>
      </c>
      <c r="AM194" s="542">
        <v>-1335444</v>
      </c>
      <c r="AN194" s="542">
        <v>0</v>
      </c>
      <c r="AO194" s="542">
        <v>-1335444</v>
      </c>
      <c r="AP194" s="542">
        <v>-38874</v>
      </c>
      <c r="AQ194" s="542">
        <v>0</v>
      </c>
      <c r="AR194" s="542">
        <v>-38874</v>
      </c>
      <c r="AS194" s="542">
        <v>-14499</v>
      </c>
      <c r="AT194" s="542">
        <v>0</v>
      </c>
      <c r="AU194" s="542">
        <v>-14499</v>
      </c>
      <c r="AV194" s="542">
        <v>0</v>
      </c>
      <c r="AW194" s="542">
        <v>0</v>
      </c>
      <c r="AX194" s="542">
        <v>0</v>
      </c>
      <c r="AY194" s="542">
        <v>-9603</v>
      </c>
      <c r="AZ194" s="542">
        <v>0</v>
      </c>
      <c r="BA194" s="542">
        <v>-9603</v>
      </c>
      <c r="BB194" s="542">
        <v>0</v>
      </c>
      <c r="BC194" s="542">
        <v>0</v>
      </c>
      <c r="BD194" s="542">
        <v>0</v>
      </c>
      <c r="BE194" s="542">
        <v>-2246791</v>
      </c>
      <c r="BF194" s="542">
        <v>0</v>
      </c>
      <c r="BG194" s="542">
        <v>-2246791</v>
      </c>
      <c r="BH194" s="542">
        <v>-100449</v>
      </c>
      <c r="BI194" s="542">
        <v>0</v>
      </c>
      <c r="BJ194" s="542">
        <v>-100449</v>
      </c>
      <c r="BK194" s="542">
        <v>-81445</v>
      </c>
      <c r="BL194" s="542">
        <v>0</v>
      </c>
      <c r="BM194" s="542">
        <v>-81445</v>
      </c>
      <c r="BN194" s="542">
        <v>-1663337</v>
      </c>
      <c r="BO194" s="542">
        <v>0</v>
      </c>
      <c r="BP194" s="542">
        <v>-1663337</v>
      </c>
      <c r="BQ194" s="542">
        <v>4257</v>
      </c>
      <c r="BR194" s="542">
        <v>0</v>
      </c>
      <c r="BS194" s="542">
        <v>4257</v>
      </c>
      <c r="BT194" s="542">
        <v>-1840974</v>
      </c>
      <c r="BU194" s="542">
        <v>0</v>
      </c>
      <c r="BV194" s="542">
        <v>-1840974</v>
      </c>
      <c r="BW194" s="542">
        <v>-49318</v>
      </c>
      <c r="BX194" s="542">
        <v>0</v>
      </c>
      <c r="BY194" s="542">
        <v>-49318</v>
      </c>
      <c r="BZ194" s="542">
        <v>-4713</v>
      </c>
      <c r="CA194" s="542">
        <v>0</v>
      </c>
      <c r="CB194" s="542">
        <v>-4713</v>
      </c>
      <c r="CC194" s="542">
        <v>-75192</v>
      </c>
      <c r="CD194" s="542">
        <v>0</v>
      </c>
      <c r="CE194" s="542">
        <v>-75192</v>
      </c>
      <c r="CF194" s="542">
        <v>1725</v>
      </c>
      <c r="CG194" s="542">
        <v>0</v>
      </c>
      <c r="CH194" s="542">
        <v>1725</v>
      </c>
      <c r="CI194" s="542">
        <v>-1271</v>
      </c>
      <c r="CJ194" s="542">
        <v>0</v>
      </c>
      <c r="CK194" s="542">
        <v>-1271</v>
      </c>
      <c r="CL194" s="542">
        <v>0</v>
      </c>
      <c r="CM194" s="542">
        <v>0</v>
      </c>
      <c r="CN194" s="542">
        <v>0</v>
      </c>
      <c r="CO194" s="542">
        <v>-9139</v>
      </c>
      <c r="CP194" s="542">
        <v>0</v>
      </c>
      <c r="CQ194" s="542">
        <v>-9139</v>
      </c>
      <c r="CR194" s="542">
        <v>1127</v>
      </c>
      <c r="CS194" s="542">
        <v>0</v>
      </c>
      <c r="CT194" s="542">
        <v>1127</v>
      </c>
      <c r="CU194" s="542">
        <v>-233</v>
      </c>
      <c r="CV194" s="542">
        <v>0</v>
      </c>
      <c r="CW194" s="542">
        <v>-233</v>
      </c>
      <c r="CX194" s="542">
        <v>0</v>
      </c>
      <c r="CY194" s="542">
        <v>0</v>
      </c>
      <c r="CZ194" s="542">
        <v>0</v>
      </c>
      <c r="DA194" s="542">
        <v>0</v>
      </c>
      <c r="DB194" s="542">
        <v>0</v>
      </c>
      <c r="DC194" s="542">
        <v>0</v>
      </c>
      <c r="DD194" s="542">
        <v>0</v>
      </c>
      <c r="DE194" s="542">
        <v>0</v>
      </c>
      <c r="DF194" s="542">
        <v>0</v>
      </c>
      <c r="DG194" s="542"/>
      <c r="DH194" s="542">
        <v>0</v>
      </c>
      <c r="DI194" s="542"/>
      <c r="DJ194" s="542">
        <v>0</v>
      </c>
      <c r="DK194" s="542"/>
      <c r="DL194" s="542"/>
      <c r="DM194" s="542">
        <v>-137014</v>
      </c>
      <c r="DN194" s="542">
        <v>0</v>
      </c>
      <c r="DO194" s="542">
        <v>-137014</v>
      </c>
      <c r="DP194" s="542">
        <v>0</v>
      </c>
      <c r="DQ194" s="542">
        <v>0</v>
      </c>
      <c r="DR194" s="542">
        <v>0</v>
      </c>
      <c r="DS194" s="542">
        <v>0</v>
      </c>
      <c r="DT194" s="542">
        <v>0</v>
      </c>
      <c r="DU194" s="542">
        <v>0</v>
      </c>
      <c r="DV194" s="542">
        <v>0</v>
      </c>
      <c r="DW194" s="542">
        <v>0</v>
      </c>
      <c r="DX194" s="542">
        <v>0</v>
      </c>
      <c r="DY194" s="542">
        <v>-206470</v>
      </c>
      <c r="DZ194" s="542">
        <v>0</v>
      </c>
      <c r="EA194" s="542">
        <v>-206470</v>
      </c>
      <c r="EB194" s="542">
        <v>0</v>
      </c>
      <c r="EC194" s="542">
        <v>0</v>
      </c>
      <c r="ED194" s="542">
        <v>0</v>
      </c>
      <c r="EE194" s="542">
        <v>0</v>
      </c>
      <c r="EF194" s="542">
        <v>0</v>
      </c>
      <c r="EG194" s="542">
        <v>0</v>
      </c>
      <c r="EH194" s="542">
        <v>-206470</v>
      </c>
      <c r="EI194" s="542">
        <v>0</v>
      </c>
      <c r="EJ194" s="542">
        <v>-206470</v>
      </c>
      <c r="EK194" s="542">
        <v>0</v>
      </c>
      <c r="EL194" s="542">
        <v>0</v>
      </c>
      <c r="EM194" s="542">
        <v>0</v>
      </c>
      <c r="EN194" s="542">
        <v>0</v>
      </c>
      <c r="EO194" s="542">
        <v>0</v>
      </c>
      <c r="EP194" s="542">
        <v>0</v>
      </c>
      <c r="EQ194" s="542">
        <v>0</v>
      </c>
      <c r="ER194" s="542">
        <v>0</v>
      </c>
      <c r="ES194" s="542">
        <v>0</v>
      </c>
      <c r="ET194" s="542">
        <v>53770503</v>
      </c>
      <c r="EU194" s="542">
        <v>0</v>
      </c>
      <c r="EV194" s="542">
        <v>53770503</v>
      </c>
      <c r="EW194" s="542">
        <v>208372</v>
      </c>
      <c r="EX194" s="542">
        <v>0</v>
      </c>
      <c r="EY194" s="542">
        <v>208372</v>
      </c>
      <c r="EZ194" s="542">
        <v>-2246791</v>
      </c>
      <c r="FA194" s="542">
        <v>0</v>
      </c>
      <c r="FB194" s="542">
        <v>-2246791</v>
      </c>
      <c r="FC194" s="542">
        <v>-1840974</v>
      </c>
      <c r="FD194" s="542">
        <v>0</v>
      </c>
      <c r="FE194" s="542">
        <v>-1840974</v>
      </c>
      <c r="FF194" s="542">
        <v>-137014</v>
      </c>
      <c r="FG194" s="542">
        <v>0</v>
      </c>
      <c r="FH194" s="542">
        <v>-137014</v>
      </c>
      <c r="FI194" s="542">
        <v>-206470</v>
      </c>
      <c r="FJ194" s="542">
        <v>0</v>
      </c>
      <c r="FK194" s="542">
        <v>-206470</v>
      </c>
      <c r="FL194" s="542">
        <v>0</v>
      </c>
      <c r="FM194" s="542">
        <v>0</v>
      </c>
      <c r="FN194" s="542">
        <v>0</v>
      </c>
      <c r="FO194" s="542">
        <v>-4222877</v>
      </c>
      <c r="FP194" s="542">
        <v>0</v>
      </c>
      <c r="FQ194" s="542">
        <v>-4222877</v>
      </c>
      <c r="FR194" s="542">
        <v>49547626</v>
      </c>
      <c r="FS194" s="542">
        <v>0</v>
      </c>
      <c r="FT194" s="542">
        <v>49547626</v>
      </c>
    </row>
    <row r="195" spans="1:176" ht="12.75" x14ac:dyDescent="0.2">
      <c r="A195" s="93">
        <v>190</v>
      </c>
      <c r="B195" s="145" t="s">
        <v>258</v>
      </c>
      <c r="C195" s="604" t="s">
        <v>866</v>
      </c>
      <c r="D195" s="142" t="s">
        <v>869</v>
      </c>
      <c r="E195" s="149" t="s">
        <v>257</v>
      </c>
      <c r="F195" s="542">
        <v>-12906</v>
      </c>
      <c r="G195" s="542">
        <v>0</v>
      </c>
      <c r="H195" s="542">
        <v>-12906</v>
      </c>
      <c r="I195" s="542">
        <v>11917</v>
      </c>
      <c r="J195" s="542">
        <v>43032</v>
      </c>
      <c r="K195" s="542">
        <v>54949</v>
      </c>
      <c r="L195" s="542">
        <v>113192</v>
      </c>
      <c r="M195" s="542">
        <v>0</v>
      </c>
      <c r="N195" s="542">
        <v>113192</v>
      </c>
      <c r="O195" s="542">
        <v>729273</v>
      </c>
      <c r="P195" s="542">
        <v>708</v>
      </c>
      <c r="Q195" s="542">
        <v>729981</v>
      </c>
      <c r="R195" s="542">
        <v>841476</v>
      </c>
      <c r="S195" s="542">
        <v>43740</v>
      </c>
      <c r="T195" s="542">
        <v>885216</v>
      </c>
      <c r="U195" s="542">
        <v>-3605900</v>
      </c>
      <c r="V195" s="542">
        <v>-58491</v>
      </c>
      <c r="W195" s="542">
        <v>-3664391</v>
      </c>
      <c r="X195" s="542">
        <v>0</v>
      </c>
      <c r="Y195" s="542">
        <v>0</v>
      </c>
      <c r="Z195" s="542">
        <v>0</v>
      </c>
      <c r="AA195" s="542">
        <v>-176693</v>
      </c>
      <c r="AB195" s="542">
        <v>1097</v>
      </c>
      <c r="AC195" s="542">
        <v>-175596</v>
      </c>
      <c r="AD195" s="542">
        <v>-170325</v>
      </c>
      <c r="AE195" s="542">
        <v>943</v>
      </c>
      <c r="AF195" s="542">
        <v>-169382</v>
      </c>
      <c r="AG195" s="542">
        <v>2330609</v>
      </c>
      <c r="AH195" s="542">
        <v>96638</v>
      </c>
      <c r="AI195" s="542">
        <v>2427247</v>
      </c>
      <c r="AJ195" s="542">
        <v>-19339</v>
      </c>
      <c r="AK195" s="542">
        <v>-4539</v>
      </c>
      <c r="AL195" s="542">
        <v>-23878</v>
      </c>
      <c r="AM195" s="542">
        <v>-6750090</v>
      </c>
      <c r="AN195" s="542">
        <v>-87554</v>
      </c>
      <c r="AO195" s="542">
        <v>-6837644</v>
      </c>
      <c r="AP195" s="542">
        <v>239014</v>
      </c>
      <c r="AQ195" s="542">
        <v>487</v>
      </c>
      <c r="AR195" s="542">
        <v>239501</v>
      </c>
      <c r="AS195" s="542">
        <v>-15424</v>
      </c>
      <c r="AT195" s="542">
        <v>0</v>
      </c>
      <c r="AU195" s="542">
        <v>-15424</v>
      </c>
      <c r="AV195" s="542">
        <v>0</v>
      </c>
      <c r="AW195" s="542">
        <v>0</v>
      </c>
      <c r="AX195" s="542">
        <v>0</v>
      </c>
      <c r="AY195" s="542">
        <v>0</v>
      </c>
      <c r="AZ195" s="542">
        <v>0</v>
      </c>
      <c r="BA195" s="542">
        <v>0</v>
      </c>
      <c r="BB195" s="542">
        <v>0</v>
      </c>
      <c r="BC195" s="542">
        <v>0</v>
      </c>
      <c r="BD195" s="542">
        <v>0</v>
      </c>
      <c r="BE195" s="542">
        <v>-7997823</v>
      </c>
      <c r="BF195" s="542">
        <v>-52362</v>
      </c>
      <c r="BG195" s="542">
        <v>-8050185</v>
      </c>
      <c r="BH195" s="542">
        <v>-851624</v>
      </c>
      <c r="BI195" s="542">
        <v>0</v>
      </c>
      <c r="BJ195" s="542">
        <v>-851624</v>
      </c>
      <c r="BK195" s="542">
        <v>-91</v>
      </c>
      <c r="BL195" s="542">
        <v>0</v>
      </c>
      <c r="BM195" s="542">
        <v>-91</v>
      </c>
      <c r="BN195" s="542">
        <v>-5019395</v>
      </c>
      <c r="BO195" s="542">
        <v>-78143</v>
      </c>
      <c r="BP195" s="542">
        <v>-5097538</v>
      </c>
      <c r="BQ195" s="542">
        <v>-297272</v>
      </c>
      <c r="BR195" s="542">
        <v>6589</v>
      </c>
      <c r="BS195" s="542">
        <v>-290683</v>
      </c>
      <c r="BT195" s="542">
        <v>-6168382</v>
      </c>
      <c r="BU195" s="542">
        <v>-71554</v>
      </c>
      <c r="BV195" s="542">
        <v>-6239936</v>
      </c>
      <c r="BW195" s="542">
        <v>-221263</v>
      </c>
      <c r="BX195" s="542">
        <v>-4993</v>
      </c>
      <c r="BY195" s="542">
        <v>-226256</v>
      </c>
      <c r="BZ195" s="542">
        <v>3329</v>
      </c>
      <c r="CA195" s="542">
        <v>91</v>
      </c>
      <c r="CB195" s="542">
        <v>3420</v>
      </c>
      <c r="CC195" s="542">
        <v>-208933</v>
      </c>
      <c r="CD195" s="542">
        <v>0</v>
      </c>
      <c r="CE195" s="542">
        <v>-208933</v>
      </c>
      <c r="CF195" s="542">
        <v>-20274</v>
      </c>
      <c r="CG195" s="542">
        <v>0</v>
      </c>
      <c r="CH195" s="542">
        <v>-20274</v>
      </c>
      <c r="CI195" s="542">
        <v>-2892</v>
      </c>
      <c r="CJ195" s="542">
        <v>0</v>
      </c>
      <c r="CK195" s="542">
        <v>-2892</v>
      </c>
      <c r="CL195" s="542">
        <v>0</v>
      </c>
      <c r="CM195" s="542">
        <v>0</v>
      </c>
      <c r="CN195" s="542">
        <v>0</v>
      </c>
      <c r="CO195" s="542">
        <v>0</v>
      </c>
      <c r="CP195" s="542">
        <v>0</v>
      </c>
      <c r="CQ195" s="542">
        <v>0</v>
      </c>
      <c r="CR195" s="542">
        <v>0</v>
      </c>
      <c r="CS195" s="542">
        <v>0</v>
      </c>
      <c r="CT195" s="542">
        <v>0</v>
      </c>
      <c r="CU195" s="542">
        <v>0</v>
      </c>
      <c r="CV195" s="542">
        <v>0</v>
      </c>
      <c r="CW195" s="542">
        <v>0</v>
      </c>
      <c r="CX195" s="542">
        <v>0</v>
      </c>
      <c r="CY195" s="542">
        <v>0</v>
      </c>
      <c r="CZ195" s="542">
        <v>0</v>
      </c>
      <c r="DA195" s="542">
        <v>0</v>
      </c>
      <c r="DB195" s="542">
        <v>-2021740</v>
      </c>
      <c r="DC195" s="542">
        <v>-2021740</v>
      </c>
      <c r="DD195" s="542">
        <v>0</v>
      </c>
      <c r="DE195" s="542">
        <v>-28249</v>
      </c>
      <c r="DF195" s="542">
        <v>-28249</v>
      </c>
      <c r="DG195" s="542"/>
      <c r="DH195" s="542">
        <v>-2049989</v>
      </c>
      <c r="DI195" s="542"/>
      <c r="DJ195" s="542">
        <v>0</v>
      </c>
      <c r="DK195" s="542"/>
      <c r="DL195" s="542"/>
      <c r="DM195" s="542">
        <v>-450033</v>
      </c>
      <c r="DN195" s="542">
        <v>-2054891</v>
      </c>
      <c r="DO195" s="542">
        <v>-2504924</v>
      </c>
      <c r="DP195" s="542">
        <v>0</v>
      </c>
      <c r="DQ195" s="542">
        <v>0</v>
      </c>
      <c r="DR195" s="542">
        <v>0</v>
      </c>
      <c r="DS195" s="542">
        <v>0</v>
      </c>
      <c r="DT195" s="542">
        <v>0</v>
      </c>
      <c r="DU195" s="542">
        <v>0</v>
      </c>
      <c r="DV195" s="542">
        <v>-87982</v>
      </c>
      <c r="DW195" s="542">
        <v>0</v>
      </c>
      <c r="DX195" s="542">
        <v>-87982</v>
      </c>
      <c r="DY195" s="542">
        <v>-794987</v>
      </c>
      <c r="DZ195" s="542">
        <v>0</v>
      </c>
      <c r="EA195" s="542">
        <v>-794987</v>
      </c>
      <c r="EB195" s="542">
        <v>0</v>
      </c>
      <c r="EC195" s="542">
        <v>0</v>
      </c>
      <c r="ED195" s="542">
        <v>0</v>
      </c>
      <c r="EE195" s="542">
        <v>0</v>
      </c>
      <c r="EF195" s="542">
        <v>0</v>
      </c>
      <c r="EG195" s="542">
        <v>0</v>
      </c>
      <c r="EH195" s="542">
        <v>-882969</v>
      </c>
      <c r="EI195" s="542">
        <v>0</v>
      </c>
      <c r="EJ195" s="542">
        <v>-882969</v>
      </c>
      <c r="EK195" s="542">
        <v>0</v>
      </c>
      <c r="EL195" s="542">
        <v>0</v>
      </c>
      <c r="EM195" s="542">
        <v>0</v>
      </c>
      <c r="EN195" s="542">
        <v>0</v>
      </c>
      <c r="EO195" s="542">
        <v>0</v>
      </c>
      <c r="EP195" s="542">
        <v>0</v>
      </c>
      <c r="EQ195" s="542">
        <v>0</v>
      </c>
      <c r="ER195" s="542">
        <v>0</v>
      </c>
      <c r="ES195" s="542">
        <v>0</v>
      </c>
      <c r="ET195" s="542">
        <v>109524113</v>
      </c>
      <c r="EU195" s="542">
        <v>6281459</v>
      </c>
      <c r="EV195" s="542">
        <v>115805572</v>
      </c>
      <c r="EW195" s="542">
        <v>841476</v>
      </c>
      <c r="EX195" s="542">
        <v>43740</v>
      </c>
      <c r="EY195" s="542">
        <v>885216</v>
      </c>
      <c r="EZ195" s="542">
        <v>-7997823</v>
      </c>
      <c r="FA195" s="542">
        <v>-52362</v>
      </c>
      <c r="FB195" s="542">
        <v>-8050185</v>
      </c>
      <c r="FC195" s="542">
        <v>-6168382</v>
      </c>
      <c r="FD195" s="542">
        <v>-71554</v>
      </c>
      <c r="FE195" s="542">
        <v>-6239936</v>
      </c>
      <c r="FF195" s="542">
        <v>-450033</v>
      </c>
      <c r="FG195" s="542">
        <v>-2054891</v>
      </c>
      <c r="FH195" s="542">
        <v>-2504924</v>
      </c>
      <c r="FI195" s="542">
        <v>-882969</v>
      </c>
      <c r="FJ195" s="542">
        <v>0</v>
      </c>
      <c r="FK195" s="542">
        <v>-882969</v>
      </c>
      <c r="FL195" s="542">
        <v>0</v>
      </c>
      <c r="FM195" s="542">
        <v>0</v>
      </c>
      <c r="FN195" s="542">
        <v>0</v>
      </c>
      <c r="FO195" s="542">
        <v>-14657731</v>
      </c>
      <c r="FP195" s="542">
        <v>-2135067</v>
      </c>
      <c r="FQ195" s="542">
        <v>-16792798</v>
      </c>
      <c r="FR195" s="542">
        <v>94866382</v>
      </c>
      <c r="FS195" s="542">
        <v>4146392</v>
      </c>
      <c r="FT195" s="542">
        <v>99012774</v>
      </c>
    </row>
    <row r="196" spans="1:176" ht="12.75" x14ac:dyDescent="0.2">
      <c r="A196" s="93">
        <v>191</v>
      </c>
      <c r="B196" s="145" t="s">
        <v>260</v>
      </c>
      <c r="C196" s="604" t="s">
        <v>770</v>
      </c>
      <c r="D196" s="142" t="s">
        <v>878</v>
      </c>
      <c r="E196" s="149" t="s">
        <v>259</v>
      </c>
      <c r="F196" s="542">
        <v>-202776</v>
      </c>
      <c r="G196" s="542">
        <v>0</v>
      </c>
      <c r="H196" s="542">
        <v>-202776</v>
      </c>
      <c r="I196" s="542">
        <v>389208</v>
      </c>
      <c r="J196" s="542">
        <v>0</v>
      </c>
      <c r="K196" s="542">
        <v>389208</v>
      </c>
      <c r="L196" s="542">
        <v>1136</v>
      </c>
      <c r="M196" s="542">
        <v>0</v>
      </c>
      <c r="N196" s="542">
        <v>1136</v>
      </c>
      <c r="O196" s="542">
        <v>109773</v>
      </c>
      <c r="P196" s="542">
        <v>0</v>
      </c>
      <c r="Q196" s="542">
        <v>109773</v>
      </c>
      <c r="R196" s="542">
        <v>297341</v>
      </c>
      <c r="S196" s="542">
        <v>0</v>
      </c>
      <c r="T196" s="542">
        <v>297341</v>
      </c>
      <c r="U196" s="542">
        <v>-7598991</v>
      </c>
      <c r="V196" s="542">
        <v>0</v>
      </c>
      <c r="W196" s="542">
        <v>-7598991</v>
      </c>
      <c r="X196" s="542">
        <v>-20741</v>
      </c>
      <c r="Y196" s="542">
        <v>0</v>
      </c>
      <c r="Z196" s="542">
        <v>-20741</v>
      </c>
      <c r="AA196" s="542">
        <v>-441711</v>
      </c>
      <c r="AB196" s="542">
        <v>0</v>
      </c>
      <c r="AC196" s="542">
        <v>-441711</v>
      </c>
      <c r="AD196" s="542">
        <v>-171161</v>
      </c>
      <c r="AE196" s="542">
        <v>0</v>
      </c>
      <c r="AF196" s="542">
        <v>-171161</v>
      </c>
      <c r="AG196" s="542">
        <v>1760383</v>
      </c>
      <c r="AH196" s="542">
        <v>473</v>
      </c>
      <c r="AI196" s="542">
        <v>1760856</v>
      </c>
      <c r="AJ196" s="542">
        <v>132040</v>
      </c>
      <c r="AK196" s="542">
        <v>180</v>
      </c>
      <c r="AL196" s="542">
        <v>132220</v>
      </c>
      <c r="AM196" s="542">
        <v>-5937026</v>
      </c>
      <c r="AN196" s="542">
        <v>0</v>
      </c>
      <c r="AO196" s="542">
        <v>-5937026</v>
      </c>
      <c r="AP196" s="542">
        <v>210853</v>
      </c>
      <c r="AQ196" s="542">
        <v>0</v>
      </c>
      <c r="AR196" s="542">
        <v>210853</v>
      </c>
      <c r="AS196" s="542">
        <v>-190938</v>
      </c>
      <c r="AT196" s="542">
        <v>0</v>
      </c>
      <c r="AU196" s="542">
        <v>-190938</v>
      </c>
      <c r="AV196" s="542">
        <v>-50298</v>
      </c>
      <c r="AW196" s="542">
        <v>0</v>
      </c>
      <c r="AX196" s="542">
        <v>-50298</v>
      </c>
      <c r="AY196" s="542">
        <v>-91191</v>
      </c>
      <c r="AZ196" s="542">
        <v>0</v>
      </c>
      <c r="BA196" s="542">
        <v>-91191</v>
      </c>
      <c r="BB196" s="542">
        <v>11274</v>
      </c>
      <c r="BC196" s="542">
        <v>0</v>
      </c>
      <c r="BD196" s="542">
        <v>11274</v>
      </c>
      <c r="BE196" s="542">
        <v>-12195605</v>
      </c>
      <c r="BF196" s="542">
        <v>653</v>
      </c>
      <c r="BG196" s="542">
        <v>-12194952</v>
      </c>
      <c r="BH196" s="542">
        <v>-102069</v>
      </c>
      <c r="BI196" s="542">
        <v>0</v>
      </c>
      <c r="BJ196" s="542">
        <v>-102069</v>
      </c>
      <c r="BK196" s="542">
        <v>-181456</v>
      </c>
      <c r="BL196" s="542">
        <v>0</v>
      </c>
      <c r="BM196" s="542">
        <v>-181456</v>
      </c>
      <c r="BN196" s="542">
        <v>-2673628</v>
      </c>
      <c r="BO196" s="542">
        <v>0</v>
      </c>
      <c r="BP196" s="542">
        <v>-2673628</v>
      </c>
      <c r="BQ196" s="542">
        <v>-66503</v>
      </c>
      <c r="BR196" s="542">
        <v>-130</v>
      </c>
      <c r="BS196" s="542">
        <v>-66633</v>
      </c>
      <c r="BT196" s="542">
        <v>-3023656</v>
      </c>
      <c r="BU196" s="542">
        <v>-130</v>
      </c>
      <c r="BV196" s="542">
        <v>-3023786</v>
      </c>
      <c r="BW196" s="542">
        <v>-574442</v>
      </c>
      <c r="BX196" s="542">
        <v>0</v>
      </c>
      <c r="BY196" s="542">
        <v>-574442</v>
      </c>
      <c r="BZ196" s="542">
        <v>16908</v>
      </c>
      <c r="CA196" s="542">
        <v>0</v>
      </c>
      <c r="CB196" s="542">
        <v>16908</v>
      </c>
      <c r="CC196" s="542">
        <v>-386700</v>
      </c>
      <c r="CD196" s="542">
        <v>0</v>
      </c>
      <c r="CE196" s="542">
        <v>-386700</v>
      </c>
      <c r="CF196" s="542">
        <v>582</v>
      </c>
      <c r="CG196" s="542">
        <v>0</v>
      </c>
      <c r="CH196" s="542">
        <v>582</v>
      </c>
      <c r="CI196" s="542">
        <v>-19424</v>
      </c>
      <c r="CJ196" s="542">
        <v>0</v>
      </c>
      <c r="CK196" s="542">
        <v>-19424</v>
      </c>
      <c r="CL196" s="542">
        <v>0</v>
      </c>
      <c r="CM196" s="542">
        <v>0</v>
      </c>
      <c r="CN196" s="542">
        <v>0</v>
      </c>
      <c r="CO196" s="542">
        <v>-12801</v>
      </c>
      <c r="CP196" s="542">
        <v>0</v>
      </c>
      <c r="CQ196" s="542">
        <v>-12801</v>
      </c>
      <c r="CR196" s="542">
        <v>-1772</v>
      </c>
      <c r="CS196" s="542">
        <v>0</v>
      </c>
      <c r="CT196" s="542">
        <v>-1772</v>
      </c>
      <c r="CU196" s="542">
        <v>-12445</v>
      </c>
      <c r="CV196" s="542">
        <v>0</v>
      </c>
      <c r="CW196" s="542">
        <v>-12445</v>
      </c>
      <c r="CX196" s="542">
        <v>-1672</v>
      </c>
      <c r="CY196" s="542">
        <v>0</v>
      </c>
      <c r="CZ196" s="542">
        <v>-1672</v>
      </c>
      <c r="DA196" s="542">
        <v>-50003</v>
      </c>
      <c r="DB196" s="542">
        <v>-26522</v>
      </c>
      <c r="DC196" s="542">
        <v>-76525</v>
      </c>
      <c r="DD196" s="542">
        <v>1031</v>
      </c>
      <c r="DE196" s="542">
        <v>-366</v>
      </c>
      <c r="DF196" s="542">
        <v>665</v>
      </c>
      <c r="DG196" s="542"/>
      <c r="DH196" s="542">
        <v>-26888</v>
      </c>
      <c r="DI196" s="542"/>
      <c r="DJ196" s="542">
        <v>0</v>
      </c>
      <c r="DK196" s="542"/>
      <c r="DL196" s="542"/>
      <c r="DM196" s="542">
        <v>-1040738</v>
      </c>
      <c r="DN196" s="542">
        <v>-26888</v>
      </c>
      <c r="DO196" s="542">
        <v>-1067626</v>
      </c>
      <c r="DP196" s="542">
        <v>-35891</v>
      </c>
      <c r="DQ196" s="542">
        <v>0</v>
      </c>
      <c r="DR196" s="542">
        <v>-35891</v>
      </c>
      <c r="DS196" s="542">
        <v>-994</v>
      </c>
      <c r="DT196" s="542">
        <v>0</v>
      </c>
      <c r="DU196" s="542">
        <v>-994</v>
      </c>
      <c r="DV196" s="542">
        <v>-16791</v>
      </c>
      <c r="DW196" s="542">
        <v>0</v>
      </c>
      <c r="DX196" s="542">
        <v>-16791</v>
      </c>
      <c r="DY196" s="542">
        <v>-1141145</v>
      </c>
      <c r="DZ196" s="542">
        <v>0</v>
      </c>
      <c r="EA196" s="542">
        <v>-1141145</v>
      </c>
      <c r="EB196" s="542">
        <v>0</v>
      </c>
      <c r="EC196" s="542">
        <v>0</v>
      </c>
      <c r="ED196" s="542">
        <v>0</v>
      </c>
      <c r="EE196" s="542">
        <v>0</v>
      </c>
      <c r="EF196" s="542">
        <v>0</v>
      </c>
      <c r="EG196" s="542">
        <v>0</v>
      </c>
      <c r="EH196" s="542">
        <v>-1194821</v>
      </c>
      <c r="EI196" s="542">
        <v>0</v>
      </c>
      <c r="EJ196" s="542">
        <v>-1194821</v>
      </c>
      <c r="EK196" s="542">
        <v>0</v>
      </c>
      <c r="EL196" s="542">
        <v>0</v>
      </c>
      <c r="EM196" s="542">
        <v>0</v>
      </c>
      <c r="EN196" s="542">
        <v>17972</v>
      </c>
      <c r="EO196" s="542">
        <v>0</v>
      </c>
      <c r="EP196" s="542">
        <v>17972</v>
      </c>
      <c r="EQ196" s="542">
        <v>17972</v>
      </c>
      <c r="ER196" s="542">
        <v>0</v>
      </c>
      <c r="ES196" s="542">
        <v>17972</v>
      </c>
      <c r="ET196" s="542">
        <v>93540012</v>
      </c>
      <c r="EU196" s="542">
        <v>38992</v>
      </c>
      <c r="EV196" s="542">
        <v>93579004</v>
      </c>
      <c r="EW196" s="542">
        <v>297341</v>
      </c>
      <c r="EX196" s="542">
        <v>0</v>
      </c>
      <c r="EY196" s="542">
        <v>297341</v>
      </c>
      <c r="EZ196" s="542">
        <v>-12195605</v>
      </c>
      <c r="FA196" s="542">
        <v>653</v>
      </c>
      <c r="FB196" s="542">
        <v>-12194952</v>
      </c>
      <c r="FC196" s="542">
        <v>-3023656</v>
      </c>
      <c r="FD196" s="542">
        <v>-130</v>
      </c>
      <c r="FE196" s="542">
        <v>-3023786</v>
      </c>
      <c r="FF196" s="542">
        <v>-1040738</v>
      </c>
      <c r="FG196" s="542">
        <v>-26888</v>
      </c>
      <c r="FH196" s="542">
        <v>-1067626</v>
      </c>
      <c r="FI196" s="542">
        <v>-1194821</v>
      </c>
      <c r="FJ196" s="542">
        <v>0</v>
      </c>
      <c r="FK196" s="542">
        <v>-1194821</v>
      </c>
      <c r="FL196" s="542">
        <v>17972</v>
      </c>
      <c r="FM196" s="542">
        <v>0</v>
      </c>
      <c r="FN196" s="542">
        <v>17972</v>
      </c>
      <c r="FO196" s="542">
        <v>-17139507</v>
      </c>
      <c r="FP196" s="542">
        <v>-26365</v>
      </c>
      <c r="FQ196" s="542">
        <v>-17165872</v>
      </c>
      <c r="FR196" s="542">
        <v>76400505</v>
      </c>
      <c r="FS196" s="542">
        <v>12627</v>
      </c>
      <c r="FT196" s="542">
        <v>76413132</v>
      </c>
    </row>
    <row r="197" spans="1:176" ht="12.75" x14ac:dyDescent="0.2">
      <c r="A197" s="93">
        <v>192</v>
      </c>
      <c r="B197" s="145" t="s">
        <v>262</v>
      </c>
      <c r="C197" s="604" t="s">
        <v>866</v>
      </c>
      <c r="D197" s="142" t="s">
        <v>870</v>
      </c>
      <c r="E197" s="149" t="s">
        <v>261</v>
      </c>
      <c r="F197" s="542">
        <v>-41873</v>
      </c>
      <c r="G197" s="542">
        <v>0</v>
      </c>
      <c r="H197" s="542">
        <v>-41873</v>
      </c>
      <c r="I197" s="542">
        <v>163819</v>
      </c>
      <c r="J197" s="542">
        <v>0</v>
      </c>
      <c r="K197" s="542">
        <v>163819</v>
      </c>
      <c r="L197" s="542">
        <v>39391</v>
      </c>
      <c r="M197" s="542">
        <v>0</v>
      </c>
      <c r="N197" s="542">
        <v>39391</v>
      </c>
      <c r="O197" s="542">
        <v>657085</v>
      </c>
      <c r="P197" s="542">
        <v>0</v>
      </c>
      <c r="Q197" s="542">
        <v>657085</v>
      </c>
      <c r="R197" s="542">
        <v>818422</v>
      </c>
      <c r="S197" s="542">
        <v>0</v>
      </c>
      <c r="T197" s="542">
        <v>818422</v>
      </c>
      <c r="U197" s="542">
        <v>-3262512</v>
      </c>
      <c r="V197" s="542">
        <v>0</v>
      </c>
      <c r="W197" s="542">
        <v>-3262512</v>
      </c>
      <c r="X197" s="542">
        <v>-3977</v>
      </c>
      <c r="Y197" s="542">
        <v>0</v>
      </c>
      <c r="Z197" s="542">
        <v>-3977</v>
      </c>
      <c r="AA197" s="542">
        <v>-242162</v>
      </c>
      <c r="AB197" s="542">
        <v>0</v>
      </c>
      <c r="AC197" s="542">
        <v>-242162</v>
      </c>
      <c r="AD197" s="542">
        <v>-84752</v>
      </c>
      <c r="AE197" s="542">
        <v>0</v>
      </c>
      <c r="AF197" s="542">
        <v>-84752</v>
      </c>
      <c r="AG197" s="542">
        <v>1869801</v>
      </c>
      <c r="AH197" s="542">
        <v>0</v>
      </c>
      <c r="AI197" s="542">
        <v>1869801</v>
      </c>
      <c r="AJ197" s="542">
        <v>10329</v>
      </c>
      <c r="AK197" s="542">
        <v>0</v>
      </c>
      <c r="AL197" s="542">
        <v>10329</v>
      </c>
      <c r="AM197" s="542">
        <v>-5287577</v>
      </c>
      <c r="AN197" s="542">
        <v>0</v>
      </c>
      <c r="AO197" s="542">
        <v>-5287577</v>
      </c>
      <c r="AP197" s="542">
        <v>8863</v>
      </c>
      <c r="AQ197" s="542">
        <v>0</v>
      </c>
      <c r="AR197" s="542">
        <v>8863</v>
      </c>
      <c r="AS197" s="542">
        <v>-24081</v>
      </c>
      <c r="AT197" s="542">
        <v>0</v>
      </c>
      <c r="AU197" s="542">
        <v>-24081</v>
      </c>
      <c r="AV197" s="542">
        <v>0</v>
      </c>
      <c r="AW197" s="542">
        <v>0</v>
      </c>
      <c r="AX197" s="542">
        <v>0</v>
      </c>
      <c r="AY197" s="542">
        <v>0</v>
      </c>
      <c r="AZ197" s="542">
        <v>0</v>
      </c>
      <c r="BA197" s="542">
        <v>0</v>
      </c>
      <c r="BB197" s="542">
        <v>0</v>
      </c>
      <c r="BC197" s="542">
        <v>0</v>
      </c>
      <c r="BD197" s="542">
        <v>0</v>
      </c>
      <c r="BE197" s="542">
        <v>-6927339</v>
      </c>
      <c r="BF197" s="542">
        <v>0</v>
      </c>
      <c r="BG197" s="542">
        <v>-6927339</v>
      </c>
      <c r="BH197" s="542">
        <v>-112918</v>
      </c>
      <c r="BI197" s="542">
        <v>0</v>
      </c>
      <c r="BJ197" s="542">
        <v>-112918</v>
      </c>
      <c r="BK197" s="542">
        <v>28772</v>
      </c>
      <c r="BL197" s="542">
        <v>0</v>
      </c>
      <c r="BM197" s="542">
        <v>28772</v>
      </c>
      <c r="BN197" s="542">
        <v>-3996795</v>
      </c>
      <c r="BO197" s="542">
        <v>0</v>
      </c>
      <c r="BP197" s="542">
        <v>-3996795</v>
      </c>
      <c r="BQ197" s="542">
        <v>328548</v>
      </c>
      <c r="BR197" s="542">
        <v>0</v>
      </c>
      <c r="BS197" s="542">
        <v>328548</v>
      </c>
      <c r="BT197" s="542">
        <v>-3752393</v>
      </c>
      <c r="BU197" s="542">
        <v>0</v>
      </c>
      <c r="BV197" s="542">
        <v>-3752393</v>
      </c>
      <c r="BW197" s="542">
        <v>-89241</v>
      </c>
      <c r="BX197" s="542">
        <v>0</v>
      </c>
      <c r="BY197" s="542">
        <v>-89241</v>
      </c>
      <c r="BZ197" s="542">
        <v>-7643</v>
      </c>
      <c r="CA197" s="542">
        <v>0</v>
      </c>
      <c r="CB197" s="542">
        <v>-7643</v>
      </c>
      <c r="CC197" s="542">
        <v>-33042</v>
      </c>
      <c r="CD197" s="542">
        <v>0</v>
      </c>
      <c r="CE197" s="542">
        <v>-33042</v>
      </c>
      <c r="CF197" s="542">
        <v>-7412</v>
      </c>
      <c r="CG197" s="542">
        <v>0</v>
      </c>
      <c r="CH197" s="542">
        <v>-7412</v>
      </c>
      <c r="CI197" s="542">
        <v>0</v>
      </c>
      <c r="CJ197" s="542">
        <v>0</v>
      </c>
      <c r="CK197" s="542">
        <v>0</v>
      </c>
      <c r="CL197" s="542">
        <v>0</v>
      </c>
      <c r="CM197" s="542">
        <v>0</v>
      </c>
      <c r="CN197" s="542">
        <v>0</v>
      </c>
      <c r="CO197" s="542">
        <v>0</v>
      </c>
      <c r="CP197" s="542">
        <v>0</v>
      </c>
      <c r="CQ197" s="542">
        <v>0</v>
      </c>
      <c r="CR197" s="542">
        <v>0</v>
      </c>
      <c r="CS197" s="542">
        <v>0</v>
      </c>
      <c r="CT197" s="542">
        <v>0</v>
      </c>
      <c r="CU197" s="542">
        <v>0</v>
      </c>
      <c r="CV197" s="542">
        <v>0</v>
      </c>
      <c r="CW197" s="542">
        <v>0</v>
      </c>
      <c r="CX197" s="542">
        <v>0</v>
      </c>
      <c r="CY197" s="542">
        <v>0</v>
      </c>
      <c r="CZ197" s="542">
        <v>0</v>
      </c>
      <c r="DA197" s="542">
        <v>0</v>
      </c>
      <c r="DB197" s="542">
        <v>0</v>
      </c>
      <c r="DC197" s="542">
        <v>0</v>
      </c>
      <c r="DD197" s="542">
        <v>0</v>
      </c>
      <c r="DE197" s="542">
        <v>0</v>
      </c>
      <c r="DF197" s="542">
        <v>0</v>
      </c>
      <c r="DG197" s="542"/>
      <c r="DH197" s="542">
        <v>0</v>
      </c>
      <c r="DI197" s="542"/>
      <c r="DJ197" s="542">
        <v>0</v>
      </c>
      <c r="DK197" s="542"/>
      <c r="DL197" s="542"/>
      <c r="DM197" s="542">
        <v>-137338</v>
      </c>
      <c r="DN197" s="542">
        <v>0</v>
      </c>
      <c r="DO197" s="542">
        <v>-137338</v>
      </c>
      <c r="DP197" s="542">
        <v>0</v>
      </c>
      <c r="DQ197" s="542">
        <v>0</v>
      </c>
      <c r="DR197" s="542">
        <v>0</v>
      </c>
      <c r="DS197" s="542">
        <v>0</v>
      </c>
      <c r="DT197" s="542">
        <v>0</v>
      </c>
      <c r="DU197" s="542">
        <v>0</v>
      </c>
      <c r="DV197" s="542">
        <v>0</v>
      </c>
      <c r="DW197" s="542">
        <v>0</v>
      </c>
      <c r="DX197" s="542">
        <v>0</v>
      </c>
      <c r="DY197" s="542">
        <v>-841069</v>
      </c>
      <c r="DZ197" s="542">
        <v>0</v>
      </c>
      <c r="EA197" s="542">
        <v>-841069</v>
      </c>
      <c r="EB197" s="542">
        <v>0</v>
      </c>
      <c r="EC197" s="542">
        <v>0</v>
      </c>
      <c r="ED197" s="542">
        <v>0</v>
      </c>
      <c r="EE197" s="542">
        <v>0</v>
      </c>
      <c r="EF197" s="542">
        <v>0</v>
      </c>
      <c r="EG197" s="542">
        <v>0</v>
      </c>
      <c r="EH197" s="542">
        <v>-841069</v>
      </c>
      <c r="EI197" s="542">
        <v>0</v>
      </c>
      <c r="EJ197" s="542">
        <v>-841069</v>
      </c>
      <c r="EK197" s="542">
        <v>0</v>
      </c>
      <c r="EL197" s="542">
        <v>0</v>
      </c>
      <c r="EM197" s="542">
        <v>0</v>
      </c>
      <c r="EN197" s="542">
        <v>0</v>
      </c>
      <c r="EO197" s="542">
        <v>0</v>
      </c>
      <c r="EP197" s="542">
        <v>0</v>
      </c>
      <c r="EQ197" s="542">
        <v>0</v>
      </c>
      <c r="ER197" s="542">
        <v>0</v>
      </c>
      <c r="ES197" s="542">
        <v>0</v>
      </c>
      <c r="ET197" s="542">
        <v>87277768</v>
      </c>
      <c r="EU197" s="542">
        <v>0</v>
      </c>
      <c r="EV197" s="542">
        <v>87277768</v>
      </c>
      <c r="EW197" s="542">
        <v>818422</v>
      </c>
      <c r="EX197" s="542">
        <v>0</v>
      </c>
      <c r="EY197" s="542">
        <v>818422</v>
      </c>
      <c r="EZ197" s="542">
        <v>-6927339</v>
      </c>
      <c r="FA197" s="542">
        <v>0</v>
      </c>
      <c r="FB197" s="542">
        <v>-6927339</v>
      </c>
      <c r="FC197" s="542">
        <v>-3752393</v>
      </c>
      <c r="FD197" s="542">
        <v>0</v>
      </c>
      <c r="FE197" s="542">
        <v>-3752393</v>
      </c>
      <c r="FF197" s="542">
        <v>-137338</v>
      </c>
      <c r="FG197" s="542">
        <v>0</v>
      </c>
      <c r="FH197" s="542">
        <v>-137338</v>
      </c>
      <c r="FI197" s="542">
        <v>-841069</v>
      </c>
      <c r="FJ197" s="542">
        <v>0</v>
      </c>
      <c r="FK197" s="542">
        <v>-841069</v>
      </c>
      <c r="FL197" s="542">
        <v>0</v>
      </c>
      <c r="FM197" s="542">
        <v>0</v>
      </c>
      <c r="FN197" s="542">
        <v>0</v>
      </c>
      <c r="FO197" s="542">
        <v>-10839717</v>
      </c>
      <c r="FP197" s="542">
        <v>0</v>
      </c>
      <c r="FQ197" s="542">
        <v>-10839717</v>
      </c>
      <c r="FR197" s="542">
        <v>76438051</v>
      </c>
      <c r="FS197" s="542">
        <v>0</v>
      </c>
      <c r="FT197" s="542">
        <v>76438051</v>
      </c>
    </row>
    <row r="198" spans="1:176" ht="12.75" x14ac:dyDescent="0.2">
      <c r="A198" s="93">
        <v>193</v>
      </c>
      <c r="B198" s="145" t="s">
        <v>264</v>
      </c>
      <c r="C198" s="604" t="s">
        <v>770</v>
      </c>
      <c r="D198" s="142" t="s">
        <v>869</v>
      </c>
      <c r="E198" s="149" t="s">
        <v>712</v>
      </c>
      <c r="F198" s="542">
        <v>-20403</v>
      </c>
      <c r="G198" s="542">
        <v>-31673</v>
      </c>
      <c r="H198" s="542">
        <v>-52076</v>
      </c>
      <c r="I198" s="542">
        <v>74115</v>
      </c>
      <c r="J198" s="542">
        <v>6445</v>
      </c>
      <c r="K198" s="542">
        <v>80560</v>
      </c>
      <c r="L198" s="542">
        <v>204240</v>
      </c>
      <c r="M198" s="542">
        <v>9905</v>
      </c>
      <c r="N198" s="542">
        <v>214145</v>
      </c>
      <c r="O198" s="542">
        <v>1730777</v>
      </c>
      <c r="P198" s="542">
        <v>150502</v>
      </c>
      <c r="Q198" s="542">
        <v>1881279</v>
      </c>
      <c r="R198" s="542">
        <v>1988729</v>
      </c>
      <c r="S198" s="542">
        <v>135179</v>
      </c>
      <c r="T198" s="542">
        <v>2123908</v>
      </c>
      <c r="U198" s="542">
        <v>-5030023</v>
      </c>
      <c r="V198" s="542">
        <v>-345718</v>
      </c>
      <c r="W198" s="542">
        <v>-5375741</v>
      </c>
      <c r="X198" s="542">
        <v>-7879</v>
      </c>
      <c r="Y198" s="542">
        <v>0</v>
      </c>
      <c r="Z198" s="542">
        <v>-7879</v>
      </c>
      <c r="AA198" s="542">
        <v>-667838</v>
      </c>
      <c r="AB198" s="542">
        <v>-58073</v>
      </c>
      <c r="AC198" s="542">
        <v>-725911</v>
      </c>
      <c r="AD198" s="542">
        <v>-243285</v>
      </c>
      <c r="AE198" s="542">
        <v>-21155</v>
      </c>
      <c r="AF198" s="542">
        <v>-264440</v>
      </c>
      <c r="AG198" s="542">
        <v>2952533</v>
      </c>
      <c r="AH198" s="542">
        <v>191526</v>
      </c>
      <c r="AI198" s="542">
        <v>3144059</v>
      </c>
      <c r="AJ198" s="542">
        <v>167964</v>
      </c>
      <c r="AK198" s="542">
        <v>14605</v>
      </c>
      <c r="AL198" s="542">
        <v>182569</v>
      </c>
      <c r="AM198" s="542">
        <v>-11968695</v>
      </c>
      <c r="AN198" s="542">
        <v>-534572</v>
      </c>
      <c r="AO198" s="542">
        <v>-12503267</v>
      </c>
      <c r="AP198" s="542">
        <v>-268710</v>
      </c>
      <c r="AQ198" s="542">
        <v>-11927</v>
      </c>
      <c r="AR198" s="542">
        <v>-280637</v>
      </c>
      <c r="AS198" s="542">
        <v>-45308</v>
      </c>
      <c r="AT198" s="542">
        <v>0</v>
      </c>
      <c r="AU198" s="542">
        <v>-45308</v>
      </c>
      <c r="AV198" s="542">
        <v>0</v>
      </c>
      <c r="AW198" s="542">
        <v>0</v>
      </c>
      <c r="AX198" s="542">
        <v>0</v>
      </c>
      <c r="AY198" s="542">
        <v>0</v>
      </c>
      <c r="AZ198" s="542">
        <v>0</v>
      </c>
      <c r="BA198" s="542">
        <v>0</v>
      </c>
      <c r="BB198" s="542">
        <v>0</v>
      </c>
      <c r="BC198" s="542">
        <v>0</v>
      </c>
      <c r="BD198" s="542">
        <v>0</v>
      </c>
      <c r="BE198" s="542">
        <v>-14860077</v>
      </c>
      <c r="BF198" s="542">
        <v>-744159</v>
      </c>
      <c r="BG198" s="542">
        <v>-15604236</v>
      </c>
      <c r="BH198" s="542">
        <v>-122197</v>
      </c>
      <c r="BI198" s="542">
        <v>-14385</v>
      </c>
      <c r="BJ198" s="542">
        <v>-136582</v>
      </c>
      <c r="BK198" s="542">
        <v>-68095</v>
      </c>
      <c r="BL198" s="542">
        <v>-14937</v>
      </c>
      <c r="BM198" s="542">
        <v>-83032</v>
      </c>
      <c r="BN198" s="542">
        <v>-6917882</v>
      </c>
      <c r="BO198" s="542">
        <v>-49807</v>
      </c>
      <c r="BP198" s="542">
        <v>-6967689</v>
      </c>
      <c r="BQ198" s="542">
        <v>-448812</v>
      </c>
      <c r="BR198" s="542">
        <v>-4534</v>
      </c>
      <c r="BS198" s="542">
        <v>-453346</v>
      </c>
      <c r="BT198" s="542">
        <v>-7556986</v>
      </c>
      <c r="BU198" s="542">
        <v>-83663</v>
      </c>
      <c r="BV198" s="542">
        <v>-7640649</v>
      </c>
      <c r="BW198" s="542">
        <v>-169066</v>
      </c>
      <c r="BX198" s="542">
        <v>-1676</v>
      </c>
      <c r="BY198" s="542">
        <v>-170742</v>
      </c>
      <c r="BZ198" s="542">
        <v>-7757</v>
      </c>
      <c r="CA198" s="542">
        <v>0</v>
      </c>
      <c r="CB198" s="542">
        <v>-7757</v>
      </c>
      <c r="CC198" s="542">
        <v>-260182</v>
      </c>
      <c r="CD198" s="542">
        <v>-313362</v>
      </c>
      <c r="CE198" s="542">
        <v>-573544</v>
      </c>
      <c r="CF198" s="542">
        <v>-28096</v>
      </c>
      <c r="CG198" s="542">
        <v>-34341</v>
      </c>
      <c r="CH198" s="542">
        <v>-62437</v>
      </c>
      <c r="CI198" s="542">
        <v>-819</v>
      </c>
      <c r="CJ198" s="542">
        <v>0</v>
      </c>
      <c r="CK198" s="542">
        <v>-819</v>
      </c>
      <c r="CL198" s="542">
        <v>0</v>
      </c>
      <c r="CM198" s="542">
        <v>0</v>
      </c>
      <c r="CN198" s="542">
        <v>0</v>
      </c>
      <c r="CO198" s="542">
        <v>0</v>
      </c>
      <c r="CP198" s="542">
        <v>0</v>
      </c>
      <c r="CQ198" s="542">
        <v>0</v>
      </c>
      <c r="CR198" s="542">
        <v>0</v>
      </c>
      <c r="CS198" s="542">
        <v>0</v>
      </c>
      <c r="CT198" s="542">
        <v>0</v>
      </c>
      <c r="CU198" s="542">
        <v>0</v>
      </c>
      <c r="CV198" s="542">
        <v>0</v>
      </c>
      <c r="CW198" s="542">
        <v>0</v>
      </c>
      <c r="CX198" s="542">
        <v>0</v>
      </c>
      <c r="CY198" s="542">
        <v>0</v>
      </c>
      <c r="CZ198" s="542">
        <v>0</v>
      </c>
      <c r="DA198" s="542">
        <v>-6846</v>
      </c>
      <c r="DB198" s="542">
        <v>0</v>
      </c>
      <c r="DC198" s="542">
        <v>-6846</v>
      </c>
      <c r="DD198" s="542">
        <v>0</v>
      </c>
      <c r="DE198" s="542">
        <v>0</v>
      </c>
      <c r="DF198" s="542">
        <v>0</v>
      </c>
      <c r="DG198" s="542"/>
      <c r="DH198" s="542">
        <v>0</v>
      </c>
      <c r="DI198" s="542"/>
      <c r="DJ198" s="542">
        <v>0</v>
      </c>
      <c r="DK198" s="542"/>
      <c r="DL198" s="542"/>
      <c r="DM198" s="542">
        <v>-472766</v>
      </c>
      <c r="DN198" s="542">
        <v>-349379</v>
      </c>
      <c r="DO198" s="542">
        <v>-822145</v>
      </c>
      <c r="DP198" s="542">
        <v>0</v>
      </c>
      <c r="DQ198" s="542">
        <v>0</v>
      </c>
      <c r="DR198" s="542">
        <v>0</v>
      </c>
      <c r="DS198" s="542">
        <v>0</v>
      </c>
      <c r="DT198" s="542">
        <v>0</v>
      </c>
      <c r="DU198" s="542">
        <v>0</v>
      </c>
      <c r="DV198" s="542">
        <v>-32804</v>
      </c>
      <c r="DW198" s="542">
        <v>0</v>
      </c>
      <c r="DX198" s="542">
        <v>-32804</v>
      </c>
      <c r="DY198" s="542">
        <v>-849995</v>
      </c>
      <c r="DZ198" s="542">
        <v>-101762</v>
      </c>
      <c r="EA198" s="542">
        <v>-951757</v>
      </c>
      <c r="EB198" s="542">
        <v>0</v>
      </c>
      <c r="EC198" s="542">
        <v>0</v>
      </c>
      <c r="ED198" s="542">
        <v>0</v>
      </c>
      <c r="EE198" s="542">
        <v>0</v>
      </c>
      <c r="EF198" s="542">
        <v>0</v>
      </c>
      <c r="EG198" s="542">
        <v>0</v>
      </c>
      <c r="EH198" s="542">
        <v>-882799</v>
      </c>
      <c r="EI198" s="542">
        <v>-101762</v>
      </c>
      <c r="EJ198" s="542">
        <v>-984561</v>
      </c>
      <c r="EK198" s="542">
        <v>-17608</v>
      </c>
      <c r="EL198" s="542">
        <v>0</v>
      </c>
      <c r="EM198" s="542">
        <v>-17608</v>
      </c>
      <c r="EN198" s="542">
        <v>-12462</v>
      </c>
      <c r="EO198" s="542">
        <v>0</v>
      </c>
      <c r="EP198" s="542">
        <v>-12462</v>
      </c>
      <c r="EQ198" s="542">
        <v>-30070</v>
      </c>
      <c r="ER198" s="542">
        <v>0</v>
      </c>
      <c r="ES198" s="542">
        <v>-30070</v>
      </c>
      <c r="ET198" s="542">
        <v>133921022</v>
      </c>
      <c r="EU198" s="542">
        <v>10426535</v>
      </c>
      <c r="EV198" s="542">
        <v>144347557</v>
      </c>
      <c r="EW198" s="542">
        <v>1988729</v>
      </c>
      <c r="EX198" s="542">
        <v>135179</v>
      </c>
      <c r="EY198" s="542">
        <v>2123908</v>
      </c>
      <c r="EZ198" s="542">
        <v>-14860077</v>
      </c>
      <c r="FA198" s="542">
        <v>-744159</v>
      </c>
      <c r="FB198" s="542">
        <v>-15604236</v>
      </c>
      <c r="FC198" s="542">
        <v>-7556986</v>
      </c>
      <c r="FD198" s="542">
        <v>-83663</v>
      </c>
      <c r="FE198" s="542">
        <v>-7640649</v>
      </c>
      <c r="FF198" s="542">
        <v>-472766</v>
      </c>
      <c r="FG198" s="542">
        <v>-349379</v>
      </c>
      <c r="FH198" s="542">
        <v>-822145</v>
      </c>
      <c r="FI198" s="542">
        <v>-882799</v>
      </c>
      <c r="FJ198" s="542">
        <v>-101762</v>
      </c>
      <c r="FK198" s="542">
        <v>-984561</v>
      </c>
      <c r="FL198" s="542">
        <v>-30070</v>
      </c>
      <c r="FM198" s="542">
        <v>0</v>
      </c>
      <c r="FN198" s="542">
        <v>-30070</v>
      </c>
      <c r="FO198" s="542">
        <v>-21813969</v>
      </c>
      <c r="FP198" s="542">
        <v>-1143784</v>
      </c>
      <c r="FQ198" s="542">
        <v>-22957753</v>
      </c>
      <c r="FR198" s="542">
        <v>112107053</v>
      </c>
      <c r="FS198" s="542">
        <v>9282751</v>
      </c>
      <c r="FT198" s="542">
        <v>121389804</v>
      </c>
    </row>
    <row r="199" spans="1:176" ht="12.75" x14ac:dyDescent="0.2">
      <c r="A199" s="93">
        <v>194</v>
      </c>
      <c r="B199" s="145" t="s">
        <v>266</v>
      </c>
      <c r="C199" s="604" t="s">
        <v>866</v>
      </c>
      <c r="D199" s="142" t="s">
        <v>876</v>
      </c>
      <c r="E199" s="149" t="s">
        <v>713</v>
      </c>
      <c r="F199" s="542">
        <v>-16658</v>
      </c>
      <c r="G199" s="542">
        <v>0</v>
      </c>
      <c r="H199" s="542">
        <v>-16658</v>
      </c>
      <c r="I199" s="542">
        <v>10357</v>
      </c>
      <c r="J199" s="542">
        <v>0</v>
      </c>
      <c r="K199" s="542">
        <v>10357</v>
      </c>
      <c r="L199" s="542">
        <v>12914</v>
      </c>
      <c r="M199" s="542">
        <v>0</v>
      </c>
      <c r="N199" s="542">
        <v>12914</v>
      </c>
      <c r="O199" s="542">
        <v>101357</v>
      </c>
      <c r="P199" s="542">
        <v>0</v>
      </c>
      <c r="Q199" s="542">
        <v>101357</v>
      </c>
      <c r="R199" s="542">
        <v>107970</v>
      </c>
      <c r="S199" s="542">
        <v>0</v>
      </c>
      <c r="T199" s="542">
        <v>107970</v>
      </c>
      <c r="U199" s="542">
        <v>-1876634</v>
      </c>
      <c r="V199" s="542">
        <v>0</v>
      </c>
      <c r="W199" s="542">
        <v>-1876634</v>
      </c>
      <c r="X199" s="542">
        <v>0</v>
      </c>
      <c r="Y199" s="542">
        <v>0</v>
      </c>
      <c r="Z199" s="542">
        <v>0</v>
      </c>
      <c r="AA199" s="542">
        <v>-158316</v>
      </c>
      <c r="AB199" s="542">
        <v>0</v>
      </c>
      <c r="AC199" s="542">
        <v>-158316</v>
      </c>
      <c r="AD199" s="542">
        <v>0</v>
      </c>
      <c r="AE199" s="542">
        <v>0</v>
      </c>
      <c r="AF199" s="542">
        <v>0</v>
      </c>
      <c r="AG199" s="542">
        <v>788660</v>
      </c>
      <c r="AH199" s="542">
        <v>0</v>
      </c>
      <c r="AI199" s="542">
        <v>788660</v>
      </c>
      <c r="AJ199" s="542">
        <v>-14633</v>
      </c>
      <c r="AK199" s="542">
        <v>0</v>
      </c>
      <c r="AL199" s="542">
        <v>-14633</v>
      </c>
      <c r="AM199" s="542">
        <v>-1975784</v>
      </c>
      <c r="AN199" s="542">
        <v>0</v>
      </c>
      <c r="AO199" s="542">
        <v>-1975784</v>
      </c>
      <c r="AP199" s="542">
        <v>-74335</v>
      </c>
      <c r="AQ199" s="542">
        <v>0</v>
      </c>
      <c r="AR199" s="542">
        <v>-74335</v>
      </c>
      <c r="AS199" s="542">
        <v>-24408</v>
      </c>
      <c r="AT199" s="542">
        <v>0</v>
      </c>
      <c r="AU199" s="542">
        <v>-24408</v>
      </c>
      <c r="AV199" s="542">
        <v>-1888</v>
      </c>
      <c r="AW199" s="542">
        <v>0</v>
      </c>
      <c r="AX199" s="542">
        <v>-1888</v>
      </c>
      <c r="AY199" s="542">
        <v>0</v>
      </c>
      <c r="AZ199" s="542">
        <v>0</v>
      </c>
      <c r="BA199" s="542">
        <v>0</v>
      </c>
      <c r="BB199" s="542">
        <v>0</v>
      </c>
      <c r="BC199" s="542">
        <v>0</v>
      </c>
      <c r="BD199" s="542">
        <v>0</v>
      </c>
      <c r="BE199" s="542">
        <v>-3337338</v>
      </c>
      <c r="BF199" s="542">
        <v>0</v>
      </c>
      <c r="BG199" s="542">
        <v>-3337338</v>
      </c>
      <c r="BH199" s="542">
        <v>-32716</v>
      </c>
      <c r="BI199" s="542">
        <v>0</v>
      </c>
      <c r="BJ199" s="542">
        <v>-32716</v>
      </c>
      <c r="BK199" s="542">
        <v>965</v>
      </c>
      <c r="BL199" s="542">
        <v>0</v>
      </c>
      <c r="BM199" s="542">
        <v>965</v>
      </c>
      <c r="BN199" s="542">
        <v>-954769</v>
      </c>
      <c r="BO199" s="542">
        <v>0</v>
      </c>
      <c r="BP199" s="542">
        <v>-954769</v>
      </c>
      <c r="BQ199" s="542">
        <v>-28917</v>
      </c>
      <c r="BR199" s="542">
        <v>0</v>
      </c>
      <c r="BS199" s="542">
        <v>-28917</v>
      </c>
      <c r="BT199" s="542">
        <v>-1015437</v>
      </c>
      <c r="BU199" s="542">
        <v>0</v>
      </c>
      <c r="BV199" s="542">
        <v>-1015437</v>
      </c>
      <c r="BW199" s="542">
        <v>-34924</v>
      </c>
      <c r="BX199" s="542">
        <v>0</v>
      </c>
      <c r="BY199" s="542">
        <v>-34924</v>
      </c>
      <c r="BZ199" s="542">
        <v>-3726</v>
      </c>
      <c r="CA199" s="542">
        <v>0</v>
      </c>
      <c r="CB199" s="542">
        <v>-3726</v>
      </c>
      <c r="CC199" s="542">
        <v>-41493</v>
      </c>
      <c r="CD199" s="542">
        <v>0</v>
      </c>
      <c r="CE199" s="542">
        <v>-41493</v>
      </c>
      <c r="CF199" s="542">
        <v>2315</v>
      </c>
      <c r="CG199" s="542">
        <v>0</v>
      </c>
      <c r="CH199" s="542">
        <v>2315</v>
      </c>
      <c r="CI199" s="542">
        <v>0</v>
      </c>
      <c r="CJ199" s="542">
        <v>0</v>
      </c>
      <c r="CK199" s="542">
        <v>0</v>
      </c>
      <c r="CL199" s="542">
        <v>0</v>
      </c>
      <c r="CM199" s="542">
        <v>0</v>
      </c>
      <c r="CN199" s="542">
        <v>0</v>
      </c>
      <c r="CO199" s="542">
        <v>0</v>
      </c>
      <c r="CP199" s="542">
        <v>0</v>
      </c>
      <c r="CQ199" s="542">
        <v>0</v>
      </c>
      <c r="CR199" s="542">
        <v>0</v>
      </c>
      <c r="CS199" s="542">
        <v>0</v>
      </c>
      <c r="CT199" s="542">
        <v>0</v>
      </c>
      <c r="CU199" s="542">
        <v>0</v>
      </c>
      <c r="CV199" s="542">
        <v>0</v>
      </c>
      <c r="CW199" s="542">
        <v>0</v>
      </c>
      <c r="CX199" s="542">
        <v>0</v>
      </c>
      <c r="CY199" s="542">
        <v>0</v>
      </c>
      <c r="CZ199" s="542">
        <v>0</v>
      </c>
      <c r="DA199" s="542">
        <v>-17546</v>
      </c>
      <c r="DB199" s="542">
        <v>0</v>
      </c>
      <c r="DC199" s="542">
        <v>-17546</v>
      </c>
      <c r="DD199" s="542">
        <v>0</v>
      </c>
      <c r="DE199" s="542">
        <v>0</v>
      </c>
      <c r="DF199" s="542">
        <v>0</v>
      </c>
      <c r="DG199" s="542"/>
      <c r="DH199" s="542">
        <v>0</v>
      </c>
      <c r="DI199" s="542"/>
      <c r="DJ199" s="542">
        <v>0</v>
      </c>
      <c r="DK199" s="542"/>
      <c r="DL199" s="542"/>
      <c r="DM199" s="542">
        <v>-95374</v>
      </c>
      <c r="DN199" s="542">
        <v>0</v>
      </c>
      <c r="DO199" s="542">
        <v>-95374</v>
      </c>
      <c r="DP199" s="542">
        <v>-13172</v>
      </c>
      <c r="DQ199" s="542">
        <v>0</v>
      </c>
      <c r="DR199" s="542">
        <v>-13172</v>
      </c>
      <c r="DS199" s="542">
        <v>0</v>
      </c>
      <c r="DT199" s="542">
        <v>0</v>
      </c>
      <c r="DU199" s="542">
        <v>0</v>
      </c>
      <c r="DV199" s="542">
        <v>-13365</v>
      </c>
      <c r="DW199" s="542">
        <v>0</v>
      </c>
      <c r="DX199" s="542">
        <v>-13365</v>
      </c>
      <c r="DY199" s="542">
        <v>-312780</v>
      </c>
      <c r="DZ199" s="542">
        <v>0</v>
      </c>
      <c r="EA199" s="542">
        <v>-312780</v>
      </c>
      <c r="EB199" s="542">
        <v>0</v>
      </c>
      <c r="EC199" s="542">
        <v>0</v>
      </c>
      <c r="ED199" s="542">
        <v>0</v>
      </c>
      <c r="EE199" s="542">
        <v>0</v>
      </c>
      <c r="EF199" s="542">
        <v>0</v>
      </c>
      <c r="EG199" s="542">
        <v>0</v>
      </c>
      <c r="EH199" s="542">
        <v>-339317</v>
      </c>
      <c r="EI199" s="542">
        <v>0</v>
      </c>
      <c r="EJ199" s="542">
        <v>-339317</v>
      </c>
      <c r="EK199" s="542">
        <v>0</v>
      </c>
      <c r="EL199" s="542">
        <v>0</v>
      </c>
      <c r="EM199" s="542">
        <v>0</v>
      </c>
      <c r="EN199" s="542">
        <v>0</v>
      </c>
      <c r="EO199" s="542">
        <v>0</v>
      </c>
      <c r="EP199" s="542">
        <v>0</v>
      </c>
      <c r="EQ199" s="542">
        <v>0</v>
      </c>
      <c r="ER199" s="542">
        <v>0</v>
      </c>
      <c r="ES199" s="542">
        <v>0</v>
      </c>
      <c r="ET199" s="542">
        <v>38934348</v>
      </c>
      <c r="EU199" s="542">
        <v>0</v>
      </c>
      <c r="EV199" s="542">
        <v>38934348</v>
      </c>
      <c r="EW199" s="542">
        <v>107970</v>
      </c>
      <c r="EX199" s="542">
        <v>0</v>
      </c>
      <c r="EY199" s="542">
        <v>107970</v>
      </c>
      <c r="EZ199" s="542">
        <v>-3337338</v>
      </c>
      <c r="FA199" s="542">
        <v>0</v>
      </c>
      <c r="FB199" s="542">
        <v>-3337338</v>
      </c>
      <c r="FC199" s="542">
        <v>-1015437</v>
      </c>
      <c r="FD199" s="542">
        <v>0</v>
      </c>
      <c r="FE199" s="542">
        <v>-1015437</v>
      </c>
      <c r="FF199" s="542">
        <v>-95374</v>
      </c>
      <c r="FG199" s="542">
        <v>0</v>
      </c>
      <c r="FH199" s="542">
        <v>-95374</v>
      </c>
      <c r="FI199" s="542">
        <v>-339317</v>
      </c>
      <c r="FJ199" s="542">
        <v>0</v>
      </c>
      <c r="FK199" s="542">
        <v>-339317</v>
      </c>
      <c r="FL199" s="542">
        <v>0</v>
      </c>
      <c r="FM199" s="542">
        <v>0</v>
      </c>
      <c r="FN199" s="542">
        <v>0</v>
      </c>
      <c r="FO199" s="542">
        <v>-4679496</v>
      </c>
      <c r="FP199" s="542">
        <v>0</v>
      </c>
      <c r="FQ199" s="542">
        <v>-4679496</v>
      </c>
      <c r="FR199" s="542">
        <v>34254852</v>
      </c>
      <c r="FS199" s="542">
        <v>0</v>
      </c>
      <c r="FT199" s="542">
        <v>34254852</v>
      </c>
    </row>
    <row r="200" spans="1:176" ht="12.75" x14ac:dyDescent="0.2">
      <c r="A200" s="93">
        <v>195</v>
      </c>
      <c r="B200" s="145" t="s">
        <v>268</v>
      </c>
      <c r="C200" s="604" t="s">
        <v>866</v>
      </c>
      <c r="D200" s="142" t="s">
        <v>869</v>
      </c>
      <c r="E200" s="149" t="s">
        <v>714</v>
      </c>
      <c r="F200" s="542">
        <v>-1377</v>
      </c>
      <c r="G200" s="542">
        <v>0</v>
      </c>
      <c r="H200" s="542">
        <v>-1377</v>
      </c>
      <c r="I200" s="542">
        <v>39171</v>
      </c>
      <c r="J200" s="542">
        <v>0</v>
      </c>
      <c r="K200" s="542">
        <v>39171</v>
      </c>
      <c r="L200" s="542">
        <v>0</v>
      </c>
      <c r="M200" s="542">
        <v>0</v>
      </c>
      <c r="N200" s="542">
        <v>0</v>
      </c>
      <c r="O200" s="542">
        <v>20506</v>
      </c>
      <c r="P200" s="542">
        <v>0</v>
      </c>
      <c r="Q200" s="542">
        <v>20506</v>
      </c>
      <c r="R200" s="542">
        <v>58300</v>
      </c>
      <c r="S200" s="542">
        <v>0</v>
      </c>
      <c r="T200" s="542">
        <v>58300</v>
      </c>
      <c r="U200" s="542">
        <v>-974937</v>
      </c>
      <c r="V200" s="542">
        <v>0</v>
      </c>
      <c r="W200" s="542">
        <v>-974937</v>
      </c>
      <c r="X200" s="542">
        <v>0</v>
      </c>
      <c r="Y200" s="542">
        <v>0</v>
      </c>
      <c r="Z200" s="542">
        <v>0</v>
      </c>
      <c r="AA200" s="542">
        <v>-34531</v>
      </c>
      <c r="AB200" s="542">
        <v>0</v>
      </c>
      <c r="AC200" s="542">
        <v>-34531</v>
      </c>
      <c r="AD200" s="542">
        <v>-17540</v>
      </c>
      <c r="AE200" s="542">
        <v>0</v>
      </c>
      <c r="AF200" s="542">
        <v>-17540</v>
      </c>
      <c r="AG200" s="542">
        <v>274795</v>
      </c>
      <c r="AH200" s="542">
        <v>0</v>
      </c>
      <c r="AI200" s="542">
        <v>274795</v>
      </c>
      <c r="AJ200" s="542">
        <v>-8790</v>
      </c>
      <c r="AK200" s="542">
        <v>0</v>
      </c>
      <c r="AL200" s="542">
        <v>-8790</v>
      </c>
      <c r="AM200" s="542">
        <v>-1347455</v>
      </c>
      <c r="AN200" s="542">
        <v>0</v>
      </c>
      <c r="AO200" s="542">
        <v>-1347455</v>
      </c>
      <c r="AP200" s="542">
        <v>93597</v>
      </c>
      <c r="AQ200" s="542">
        <v>0</v>
      </c>
      <c r="AR200" s="542">
        <v>93597</v>
      </c>
      <c r="AS200" s="542">
        <v>0</v>
      </c>
      <c r="AT200" s="542">
        <v>0</v>
      </c>
      <c r="AU200" s="542">
        <v>0</v>
      </c>
      <c r="AV200" s="542">
        <v>0</v>
      </c>
      <c r="AW200" s="542">
        <v>0</v>
      </c>
      <c r="AX200" s="542">
        <v>0</v>
      </c>
      <c r="AY200" s="542">
        <v>0</v>
      </c>
      <c r="AZ200" s="542">
        <v>0</v>
      </c>
      <c r="BA200" s="542">
        <v>0</v>
      </c>
      <c r="BB200" s="542">
        <v>0</v>
      </c>
      <c r="BC200" s="542">
        <v>0</v>
      </c>
      <c r="BD200" s="542">
        <v>0</v>
      </c>
      <c r="BE200" s="542">
        <v>-1997321</v>
      </c>
      <c r="BF200" s="542">
        <v>0</v>
      </c>
      <c r="BG200" s="542">
        <v>-1997321</v>
      </c>
      <c r="BH200" s="542">
        <v>0</v>
      </c>
      <c r="BI200" s="542">
        <v>0</v>
      </c>
      <c r="BJ200" s="542">
        <v>0</v>
      </c>
      <c r="BK200" s="542">
        <v>-5826</v>
      </c>
      <c r="BL200" s="542">
        <v>0</v>
      </c>
      <c r="BM200" s="542">
        <v>-5826</v>
      </c>
      <c r="BN200" s="542">
        <v>-662042</v>
      </c>
      <c r="BO200" s="542">
        <v>0</v>
      </c>
      <c r="BP200" s="542">
        <v>-662042</v>
      </c>
      <c r="BQ200" s="542">
        <v>-70897</v>
      </c>
      <c r="BR200" s="542">
        <v>0</v>
      </c>
      <c r="BS200" s="542">
        <v>-70897</v>
      </c>
      <c r="BT200" s="542">
        <v>-738765</v>
      </c>
      <c r="BU200" s="542">
        <v>0</v>
      </c>
      <c r="BV200" s="542">
        <v>-738765</v>
      </c>
      <c r="BW200" s="542">
        <v>-48701</v>
      </c>
      <c r="BX200" s="542">
        <v>0</v>
      </c>
      <c r="BY200" s="542">
        <v>-48701</v>
      </c>
      <c r="BZ200" s="542">
        <v>341</v>
      </c>
      <c r="CA200" s="542">
        <v>0</v>
      </c>
      <c r="CB200" s="542">
        <v>341</v>
      </c>
      <c r="CC200" s="542">
        <v>-13155</v>
      </c>
      <c r="CD200" s="542">
        <v>0</v>
      </c>
      <c r="CE200" s="542">
        <v>-13155</v>
      </c>
      <c r="CF200" s="542">
        <v>0</v>
      </c>
      <c r="CG200" s="542">
        <v>0</v>
      </c>
      <c r="CH200" s="542">
        <v>0</v>
      </c>
      <c r="CI200" s="542">
        <v>0</v>
      </c>
      <c r="CJ200" s="542">
        <v>0</v>
      </c>
      <c r="CK200" s="542">
        <v>0</v>
      </c>
      <c r="CL200" s="542">
        <v>0</v>
      </c>
      <c r="CM200" s="542">
        <v>0</v>
      </c>
      <c r="CN200" s="542">
        <v>0</v>
      </c>
      <c r="CO200" s="542">
        <v>0</v>
      </c>
      <c r="CP200" s="542">
        <v>0</v>
      </c>
      <c r="CQ200" s="542">
        <v>0</v>
      </c>
      <c r="CR200" s="542">
        <v>0</v>
      </c>
      <c r="CS200" s="542">
        <v>0</v>
      </c>
      <c r="CT200" s="542">
        <v>0</v>
      </c>
      <c r="CU200" s="542">
        <v>0</v>
      </c>
      <c r="CV200" s="542">
        <v>0</v>
      </c>
      <c r="CW200" s="542">
        <v>0</v>
      </c>
      <c r="CX200" s="542">
        <v>0</v>
      </c>
      <c r="CY200" s="542">
        <v>0</v>
      </c>
      <c r="CZ200" s="542">
        <v>0</v>
      </c>
      <c r="DA200" s="542">
        <v>0</v>
      </c>
      <c r="DB200" s="542">
        <v>0</v>
      </c>
      <c r="DC200" s="542">
        <v>0</v>
      </c>
      <c r="DD200" s="542">
        <v>0</v>
      </c>
      <c r="DE200" s="542">
        <v>0</v>
      </c>
      <c r="DF200" s="542">
        <v>0</v>
      </c>
      <c r="DG200" s="542"/>
      <c r="DH200" s="542">
        <v>0</v>
      </c>
      <c r="DI200" s="542"/>
      <c r="DJ200" s="542">
        <v>0</v>
      </c>
      <c r="DK200" s="542"/>
      <c r="DL200" s="542"/>
      <c r="DM200" s="542">
        <v>-61515</v>
      </c>
      <c r="DN200" s="542">
        <v>0</v>
      </c>
      <c r="DO200" s="542">
        <v>-61515</v>
      </c>
      <c r="DP200" s="542">
        <v>0</v>
      </c>
      <c r="DQ200" s="542">
        <v>0</v>
      </c>
      <c r="DR200" s="542">
        <v>0</v>
      </c>
      <c r="DS200" s="542">
        <v>0</v>
      </c>
      <c r="DT200" s="542">
        <v>0</v>
      </c>
      <c r="DU200" s="542">
        <v>0</v>
      </c>
      <c r="DV200" s="542">
        <v>-4602</v>
      </c>
      <c r="DW200" s="542">
        <v>0</v>
      </c>
      <c r="DX200" s="542">
        <v>-4602</v>
      </c>
      <c r="DY200" s="542">
        <v>-153009</v>
      </c>
      <c r="DZ200" s="542">
        <v>0</v>
      </c>
      <c r="EA200" s="542">
        <v>-153009</v>
      </c>
      <c r="EB200" s="542">
        <v>0</v>
      </c>
      <c r="EC200" s="542">
        <v>0</v>
      </c>
      <c r="ED200" s="542">
        <v>0</v>
      </c>
      <c r="EE200" s="542">
        <v>0</v>
      </c>
      <c r="EF200" s="542">
        <v>0</v>
      </c>
      <c r="EG200" s="542">
        <v>0</v>
      </c>
      <c r="EH200" s="542">
        <v>-157611</v>
      </c>
      <c r="EI200" s="542">
        <v>0</v>
      </c>
      <c r="EJ200" s="542">
        <v>-157611</v>
      </c>
      <c r="EK200" s="542">
        <v>0</v>
      </c>
      <c r="EL200" s="542">
        <v>0</v>
      </c>
      <c r="EM200" s="542">
        <v>0</v>
      </c>
      <c r="EN200" s="542">
        <v>0</v>
      </c>
      <c r="EO200" s="542">
        <v>0</v>
      </c>
      <c r="EP200" s="542">
        <v>0</v>
      </c>
      <c r="EQ200" s="542">
        <v>0</v>
      </c>
      <c r="ER200" s="542">
        <v>0</v>
      </c>
      <c r="ES200" s="542">
        <v>0</v>
      </c>
      <c r="ET200" s="542">
        <v>14327559</v>
      </c>
      <c r="EU200" s="542">
        <v>0</v>
      </c>
      <c r="EV200" s="542">
        <v>14327559</v>
      </c>
      <c r="EW200" s="542">
        <v>58300</v>
      </c>
      <c r="EX200" s="542">
        <v>0</v>
      </c>
      <c r="EY200" s="542">
        <v>58300</v>
      </c>
      <c r="EZ200" s="542">
        <v>-1997321</v>
      </c>
      <c r="FA200" s="542">
        <v>0</v>
      </c>
      <c r="FB200" s="542">
        <v>-1997321</v>
      </c>
      <c r="FC200" s="542">
        <v>-738765</v>
      </c>
      <c r="FD200" s="542">
        <v>0</v>
      </c>
      <c r="FE200" s="542">
        <v>-738765</v>
      </c>
      <c r="FF200" s="542">
        <v>-61515</v>
      </c>
      <c r="FG200" s="542">
        <v>0</v>
      </c>
      <c r="FH200" s="542">
        <v>-61515</v>
      </c>
      <c r="FI200" s="542">
        <v>-157611</v>
      </c>
      <c r="FJ200" s="542">
        <v>0</v>
      </c>
      <c r="FK200" s="542">
        <v>-157611</v>
      </c>
      <c r="FL200" s="542">
        <v>0</v>
      </c>
      <c r="FM200" s="542">
        <v>0</v>
      </c>
      <c r="FN200" s="542">
        <v>0</v>
      </c>
      <c r="FO200" s="542">
        <v>-2896912</v>
      </c>
      <c r="FP200" s="542">
        <v>0</v>
      </c>
      <c r="FQ200" s="542">
        <v>-2896912</v>
      </c>
      <c r="FR200" s="542">
        <v>11430647</v>
      </c>
      <c r="FS200" s="542">
        <v>0</v>
      </c>
      <c r="FT200" s="542">
        <v>11430647</v>
      </c>
    </row>
    <row r="201" spans="1:176" ht="12.75" x14ac:dyDescent="0.2">
      <c r="A201" s="93">
        <v>196</v>
      </c>
      <c r="B201" s="145" t="s">
        <v>270</v>
      </c>
      <c r="C201" s="604" t="s">
        <v>873</v>
      </c>
      <c r="D201" s="142" t="s">
        <v>868</v>
      </c>
      <c r="E201" s="149" t="s">
        <v>269</v>
      </c>
      <c r="F201" s="542">
        <v>-38440</v>
      </c>
      <c r="G201" s="542">
        <v>0</v>
      </c>
      <c r="H201" s="542">
        <v>-38440</v>
      </c>
      <c r="I201" s="542">
        <v>121959</v>
      </c>
      <c r="J201" s="542">
        <v>0</v>
      </c>
      <c r="K201" s="542">
        <v>121959</v>
      </c>
      <c r="L201" s="542">
        <v>32481</v>
      </c>
      <c r="M201" s="542">
        <v>0</v>
      </c>
      <c r="N201" s="542">
        <v>32481</v>
      </c>
      <c r="O201" s="542">
        <v>522579</v>
      </c>
      <c r="P201" s="542">
        <v>0</v>
      </c>
      <c r="Q201" s="542">
        <v>522579</v>
      </c>
      <c r="R201" s="542">
        <v>638579</v>
      </c>
      <c r="S201" s="542">
        <v>0</v>
      </c>
      <c r="T201" s="542">
        <v>638579</v>
      </c>
      <c r="U201" s="542">
        <v>-5675550</v>
      </c>
      <c r="V201" s="542">
        <v>0</v>
      </c>
      <c r="W201" s="542">
        <v>-5675550</v>
      </c>
      <c r="X201" s="542">
        <v>0</v>
      </c>
      <c r="Y201" s="542">
        <v>0</v>
      </c>
      <c r="Z201" s="542">
        <v>0</v>
      </c>
      <c r="AA201" s="542">
        <v>-248428</v>
      </c>
      <c r="AB201" s="542">
        <v>0</v>
      </c>
      <c r="AC201" s="542">
        <v>-248428</v>
      </c>
      <c r="AD201" s="542">
        <v>-100920</v>
      </c>
      <c r="AE201" s="542">
        <v>0</v>
      </c>
      <c r="AF201" s="542">
        <v>-100920</v>
      </c>
      <c r="AG201" s="542">
        <v>1405548</v>
      </c>
      <c r="AH201" s="542">
        <v>0</v>
      </c>
      <c r="AI201" s="542">
        <v>1405548</v>
      </c>
      <c r="AJ201" s="542">
        <v>-66365</v>
      </c>
      <c r="AK201" s="542">
        <v>0</v>
      </c>
      <c r="AL201" s="542">
        <v>-66365</v>
      </c>
      <c r="AM201" s="542">
        <v>-5373698</v>
      </c>
      <c r="AN201" s="542">
        <v>0</v>
      </c>
      <c r="AO201" s="542">
        <v>-5373698</v>
      </c>
      <c r="AP201" s="542">
        <v>528510</v>
      </c>
      <c r="AQ201" s="542">
        <v>0</v>
      </c>
      <c r="AR201" s="542">
        <v>528510</v>
      </c>
      <c r="AS201" s="542">
        <v>-87309</v>
      </c>
      <c r="AT201" s="542">
        <v>0</v>
      </c>
      <c r="AU201" s="542">
        <v>-87309</v>
      </c>
      <c r="AV201" s="542">
        <v>1341</v>
      </c>
      <c r="AW201" s="542">
        <v>0</v>
      </c>
      <c r="AX201" s="542">
        <v>1341</v>
      </c>
      <c r="AY201" s="542">
        <v>-11158</v>
      </c>
      <c r="AZ201" s="542">
        <v>0</v>
      </c>
      <c r="BA201" s="542">
        <v>-11158</v>
      </c>
      <c r="BB201" s="542">
        <v>2990</v>
      </c>
      <c r="BC201" s="542">
        <v>0</v>
      </c>
      <c r="BD201" s="542">
        <v>2990</v>
      </c>
      <c r="BE201" s="542">
        <v>-9524119</v>
      </c>
      <c r="BF201" s="542">
        <v>0</v>
      </c>
      <c r="BG201" s="542">
        <v>-9524119</v>
      </c>
      <c r="BH201" s="542">
        <v>-2447</v>
      </c>
      <c r="BI201" s="542">
        <v>0</v>
      </c>
      <c r="BJ201" s="542">
        <v>-2447</v>
      </c>
      <c r="BK201" s="542">
        <v>-18807</v>
      </c>
      <c r="BL201" s="542">
        <v>0</v>
      </c>
      <c r="BM201" s="542">
        <v>-18807</v>
      </c>
      <c r="BN201" s="542">
        <v>-2890718</v>
      </c>
      <c r="BO201" s="542">
        <v>0</v>
      </c>
      <c r="BP201" s="542">
        <v>-2890718</v>
      </c>
      <c r="BQ201" s="542">
        <v>-62386</v>
      </c>
      <c r="BR201" s="542">
        <v>0</v>
      </c>
      <c r="BS201" s="542">
        <v>-62386</v>
      </c>
      <c r="BT201" s="542">
        <v>-2974358</v>
      </c>
      <c r="BU201" s="542">
        <v>0</v>
      </c>
      <c r="BV201" s="542">
        <v>-2974358</v>
      </c>
      <c r="BW201" s="542">
        <v>-319780</v>
      </c>
      <c r="BX201" s="542">
        <v>0</v>
      </c>
      <c r="BY201" s="542">
        <v>-319780</v>
      </c>
      <c r="BZ201" s="542">
        <v>-97892</v>
      </c>
      <c r="CA201" s="542">
        <v>0</v>
      </c>
      <c r="CB201" s="542">
        <v>-97892</v>
      </c>
      <c r="CC201" s="542">
        <v>-78517</v>
      </c>
      <c r="CD201" s="542">
        <v>0</v>
      </c>
      <c r="CE201" s="542">
        <v>-78517</v>
      </c>
      <c r="CF201" s="542">
        <v>0</v>
      </c>
      <c r="CG201" s="542">
        <v>0</v>
      </c>
      <c r="CH201" s="542">
        <v>0</v>
      </c>
      <c r="CI201" s="542">
        <v>-345</v>
      </c>
      <c r="CJ201" s="542">
        <v>0</v>
      </c>
      <c r="CK201" s="542">
        <v>-345</v>
      </c>
      <c r="CL201" s="542">
        <v>0</v>
      </c>
      <c r="CM201" s="542">
        <v>0</v>
      </c>
      <c r="CN201" s="542">
        <v>0</v>
      </c>
      <c r="CO201" s="542">
        <v>-1663</v>
      </c>
      <c r="CP201" s="542">
        <v>0</v>
      </c>
      <c r="CQ201" s="542">
        <v>-1663</v>
      </c>
      <c r="CR201" s="542">
        <v>0</v>
      </c>
      <c r="CS201" s="542">
        <v>0</v>
      </c>
      <c r="CT201" s="542">
        <v>0</v>
      </c>
      <c r="CU201" s="542">
        <v>0</v>
      </c>
      <c r="CV201" s="542">
        <v>0</v>
      </c>
      <c r="CW201" s="542">
        <v>0</v>
      </c>
      <c r="CX201" s="542">
        <v>0</v>
      </c>
      <c r="CY201" s="542">
        <v>0</v>
      </c>
      <c r="CZ201" s="542">
        <v>0</v>
      </c>
      <c r="DA201" s="542">
        <v>0</v>
      </c>
      <c r="DB201" s="542">
        <v>0</v>
      </c>
      <c r="DC201" s="542">
        <v>0</v>
      </c>
      <c r="DD201" s="542">
        <v>0</v>
      </c>
      <c r="DE201" s="542">
        <v>0</v>
      </c>
      <c r="DF201" s="542">
        <v>0</v>
      </c>
      <c r="DG201" s="542"/>
      <c r="DH201" s="542">
        <v>0</v>
      </c>
      <c r="DI201" s="542"/>
      <c r="DJ201" s="542">
        <v>0</v>
      </c>
      <c r="DK201" s="542"/>
      <c r="DL201" s="542"/>
      <c r="DM201" s="542">
        <v>-498197</v>
      </c>
      <c r="DN201" s="542">
        <v>0</v>
      </c>
      <c r="DO201" s="542">
        <v>-498197</v>
      </c>
      <c r="DP201" s="542">
        <v>0</v>
      </c>
      <c r="DQ201" s="542">
        <v>0</v>
      </c>
      <c r="DR201" s="542">
        <v>0</v>
      </c>
      <c r="DS201" s="542">
        <v>0</v>
      </c>
      <c r="DT201" s="542">
        <v>0</v>
      </c>
      <c r="DU201" s="542">
        <v>0</v>
      </c>
      <c r="DV201" s="542">
        <v>-15057</v>
      </c>
      <c r="DW201" s="542">
        <v>0</v>
      </c>
      <c r="DX201" s="542">
        <v>-15057</v>
      </c>
      <c r="DY201" s="542">
        <v>-803255</v>
      </c>
      <c r="DZ201" s="542">
        <v>0</v>
      </c>
      <c r="EA201" s="542">
        <v>-803255</v>
      </c>
      <c r="EB201" s="542">
        <v>0</v>
      </c>
      <c r="EC201" s="542">
        <v>0</v>
      </c>
      <c r="ED201" s="542">
        <v>0</v>
      </c>
      <c r="EE201" s="542">
        <v>0</v>
      </c>
      <c r="EF201" s="542">
        <v>0</v>
      </c>
      <c r="EG201" s="542">
        <v>0</v>
      </c>
      <c r="EH201" s="542">
        <v>-818312</v>
      </c>
      <c r="EI201" s="542">
        <v>0</v>
      </c>
      <c r="EJ201" s="542">
        <v>-818312</v>
      </c>
      <c r="EK201" s="542">
        <v>-35427</v>
      </c>
      <c r="EL201" s="542">
        <v>0</v>
      </c>
      <c r="EM201" s="542">
        <v>-35427</v>
      </c>
      <c r="EN201" s="542">
        <v>-14164</v>
      </c>
      <c r="EO201" s="542">
        <v>0</v>
      </c>
      <c r="EP201" s="542">
        <v>-14164</v>
      </c>
      <c r="EQ201" s="542">
        <v>-49591</v>
      </c>
      <c r="ER201" s="542">
        <v>0</v>
      </c>
      <c r="ES201" s="542">
        <v>-49591</v>
      </c>
      <c r="ET201" s="542">
        <v>69964382</v>
      </c>
      <c r="EU201" s="542">
        <v>0</v>
      </c>
      <c r="EV201" s="542">
        <v>69964382</v>
      </c>
      <c r="EW201" s="542">
        <v>638579</v>
      </c>
      <c r="EX201" s="542">
        <v>0</v>
      </c>
      <c r="EY201" s="542">
        <v>638579</v>
      </c>
      <c r="EZ201" s="542">
        <v>-9524119</v>
      </c>
      <c r="FA201" s="542">
        <v>0</v>
      </c>
      <c r="FB201" s="542">
        <v>-9524119</v>
      </c>
      <c r="FC201" s="542">
        <v>-2974358</v>
      </c>
      <c r="FD201" s="542">
        <v>0</v>
      </c>
      <c r="FE201" s="542">
        <v>-2974358</v>
      </c>
      <c r="FF201" s="542">
        <v>-498197</v>
      </c>
      <c r="FG201" s="542">
        <v>0</v>
      </c>
      <c r="FH201" s="542">
        <v>-498197</v>
      </c>
      <c r="FI201" s="542">
        <v>-818312</v>
      </c>
      <c r="FJ201" s="542">
        <v>0</v>
      </c>
      <c r="FK201" s="542">
        <v>-818312</v>
      </c>
      <c r="FL201" s="542">
        <v>-49591</v>
      </c>
      <c r="FM201" s="542">
        <v>0</v>
      </c>
      <c r="FN201" s="542">
        <v>-49591</v>
      </c>
      <c r="FO201" s="542">
        <v>-13225998</v>
      </c>
      <c r="FP201" s="542">
        <v>0</v>
      </c>
      <c r="FQ201" s="542">
        <v>-13225998</v>
      </c>
      <c r="FR201" s="542">
        <v>56738384</v>
      </c>
      <c r="FS201" s="542">
        <v>0</v>
      </c>
      <c r="FT201" s="542">
        <v>56738384</v>
      </c>
    </row>
    <row r="202" spans="1:176" ht="12.75" x14ac:dyDescent="0.2">
      <c r="A202" s="93">
        <v>197</v>
      </c>
      <c r="B202" s="145" t="s">
        <v>272</v>
      </c>
      <c r="C202" s="604" t="s">
        <v>866</v>
      </c>
      <c r="D202" s="142" t="s">
        <v>867</v>
      </c>
      <c r="E202" s="149" t="s">
        <v>271</v>
      </c>
      <c r="F202" s="542">
        <v>-48648</v>
      </c>
      <c r="G202" s="542">
        <v>0</v>
      </c>
      <c r="H202" s="542">
        <v>-48648</v>
      </c>
      <c r="I202" s="542">
        <v>404172</v>
      </c>
      <c r="J202" s="542">
        <v>0</v>
      </c>
      <c r="K202" s="542">
        <v>404172</v>
      </c>
      <c r="L202" s="542">
        <v>14901</v>
      </c>
      <c r="M202" s="542">
        <v>0</v>
      </c>
      <c r="N202" s="542">
        <v>14901</v>
      </c>
      <c r="O202" s="542">
        <v>903019</v>
      </c>
      <c r="P202" s="542">
        <v>0</v>
      </c>
      <c r="Q202" s="542">
        <v>903019</v>
      </c>
      <c r="R202" s="542">
        <v>1273444</v>
      </c>
      <c r="S202" s="542">
        <v>0</v>
      </c>
      <c r="T202" s="542">
        <v>1273444</v>
      </c>
      <c r="U202" s="542">
        <v>-1162891</v>
      </c>
      <c r="V202" s="542">
        <v>0</v>
      </c>
      <c r="W202" s="542">
        <v>-1162891</v>
      </c>
      <c r="X202" s="542">
        <v>0</v>
      </c>
      <c r="Y202" s="542">
        <v>0</v>
      </c>
      <c r="Z202" s="542">
        <v>0</v>
      </c>
      <c r="AA202" s="542">
        <v>-97323</v>
      </c>
      <c r="AB202" s="542">
        <v>0</v>
      </c>
      <c r="AC202" s="542">
        <v>-97323</v>
      </c>
      <c r="AD202" s="542">
        <v>-44446</v>
      </c>
      <c r="AE202" s="542">
        <v>0</v>
      </c>
      <c r="AF202" s="542">
        <v>-44446</v>
      </c>
      <c r="AG202" s="542">
        <v>2396140</v>
      </c>
      <c r="AH202" s="542">
        <v>0</v>
      </c>
      <c r="AI202" s="542">
        <v>2396140</v>
      </c>
      <c r="AJ202" s="542">
        <v>-87569</v>
      </c>
      <c r="AK202" s="542">
        <v>0</v>
      </c>
      <c r="AL202" s="542">
        <v>-87569</v>
      </c>
      <c r="AM202" s="542">
        <v>-19912042</v>
      </c>
      <c r="AN202" s="542">
        <v>0</v>
      </c>
      <c r="AO202" s="542">
        <v>-19912042</v>
      </c>
      <c r="AP202" s="542">
        <v>1761561</v>
      </c>
      <c r="AQ202" s="542">
        <v>0</v>
      </c>
      <c r="AR202" s="542">
        <v>1761561</v>
      </c>
      <c r="AS202" s="542">
        <v>-33951</v>
      </c>
      <c r="AT202" s="542">
        <v>0</v>
      </c>
      <c r="AU202" s="542">
        <v>-33951</v>
      </c>
      <c r="AV202" s="542">
        <v>0</v>
      </c>
      <c r="AW202" s="542">
        <v>0</v>
      </c>
      <c r="AX202" s="542">
        <v>0</v>
      </c>
      <c r="AY202" s="542">
        <v>0</v>
      </c>
      <c r="AZ202" s="542">
        <v>0</v>
      </c>
      <c r="BA202" s="542">
        <v>0</v>
      </c>
      <c r="BB202" s="542">
        <v>0</v>
      </c>
      <c r="BC202" s="542">
        <v>0</v>
      </c>
      <c r="BD202" s="542">
        <v>0</v>
      </c>
      <c r="BE202" s="542">
        <v>-17136075</v>
      </c>
      <c r="BF202" s="542">
        <v>0</v>
      </c>
      <c r="BG202" s="542">
        <v>-17136075</v>
      </c>
      <c r="BH202" s="542">
        <v>-148562</v>
      </c>
      <c r="BI202" s="542">
        <v>0</v>
      </c>
      <c r="BJ202" s="542">
        <v>-148562</v>
      </c>
      <c r="BK202" s="542">
        <v>-43891</v>
      </c>
      <c r="BL202" s="542">
        <v>0</v>
      </c>
      <c r="BM202" s="542">
        <v>-43891</v>
      </c>
      <c r="BN202" s="542">
        <v>-2154368</v>
      </c>
      <c r="BO202" s="542">
        <v>0</v>
      </c>
      <c r="BP202" s="542">
        <v>-2154368</v>
      </c>
      <c r="BQ202" s="542">
        <v>71883</v>
      </c>
      <c r="BR202" s="542">
        <v>0</v>
      </c>
      <c r="BS202" s="542">
        <v>71883</v>
      </c>
      <c r="BT202" s="542">
        <v>-2274938</v>
      </c>
      <c r="BU202" s="542">
        <v>0</v>
      </c>
      <c r="BV202" s="542">
        <v>-2274938</v>
      </c>
      <c r="BW202" s="542">
        <v>0</v>
      </c>
      <c r="BX202" s="542">
        <v>0</v>
      </c>
      <c r="BY202" s="542">
        <v>0</v>
      </c>
      <c r="BZ202" s="542">
        <v>0</v>
      </c>
      <c r="CA202" s="542">
        <v>0</v>
      </c>
      <c r="CB202" s="542">
        <v>0</v>
      </c>
      <c r="CC202" s="542">
        <v>-55854</v>
      </c>
      <c r="CD202" s="542">
        <v>0</v>
      </c>
      <c r="CE202" s="542">
        <v>-55854</v>
      </c>
      <c r="CF202" s="542">
        <v>0</v>
      </c>
      <c r="CG202" s="542">
        <v>0</v>
      </c>
      <c r="CH202" s="542">
        <v>0</v>
      </c>
      <c r="CI202" s="542">
        <v>0</v>
      </c>
      <c r="CJ202" s="542">
        <v>0</v>
      </c>
      <c r="CK202" s="542">
        <v>0</v>
      </c>
      <c r="CL202" s="542">
        <v>0</v>
      </c>
      <c r="CM202" s="542">
        <v>0</v>
      </c>
      <c r="CN202" s="542">
        <v>0</v>
      </c>
      <c r="CO202" s="542">
        <v>0</v>
      </c>
      <c r="CP202" s="542">
        <v>0</v>
      </c>
      <c r="CQ202" s="542">
        <v>0</v>
      </c>
      <c r="CR202" s="542">
        <v>0</v>
      </c>
      <c r="CS202" s="542">
        <v>0</v>
      </c>
      <c r="CT202" s="542">
        <v>0</v>
      </c>
      <c r="CU202" s="542">
        <v>0</v>
      </c>
      <c r="CV202" s="542">
        <v>0</v>
      </c>
      <c r="CW202" s="542">
        <v>0</v>
      </c>
      <c r="CX202" s="542">
        <v>0</v>
      </c>
      <c r="CY202" s="542">
        <v>0</v>
      </c>
      <c r="CZ202" s="542">
        <v>0</v>
      </c>
      <c r="DA202" s="542">
        <v>0</v>
      </c>
      <c r="DB202" s="542">
        <v>0</v>
      </c>
      <c r="DC202" s="542">
        <v>0</v>
      </c>
      <c r="DD202" s="542">
        <v>0</v>
      </c>
      <c r="DE202" s="542">
        <v>0</v>
      </c>
      <c r="DF202" s="542">
        <v>0</v>
      </c>
      <c r="DG202" s="542"/>
      <c r="DH202" s="542">
        <v>0</v>
      </c>
      <c r="DI202" s="542"/>
      <c r="DJ202" s="542">
        <v>0</v>
      </c>
      <c r="DK202" s="542"/>
      <c r="DL202" s="542"/>
      <c r="DM202" s="542">
        <v>-55854</v>
      </c>
      <c r="DN202" s="542">
        <v>0</v>
      </c>
      <c r="DO202" s="542">
        <v>-55854</v>
      </c>
      <c r="DP202" s="542">
        <v>0</v>
      </c>
      <c r="DQ202" s="542">
        <v>0</v>
      </c>
      <c r="DR202" s="542">
        <v>0</v>
      </c>
      <c r="DS202" s="542">
        <v>0</v>
      </c>
      <c r="DT202" s="542">
        <v>0</v>
      </c>
      <c r="DU202" s="542">
        <v>0</v>
      </c>
      <c r="DV202" s="542">
        <v>-15833</v>
      </c>
      <c r="DW202" s="542">
        <v>0</v>
      </c>
      <c r="DX202" s="542">
        <v>-15833</v>
      </c>
      <c r="DY202" s="542">
        <v>-857130</v>
      </c>
      <c r="DZ202" s="542">
        <v>0</v>
      </c>
      <c r="EA202" s="542">
        <v>-857130</v>
      </c>
      <c r="EB202" s="542">
        <v>-287</v>
      </c>
      <c r="EC202" s="542">
        <v>0</v>
      </c>
      <c r="ED202" s="542">
        <v>-287</v>
      </c>
      <c r="EE202" s="542">
        <v>-11277</v>
      </c>
      <c r="EF202" s="542">
        <v>0</v>
      </c>
      <c r="EG202" s="542">
        <v>-11277</v>
      </c>
      <c r="EH202" s="542">
        <v>-884527</v>
      </c>
      <c r="EI202" s="542">
        <v>0</v>
      </c>
      <c r="EJ202" s="542">
        <v>-884527</v>
      </c>
      <c r="EK202" s="542">
        <v>0</v>
      </c>
      <c r="EL202" s="542">
        <v>0</v>
      </c>
      <c r="EM202" s="542">
        <v>0</v>
      </c>
      <c r="EN202" s="542">
        <v>0</v>
      </c>
      <c r="EO202" s="542">
        <v>0</v>
      </c>
      <c r="EP202" s="542">
        <v>0</v>
      </c>
      <c r="EQ202" s="542">
        <v>0</v>
      </c>
      <c r="ER202" s="542">
        <v>0</v>
      </c>
      <c r="ES202" s="542">
        <v>0</v>
      </c>
      <c r="ET202" s="542">
        <v>104080405</v>
      </c>
      <c r="EU202" s="542">
        <v>0</v>
      </c>
      <c r="EV202" s="542">
        <v>104080405</v>
      </c>
      <c r="EW202" s="542">
        <v>1273444</v>
      </c>
      <c r="EX202" s="542">
        <v>0</v>
      </c>
      <c r="EY202" s="542">
        <v>1273444</v>
      </c>
      <c r="EZ202" s="542">
        <v>-17136075</v>
      </c>
      <c r="FA202" s="542">
        <v>0</v>
      </c>
      <c r="FB202" s="542">
        <v>-17136075</v>
      </c>
      <c r="FC202" s="542">
        <v>-2274938</v>
      </c>
      <c r="FD202" s="542">
        <v>0</v>
      </c>
      <c r="FE202" s="542">
        <v>-2274938</v>
      </c>
      <c r="FF202" s="542">
        <v>-55854</v>
      </c>
      <c r="FG202" s="542">
        <v>0</v>
      </c>
      <c r="FH202" s="542">
        <v>-55854</v>
      </c>
      <c r="FI202" s="542">
        <v>-884527</v>
      </c>
      <c r="FJ202" s="542">
        <v>0</v>
      </c>
      <c r="FK202" s="542">
        <v>-884527</v>
      </c>
      <c r="FL202" s="542">
        <v>0</v>
      </c>
      <c r="FM202" s="542">
        <v>0</v>
      </c>
      <c r="FN202" s="542">
        <v>0</v>
      </c>
      <c r="FO202" s="542">
        <v>-19077950</v>
      </c>
      <c r="FP202" s="542">
        <v>0</v>
      </c>
      <c r="FQ202" s="542">
        <v>-19077950</v>
      </c>
      <c r="FR202" s="542">
        <v>85002455</v>
      </c>
      <c r="FS202" s="542">
        <v>0</v>
      </c>
      <c r="FT202" s="542">
        <v>85002455</v>
      </c>
    </row>
    <row r="203" spans="1:176" ht="12.75" x14ac:dyDescent="0.2">
      <c r="A203" s="93">
        <v>198</v>
      </c>
      <c r="B203" s="145" t="s">
        <v>274</v>
      </c>
      <c r="C203" s="604" t="s">
        <v>866</v>
      </c>
      <c r="D203" s="142" t="s">
        <v>868</v>
      </c>
      <c r="E203" s="149" t="s">
        <v>273</v>
      </c>
      <c r="F203" s="542">
        <v>-41142</v>
      </c>
      <c r="G203" s="542">
        <v>0</v>
      </c>
      <c r="H203" s="542">
        <v>-41142</v>
      </c>
      <c r="I203" s="542">
        <v>11591</v>
      </c>
      <c r="J203" s="542">
        <v>0</v>
      </c>
      <c r="K203" s="542">
        <v>11591</v>
      </c>
      <c r="L203" s="542">
        <v>4928</v>
      </c>
      <c r="M203" s="542">
        <v>0</v>
      </c>
      <c r="N203" s="542">
        <v>4928</v>
      </c>
      <c r="O203" s="542">
        <v>-102124</v>
      </c>
      <c r="P203" s="542">
        <v>0</v>
      </c>
      <c r="Q203" s="542">
        <v>-102124</v>
      </c>
      <c r="R203" s="542">
        <v>-126747</v>
      </c>
      <c r="S203" s="542">
        <v>0</v>
      </c>
      <c r="T203" s="542">
        <v>-126747</v>
      </c>
      <c r="U203" s="542">
        <v>-2720175</v>
      </c>
      <c r="V203" s="542">
        <v>0</v>
      </c>
      <c r="W203" s="542">
        <v>-2720175</v>
      </c>
      <c r="X203" s="542">
        <v>-5711</v>
      </c>
      <c r="Y203" s="542">
        <v>0</v>
      </c>
      <c r="Z203" s="542">
        <v>-5711</v>
      </c>
      <c r="AA203" s="542">
        <v>-156932</v>
      </c>
      <c r="AB203" s="542">
        <v>0</v>
      </c>
      <c r="AC203" s="542">
        <v>-156932</v>
      </c>
      <c r="AD203" s="542">
        <v>-60735</v>
      </c>
      <c r="AE203" s="542">
        <v>0</v>
      </c>
      <c r="AF203" s="542">
        <v>-60735</v>
      </c>
      <c r="AG203" s="542">
        <v>448227</v>
      </c>
      <c r="AH203" s="542">
        <v>0</v>
      </c>
      <c r="AI203" s="542">
        <v>448227</v>
      </c>
      <c r="AJ203" s="542">
        <v>57770</v>
      </c>
      <c r="AK203" s="542">
        <v>0</v>
      </c>
      <c r="AL203" s="542">
        <v>57770</v>
      </c>
      <c r="AM203" s="542">
        <v>-1035368</v>
      </c>
      <c r="AN203" s="542">
        <v>0</v>
      </c>
      <c r="AO203" s="542">
        <v>-1035368</v>
      </c>
      <c r="AP203" s="542">
        <v>-189332</v>
      </c>
      <c r="AQ203" s="542">
        <v>0</v>
      </c>
      <c r="AR203" s="542">
        <v>-189332</v>
      </c>
      <c r="AS203" s="542">
        <v>0</v>
      </c>
      <c r="AT203" s="542">
        <v>0</v>
      </c>
      <c r="AU203" s="542">
        <v>0</v>
      </c>
      <c r="AV203" s="542">
        <v>0</v>
      </c>
      <c r="AW203" s="542">
        <v>0</v>
      </c>
      <c r="AX203" s="542">
        <v>0</v>
      </c>
      <c r="AY203" s="542">
        <v>-787</v>
      </c>
      <c r="AZ203" s="542">
        <v>0</v>
      </c>
      <c r="BA203" s="542">
        <v>-787</v>
      </c>
      <c r="BB203" s="542">
        <v>0</v>
      </c>
      <c r="BC203" s="542">
        <v>0</v>
      </c>
      <c r="BD203" s="542">
        <v>0</v>
      </c>
      <c r="BE203" s="542">
        <v>-3596597</v>
      </c>
      <c r="BF203" s="542">
        <v>0</v>
      </c>
      <c r="BG203" s="542">
        <v>-3596597</v>
      </c>
      <c r="BH203" s="542">
        <v>-535</v>
      </c>
      <c r="BI203" s="542">
        <v>0</v>
      </c>
      <c r="BJ203" s="542">
        <v>-535</v>
      </c>
      <c r="BK203" s="542">
        <v>-1028</v>
      </c>
      <c r="BL203" s="542">
        <v>0</v>
      </c>
      <c r="BM203" s="542">
        <v>-1028</v>
      </c>
      <c r="BN203" s="542">
        <v>-1080584</v>
      </c>
      <c r="BO203" s="542">
        <v>0</v>
      </c>
      <c r="BP203" s="542">
        <v>-1080584</v>
      </c>
      <c r="BQ203" s="542">
        <v>-53580</v>
      </c>
      <c r="BR203" s="542">
        <v>0</v>
      </c>
      <c r="BS203" s="542">
        <v>-53580</v>
      </c>
      <c r="BT203" s="542">
        <v>-1135727</v>
      </c>
      <c r="BU203" s="542">
        <v>0</v>
      </c>
      <c r="BV203" s="542">
        <v>-1135727</v>
      </c>
      <c r="BW203" s="542">
        <v>-121241</v>
      </c>
      <c r="BX203" s="542">
        <v>0</v>
      </c>
      <c r="BY203" s="542">
        <v>-121241</v>
      </c>
      <c r="BZ203" s="542">
        <v>-2230</v>
      </c>
      <c r="CA203" s="542">
        <v>0</v>
      </c>
      <c r="CB203" s="542">
        <v>-2230</v>
      </c>
      <c r="CC203" s="542">
        <v>-116322</v>
      </c>
      <c r="CD203" s="542">
        <v>0</v>
      </c>
      <c r="CE203" s="542">
        <v>-116322</v>
      </c>
      <c r="CF203" s="542">
        <v>-7891</v>
      </c>
      <c r="CG203" s="542">
        <v>0</v>
      </c>
      <c r="CH203" s="542">
        <v>-7891</v>
      </c>
      <c r="CI203" s="542">
        <v>0</v>
      </c>
      <c r="CJ203" s="542">
        <v>0</v>
      </c>
      <c r="CK203" s="542">
        <v>0</v>
      </c>
      <c r="CL203" s="542">
        <v>0</v>
      </c>
      <c r="CM203" s="542">
        <v>0</v>
      </c>
      <c r="CN203" s="542">
        <v>0</v>
      </c>
      <c r="CO203" s="542">
        <v>-787</v>
      </c>
      <c r="CP203" s="542">
        <v>0</v>
      </c>
      <c r="CQ203" s="542">
        <v>-787</v>
      </c>
      <c r="CR203" s="542">
        <v>0</v>
      </c>
      <c r="CS203" s="542">
        <v>0</v>
      </c>
      <c r="CT203" s="542">
        <v>0</v>
      </c>
      <c r="CU203" s="542">
        <v>0</v>
      </c>
      <c r="CV203" s="542">
        <v>0</v>
      </c>
      <c r="CW203" s="542">
        <v>0</v>
      </c>
      <c r="CX203" s="542">
        <v>0</v>
      </c>
      <c r="CY203" s="542">
        <v>0</v>
      </c>
      <c r="CZ203" s="542">
        <v>0</v>
      </c>
      <c r="DA203" s="542">
        <v>-2244</v>
      </c>
      <c r="DB203" s="542">
        <v>0</v>
      </c>
      <c r="DC203" s="542">
        <v>-2244</v>
      </c>
      <c r="DD203" s="542">
        <v>0</v>
      </c>
      <c r="DE203" s="542">
        <v>0</v>
      </c>
      <c r="DF203" s="542">
        <v>0</v>
      </c>
      <c r="DG203" s="542"/>
      <c r="DH203" s="542">
        <v>0</v>
      </c>
      <c r="DI203" s="542"/>
      <c r="DJ203" s="542">
        <v>0</v>
      </c>
      <c r="DK203" s="542"/>
      <c r="DL203" s="542"/>
      <c r="DM203" s="542">
        <v>-250715</v>
      </c>
      <c r="DN203" s="542">
        <v>0</v>
      </c>
      <c r="DO203" s="542">
        <v>-250715</v>
      </c>
      <c r="DP203" s="542">
        <v>0</v>
      </c>
      <c r="DQ203" s="542">
        <v>0</v>
      </c>
      <c r="DR203" s="542">
        <v>0</v>
      </c>
      <c r="DS203" s="542">
        <v>0</v>
      </c>
      <c r="DT203" s="542">
        <v>0</v>
      </c>
      <c r="DU203" s="542">
        <v>0</v>
      </c>
      <c r="DV203" s="542">
        <v>-4249</v>
      </c>
      <c r="DW203" s="542">
        <v>0</v>
      </c>
      <c r="DX203" s="542">
        <v>-4249</v>
      </c>
      <c r="DY203" s="542">
        <v>-253955</v>
      </c>
      <c r="DZ203" s="542">
        <v>0</v>
      </c>
      <c r="EA203" s="542">
        <v>-253955</v>
      </c>
      <c r="EB203" s="542">
        <v>0</v>
      </c>
      <c r="EC203" s="542">
        <v>0</v>
      </c>
      <c r="ED203" s="542">
        <v>0</v>
      </c>
      <c r="EE203" s="542">
        <v>0</v>
      </c>
      <c r="EF203" s="542">
        <v>0</v>
      </c>
      <c r="EG203" s="542">
        <v>0</v>
      </c>
      <c r="EH203" s="542">
        <v>-258204</v>
      </c>
      <c r="EI203" s="542">
        <v>0</v>
      </c>
      <c r="EJ203" s="542">
        <v>-258204</v>
      </c>
      <c r="EK203" s="542">
        <v>0</v>
      </c>
      <c r="EL203" s="542">
        <v>0</v>
      </c>
      <c r="EM203" s="542">
        <v>0</v>
      </c>
      <c r="EN203" s="542">
        <v>0</v>
      </c>
      <c r="EO203" s="542">
        <v>0</v>
      </c>
      <c r="EP203" s="542">
        <v>0</v>
      </c>
      <c r="EQ203" s="542">
        <v>0</v>
      </c>
      <c r="ER203" s="542">
        <v>0</v>
      </c>
      <c r="ES203" s="542">
        <v>0</v>
      </c>
      <c r="ET203" s="542">
        <v>24745530</v>
      </c>
      <c r="EU203" s="542">
        <v>0</v>
      </c>
      <c r="EV203" s="542">
        <v>24745530</v>
      </c>
      <c r="EW203" s="542">
        <v>-126747</v>
      </c>
      <c r="EX203" s="542">
        <v>0</v>
      </c>
      <c r="EY203" s="542">
        <v>-126747</v>
      </c>
      <c r="EZ203" s="542">
        <v>-3596597</v>
      </c>
      <c r="FA203" s="542">
        <v>0</v>
      </c>
      <c r="FB203" s="542">
        <v>-3596597</v>
      </c>
      <c r="FC203" s="542">
        <v>-1135727</v>
      </c>
      <c r="FD203" s="542">
        <v>0</v>
      </c>
      <c r="FE203" s="542">
        <v>-1135727</v>
      </c>
      <c r="FF203" s="542">
        <v>-250715</v>
      </c>
      <c r="FG203" s="542">
        <v>0</v>
      </c>
      <c r="FH203" s="542">
        <v>-250715</v>
      </c>
      <c r="FI203" s="542">
        <v>-258204</v>
      </c>
      <c r="FJ203" s="542">
        <v>0</v>
      </c>
      <c r="FK203" s="542">
        <v>-258204</v>
      </c>
      <c r="FL203" s="542">
        <v>0</v>
      </c>
      <c r="FM203" s="542">
        <v>0</v>
      </c>
      <c r="FN203" s="542">
        <v>0</v>
      </c>
      <c r="FO203" s="542">
        <v>-5367990</v>
      </c>
      <c r="FP203" s="542">
        <v>0</v>
      </c>
      <c r="FQ203" s="542">
        <v>-5367990</v>
      </c>
      <c r="FR203" s="542">
        <v>19377540</v>
      </c>
      <c r="FS203" s="542">
        <v>0</v>
      </c>
      <c r="FT203" s="542">
        <v>19377540</v>
      </c>
    </row>
    <row r="204" spans="1:176" ht="12.75" x14ac:dyDescent="0.2">
      <c r="A204" s="93">
        <v>199</v>
      </c>
      <c r="B204" s="145" t="s">
        <v>276</v>
      </c>
      <c r="C204" s="604" t="s">
        <v>770</v>
      </c>
      <c r="D204" s="142" t="s">
        <v>870</v>
      </c>
      <c r="E204" s="149" t="s">
        <v>715</v>
      </c>
      <c r="F204" s="542">
        <v>-1553257</v>
      </c>
      <c r="G204" s="542">
        <v>0</v>
      </c>
      <c r="H204" s="542">
        <v>-1553257</v>
      </c>
      <c r="I204" s="542">
        <v>317278</v>
      </c>
      <c r="J204" s="542">
        <v>0</v>
      </c>
      <c r="K204" s="542">
        <v>317278</v>
      </c>
      <c r="L204" s="542">
        <v>16466</v>
      </c>
      <c r="M204" s="542">
        <v>0</v>
      </c>
      <c r="N204" s="542">
        <v>16466</v>
      </c>
      <c r="O204" s="542">
        <v>942270</v>
      </c>
      <c r="P204" s="542">
        <v>0</v>
      </c>
      <c r="Q204" s="542">
        <v>942270</v>
      </c>
      <c r="R204" s="542">
        <v>-277243</v>
      </c>
      <c r="S204" s="542">
        <v>0</v>
      </c>
      <c r="T204" s="542">
        <v>-277243</v>
      </c>
      <c r="U204" s="542">
        <v>-3044769</v>
      </c>
      <c r="V204" s="542">
        <v>0</v>
      </c>
      <c r="W204" s="542">
        <v>-3044769</v>
      </c>
      <c r="X204" s="542">
        <v>-166</v>
      </c>
      <c r="Y204" s="542">
        <v>0</v>
      </c>
      <c r="Z204" s="542">
        <v>-166</v>
      </c>
      <c r="AA204" s="542">
        <v>-142770</v>
      </c>
      <c r="AB204" s="542">
        <v>0</v>
      </c>
      <c r="AC204" s="542">
        <v>-142770</v>
      </c>
      <c r="AD204" s="542">
        <v>-67761</v>
      </c>
      <c r="AE204" s="542">
        <v>0</v>
      </c>
      <c r="AF204" s="542">
        <v>-67761</v>
      </c>
      <c r="AG204" s="542">
        <v>2295116</v>
      </c>
      <c r="AH204" s="542">
        <v>0</v>
      </c>
      <c r="AI204" s="542">
        <v>2295116</v>
      </c>
      <c r="AJ204" s="542">
        <v>-34731</v>
      </c>
      <c r="AK204" s="542">
        <v>0</v>
      </c>
      <c r="AL204" s="542">
        <v>-34731</v>
      </c>
      <c r="AM204" s="542">
        <v>-5885630</v>
      </c>
      <c r="AN204" s="542">
        <v>0</v>
      </c>
      <c r="AO204" s="542">
        <v>-5885630</v>
      </c>
      <c r="AP204" s="542">
        <v>-249341</v>
      </c>
      <c r="AQ204" s="542">
        <v>0</v>
      </c>
      <c r="AR204" s="542">
        <v>-249341</v>
      </c>
      <c r="AS204" s="542">
        <v>-55941</v>
      </c>
      <c r="AT204" s="542">
        <v>0</v>
      </c>
      <c r="AU204" s="542">
        <v>-55941</v>
      </c>
      <c r="AV204" s="542">
        <v>0</v>
      </c>
      <c r="AW204" s="542">
        <v>0</v>
      </c>
      <c r="AX204" s="542">
        <v>0</v>
      </c>
      <c r="AY204" s="542">
        <v>-15757</v>
      </c>
      <c r="AZ204" s="542">
        <v>0</v>
      </c>
      <c r="BA204" s="542">
        <v>-15757</v>
      </c>
      <c r="BB204" s="542">
        <v>3514</v>
      </c>
      <c r="BC204" s="542">
        <v>0</v>
      </c>
      <c r="BD204" s="542">
        <v>3514</v>
      </c>
      <c r="BE204" s="542">
        <v>-7130309</v>
      </c>
      <c r="BF204" s="542">
        <v>0</v>
      </c>
      <c r="BG204" s="542">
        <v>-7130309</v>
      </c>
      <c r="BH204" s="542">
        <v>-14815</v>
      </c>
      <c r="BI204" s="542">
        <v>0</v>
      </c>
      <c r="BJ204" s="542">
        <v>-14815</v>
      </c>
      <c r="BK204" s="542">
        <v>-46312</v>
      </c>
      <c r="BL204" s="542">
        <v>0</v>
      </c>
      <c r="BM204" s="542">
        <v>-46312</v>
      </c>
      <c r="BN204" s="542">
        <v>-3330818</v>
      </c>
      <c r="BO204" s="542">
        <v>0</v>
      </c>
      <c r="BP204" s="542">
        <v>-3330818</v>
      </c>
      <c r="BQ204" s="542">
        <v>-25866</v>
      </c>
      <c r="BR204" s="542">
        <v>0</v>
      </c>
      <c r="BS204" s="542">
        <v>-25866</v>
      </c>
      <c r="BT204" s="542">
        <v>-3417811</v>
      </c>
      <c r="BU204" s="542">
        <v>0</v>
      </c>
      <c r="BV204" s="542">
        <v>-3417811</v>
      </c>
      <c r="BW204" s="542">
        <v>-291385</v>
      </c>
      <c r="BX204" s="542">
        <v>0</v>
      </c>
      <c r="BY204" s="542">
        <v>-291385</v>
      </c>
      <c r="BZ204" s="542">
        <v>-18261</v>
      </c>
      <c r="CA204" s="542">
        <v>0</v>
      </c>
      <c r="CB204" s="542">
        <v>-18261</v>
      </c>
      <c r="CC204" s="542">
        <v>-67836</v>
      </c>
      <c r="CD204" s="542">
        <v>0</v>
      </c>
      <c r="CE204" s="542">
        <v>-67836</v>
      </c>
      <c r="CF204" s="542">
        <v>-8111</v>
      </c>
      <c r="CG204" s="542">
        <v>0</v>
      </c>
      <c r="CH204" s="542">
        <v>-8111</v>
      </c>
      <c r="CI204" s="542">
        <v>-2791</v>
      </c>
      <c r="CJ204" s="542">
        <v>0</v>
      </c>
      <c r="CK204" s="542">
        <v>-2791</v>
      </c>
      <c r="CL204" s="542">
        <v>0</v>
      </c>
      <c r="CM204" s="542">
        <v>0</v>
      </c>
      <c r="CN204" s="542">
        <v>0</v>
      </c>
      <c r="CO204" s="542">
        <v>-6435</v>
      </c>
      <c r="CP204" s="542">
        <v>0</v>
      </c>
      <c r="CQ204" s="542">
        <v>-6435</v>
      </c>
      <c r="CR204" s="542">
        <v>0</v>
      </c>
      <c r="CS204" s="542">
        <v>0</v>
      </c>
      <c r="CT204" s="542">
        <v>0</v>
      </c>
      <c r="CU204" s="542">
        <v>-940</v>
      </c>
      <c r="CV204" s="542">
        <v>0</v>
      </c>
      <c r="CW204" s="542">
        <v>-940</v>
      </c>
      <c r="CX204" s="542">
        <v>0</v>
      </c>
      <c r="CY204" s="542">
        <v>0</v>
      </c>
      <c r="CZ204" s="542">
        <v>0</v>
      </c>
      <c r="DA204" s="542">
        <v>0</v>
      </c>
      <c r="DB204" s="542">
        <v>0</v>
      </c>
      <c r="DC204" s="542">
        <v>0</v>
      </c>
      <c r="DD204" s="542">
        <v>0</v>
      </c>
      <c r="DE204" s="542">
        <v>0</v>
      </c>
      <c r="DF204" s="542">
        <v>0</v>
      </c>
      <c r="DG204" s="542"/>
      <c r="DH204" s="542">
        <v>0</v>
      </c>
      <c r="DI204" s="542"/>
      <c r="DJ204" s="542">
        <v>0</v>
      </c>
      <c r="DK204" s="542"/>
      <c r="DL204" s="542"/>
      <c r="DM204" s="542">
        <v>-395759</v>
      </c>
      <c r="DN204" s="542">
        <v>0</v>
      </c>
      <c r="DO204" s="542">
        <v>-395759</v>
      </c>
      <c r="DP204" s="542">
        <v>0</v>
      </c>
      <c r="DQ204" s="542">
        <v>0</v>
      </c>
      <c r="DR204" s="542">
        <v>0</v>
      </c>
      <c r="DS204" s="542">
        <v>0</v>
      </c>
      <c r="DT204" s="542">
        <v>0</v>
      </c>
      <c r="DU204" s="542">
        <v>0</v>
      </c>
      <c r="DV204" s="542">
        <v>-18066</v>
      </c>
      <c r="DW204" s="542">
        <v>0</v>
      </c>
      <c r="DX204" s="542">
        <v>-18066</v>
      </c>
      <c r="DY204" s="542">
        <v>-649780</v>
      </c>
      <c r="DZ204" s="542">
        <v>0</v>
      </c>
      <c r="EA204" s="542">
        <v>-649780</v>
      </c>
      <c r="EB204" s="542">
        <v>0</v>
      </c>
      <c r="EC204" s="542">
        <v>0</v>
      </c>
      <c r="ED204" s="542">
        <v>0</v>
      </c>
      <c r="EE204" s="542">
        <v>0</v>
      </c>
      <c r="EF204" s="542">
        <v>0</v>
      </c>
      <c r="EG204" s="542">
        <v>0</v>
      </c>
      <c r="EH204" s="542">
        <v>-667846</v>
      </c>
      <c r="EI204" s="542">
        <v>0</v>
      </c>
      <c r="EJ204" s="542">
        <v>-667846</v>
      </c>
      <c r="EK204" s="542">
        <v>0</v>
      </c>
      <c r="EL204" s="542">
        <v>0</v>
      </c>
      <c r="EM204" s="542">
        <v>0</v>
      </c>
      <c r="EN204" s="542">
        <v>0</v>
      </c>
      <c r="EO204" s="542">
        <v>0</v>
      </c>
      <c r="EP204" s="542">
        <v>0</v>
      </c>
      <c r="EQ204" s="542">
        <v>0</v>
      </c>
      <c r="ER204" s="542">
        <v>0</v>
      </c>
      <c r="ES204" s="542">
        <v>0</v>
      </c>
      <c r="ET204" s="542">
        <v>106715899</v>
      </c>
      <c r="EU204" s="542">
        <v>0</v>
      </c>
      <c r="EV204" s="542">
        <v>106715899</v>
      </c>
      <c r="EW204" s="542">
        <v>-277243</v>
      </c>
      <c r="EX204" s="542">
        <v>0</v>
      </c>
      <c r="EY204" s="542">
        <v>-277243</v>
      </c>
      <c r="EZ204" s="542">
        <v>-7130309</v>
      </c>
      <c r="FA204" s="542">
        <v>0</v>
      </c>
      <c r="FB204" s="542">
        <v>-7130309</v>
      </c>
      <c r="FC204" s="542">
        <v>-3417811</v>
      </c>
      <c r="FD204" s="542">
        <v>0</v>
      </c>
      <c r="FE204" s="542">
        <v>-3417811</v>
      </c>
      <c r="FF204" s="542">
        <v>-395759</v>
      </c>
      <c r="FG204" s="542">
        <v>0</v>
      </c>
      <c r="FH204" s="542">
        <v>-395759</v>
      </c>
      <c r="FI204" s="542">
        <v>-667846</v>
      </c>
      <c r="FJ204" s="542">
        <v>0</v>
      </c>
      <c r="FK204" s="542">
        <v>-667846</v>
      </c>
      <c r="FL204" s="542">
        <v>0</v>
      </c>
      <c r="FM204" s="542">
        <v>0</v>
      </c>
      <c r="FN204" s="542">
        <v>0</v>
      </c>
      <c r="FO204" s="542">
        <v>-11888968</v>
      </c>
      <c r="FP204" s="542">
        <v>0</v>
      </c>
      <c r="FQ204" s="542">
        <v>-11888968</v>
      </c>
      <c r="FR204" s="542">
        <v>94826931</v>
      </c>
      <c r="FS204" s="542">
        <v>0</v>
      </c>
      <c r="FT204" s="542">
        <v>94826931</v>
      </c>
    </row>
    <row r="205" spans="1:176" ht="12.75" x14ac:dyDescent="0.2">
      <c r="A205" s="93">
        <v>200</v>
      </c>
      <c r="B205" s="145" t="s">
        <v>278</v>
      </c>
      <c r="C205" s="604" t="s">
        <v>770</v>
      </c>
      <c r="D205" s="142" t="s">
        <v>875</v>
      </c>
      <c r="E205" s="149" t="s">
        <v>716</v>
      </c>
      <c r="F205" s="542">
        <v>-58782</v>
      </c>
      <c r="G205" s="542">
        <v>0</v>
      </c>
      <c r="H205" s="542">
        <v>-58782</v>
      </c>
      <c r="I205" s="542">
        <v>344410</v>
      </c>
      <c r="J205" s="542">
        <v>0</v>
      </c>
      <c r="K205" s="542">
        <v>344410</v>
      </c>
      <c r="L205" s="542">
        <v>153100</v>
      </c>
      <c r="M205" s="542">
        <v>0</v>
      </c>
      <c r="N205" s="542">
        <v>153100</v>
      </c>
      <c r="O205" s="542">
        <v>128974</v>
      </c>
      <c r="P205" s="542">
        <v>0</v>
      </c>
      <c r="Q205" s="542">
        <v>128974</v>
      </c>
      <c r="R205" s="542">
        <v>567702</v>
      </c>
      <c r="S205" s="542">
        <v>0</v>
      </c>
      <c r="T205" s="542">
        <v>567702</v>
      </c>
      <c r="U205" s="542">
        <v>-4339725</v>
      </c>
      <c r="V205" s="542">
        <v>0</v>
      </c>
      <c r="W205" s="542">
        <v>-4339725</v>
      </c>
      <c r="X205" s="542">
        <v>-5913</v>
      </c>
      <c r="Y205" s="542">
        <v>0</v>
      </c>
      <c r="Z205" s="542">
        <v>-5913</v>
      </c>
      <c r="AA205" s="542">
        <v>-154943</v>
      </c>
      <c r="AB205" s="542">
        <v>0</v>
      </c>
      <c r="AC205" s="542">
        <v>-154943</v>
      </c>
      <c r="AD205" s="542">
        <v>0</v>
      </c>
      <c r="AE205" s="542">
        <v>0</v>
      </c>
      <c r="AF205" s="542">
        <v>0</v>
      </c>
      <c r="AG205" s="542">
        <v>2164535</v>
      </c>
      <c r="AH205" s="542">
        <v>0</v>
      </c>
      <c r="AI205" s="542">
        <v>2164535</v>
      </c>
      <c r="AJ205" s="542">
        <v>-14421</v>
      </c>
      <c r="AK205" s="542">
        <v>0</v>
      </c>
      <c r="AL205" s="542">
        <v>-14421</v>
      </c>
      <c r="AM205" s="542">
        <v>-9336451</v>
      </c>
      <c r="AN205" s="542">
        <v>0</v>
      </c>
      <c r="AO205" s="542">
        <v>-9336451</v>
      </c>
      <c r="AP205" s="542">
        <v>215930</v>
      </c>
      <c r="AQ205" s="542">
        <v>0</v>
      </c>
      <c r="AR205" s="542">
        <v>215930</v>
      </c>
      <c r="AS205" s="542">
        <v>-14537</v>
      </c>
      <c r="AT205" s="542">
        <v>0</v>
      </c>
      <c r="AU205" s="542">
        <v>-14537</v>
      </c>
      <c r="AV205" s="542">
        <v>0</v>
      </c>
      <c r="AW205" s="542">
        <v>0</v>
      </c>
      <c r="AX205" s="542">
        <v>0</v>
      </c>
      <c r="AY205" s="542">
        <v>0</v>
      </c>
      <c r="AZ205" s="542">
        <v>0</v>
      </c>
      <c r="BA205" s="542">
        <v>0</v>
      </c>
      <c r="BB205" s="542">
        <v>0</v>
      </c>
      <c r="BC205" s="542">
        <v>0</v>
      </c>
      <c r="BD205" s="542">
        <v>0</v>
      </c>
      <c r="BE205" s="542">
        <v>-11479612</v>
      </c>
      <c r="BF205" s="542">
        <v>0</v>
      </c>
      <c r="BG205" s="542">
        <v>-11479612</v>
      </c>
      <c r="BH205" s="542">
        <v>-74281</v>
      </c>
      <c r="BI205" s="542">
        <v>0</v>
      </c>
      <c r="BJ205" s="542">
        <v>-74281</v>
      </c>
      <c r="BK205" s="542">
        <v>-3067</v>
      </c>
      <c r="BL205" s="542">
        <v>0</v>
      </c>
      <c r="BM205" s="542">
        <v>-3067</v>
      </c>
      <c r="BN205" s="542">
        <v>-2157595</v>
      </c>
      <c r="BO205" s="542">
        <v>0</v>
      </c>
      <c r="BP205" s="542">
        <v>-2157595</v>
      </c>
      <c r="BQ205" s="542">
        <v>-22431</v>
      </c>
      <c r="BR205" s="542">
        <v>0</v>
      </c>
      <c r="BS205" s="542">
        <v>-22431</v>
      </c>
      <c r="BT205" s="542">
        <v>-2257374</v>
      </c>
      <c r="BU205" s="542">
        <v>0</v>
      </c>
      <c r="BV205" s="542">
        <v>-2257374</v>
      </c>
      <c r="BW205" s="542">
        <v>-122376</v>
      </c>
      <c r="BX205" s="542">
        <v>0</v>
      </c>
      <c r="BY205" s="542">
        <v>-122376</v>
      </c>
      <c r="BZ205" s="542">
        <v>-18339</v>
      </c>
      <c r="CA205" s="542">
        <v>0</v>
      </c>
      <c r="CB205" s="542">
        <v>-18339</v>
      </c>
      <c r="CC205" s="542">
        <v>-161301</v>
      </c>
      <c r="CD205" s="542">
        <v>0</v>
      </c>
      <c r="CE205" s="542">
        <v>-161301</v>
      </c>
      <c r="CF205" s="542">
        <v>8036</v>
      </c>
      <c r="CG205" s="542">
        <v>0</v>
      </c>
      <c r="CH205" s="542">
        <v>8036</v>
      </c>
      <c r="CI205" s="542">
        <v>0</v>
      </c>
      <c r="CJ205" s="542">
        <v>0</v>
      </c>
      <c r="CK205" s="542">
        <v>0</v>
      </c>
      <c r="CL205" s="542">
        <v>0</v>
      </c>
      <c r="CM205" s="542">
        <v>0</v>
      </c>
      <c r="CN205" s="542">
        <v>0</v>
      </c>
      <c r="CO205" s="542">
        <v>0</v>
      </c>
      <c r="CP205" s="542">
        <v>0</v>
      </c>
      <c r="CQ205" s="542">
        <v>0</v>
      </c>
      <c r="CR205" s="542">
        <v>0</v>
      </c>
      <c r="CS205" s="542">
        <v>0</v>
      </c>
      <c r="CT205" s="542">
        <v>0</v>
      </c>
      <c r="CU205" s="542">
        <v>0</v>
      </c>
      <c r="CV205" s="542">
        <v>0</v>
      </c>
      <c r="CW205" s="542">
        <v>0</v>
      </c>
      <c r="CX205" s="542">
        <v>0</v>
      </c>
      <c r="CY205" s="542">
        <v>0</v>
      </c>
      <c r="CZ205" s="542">
        <v>0</v>
      </c>
      <c r="DA205" s="542">
        <v>-60196</v>
      </c>
      <c r="DB205" s="542">
        <v>0</v>
      </c>
      <c r="DC205" s="542">
        <v>-60196</v>
      </c>
      <c r="DD205" s="542">
        <v>2915</v>
      </c>
      <c r="DE205" s="542">
        <v>0</v>
      </c>
      <c r="DF205" s="542">
        <v>2915</v>
      </c>
      <c r="DG205" s="542"/>
      <c r="DH205" s="542">
        <v>0</v>
      </c>
      <c r="DI205" s="542"/>
      <c r="DJ205" s="542">
        <v>0</v>
      </c>
      <c r="DK205" s="542"/>
      <c r="DL205" s="542"/>
      <c r="DM205" s="542">
        <v>-351261</v>
      </c>
      <c r="DN205" s="542">
        <v>0</v>
      </c>
      <c r="DO205" s="542">
        <v>-351261</v>
      </c>
      <c r="DP205" s="542">
        <v>-12504</v>
      </c>
      <c r="DQ205" s="542">
        <v>0</v>
      </c>
      <c r="DR205" s="542">
        <v>-12504</v>
      </c>
      <c r="DS205" s="542">
        <v>0</v>
      </c>
      <c r="DT205" s="542">
        <v>0</v>
      </c>
      <c r="DU205" s="542">
        <v>0</v>
      </c>
      <c r="DV205" s="542">
        <v>-28910</v>
      </c>
      <c r="DW205" s="542">
        <v>0</v>
      </c>
      <c r="DX205" s="542">
        <v>-28910</v>
      </c>
      <c r="DY205" s="542">
        <v>-875452</v>
      </c>
      <c r="DZ205" s="542">
        <v>0</v>
      </c>
      <c r="EA205" s="542">
        <v>-875452</v>
      </c>
      <c r="EB205" s="542">
        <v>-2915</v>
      </c>
      <c r="EC205" s="542">
        <v>0</v>
      </c>
      <c r="ED205" s="542">
        <v>-2915</v>
      </c>
      <c r="EE205" s="542">
        <v>988</v>
      </c>
      <c r="EF205" s="542">
        <v>0</v>
      </c>
      <c r="EG205" s="542">
        <v>988</v>
      </c>
      <c r="EH205" s="542">
        <v>-918793</v>
      </c>
      <c r="EI205" s="542">
        <v>0</v>
      </c>
      <c r="EJ205" s="542">
        <v>-918793</v>
      </c>
      <c r="EK205" s="542">
        <v>-2296</v>
      </c>
      <c r="EL205" s="542">
        <v>0</v>
      </c>
      <c r="EM205" s="542">
        <v>-2296</v>
      </c>
      <c r="EN205" s="542">
        <v>2302</v>
      </c>
      <c r="EO205" s="542">
        <v>0</v>
      </c>
      <c r="EP205" s="542">
        <v>2302</v>
      </c>
      <c r="EQ205" s="542">
        <v>6</v>
      </c>
      <c r="ER205" s="542">
        <v>0</v>
      </c>
      <c r="ES205" s="542">
        <v>6</v>
      </c>
      <c r="ET205" s="542">
        <v>105206814</v>
      </c>
      <c r="EU205" s="542">
        <v>0</v>
      </c>
      <c r="EV205" s="542">
        <v>105206814</v>
      </c>
      <c r="EW205" s="542">
        <v>567702</v>
      </c>
      <c r="EX205" s="542">
        <v>0</v>
      </c>
      <c r="EY205" s="542">
        <v>567702</v>
      </c>
      <c r="EZ205" s="542">
        <v>-11479612</v>
      </c>
      <c r="FA205" s="542">
        <v>0</v>
      </c>
      <c r="FB205" s="542">
        <v>-11479612</v>
      </c>
      <c r="FC205" s="542">
        <v>-2257374</v>
      </c>
      <c r="FD205" s="542">
        <v>0</v>
      </c>
      <c r="FE205" s="542">
        <v>-2257374</v>
      </c>
      <c r="FF205" s="542">
        <v>-351261</v>
      </c>
      <c r="FG205" s="542">
        <v>0</v>
      </c>
      <c r="FH205" s="542">
        <v>-351261</v>
      </c>
      <c r="FI205" s="542">
        <v>-918793</v>
      </c>
      <c r="FJ205" s="542">
        <v>0</v>
      </c>
      <c r="FK205" s="542">
        <v>-918793</v>
      </c>
      <c r="FL205" s="542">
        <v>6</v>
      </c>
      <c r="FM205" s="542">
        <v>0</v>
      </c>
      <c r="FN205" s="542">
        <v>6</v>
      </c>
      <c r="FO205" s="542">
        <v>-14439332</v>
      </c>
      <c r="FP205" s="542">
        <v>0</v>
      </c>
      <c r="FQ205" s="542">
        <v>-14439332</v>
      </c>
      <c r="FR205" s="542">
        <v>90767482</v>
      </c>
      <c r="FS205" s="542">
        <v>0</v>
      </c>
      <c r="FT205" s="542">
        <v>90767482</v>
      </c>
    </row>
    <row r="206" spans="1:176" ht="12.75" x14ac:dyDescent="0.2">
      <c r="A206" s="93">
        <v>201</v>
      </c>
      <c r="B206" s="145" t="s">
        <v>280</v>
      </c>
      <c r="C206" s="604" t="s">
        <v>770</v>
      </c>
      <c r="D206" s="142" t="s">
        <v>875</v>
      </c>
      <c r="E206" s="149" t="s">
        <v>717</v>
      </c>
      <c r="F206" s="542">
        <v>-19853</v>
      </c>
      <c r="G206" s="542">
        <v>0</v>
      </c>
      <c r="H206" s="542">
        <v>-19853</v>
      </c>
      <c r="I206" s="542">
        <v>80955</v>
      </c>
      <c r="J206" s="542">
        <v>0</v>
      </c>
      <c r="K206" s="542">
        <v>80955</v>
      </c>
      <c r="L206" s="542">
        <v>14627</v>
      </c>
      <c r="M206" s="542">
        <v>0</v>
      </c>
      <c r="N206" s="542">
        <v>14627</v>
      </c>
      <c r="O206" s="542">
        <v>559610</v>
      </c>
      <c r="P206" s="542">
        <v>0</v>
      </c>
      <c r="Q206" s="542">
        <v>559610</v>
      </c>
      <c r="R206" s="542">
        <v>635339</v>
      </c>
      <c r="S206" s="542">
        <v>0</v>
      </c>
      <c r="T206" s="542">
        <v>635339</v>
      </c>
      <c r="U206" s="542">
        <v>-2983119</v>
      </c>
      <c r="V206" s="542">
        <v>0</v>
      </c>
      <c r="W206" s="542">
        <v>-2983119</v>
      </c>
      <c r="X206" s="542">
        <v>0</v>
      </c>
      <c r="Y206" s="542">
        <v>0</v>
      </c>
      <c r="Z206" s="542">
        <v>0</v>
      </c>
      <c r="AA206" s="542">
        <v>-103926</v>
      </c>
      <c r="AB206" s="542">
        <v>0</v>
      </c>
      <c r="AC206" s="542">
        <v>-103926</v>
      </c>
      <c r="AD206" s="542">
        <v>0</v>
      </c>
      <c r="AE206" s="542">
        <v>0</v>
      </c>
      <c r="AF206" s="542">
        <v>0</v>
      </c>
      <c r="AG206" s="542">
        <v>1457136</v>
      </c>
      <c r="AH206" s="542">
        <v>0</v>
      </c>
      <c r="AI206" s="542">
        <v>1457136</v>
      </c>
      <c r="AJ206" s="542">
        <v>-44036</v>
      </c>
      <c r="AK206" s="542">
        <v>0</v>
      </c>
      <c r="AL206" s="542">
        <v>-44036</v>
      </c>
      <c r="AM206" s="542">
        <v>-4697602</v>
      </c>
      <c r="AN206" s="542">
        <v>0</v>
      </c>
      <c r="AO206" s="542">
        <v>-4697602</v>
      </c>
      <c r="AP206" s="542">
        <v>80990</v>
      </c>
      <c r="AQ206" s="542">
        <v>0</v>
      </c>
      <c r="AR206" s="542">
        <v>80990</v>
      </c>
      <c r="AS206" s="542">
        <v>-36208</v>
      </c>
      <c r="AT206" s="542">
        <v>0</v>
      </c>
      <c r="AU206" s="542">
        <v>-36208</v>
      </c>
      <c r="AV206" s="542">
        <v>0</v>
      </c>
      <c r="AW206" s="542">
        <v>0</v>
      </c>
      <c r="AX206" s="542">
        <v>0</v>
      </c>
      <c r="AY206" s="542">
        <v>0</v>
      </c>
      <c r="AZ206" s="542">
        <v>0</v>
      </c>
      <c r="BA206" s="542">
        <v>0</v>
      </c>
      <c r="BB206" s="542">
        <v>0</v>
      </c>
      <c r="BC206" s="542">
        <v>0</v>
      </c>
      <c r="BD206" s="542">
        <v>0</v>
      </c>
      <c r="BE206" s="542">
        <v>-6326765</v>
      </c>
      <c r="BF206" s="542">
        <v>0</v>
      </c>
      <c r="BG206" s="542">
        <v>-6326765</v>
      </c>
      <c r="BH206" s="542">
        <v>-79364</v>
      </c>
      <c r="BI206" s="542">
        <v>0</v>
      </c>
      <c r="BJ206" s="542">
        <v>-79364</v>
      </c>
      <c r="BK206" s="542">
        <v>-10289</v>
      </c>
      <c r="BL206" s="542">
        <v>0</v>
      </c>
      <c r="BM206" s="542">
        <v>-10289</v>
      </c>
      <c r="BN206" s="542">
        <v>-1615560</v>
      </c>
      <c r="BO206" s="542">
        <v>0</v>
      </c>
      <c r="BP206" s="542">
        <v>-1615560</v>
      </c>
      <c r="BQ206" s="542">
        <v>-168375</v>
      </c>
      <c r="BR206" s="542">
        <v>0</v>
      </c>
      <c r="BS206" s="542">
        <v>-168375</v>
      </c>
      <c r="BT206" s="542">
        <v>-1873588</v>
      </c>
      <c r="BU206" s="542">
        <v>0</v>
      </c>
      <c r="BV206" s="542">
        <v>-1873588</v>
      </c>
      <c r="BW206" s="542">
        <v>-268512</v>
      </c>
      <c r="BX206" s="542">
        <v>0</v>
      </c>
      <c r="BY206" s="542">
        <v>-268512</v>
      </c>
      <c r="BZ206" s="542">
        <v>5156</v>
      </c>
      <c r="CA206" s="542">
        <v>0</v>
      </c>
      <c r="CB206" s="542">
        <v>5156</v>
      </c>
      <c r="CC206" s="542">
        <v>-42359</v>
      </c>
      <c r="CD206" s="542">
        <v>0</v>
      </c>
      <c r="CE206" s="542">
        <v>-42359</v>
      </c>
      <c r="CF206" s="542">
        <v>-1438</v>
      </c>
      <c r="CG206" s="542">
        <v>0</v>
      </c>
      <c r="CH206" s="542">
        <v>-1438</v>
      </c>
      <c r="CI206" s="542">
        <v>-2747</v>
      </c>
      <c r="CJ206" s="542">
        <v>0</v>
      </c>
      <c r="CK206" s="542">
        <v>-2747</v>
      </c>
      <c r="CL206" s="542">
        <v>0</v>
      </c>
      <c r="CM206" s="542">
        <v>0</v>
      </c>
      <c r="CN206" s="542">
        <v>0</v>
      </c>
      <c r="CO206" s="542">
        <v>0</v>
      </c>
      <c r="CP206" s="542">
        <v>0</v>
      </c>
      <c r="CQ206" s="542">
        <v>0</v>
      </c>
      <c r="CR206" s="542">
        <v>0</v>
      </c>
      <c r="CS206" s="542">
        <v>0</v>
      </c>
      <c r="CT206" s="542">
        <v>0</v>
      </c>
      <c r="CU206" s="542">
        <v>0</v>
      </c>
      <c r="CV206" s="542">
        <v>0</v>
      </c>
      <c r="CW206" s="542">
        <v>0</v>
      </c>
      <c r="CX206" s="542">
        <v>0</v>
      </c>
      <c r="CY206" s="542">
        <v>0</v>
      </c>
      <c r="CZ206" s="542">
        <v>0</v>
      </c>
      <c r="DA206" s="542">
        <v>0</v>
      </c>
      <c r="DB206" s="542">
        <v>0</v>
      </c>
      <c r="DC206" s="542">
        <v>0</v>
      </c>
      <c r="DD206" s="542">
        <v>0</v>
      </c>
      <c r="DE206" s="542">
        <v>0</v>
      </c>
      <c r="DF206" s="542">
        <v>0</v>
      </c>
      <c r="DG206" s="542"/>
      <c r="DH206" s="542">
        <v>0</v>
      </c>
      <c r="DI206" s="542"/>
      <c r="DJ206" s="542">
        <v>0</v>
      </c>
      <c r="DK206" s="542"/>
      <c r="DL206" s="542"/>
      <c r="DM206" s="542">
        <v>-309900</v>
      </c>
      <c r="DN206" s="542">
        <v>0</v>
      </c>
      <c r="DO206" s="542">
        <v>-309900</v>
      </c>
      <c r="DP206" s="542">
        <v>0</v>
      </c>
      <c r="DQ206" s="542">
        <v>0</v>
      </c>
      <c r="DR206" s="542">
        <v>0</v>
      </c>
      <c r="DS206" s="542">
        <v>0</v>
      </c>
      <c r="DT206" s="542">
        <v>0</v>
      </c>
      <c r="DU206" s="542">
        <v>0</v>
      </c>
      <c r="DV206" s="542">
        <v>-13651</v>
      </c>
      <c r="DW206" s="542">
        <v>0</v>
      </c>
      <c r="DX206" s="542">
        <v>-13651</v>
      </c>
      <c r="DY206" s="542">
        <v>-696737</v>
      </c>
      <c r="DZ206" s="542">
        <v>0</v>
      </c>
      <c r="EA206" s="542">
        <v>-696737</v>
      </c>
      <c r="EB206" s="542">
        <v>-9966</v>
      </c>
      <c r="EC206" s="542">
        <v>0</v>
      </c>
      <c r="ED206" s="542">
        <v>-9966</v>
      </c>
      <c r="EE206" s="542">
        <v>-57854</v>
      </c>
      <c r="EF206" s="542">
        <v>0</v>
      </c>
      <c r="EG206" s="542">
        <v>-57854</v>
      </c>
      <c r="EH206" s="542">
        <v>-778208</v>
      </c>
      <c r="EI206" s="542">
        <v>0</v>
      </c>
      <c r="EJ206" s="542">
        <v>-778208</v>
      </c>
      <c r="EK206" s="542">
        <v>0</v>
      </c>
      <c r="EL206" s="542">
        <v>0</v>
      </c>
      <c r="EM206" s="542">
        <v>0</v>
      </c>
      <c r="EN206" s="542">
        <v>0</v>
      </c>
      <c r="EO206" s="542">
        <v>0</v>
      </c>
      <c r="EP206" s="542">
        <v>0</v>
      </c>
      <c r="EQ206" s="542">
        <v>0</v>
      </c>
      <c r="ER206" s="542">
        <v>0</v>
      </c>
      <c r="ES206" s="542">
        <v>0</v>
      </c>
      <c r="ET206" s="542">
        <v>69270113</v>
      </c>
      <c r="EU206" s="542">
        <v>0</v>
      </c>
      <c r="EV206" s="542">
        <v>69270113</v>
      </c>
      <c r="EW206" s="542">
        <v>635339</v>
      </c>
      <c r="EX206" s="542">
        <v>0</v>
      </c>
      <c r="EY206" s="542">
        <v>635339</v>
      </c>
      <c r="EZ206" s="542">
        <v>-6326765</v>
      </c>
      <c r="FA206" s="542">
        <v>0</v>
      </c>
      <c r="FB206" s="542">
        <v>-6326765</v>
      </c>
      <c r="FC206" s="542">
        <v>-1873588</v>
      </c>
      <c r="FD206" s="542">
        <v>0</v>
      </c>
      <c r="FE206" s="542">
        <v>-1873588</v>
      </c>
      <c r="FF206" s="542">
        <v>-309900</v>
      </c>
      <c r="FG206" s="542">
        <v>0</v>
      </c>
      <c r="FH206" s="542">
        <v>-309900</v>
      </c>
      <c r="FI206" s="542">
        <v>-778208</v>
      </c>
      <c r="FJ206" s="542">
        <v>0</v>
      </c>
      <c r="FK206" s="542">
        <v>-778208</v>
      </c>
      <c r="FL206" s="542">
        <v>0</v>
      </c>
      <c r="FM206" s="542">
        <v>0</v>
      </c>
      <c r="FN206" s="542">
        <v>0</v>
      </c>
      <c r="FO206" s="542">
        <v>-8653122</v>
      </c>
      <c r="FP206" s="542">
        <v>0</v>
      </c>
      <c r="FQ206" s="542">
        <v>-8653122</v>
      </c>
      <c r="FR206" s="542">
        <v>60616991</v>
      </c>
      <c r="FS206" s="542">
        <v>0</v>
      </c>
      <c r="FT206" s="542">
        <v>60616991</v>
      </c>
    </row>
    <row r="207" spans="1:176" ht="12.75" x14ac:dyDescent="0.2">
      <c r="A207" s="93">
        <v>202</v>
      </c>
      <c r="B207" s="145" t="s">
        <v>282</v>
      </c>
      <c r="C207" s="604" t="s">
        <v>770</v>
      </c>
      <c r="D207" s="142" t="s">
        <v>867</v>
      </c>
      <c r="E207" s="149" t="s">
        <v>718</v>
      </c>
      <c r="F207" s="542">
        <v>-337409</v>
      </c>
      <c r="G207" s="542">
        <v>0</v>
      </c>
      <c r="H207" s="542">
        <v>-337409</v>
      </c>
      <c r="I207" s="542">
        <v>0</v>
      </c>
      <c r="J207" s="542">
        <v>0</v>
      </c>
      <c r="K207" s="542">
        <v>0</v>
      </c>
      <c r="L207" s="542">
        <v>798355</v>
      </c>
      <c r="M207" s="542">
        <v>0</v>
      </c>
      <c r="N207" s="542">
        <v>798355</v>
      </c>
      <c r="O207" s="542">
        <v>1330415</v>
      </c>
      <c r="P207" s="542">
        <v>0</v>
      </c>
      <c r="Q207" s="542">
        <v>1330415</v>
      </c>
      <c r="R207" s="542">
        <v>1791361</v>
      </c>
      <c r="S207" s="542">
        <v>0</v>
      </c>
      <c r="T207" s="542">
        <v>1791361</v>
      </c>
      <c r="U207" s="542">
        <v>-3506609</v>
      </c>
      <c r="V207" s="542">
        <v>0</v>
      </c>
      <c r="W207" s="542">
        <v>-3506609</v>
      </c>
      <c r="X207" s="542">
        <v>-11451</v>
      </c>
      <c r="Y207" s="542">
        <v>0</v>
      </c>
      <c r="Z207" s="542">
        <v>-11451</v>
      </c>
      <c r="AA207" s="542">
        <v>-150146</v>
      </c>
      <c r="AB207" s="542">
        <v>0</v>
      </c>
      <c r="AC207" s="542">
        <v>-150146</v>
      </c>
      <c r="AD207" s="542">
        <v>-64399</v>
      </c>
      <c r="AE207" s="542">
        <v>0</v>
      </c>
      <c r="AF207" s="542">
        <v>-64399</v>
      </c>
      <c r="AG207" s="542">
        <v>1951073</v>
      </c>
      <c r="AH207" s="542">
        <v>0</v>
      </c>
      <c r="AI207" s="542">
        <v>1951073</v>
      </c>
      <c r="AJ207" s="542">
        <v>0</v>
      </c>
      <c r="AK207" s="542">
        <v>0</v>
      </c>
      <c r="AL207" s="542">
        <v>0</v>
      </c>
      <c r="AM207" s="542">
        <v>-6162229</v>
      </c>
      <c r="AN207" s="542">
        <v>0</v>
      </c>
      <c r="AO207" s="542">
        <v>-6162229</v>
      </c>
      <c r="AP207" s="542">
        <v>477864</v>
      </c>
      <c r="AQ207" s="542">
        <v>0</v>
      </c>
      <c r="AR207" s="542">
        <v>477864</v>
      </c>
      <c r="AS207" s="542">
        <v>-33352</v>
      </c>
      <c r="AT207" s="542">
        <v>0</v>
      </c>
      <c r="AU207" s="542">
        <v>-33352</v>
      </c>
      <c r="AV207" s="542">
        <v>0</v>
      </c>
      <c r="AW207" s="542">
        <v>0</v>
      </c>
      <c r="AX207" s="542">
        <v>0</v>
      </c>
      <c r="AY207" s="542">
        <v>0</v>
      </c>
      <c r="AZ207" s="542">
        <v>0</v>
      </c>
      <c r="BA207" s="542">
        <v>0</v>
      </c>
      <c r="BB207" s="542">
        <v>0</v>
      </c>
      <c r="BC207" s="542">
        <v>0</v>
      </c>
      <c r="BD207" s="542">
        <v>0</v>
      </c>
      <c r="BE207" s="542">
        <v>-7423399</v>
      </c>
      <c r="BF207" s="542">
        <v>0</v>
      </c>
      <c r="BG207" s="542">
        <v>-7423399</v>
      </c>
      <c r="BH207" s="542">
        <v>-72983</v>
      </c>
      <c r="BI207" s="542">
        <v>0</v>
      </c>
      <c r="BJ207" s="542">
        <v>-72983</v>
      </c>
      <c r="BK207" s="542">
        <v>-26353</v>
      </c>
      <c r="BL207" s="542">
        <v>0</v>
      </c>
      <c r="BM207" s="542">
        <v>-26353</v>
      </c>
      <c r="BN207" s="542">
        <v>-2247683</v>
      </c>
      <c r="BO207" s="542">
        <v>0</v>
      </c>
      <c r="BP207" s="542">
        <v>-2247683</v>
      </c>
      <c r="BQ207" s="542">
        <v>27640</v>
      </c>
      <c r="BR207" s="542">
        <v>0</v>
      </c>
      <c r="BS207" s="542">
        <v>27640</v>
      </c>
      <c r="BT207" s="542">
        <v>-2319379</v>
      </c>
      <c r="BU207" s="542">
        <v>0</v>
      </c>
      <c r="BV207" s="542">
        <v>-2319379</v>
      </c>
      <c r="BW207" s="542">
        <v>-237851</v>
      </c>
      <c r="BX207" s="542">
        <v>0</v>
      </c>
      <c r="BY207" s="542">
        <v>-237851</v>
      </c>
      <c r="BZ207" s="542">
        <v>-16374</v>
      </c>
      <c r="CA207" s="542">
        <v>0</v>
      </c>
      <c r="CB207" s="542">
        <v>-16374</v>
      </c>
      <c r="CC207" s="542">
        <v>-1943</v>
      </c>
      <c r="CD207" s="542">
        <v>0</v>
      </c>
      <c r="CE207" s="542">
        <v>-1943</v>
      </c>
      <c r="CF207" s="542">
        <v>0</v>
      </c>
      <c r="CG207" s="542">
        <v>0</v>
      </c>
      <c r="CH207" s="542">
        <v>0</v>
      </c>
      <c r="CI207" s="542">
        <v>0</v>
      </c>
      <c r="CJ207" s="542">
        <v>0</v>
      </c>
      <c r="CK207" s="542">
        <v>0</v>
      </c>
      <c r="CL207" s="542">
        <v>0</v>
      </c>
      <c r="CM207" s="542">
        <v>0</v>
      </c>
      <c r="CN207" s="542">
        <v>0</v>
      </c>
      <c r="CO207" s="542">
        <v>0</v>
      </c>
      <c r="CP207" s="542">
        <v>0</v>
      </c>
      <c r="CQ207" s="542">
        <v>0</v>
      </c>
      <c r="CR207" s="542">
        <v>0</v>
      </c>
      <c r="CS207" s="542">
        <v>0</v>
      </c>
      <c r="CT207" s="542">
        <v>0</v>
      </c>
      <c r="CU207" s="542">
        <v>0</v>
      </c>
      <c r="CV207" s="542">
        <v>0</v>
      </c>
      <c r="CW207" s="542">
        <v>0</v>
      </c>
      <c r="CX207" s="542">
        <v>0</v>
      </c>
      <c r="CY207" s="542">
        <v>0</v>
      </c>
      <c r="CZ207" s="542">
        <v>0</v>
      </c>
      <c r="DA207" s="542">
        <v>0</v>
      </c>
      <c r="DB207" s="542">
        <v>0</v>
      </c>
      <c r="DC207" s="542">
        <v>0</v>
      </c>
      <c r="DD207" s="542">
        <v>0</v>
      </c>
      <c r="DE207" s="542">
        <v>0</v>
      </c>
      <c r="DF207" s="542">
        <v>0</v>
      </c>
      <c r="DG207" s="542"/>
      <c r="DH207" s="542">
        <v>0</v>
      </c>
      <c r="DI207" s="542"/>
      <c r="DJ207" s="542">
        <v>0</v>
      </c>
      <c r="DK207" s="542"/>
      <c r="DL207" s="542"/>
      <c r="DM207" s="542">
        <v>-256168</v>
      </c>
      <c r="DN207" s="542">
        <v>0</v>
      </c>
      <c r="DO207" s="542">
        <v>-256168</v>
      </c>
      <c r="DP207" s="542">
        <v>0</v>
      </c>
      <c r="DQ207" s="542">
        <v>0</v>
      </c>
      <c r="DR207" s="542">
        <v>0</v>
      </c>
      <c r="DS207" s="542">
        <v>0</v>
      </c>
      <c r="DT207" s="542">
        <v>0</v>
      </c>
      <c r="DU207" s="542">
        <v>0</v>
      </c>
      <c r="DV207" s="542">
        <v>-12461</v>
      </c>
      <c r="DW207" s="542">
        <v>0</v>
      </c>
      <c r="DX207" s="542">
        <v>-12461</v>
      </c>
      <c r="DY207" s="542">
        <v>-791321</v>
      </c>
      <c r="DZ207" s="542">
        <v>0</v>
      </c>
      <c r="EA207" s="542">
        <v>-791321</v>
      </c>
      <c r="EB207" s="542">
        <v>0</v>
      </c>
      <c r="EC207" s="542">
        <v>0</v>
      </c>
      <c r="ED207" s="542">
        <v>0</v>
      </c>
      <c r="EE207" s="542">
        <v>0</v>
      </c>
      <c r="EF207" s="542">
        <v>0</v>
      </c>
      <c r="EG207" s="542">
        <v>0</v>
      </c>
      <c r="EH207" s="542">
        <v>-803782</v>
      </c>
      <c r="EI207" s="542">
        <v>0</v>
      </c>
      <c r="EJ207" s="542">
        <v>-803782</v>
      </c>
      <c r="EK207" s="542">
        <v>0</v>
      </c>
      <c r="EL207" s="542">
        <v>0</v>
      </c>
      <c r="EM207" s="542">
        <v>0</v>
      </c>
      <c r="EN207" s="542">
        <v>0</v>
      </c>
      <c r="EO207" s="542">
        <v>0</v>
      </c>
      <c r="EP207" s="542">
        <v>0</v>
      </c>
      <c r="EQ207" s="542">
        <v>0</v>
      </c>
      <c r="ER207" s="542">
        <v>0</v>
      </c>
      <c r="ES207" s="542">
        <v>0</v>
      </c>
      <c r="ET207" s="542">
        <v>90739280</v>
      </c>
      <c r="EU207" s="542">
        <v>0</v>
      </c>
      <c r="EV207" s="542">
        <v>90739280</v>
      </c>
      <c r="EW207" s="542">
        <v>1791361</v>
      </c>
      <c r="EX207" s="542">
        <v>0</v>
      </c>
      <c r="EY207" s="542">
        <v>1791361</v>
      </c>
      <c r="EZ207" s="542">
        <v>-7423399</v>
      </c>
      <c r="FA207" s="542">
        <v>0</v>
      </c>
      <c r="FB207" s="542">
        <v>-7423399</v>
      </c>
      <c r="FC207" s="542">
        <v>-2319379</v>
      </c>
      <c r="FD207" s="542">
        <v>0</v>
      </c>
      <c r="FE207" s="542">
        <v>-2319379</v>
      </c>
      <c r="FF207" s="542">
        <v>-256168</v>
      </c>
      <c r="FG207" s="542">
        <v>0</v>
      </c>
      <c r="FH207" s="542">
        <v>-256168</v>
      </c>
      <c r="FI207" s="542">
        <v>-803782</v>
      </c>
      <c r="FJ207" s="542">
        <v>0</v>
      </c>
      <c r="FK207" s="542">
        <v>-803782</v>
      </c>
      <c r="FL207" s="542">
        <v>0</v>
      </c>
      <c r="FM207" s="542">
        <v>0</v>
      </c>
      <c r="FN207" s="542">
        <v>0</v>
      </c>
      <c r="FO207" s="542">
        <v>-9011367</v>
      </c>
      <c r="FP207" s="542">
        <v>0</v>
      </c>
      <c r="FQ207" s="542">
        <v>-9011367</v>
      </c>
      <c r="FR207" s="542">
        <v>81727913</v>
      </c>
      <c r="FS207" s="542">
        <v>0</v>
      </c>
      <c r="FT207" s="542">
        <v>81727913</v>
      </c>
    </row>
    <row r="208" spans="1:176" ht="12.75" x14ac:dyDescent="0.2">
      <c r="A208" s="93">
        <v>203</v>
      </c>
      <c r="B208" s="145" t="s">
        <v>284</v>
      </c>
      <c r="C208" s="604" t="s">
        <v>866</v>
      </c>
      <c r="D208" s="142" t="s">
        <v>868</v>
      </c>
      <c r="E208" s="149" t="s">
        <v>283</v>
      </c>
      <c r="F208" s="542">
        <v>-172929</v>
      </c>
      <c r="G208" s="542">
        <v>0</v>
      </c>
      <c r="H208" s="542">
        <v>-172929</v>
      </c>
      <c r="I208" s="542">
        <v>211253</v>
      </c>
      <c r="J208" s="542">
        <v>0</v>
      </c>
      <c r="K208" s="542">
        <v>211253</v>
      </c>
      <c r="L208" s="542">
        <v>15829</v>
      </c>
      <c r="M208" s="542">
        <v>0</v>
      </c>
      <c r="N208" s="542">
        <v>15829</v>
      </c>
      <c r="O208" s="542">
        <v>606456</v>
      </c>
      <c r="P208" s="542">
        <v>0</v>
      </c>
      <c r="Q208" s="542">
        <v>606456</v>
      </c>
      <c r="R208" s="542">
        <v>660609</v>
      </c>
      <c r="S208" s="542">
        <v>0</v>
      </c>
      <c r="T208" s="542">
        <v>660609</v>
      </c>
      <c r="U208" s="542">
        <v>-3372138</v>
      </c>
      <c r="V208" s="542">
        <v>0</v>
      </c>
      <c r="W208" s="542">
        <v>-3372138</v>
      </c>
      <c r="X208" s="542">
        <v>-3199</v>
      </c>
      <c r="Y208" s="542">
        <v>0</v>
      </c>
      <c r="Z208" s="542">
        <v>-3199</v>
      </c>
      <c r="AA208" s="542">
        <v>-87969</v>
      </c>
      <c r="AB208" s="542">
        <v>0</v>
      </c>
      <c r="AC208" s="542">
        <v>-87969</v>
      </c>
      <c r="AD208" s="542">
        <v>-56982</v>
      </c>
      <c r="AE208" s="542">
        <v>0</v>
      </c>
      <c r="AF208" s="542">
        <v>-56982</v>
      </c>
      <c r="AG208" s="542">
        <v>1639101</v>
      </c>
      <c r="AH208" s="542">
        <v>0</v>
      </c>
      <c r="AI208" s="542">
        <v>1639101</v>
      </c>
      <c r="AJ208" s="542">
        <v>-37132</v>
      </c>
      <c r="AK208" s="542">
        <v>0</v>
      </c>
      <c r="AL208" s="542">
        <v>-37132</v>
      </c>
      <c r="AM208" s="542">
        <v>-4744387</v>
      </c>
      <c r="AN208" s="542">
        <v>0</v>
      </c>
      <c r="AO208" s="542">
        <v>-4744387</v>
      </c>
      <c r="AP208" s="542">
        <v>-166056</v>
      </c>
      <c r="AQ208" s="542">
        <v>0</v>
      </c>
      <c r="AR208" s="542">
        <v>-166056</v>
      </c>
      <c r="AS208" s="542">
        <v>-95102</v>
      </c>
      <c r="AT208" s="542">
        <v>0</v>
      </c>
      <c r="AU208" s="542">
        <v>-95102</v>
      </c>
      <c r="AV208" s="542">
        <v>0</v>
      </c>
      <c r="AW208" s="542">
        <v>0</v>
      </c>
      <c r="AX208" s="542">
        <v>0</v>
      </c>
      <c r="AY208" s="542">
        <v>-1735</v>
      </c>
      <c r="AZ208" s="542">
        <v>0</v>
      </c>
      <c r="BA208" s="542">
        <v>-1735</v>
      </c>
      <c r="BB208" s="542">
        <v>838</v>
      </c>
      <c r="BC208" s="542">
        <v>0</v>
      </c>
      <c r="BD208" s="542">
        <v>838</v>
      </c>
      <c r="BE208" s="542">
        <v>-6864580</v>
      </c>
      <c r="BF208" s="542">
        <v>0</v>
      </c>
      <c r="BG208" s="542">
        <v>-6864580</v>
      </c>
      <c r="BH208" s="542">
        <v>-1076</v>
      </c>
      <c r="BI208" s="542">
        <v>0</v>
      </c>
      <c r="BJ208" s="542">
        <v>-1076</v>
      </c>
      <c r="BK208" s="542">
        <v>-26145</v>
      </c>
      <c r="BL208" s="542">
        <v>0</v>
      </c>
      <c r="BM208" s="542">
        <v>-26145</v>
      </c>
      <c r="BN208" s="542">
        <v>-3080350</v>
      </c>
      <c r="BO208" s="542">
        <v>0</v>
      </c>
      <c r="BP208" s="542">
        <v>-3080350</v>
      </c>
      <c r="BQ208" s="542">
        <v>42598</v>
      </c>
      <c r="BR208" s="542">
        <v>0</v>
      </c>
      <c r="BS208" s="542">
        <v>42598</v>
      </c>
      <c r="BT208" s="542">
        <v>-3064973</v>
      </c>
      <c r="BU208" s="542">
        <v>0</v>
      </c>
      <c r="BV208" s="542">
        <v>-3064973</v>
      </c>
      <c r="BW208" s="542">
        <v>-54100</v>
      </c>
      <c r="BX208" s="542">
        <v>0</v>
      </c>
      <c r="BY208" s="542">
        <v>-54100</v>
      </c>
      <c r="BZ208" s="542">
        <v>-5637</v>
      </c>
      <c r="CA208" s="542">
        <v>0</v>
      </c>
      <c r="CB208" s="542">
        <v>-5637</v>
      </c>
      <c r="CC208" s="542">
        <v>-19491</v>
      </c>
      <c r="CD208" s="542">
        <v>0</v>
      </c>
      <c r="CE208" s="542">
        <v>-19491</v>
      </c>
      <c r="CF208" s="542">
        <v>0</v>
      </c>
      <c r="CG208" s="542">
        <v>0</v>
      </c>
      <c r="CH208" s="542">
        <v>0</v>
      </c>
      <c r="CI208" s="542">
        <v>-5433</v>
      </c>
      <c r="CJ208" s="542">
        <v>0</v>
      </c>
      <c r="CK208" s="542">
        <v>-5433</v>
      </c>
      <c r="CL208" s="542">
        <v>0</v>
      </c>
      <c r="CM208" s="542">
        <v>0</v>
      </c>
      <c r="CN208" s="542">
        <v>0</v>
      </c>
      <c r="CO208" s="542">
        <v>-1735</v>
      </c>
      <c r="CP208" s="542">
        <v>0</v>
      </c>
      <c r="CQ208" s="542">
        <v>-1735</v>
      </c>
      <c r="CR208" s="542">
        <v>838</v>
      </c>
      <c r="CS208" s="542">
        <v>0</v>
      </c>
      <c r="CT208" s="542">
        <v>838</v>
      </c>
      <c r="CU208" s="542">
        <v>0</v>
      </c>
      <c r="CV208" s="542">
        <v>0</v>
      </c>
      <c r="CW208" s="542">
        <v>0</v>
      </c>
      <c r="CX208" s="542">
        <v>0</v>
      </c>
      <c r="CY208" s="542">
        <v>0</v>
      </c>
      <c r="CZ208" s="542">
        <v>0</v>
      </c>
      <c r="DA208" s="542">
        <v>0</v>
      </c>
      <c r="DB208" s="542">
        <v>0</v>
      </c>
      <c r="DC208" s="542">
        <v>0</v>
      </c>
      <c r="DD208" s="542">
        <v>0</v>
      </c>
      <c r="DE208" s="542">
        <v>0</v>
      </c>
      <c r="DF208" s="542">
        <v>0</v>
      </c>
      <c r="DG208" s="542"/>
      <c r="DH208" s="542">
        <v>0</v>
      </c>
      <c r="DI208" s="542"/>
      <c r="DJ208" s="542">
        <v>0</v>
      </c>
      <c r="DK208" s="542"/>
      <c r="DL208" s="542"/>
      <c r="DM208" s="542">
        <v>-85558</v>
      </c>
      <c r="DN208" s="542">
        <v>0</v>
      </c>
      <c r="DO208" s="542">
        <v>-85558</v>
      </c>
      <c r="DP208" s="542">
        <v>0</v>
      </c>
      <c r="DQ208" s="542">
        <v>0</v>
      </c>
      <c r="DR208" s="542">
        <v>0</v>
      </c>
      <c r="DS208" s="542">
        <v>0</v>
      </c>
      <c r="DT208" s="542">
        <v>0</v>
      </c>
      <c r="DU208" s="542">
        <v>0</v>
      </c>
      <c r="DV208" s="542">
        <v>-168748</v>
      </c>
      <c r="DW208" s="542">
        <v>0</v>
      </c>
      <c r="DX208" s="542">
        <v>-168748</v>
      </c>
      <c r="DY208" s="542">
        <v>-703396</v>
      </c>
      <c r="DZ208" s="542">
        <v>0</v>
      </c>
      <c r="EA208" s="542">
        <v>-703396</v>
      </c>
      <c r="EB208" s="542">
        <v>0</v>
      </c>
      <c r="EC208" s="542">
        <v>0</v>
      </c>
      <c r="ED208" s="542">
        <v>0</v>
      </c>
      <c r="EE208" s="542">
        <v>0</v>
      </c>
      <c r="EF208" s="542">
        <v>0</v>
      </c>
      <c r="EG208" s="542">
        <v>0</v>
      </c>
      <c r="EH208" s="542">
        <v>-872144</v>
      </c>
      <c r="EI208" s="542">
        <v>0</v>
      </c>
      <c r="EJ208" s="542">
        <v>-872144</v>
      </c>
      <c r="EK208" s="542">
        <v>0</v>
      </c>
      <c r="EL208" s="542">
        <v>0</v>
      </c>
      <c r="EM208" s="542">
        <v>0</v>
      </c>
      <c r="EN208" s="542">
        <v>-9736</v>
      </c>
      <c r="EO208" s="542">
        <v>0</v>
      </c>
      <c r="EP208" s="542">
        <v>-9736</v>
      </c>
      <c r="EQ208" s="542">
        <v>-9736</v>
      </c>
      <c r="ER208" s="542">
        <v>0</v>
      </c>
      <c r="ES208" s="542">
        <v>-9736</v>
      </c>
      <c r="ET208" s="542">
        <v>77700141</v>
      </c>
      <c r="EU208" s="542">
        <v>0</v>
      </c>
      <c r="EV208" s="542">
        <v>77700141</v>
      </c>
      <c r="EW208" s="542">
        <v>660609</v>
      </c>
      <c r="EX208" s="542">
        <v>0</v>
      </c>
      <c r="EY208" s="542">
        <v>660609</v>
      </c>
      <c r="EZ208" s="542">
        <v>-6864580</v>
      </c>
      <c r="FA208" s="542">
        <v>0</v>
      </c>
      <c r="FB208" s="542">
        <v>-6864580</v>
      </c>
      <c r="FC208" s="542">
        <v>-3064973</v>
      </c>
      <c r="FD208" s="542">
        <v>0</v>
      </c>
      <c r="FE208" s="542">
        <v>-3064973</v>
      </c>
      <c r="FF208" s="542">
        <v>-85558</v>
      </c>
      <c r="FG208" s="542">
        <v>0</v>
      </c>
      <c r="FH208" s="542">
        <v>-85558</v>
      </c>
      <c r="FI208" s="542">
        <v>-872144</v>
      </c>
      <c r="FJ208" s="542">
        <v>0</v>
      </c>
      <c r="FK208" s="542">
        <v>-872144</v>
      </c>
      <c r="FL208" s="542">
        <v>-9736</v>
      </c>
      <c r="FM208" s="542">
        <v>0</v>
      </c>
      <c r="FN208" s="542">
        <v>-9736</v>
      </c>
      <c r="FO208" s="542">
        <v>-10236382</v>
      </c>
      <c r="FP208" s="542">
        <v>0</v>
      </c>
      <c r="FQ208" s="542">
        <v>-10236382</v>
      </c>
      <c r="FR208" s="542">
        <v>67463759</v>
      </c>
      <c r="FS208" s="542">
        <v>0</v>
      </c>
      <c r="FT208" s="542">
        <v>67463759</v>
      </c>
    </row>
    <row r="209" spans="1:176" ht="12.75" x14ac:dyDescent="0.2">
      <c r="A209" s="93">
        <v>204</v>
      </c>
      <c r="B209" s="145" t="s">
        <v>286</v>
      </c>
      <c r="C209" s="604" t="s">
        <v>866</v>
      </c>
      <c r="D209" s="142" t="s">
        <v>875</v>
      </c>
      <c r="E209" s="149" t="s">
        <v>285</v>
      </c>
      <c r="F209" s="542">
        <v>-78588</v>
      </c>
      <c r="G209" s="542">
        <v>0</v>
      </c>
      <c r="H209" s="542">
        <v>-78588</v>
      </c>
      <c r="I209" s="542">
        <v>19655</v>
      </c>
      <c r="J209" s="542">
        <v>0</v>
      </c>
      <c r="K209" s="542">
        <v>19655</v>
      </c>
      <c r="L209" s="542">
        <v>14433</v>
      </c>
      <c r="M209" s="542">
        <v>0</v>
      </c>
      <c r="N209" s="542">
        <v>14433</v>
      </c>
      <c r="O209" s="542">
        <v>27562</v>
      </c>
      <c r="P209" s="542">
        <v>0</v>
      </c>
      <c r="Q209" s="542">
        <v>27562</v>
      </c>
      <c r="R209" s="542">
        <v>-16938</v>
      </c>
      <c r="S209" s="542">
        <v>0</v>
      </c>
      <c r="T209" s="542">
        <v>-16938</v>
      </c>
      <c r="U209" s="542">
        <v>-1744244</v>
      </c>
      <c r="V209" s="542">
        <v>0</v>
      </c>
      <c r="W209" s="542">
        <v>-1744244</v>
      </c>
      <c r="X209" s="542">
        <v>0</v>
      </c>
      <c r="Y209" s="542">
        <v>0</v>
      </c>
      <c r="Z209" s="542">
        <v>0</v>
      </c>
      <c r="AA209" s="542">
        <v>-142309</v>
      </c>
      <c r="AB209" s="542">
        <v>0</v>
      </c>
      <c r="AC209" s="542">
        <v>-142309</v>
      </c>
      <c r="AD209" s="542">
        <v>-65584</v>
      </c>
      <c r="AE209" s="542">
        <v>0</v>
      </c>
      <c r="AF209" s="542">
        <v>-65584</v>
      </c>
      <c r="AG209" s="542">
        <v>374484</v>
      </c>
      <c r="AH209" s="542">
        <v>0</v>
      </c>
      <c r="AI209" s="542">
        <v>374484</v>
      </c>
      <c r="AJ209" s="542">
        <v>-2597</v>
      </c>
      <c r="AK209" s="542">
        <v>0</v>
      </c>
      <c r="AL209" s="542">
        <v>-2597</v>
      </c>
      <c r="AM209" s="542">
        <v>-722838</v>
      </c>
      <c r="AN209" s="542">
        <v>0</v>
      </c>
      <c r="AO209" s="542">
        <v>-722838</v>
      </c>
      <c r="AP209" s="542">
        <v>20261</v>
      </c>
      <c r="AQ209" s="542">
        <v>0</v>
      </c>
      <c r="AR209" s="542">
        <v>20261</v>
      </c>
      <c r="AS209" s="542">
        <v>-44826</v>
      </c>
      <c r="AT209" s="542">
        <v>0</v>
      </c>
      <c r="AU209" s="542">
        <v>-44826</v>
      </c>
      <c r="AV209" s="542">
        <v>0</v>
      </c>
      <c r="AW209" s="542">
        <v>0</v>
      </c>
      <c r="AX209" s="542">
        <v>0</v>
      </c>
      <c r="AY209" s="542">
        <v>-8821</v>
      </c>
      <c r="AZ209" s="542">
        <v>0</v>
      </c>
      <c r="BA209" s="542">
        <v>-8821</v>
      </c>
      <c r="BB209" s="542">
        <v>0</v>
      </c>
      <c r="BC209" s="542">
        <v>0</v>
      </c>
      <c r="BD209" s="542">
        <v>0</v>
      </c>
      <c r="BE209" s="542">
        <v>-2270890</v>
      </c>
      <c r="BF209" s="542">
        <v>0</v>
      </c>
      <c r="BG209" s="542">
        <v>-2270890</v>
      </c>
      <c r="BH209" s="542">
        <v>0</v>
      </c>
      <c r="BI209" s="542">
        <v>0</v>
      </c>
      <c r="BJ209" s="542">
        <v>0</v>
      </c>
      <c r="BK209" s="542">
        <v>0</v>
      </c>
      <c r="BL209" s="542">
        <v>0</v>
      </c>
      <c r="BM209" s="542">
        <v>0</v>
      </c>
      <c r="BN209" s="542">
        <v>-580703</v>
      </c>
      <c r="BO209" s="542">
        <v>0</v>
      </c>
      <c r="BP209" s="542">
        <v>-580703</v>
      </c>
      <c r="BQ209" s="542">
        <v>-15346</v>
      </c>
      <c r="BR209" s="542">
        <v>0</v>
      </c>
      <c r="BS209" s="542">
        <v>-15346</v>
      </c>
      <c r="BT209" s="542">
        <v>-596049</v>
      </c>
      <c r="BU209" s="542">
        <v>0</v>
      </c>
      <c r="BV209" s="542">
        <v>-596049</v>
      </c>
      <c r="BW209" s="542">
        <v>-16138</v>
      </c>
      <c r="BX209" s="542">
        <v>0</v>
      </c>
      <c r="BY209" s="542">
        <v>-16138</v>
      </c>
      <c r="BZ209" s="542">
        <v>-137</v>
      </c>
      <c r="CA209" s="542">
        <v>0</v>
      </c>
      <c r="CB209" s="542">
        <v>-137</v>
      </c>
      <c r="CC209" s="542">
        <v>-6210</v>
      </c>
      <c r="CD209" s="542">
        <v>0</v>
      </c>
      <c r="CE209" s="542">
        <v>-6210</v>
      </c>
      <c r="CF209" s="542">
        <v>0</v>
      </c>
      <c r="CG209" s="542">
        <v>0</v>
      </c>
      <c r="CH209" s="542">
        <v>0</v>
      </c>
      <c r="CI209" s="542">
        <v>-1648</v>
      </c>
      <c r="CJ209" s="542">
        <v>0</v>
      </c>
      <c r="CK209" s="542">
        <v>-1648</v>
      </c>
      <c r="CL209" s="542">
        <v>0</v>
      </c>
      <c r="CM209" s="542">
        <v>0</v>
      </c>
      <c r="CN209" s="542">
        <v>0</v>
      </c>
      <c r="CO209" s="542">
        <v>-4037</v>
      </c>
      <c r="CP209" s="542">
        <v>0</v>
      </c>
      <c r="CQ209" s="542">
        <v>-4037</v>
      </c>
      <c r="CR209" s="542">
        <v>0</v>
      </c>
      <c r="CS209" s="542">
        <v>0</v>
      </c>
      <c r="CT209" s="542">
        <v>0</v>
      </c>
      <c r="CU209" s="542">
        <v>0</v>
      </c>
      <c r="CV209" s="542">
        <v>0</v>
      </c>
      <c r="CW209" s="542">
        <v>0</v>
      </c>
      <c r="CX209" s="542">
        <v>0</v>
      </c>
      <c r="CY209" s="542">
        <v>0</v>
      </c>
      <c r="CZ209" s="542">
        <v>0</v>
      </c>
      <c r="DA209" s="542">
        <v>0</v>
      </c>
      <c r="DB209" s="542">
        <v>0</v>
      </c>
      <c r="DC209" s="542">
        <v>0</v>
      </c>
      <c r="DD209" s="542">
        <v>0</v>
      </c>
      <c r="DE209" s="542">
        <v>0</v>
      </c>
      <c r="DF209" s="542">
        <v>0</v>
      </c>
      <c r="DG209" s="542"/>
      <c r="DH209" s="542">
        <v>0</v>
      </c>
      <c r="DI209" s="542"/>
      <c r="DJ209" s="542">
        <v>0</v>
      </c>
      <c r="DK209" s="542"/>
      <c r="DL209" s="542"/>
      <c r="DM209" s="542">
        <v>-28170</v>
      </c>
      <c r="DN209" s="542">
        <v>0</v>
      </c>
      <c r="DO209" s="542">
        <v>-28170</v>
      </c>
      <c r="DP209" s="542">
        <v>0</v>
      </c>
      <c r="DQ209" s="542">
        <v>0</v>
      </c>
      <c r="DR209" s="542">
        <v>0</v>
      </c>
      <c r="DS209" s="542">
        <v>0</v>
      </c>
      <c r="DT209" s="542">
        <v>0</v>
      </c>
      <c r="DU209" s="542">
        <v>0</v>
      </c>
      <c r="DV209" s="542">
        <v>0</v>
      </c>
      <c r="DW209" s="542">
        <v>0</v>
      </c>
      <c r="DX209" s="542">
        <v>0</v>
      </c>
      <c r="DY209" s="542">
        <v>-241172</v>
      </c>
      <c r="DZ209" s="542">
        <v>0</v>
      </c>
      <c r="EA209" s="542">
        <v>-241172</v>
      </c>
      <c r="EB209" s="542">
        <v>-5860</v>
      </c>
      <c r="EC209" s="542">
        <v>0</v>
      </c>
      <c r="ED209" s="542">
        <v>-5860</v>
      </c>
      <c r="EE209" s="542">
        <v>-8834</v>
      </c>
      <c r="EF209" s="542">
        <v>0</v>
      </c>
      <c r="EG209" s="542">
        <v>-8834</v>
      </c>
      <c r="EH209" s="542">
        <v>-255866</v>
      </c>
      <c r="EI209" s="542">
        <v>0</v>
      </c>
      <c r="EJ209" s="542">
        <v>-255866</v>
      </c>
      <c r="EK209" s="542">
        <v>0</v>
      </c>
      <c r="EL209" s="542">
        <v>0</v>
      </c>
      <c r="EM209" s="542">
        <v>0</v>
      </c>
      <c r="EN209" s="542">
        <v>0</v>
      </c>
      <c r="EO209" s="542">
        <v>0</v>
      </c>
      <c r="EP209" s="542">
        <v>0</v>
      </c>
      <c r="EQ209" s="542">
        <v>0</v>
      </c>
      <c r="ER209" s="542">
        <v>0</v>
      </c>
      <c r="ES209" s="542">
        <v>0</v>
      </c>
      <c r="ET209" s="542">
        <v>20018634</v>
      </c>
      <c r="EU209" s="542">
        <v>0</v>
      </c>
      <c r="EV209" s="542">
        <v>20018634</v>
      </c>
      <c r="EW209" s="542">
        <v>-16938</v>
      </c>
      <c r="EX209" s="542">
        <v>0</v>
      </c>
      <c r="EY209" s="542">
        <v>-16938</v>
      </c>
      <c r="EZ209" s="542">
        <v>-2270890</v>
      </c>
      <c r="FA209" s="542">
        <v>0</v>
      </c>
      <c r="FB209" s="542">
        <v>-2270890</v>
      </c>
      <c r="FC209" s="542">
        <v>-596049</v>
      </c>
      <c r="FD209" s="542">
        <v>0</v>
      </c>
      <c r="FE209" s="542">
        <v>-596049</v>
      </c>
      <c r="FF209" s="542">
        <v>-28170</v>
      </c>
      <c r="FG209" s="542">
        <v>0</v>
      </c>
      <c r="FH209" s="542">
        <v>-28170</v>
      </c>
      <c r="FI209" s="542">
        <v>-255866</v>
      </c>
      <c r="FJ209" s="542">
        <v>0</v>
      </c>
      <c r="FK209" s="542">
        <v>-255866</v>
      </c>
      <c r="FL209" s="542">
        <v>0</v>
      </c>
      <c r="FM209" s="542">
        <v>0</v>
      </c>
      <c r="FN209" s="542">
        <v>0</v>
      </c>
      <c r="FO209" s="542">
        <v>-3167913</v>
      </c>
      <c r="FP209" s="542">
        <v>0</v>
      </c>
      <c r="FQ209" s="542">
        <v>-3167913</v>
      </c>
      <c r="FR209" s="542">
        <v>16850721</v>
      </c>
      <c r="FS209" s="542">
        <v>0</v>
      </c>
      <c r="FT209" s="542">
        <v>16850721</v>
      </c>
    </row>
    <row r="210" spans="1:176" ht="12.75" x14ac:dyDescent="0.2">
      <c r="A210" s="93">
        <v>205</v>
      </c>
      <c r="B210" s="145" t="s">
        <v>288</v>
      </c>
      <c r="C210" s="604" t="s">
        <v>770</v>
      </c>
      <c r="D210" s="142" t="s">
        <v>867</v>
      </c>
      <c r="E210" s="149" t="s">
        <v>719</v>
      </c>
      <c r="F210" s="542">
        <v>-179309</v>
      </c>
      <c r="G210" s="542">
        <v>0</v>
      </c>
      <c r="H210" s="542">
        <v>-179309</v>
      </c>
      <c r="I210" s="542">
        <v>334587</v>
      </c>
      <c r="J210" s="542">
        <v>0</v>
      </c>
      <c r="K210" s="542">
        <v>334587</v>
      </c>
      <c r="L210" s="542">
        <v>44003</v>
      </c>
      <c r="M210" s="542">
        <v>0</v>
      </c>
      <c r="N210" s="542">
        <v>44003</v>
      </c>
      <c r="O210" s="542">
        <v>830488</v>
      </c>
      <c r="P210" s="542">
        <v>0</v>
      </c>
      <c r="Q210" s="542">
        <v>830488</v>
      </c>
      <c r="R210" s="542">
        <v>1029769</v>
      </c>
      <c r="S210" s="542">
        <v>0</v>
      </c>
      <c r="T210" s="542">
        <v>1029769</v>
      </c>
      <c r="U210" s="542">
        <v>-1789734</v>
      </c>
      <c r="V210" s="542">
        <v>0</v>
      </c>
      <c r="W210" s="542">
        <v>-1789734</v>
      </c>
      <c r="X210" s="542">
        <v>0</v>
      </c>
      <c r="Y210" s="542">
        <v>0</v>
      </c>
      <c r="Z210" s="542">
        <v>0</v>
      </c>
      <c r="AA210" s="542">
        <v>-206594</v>
      </c>
      <c r="AB210" s="542">
        <v>0</v>
      </c>
      <c r="AC210" s="542">
        <v>-206594</v>
      </c>
      <c r="AD210" s="542">
        <v>-83093</v>
      </c>
      <c r="AE210" s="542">
        <v>0</v>
      </c>
      <c r="AF210" s="542">
        <v>-83093</v>
      </c>
      <c r="AG210" s="542">
        <v>2523515</v>
      </c>
      <c r="AH210" s="542">
        <v>0</v>
      </c>
      <c r="AI210" s="542">
        <v>2523515</v>
      </c>
      <c r="AJ210" s="542">
        <v>-57893</v>
      </c>
      <c r="AK210" s="542">
        <v>0</v>
      </c>
      <c r="AL210" s="542">
        <v>-57893</v>
      </c>
      <c r="AM210" s="542">
        <v>-3950382</v>
      </c>
      <c r="AN210" s="542">
        <v>0</v>
      </c>
      <c r="AO210" s="542">
        <v>-3950382</v>
      </c>
      <c r="AP210" s="542">
        <v>279445</v>
      </c>
      <c r="AQ210" s="542">
        <v>0</v>
      </c>
      <c r="AR210" s="542">
        <v>279445</v>
      </c>
      <c r="AS210" s="542">
        <v>-6632</v>
      </c>
      <c r="AT210" s="542">
        <v>0</v>
      </c>
      <c r="AU210" s="542">
        <v>-6632</v>
      </c>
      <c r="AV210" s="542">
        <v>0</v>
      </c>
      <c r="AW210" s="542">
        <v>0</v>
      </c>
      <c r="AX210" s="542">
        <v>0</v>
      </c>
      <c r="AY210" s="542">
        <v>0</v>
      </c>
      <c r="AZ210" s="542">
        <v>0</v>
      </c>
      <c r="BA210" s="542">
        <v>0</v>
      </c>
      <c r="BB210" s="542">
        <v>0</v>
      </c>
      <c r="BC210" s="542">
        <v>0</v>
      </c>
      <c r="BD210" s="542">
        <v>0</v>
      </c>
      <c r="BE210" s="542">
        <v>-3208275</v>
      </c>
      <c r="BF210" s="542">
        <v>0</v>
      </c>
      <c r="BG210" s="542">
        <v>-3208275</v>
      </c>
      <c r="BH210" s="542">
        <v>-60296</v>
      </c>
      <c r="BI210" s="542">
        <v>0</v>
      </c>
      <c r="BJ210" s="542">
        <v>-60296</v>
      </c>
      <c r="BK210" s="542">
        <v>-394381</v>
      </c>
      <c r="BL210" s="542">
        <v>0</v>
      </c>
      <c r="BM210" s="542">
        <v>-394381</v>
      </c>
      <c r="BN210" s="542">
        <v>-4037122</v>
      </c>
      <c r="BO210" s="542">
        <v>0</v>
      </c>
      <c r="BP210" s="542">
        <v>-4037122</v>
      </c>
      <c r="BQ210" s="542">
        <v>62854</v>
      </c>
      <c r="BR210" s="542">
        <v>0</v>
      </c>
      <c r="BS210" s="542">
        <v>62854</v>
      </c>
      <c r="BT210" s="542">
        <v>-4428945</v>
      </c>
      <c r="BU210" s="542">
        <v>0</v>
      </c>
      <c r="BV210" s="542">
        <v>-4428945</v>
      </c>
      <c r="BW210" s="542">
        <v>-52018</v>
      </c>
      <c r="BX210" s="542">
        <v>0</v>
      </c>
      <c r="BY210" s="542">
        <v>-52018</v>
      </c>
      <c r="BZ210" s="542">
        <v>0</v>
      </c>
      <c r="CA210" s="542">
        <v>0</v>
      </c>
      <c r="CB210" s="542">
        <v>0</v>
      </c>
      <c r="CC210" s="542">
        <v>0</v>
      </c>
      <c r="CD210" s="542">
        <v>0</v>
      </c>
      <c r="CE210" s="542">
        <v>0</v>
      </c>
      <c r="CF210" s="542">
        <v>0</v>
      </c>
      <c r="CG210" s="542">
        <v>0</v>
      </c>
      <c r="CH210" s="542">
        <v>0</v>
      </c>
      <c r="CI210" s="542">
        <v>0</v>
      </c>
      <c r="CJ210" s="542">
        <v>0</v>
      </c>
      <c r="CK210" s="542">
        <v>0</v>
      </c>
      <c r="CL210" s="542">
        <v>0</v>
      </c>
      <c r="CM210" s="542">
        <v>0</v>
      </c>
      <c r="CN210" s="542">
        <v>0</v>
      </c>
      <c r="CO210" s="542">
        <v>0</v>
      </c>
      <c r="CP210" s="542">
        <v>0</v>
      </c>
      <c r="CQ210" s="542">
        <v>0</v>
      </c>
      <c r="CR210" s="542">
        <v>0</v>
      </c>
      <c r="CS210" s="542">
        <v>0</v>
      </c>
      <c r="CT210" s="542">
        <v>0</v>
      </c>
      <c r="CU210" s="542">
        <v>0</v>
      </c>
      <c r="CV210" s="542">
        <v>0</v>
      </c>
      <c r="CW210" s="542">
        <v>0</v>
      </c>
      <c r="CX210" s="542">
        <v>0</v>
      </c>
      <c r="CY210" s="542">
        <v>0</v>
      </c>
      <c r="CZ210" s="542">
        <v>0</v>
      </c>
      <c r="DA210" s="542">
        <v>0</v>
      </c>
      <c r="DB210" s="542">
        <v>0</v>
      </c>
      <c r="DC210" s="542">
        <v>0</v>
      </c>
      <c r="DD210" s="542">
        <v>0</v>
      </c>
      <c r="DE210" s="542">
        <v>0</v>
      </c>
      <c r="DF210" s="542">
        <v>0</v>
      </c>
      <c r="DG210" s="542"/>
      <c r="DH210" s="542">
        <v>0</v>
      </c>
      <c r="DI210" s="542"/>
      <c r="DJ210" s="542">
        <v>0</v>
      </c>
      <c r="DK210" s="542"/>
      <c r="DL210" s="542"/>
      <c r="DM210" s="542">
        <v>-52018</v>
      </c>
      <c r="DN210" s="542">
        <v>0</v>
      </c>
      <c r="DO210" s="542">
        <v>-52018</v>
      </c>
      <c r="DP210" s="542">
        <v>0</v>
      </c>
      <c r="DQ210" s="542">
        <v>0</v>
      </c>
      <c r="DR210" s="542">
        <v>0</v>
      </c>
      <c r="DS210" s="542">
        <v>0</v>
      </c>
      <c r="DT210" s="542">
        <v>0</v>
      </c>
      <c r="DU210" s="542">
        <v>0</v>
      </c>
      <c r="DV210" s="542">
        <v>-10021</v>
      </c>
      <c r="DW210" s="542">
        <v>0</v>
      </c>
      <c r="DX210" s="542">
        <v>-10021</v>
      </c>
      <c r="DY210" s="542">
        <v>-375440</v>
      </c>
      <c r="DZ210" s="542">
        <v>0</v>
      </c>
      <c r="EA210" s="542">
        <v>-375440</v>
      </c>
      <c r="EB210" s="542">
        <v>-135628</v>
      </c>
      <c r="EC210" s="542">
        <v>0</v>
      </c>
      <c r="ED210" s="542">
        <v>-135628</v>
      </c>
      <c r="EE210" s="542">
        <v>-31812</v>
      </c>
      <c r="EF210" s="542">
        <v>0</v>
      </c>
      <c r="EG210" s="542">
        <v>-31812</v>
      </c>
      <c r="EH210" s="542">
        <v>-552901</v>
      </c>
      <c r="EI210" s="542">
        <v>0</v>
      </c>
      <c r="EJ210" s="542">
        <v>-552901</v>
      </c>
      <c r="EK210" s="542">
        <v>0</v>
      </c>
      <c r="EL210" s="542">
        <v>0</v>
      </c>
      <c r="EM210" s="542">
        <v>0</v>
      </c>
      <c r="EN210" s="542">
        <v>0</v>
      </c>
      <c r="EO210" s="542">
        <v>0</v>
      </c>
      <c r="EP210" s="542">
        <v>0</v>
      </c>
      <c r="EQ210" s="542">
        <v>0</v>
      </c>
      <c r="ER210" s="542">
        <v>0</v>
      </c>
      <c r="ES210" s="542">
        <v>0</v>
      </c>
      <c r="ET210" s="542">
        <v>113703711</v>
      </c>
      <c r="EU210" s="542">
        <v>0</v>
      </c>
      <c r="EV210" s="542">
        <v>113703711</v>
      </c>
      <c r="EW210" s="542">
        <v>1029769</v>
      </c>
      <c r="EX210" s="542">
        <v>0</v>
      </c>
      <c r="EY210" s="542">
        <v>1029769</v>
      </c>
      <c r="EZ210" s="542">
        <v>-3208275</v>
      </c>
      <c r="FA210" s="542">
        <v>0</v>
      </c>
      <c r="FB210" s="542">
        <v>-3208275</v>
      </c>
      <c r="FC210" s="542">
        <v>-4428945</v>
      </c>
      <c r="FD210" s="542">
        <v>0</v>
      </c>
      <c r="FE210" s="542">
        <v>-4428945</v>
      </c>
      <c r="FF210" s="542">
        <v>-52018</v>
      </c>
      <c r="FG210" s="542">
        <v>0</v>
      </c>
      <c r="FH210" s="542">
        <v>-52018</v>
      </c>
      <c r="FI210" s="542">
        <v>-552901</v>
      </c>
      <c r="FJ210" s="542">
        <v>0</v>
      </c>
      <c r="FK210" s="542">
        <v>-552901</v>
      </c>
      <c r="FL210" s="542">
        <v>0</v>
      </c>
      <c r="FM210" s="542">
        <v>0</v>
      </c>
      <c r="FN210" s="542">
        <v>0</v>
      </c>
      <c r="FO210" s="542">
        <v>-7212370</v>
      </c>
      <c r="FP210" s="542">
        <v>0</v>
      </c>
      <c r="FQ210" s="542">
        <v>-7212370</v>
      </c>
      <c r="FR210" s="542">
        <v>106491341</v>
      </c>
      <c r="FS210" s="542">
        <v>0</v>
      </c>
      <c r="FT210" s="542">
        <v>106491341</v>
      </c>
    </row>
    <row r="211" spans="1:176" ht="12.75" x14ac:dyDescent="0.2">
      <c r="A211" s="93">
        <v>206</v>
      </c>
      <c r="B211" s="145" t="s">
        <v>290</v>
      </c>
      <c r="C211" s="604" t="s">
        <v>871</v>
      </c>
      <c r="D211" s="142" t="s">
        <v>872</v>
      </c>
      <c r="E211" s="149" t="s">
        <v>289</v>
      </c>
      <c r="F211" s="542">
        <v>-160091</v>
      </c>
      <c r="G211" s="542">
        <v>0</v>
      </c>
      <c r="H211" s="542">
        <v>-160091</v>
      </c>
      <c r="I211" s="542">
        <v>105294</v>
      </c>
      <c r="J211" s="542">
        <v>0</v>
      </c>
      <c r="K211" s="542">
        <v>105294</v>
      </c>
      <c r="L211" s="542">
        <v>50354</v>
      </c>
      <c r="M211" s="542">
        <v>0</v>
      </c>
      <c r="N211" s="542">
        <v>50354</v>
      </c>
      <c r="O211" s="542">
        <v>274245</v>
      </c>
      <c r="P211" s="542">
        <v>0</v>
      </c>
      <c r="Q211" s="542">
        <v>274245</v>
      </c>
      <c r="R211" s="542">
        <v>269802</v>
      </c>
      <c r="S211" s="542">
        <v>0</v>
      </c>
      <c r="T211" s="542">
        <v>269802</v>
      </c>
      <c r="U211" s="542">
        <v>-3764548</v>
      </c>
      <c r="V211" s="542">
        <v>0</v>
      </c>
      <c r="W211" s="542">
        <v>-3764548</v>
      </c>
      <c r="X211" s="542">
        <v>-21</v>
      </c>
      <c r="Y211" s="542">
        <v>0</v>
      </c>
      <c r="Z211" s="542">
        <v>-21</v>
      </c>
      <c r="AA211" s="542">
        <v>-441110</v>
      </c>
      <c r="AB211" s="542">
        <v>0</v>
      </c>
      <c r="AC211" s="542">
        <v>-441110</v>
      </c>
      <c r="AD211" s="542">
        <v>-180801</v>
      </c>
      <c r="AE211" s="542">
        <v>0</v>
      </c>
      <c r="AF211" s="542">
        <v>-180801</v>
      </c>
      <c r="AG211" s="542">
        <v>1071398</v>
      </c>
      <c r="AH211" s="542">
        <v>0</v>
      </c>
      <c r="AI211" s="542">
        <v>1071398</v>
      </c>
      <c r="AJ211" s="542">
        <v>57386</v>
      </c>
      <c r="AK211" s="542">
        <v>0</v>
      </c>
      <c r="AL211" s="542">
        <v>57386</v>
      </c>
      <c r="AM211" s="542">
        <v>-4403670</v>
      </c>
      <c r="AN211" s="542">
        <v>0</v>
      </c>
      <c r="AO211" s="542">
        <v>-4403670</v>
      </c>
      <c r="AP211" s="542">
        <v>70220</v>
      </c>
      <c r="AQ211" s="542">
        <v>0</v>
      </c>
      <c r="AR211" s="542">
        <v>70220</v>
      </c>
      <c r="AS211" s="542">
        <v>-110021</v>
      </c>
      <c r="AT211" s="542">
        <v>0</v>
      </c>
      <c r="AU211" s="542">
        <v>-110021</v>
      </c>
      <c r="AV211" s="542">
        <v>330</v>
      </c>
      <c r="AW211" s="542">
        <v>0</v>
      </c>
      <c r="AX211" s="542">
        <v>330</v>
      </c>
      <c r="AY211" s="542">
        <v>0</v>
      </c>
      <c r="AZ211" s="542">
        <v>0</v>
      </c>
      <c r="BA211" s="542">
        <v>0</v>
      </c>
      <c r="BB211" s="542">
        <v>0</v>
      </c>
      <c r="BC211" s="542">
        <v>0</v>
      </c>
      <c r="BD211" s="542">
        <v>0</v>
      </c>
      <c r="BE211" s="542">
        <v>-7520015</v>
      </c>
      <c r="BF211" s="542">
        <v>0</v>
      </c>
      <c r="BG211" s="542">
        <v>-7520015</v>
      </c>
      <c r="BH211" s="542">
        <v>0</v>
      </c>
      <c r="BI211" s="542">
        <v>0</v>
      </c>
      <c r="BJ211" s="542">
        <v>0</v>
      </c>
      <c r="BK211" s="542">
        <v>-2174</v>
      </c>
      <c r="BL211" s="542">
        <v>0</v>
      </c>
      <c r="BM211" s="542">
        <v>-2174</v>
      </c>
      <c r="BN211" s="542">
        <v>-1849111</v>
      </c>
      <c r="BO211" s="542">
        <v>0</v>
      </c>
      <c r="BP211" s="542">
        <v>-1849111</v>
      </c>
      <c r="BQ211" s="542">
        <v>340228</v>
      </c>
      <c r="BR211" s="542">
        <v>0</v>
      </c>
      <c r="BS211" s="542">
        <v>340228</v>
      </c>
      <c r="BT211" s="542">
        <v>-1511057</v>
      </c>
      <c r="BU211" s="542">
        <v>0</v>
      </c>
      <c r="BV211" s="542">
        <v>-1511057</v>
      </c>
      <c r="BW211" s="542">
        <v>0</v>
      </c>
      <c r="BX211" s="542">
        <v>0</v>
      </c>
      <c r="BY211" s="542">
        <v>0</v>
      </c>
      <c r="BZ211" s="542">
        <v>0</v>
      </c>
      <c r="CA211" s="542">
        <v>0</v>
      </c>
      <c r="CB211" s="542">
        <v>0</v>
      </c>
      <c r="CC211" s="542">
        <v>-15010</v>
      </c>
      <c r="CD211" s="542">
        <v>0</v>
      </c>
      <c r="CE211" s="542">
        <v>-15010</v>
      </c>
      <c r="CF211" s="542">
        <v>0</v>
      </c>
      <c r="CG211" s="542">
        <v>0</v>
      </c>
      <c r="CH211" s="542">
        <v>0</v>
      </c>
      <c r="CI211" s="542">
        <v>0</v>
      </c>
      <c r="CJ211" s="542">
        <v>0</v>
      </c>
      <c r="CK211" s="542">
        <v>0</v>
      </c>
      <c r="CL211" s="542">
        <v>0</v>
      </c>
      <c r="CM211" s="542">
        <v>0</v>
      </c>
      <c r="CN211" s="542">
        <v>0</v>
      </c>
      <c r="CO211" s="542">
        <v>0</v>
      </c>
      <c r="CP211" s="542">
        <v>0</v>
      </c>
      <c r="CQ211" s="542">
        <v>0</v>
      </c>
      <c r="CR211" s="542">
        <v>0</v>
      </c>
      <c r="CS211" s="542">
        <v>0</v>
      </c>
      <c r="CT211" s="542">
        <v>0</v>
      </c>
      <c r="CU211" s="542">
        <v>0</v>
      </c>
      <c r="CV211" s="542">
        <v>0</v>
      </c>
      <c r="CW211" s="542">
        <v>0</v>
      </c>
      <c r="CX211" s="542">
        <v>0</v>
      </c>
      <c r="CY211" s="542">
        <v>0</v>
      </c>
      <c r="CZ211" s="542">
        <v>0</v>
      </c>
      <c r="DA211" s="542">
        <v>0</v>
      </c>
      <c r="DB211" s="542">
        <v>0</v>
      </c>
      <c r="DC211" s="542">
        <v>0</v>
      </c>
      <c r="DD211" s="542">
        <v>0</v>
      </c>
      <c r="DE211" s="542">
        <v>0</v>
      </c>
      <c r="DF211" s="542">
        <v>0</v>
      </c>
      <c r="DG211" s="542"/>
      <c r="DH211" s="542">
        <v>0</v>
      </c>
      <c r="DI211" s="542"/>
      <c r="DJ211" s="542">
        <v>0</v>
      </c>
      <c r="DK211" s="542"/>
      <c r="DL211" s="542"/>
      <c r="DM211" s="542">
        <v>-15010</v>
      </c>
      <c r="DN211" s="542">
        <v>0</v>
      </c>
      <c r="DO211" s="542">
        <v>-15010</v>
      </c>
      <c r="DP211" s="542">
        <v>-5960</v>
      </c>
      <c r="DQ211" s="542">
        <v>0</v>
      </c>
      <c r="DR211" s="542">
        <v>-5960</v>
      </c>
      <c r="DS211" s="542">
        <v>0</v>
      </c>
      <c r="DT211" s="542">
        <v>0</v>
      </c>
      <c r="DU211" s="542">
        <v>0</v>
      </c>
      <c r="DV211" s="542">
        <v>-3207</v>
      </c>
      <c r="DW211" s="542">
        <v>0</v>
      </c>
      <c r="DX211" s="542">
        <v>-3207</v>
      </c>
      <c r="DY211" s="542">
        <v>-1238690</v>
      </c>
      <c r="DZ211" s="542">
        <v>0</v>
      </c>
      <c r="EA211" s="542">
        <v>-1238690</v>
      </c>
      <c r="EB211" s="542">
        <v>0</v>
      </c>
      <c r="EC211" s="542">
        <v>0</v>
      </c>
      <c r="ED211" s="542">
        <v>0</v>
      </c>
      <c r="EE211" s="542">
        <v>0</v>
      </c>
      <c r="EF211" s="542">
        <v>0</v>
      </c>
      <c r="EG211" s="542">
        <v>0</v>
      </c>
      <c r="EH211" s="542">
        <v>-1247857</v>
      </c>
      <c r="EI211" s="542">
        <v>0</v>
      </c>
      <c r="EJ211" s="542">
        <v>-1247857</v>
      </c>
      <c r="EK211" s="542">
        <v>0</v>
      </c>
      <c r="EL211" s="542">
        <v>0</v>
      </c>
      <c r="EM211" s="542">
        <v>0</v>
      </c>
      <c r="EN211" s="542">
        <v>0</v>
      </c>
      <c r="EO211" s="542">
        <v>0</v>
      </c>
      <c r="EP211" s="542">
        <v>0</v>
      </c>
      <c r="EQ211" s="542">
        <v>0</v>
      </c>
      <c r="ER211" s="542">
        <v>0</v>
      </c>
      <c r="ES211" s="542">
        <v>0</v>
      </c>
      <c r="ET211" s="542">
        <v>62078829</v>
      </c>
      <c r="EU211" s="542">
        <v>0</v>
      </c>
      <c r="EV211" s="542">
        <v>62078829</v>
      </c>
      <c r="EW211" s="542">
        <v>269802</v>
      </c>
      <c r="EX211" s="542">
        <v>0</v>
      </c>
      <c r="EY211" s="542">
        <v>269802</v>
      </c>
      <c r="EZ211" s="542">
        <v>-7520015</v>
      </c>
      <c r="FA211" s="542">
        <v>0</v>
      </c>
      <c r="FB211" s="542">
        <v>-7520015</v>
      </c>
      <c r="FC211" s="542">
        <v>-1511057</v>
      </c>
      <c r="FD211" s="542">
        <v>0</v>
      </c>
      <c r="FE211" s="542">
        <v>-1511057</v>
      </c>
      <c r="FF211" s="542">
        <v>-15010</v>
      </c>
      <c r="FG211" s="542">
        <v>0</v>
      </c>
      <c r="FH211" s="542">
        <v>-15010</v>
      </c>
      <c r="FI211" s="542">
        <v>-1247857</v>
      </c>
      <c r="FJ211" s="542">
        <v>0</v>
      </c>
      <c r="FK211" s="542">
        <v>-1247857</v>
      </c>
      <c r="FL211" s="542">
        <v>0</v>
      </c>
      <c r="FM211" s="542">
        <v>0</v>
      </c>
      <c r="FN211" s="542">
        <v>0</v>
      </c>
      <c r="FO211" s="542">
        <v>-10024137</v>
      </c>
      <c r="FP211" s="542">
        <v>0</v>
      </c>
      <c r="FQ211" s="542">
        <v>-10024137</v>
      </c>
      <c r="FR211" s="542">
        <v>52054692</v>
      </c>
      <c r="FS211" s="542">
        <v>0</v>
      </c>
      <c r="FT211" s="542">
        <v>52054692</v>
      </c>
    </row>
    <row r="212" spans="1:176" ht="12.75" x14ac:dyDescent="0.2">
      <c r="A212" s="93">
        <v>207</v>
      </c>
      <c r="B212" s="145" t="s">
        <v>292</v>
      </c>
      <c r="C212" s="604" t="s">
        <v>770</v>
      </c>
      <c r="D212" s="142" t="s">
        <v>878</v>
      </c>
      <c r="E212" s="149" t="s">
        <v>720</v>
      </c>
      <c r="F212" s="542">
        <v>-245974</v>
      </c>
      <c r="G212" s="542">
        <v>0</v>
      </c>
      <c r="H212" s="542">
        <v>-245974</v>
      </c>
      <c r="I212" s="542">
        <v>-772185</v>
      </c>
      <c r="J212" s="542">
        <v>0</v>
      </c>
      <c r="K212" s="542">
        <v>-772185</v>
      </c>
      <c r="L212" s="542">
        <v>1607</v>
      </c>
      <c r="M212" s="542">
        <v>0</v>
      </c>
      <c r="N212" s="542">
        <v>1607</v>
      </c>
      <c r="O212" s="542">
        <v>8728</v>
      </c>
      <c r="P212" s="542">
        <v>0</v>
      </c>
      <c r="Q212" s="542">
        <v>8728</v>
      </c>
      <c r="R212" s="542">
        <v>-1007824</v>
      </c>
      <c r="S212" s="542">
        <v>0</v>
      </c>
      <c r="T212" s="542">
        <v>-1007824</v>
      </c>
      <c r="U212" s="542">
        <v>-2453870</v>
      </c>
      <c r="V212" s="542">
        <v>0</v>
      </c>
      <c r="W212" s="542">
        <v>-2453870</v>
      </c>
      <c r="X212" s="542">
        <v>0</v>
      </c>
      <c r="Y212" s="542">
        <v>0</v>
      </c>
      <c r="Z212" s="542">
        <v>0</v>
      </c>
      <c r="AA212" s="542">
        <v>-107531</v>
      </c>
      <c r="AB212" s="542">
        <v>0</v>
      </c>
      <c r="AC212" s="542">
        <v>-107531</v>
      </c>
      <c r="AD212" s="542">
        <v>-45473</v>
      </c>
      <c r="AE212" s="542">
        <v>0</v>
      </c>
      <c r="AF212" s="542">
        <v>-45473</v>
      </c>
      <c r="AG212" s="542">
        <v>1144617</v>
      </c>
      <c r="AH212" s="542">
        <v>0</v>
      </c>
      <c r="AI212" s="542">
        <v>1144617</v>
      </c>
      <c r="AJ212" s="542">
        <v>0</v>
      </c>
      <c r="AK212" s="542">
        <v>0</v>
      </c>
      <c r="AL212" s="542">
        <v>0</v>
      </c>
      <c r="AM212" s="542">
        <v>-2294859</v>
      </c>
      <c r="AN212" s="542">
        <v>0</v>
      </c>
      <c r="AO212" s="542">
        <v>-2294859</v>
      </c>
      <c r="AP212" s="542">
        <v>50006</v>
      </c>
      <c r="AQ212" s="542">
        <v>0</v>
      </c>
      <c r="AR212" s="542">
        <v>50006</v>
      </c>
      <c r="AS212" s="542">
        <v>-63513</v>
      </c>
      <c r="AT212" s="542">
        <v>0</v>
      </c>
      <c r="AU212" s="542">
        <v>-63513</v>
      </c>
      <c r="AV212" s="542">
        <v>0</v>
      </c>
      <c r="AW212" s="542">
        <v>0</v>
      </c>
      <c r="AX212" s="542">
        <v>0</v>
      </c>
      <c r="AY212" s="542">
        <v>-7559</v>
      </c>
      <c r="AZ212" s="542">
        <v>0</v>
      </c>
      <c r="BA212" s="542">
        <v>-7559</v>
      </c>
      <c r="BB212" s="542">
        <v>0</v>
      </c>
      <c r="BC212" s="542">
        <v>0</v>
      </c>
      <c r="BD212" s="542">
        <v>0</v>
      </c>
      <c r="BE212" s="542">
        <v>-3732709</v>
      </c>
      <c r="BF212" s="542">
        <v>0</v>
      </c>
      <c r="BG212" s="542">
        <v>-3732709</v>
      </c>
      <c r="BH212" s="542">
        <v>0</v>
      </c>
      <c r="BI212" s="542">
        <v>0</v>
      </c>
      <c r="BJ212" s="542">
        <v>0</v>
      </c>
      <c r="BK212" s="542">
        <v>359640</v>
      </c>
      <c r="BL212" s="542">
        <v>0</v>
      </c>
      <c r="BM212" s="542">
        <v>359640</v>
      </c>
      <c r="BN212" s="542">
        <v>-1086291</v>
      </c>
      <c r="BO212" s="542">
        <v>0</v>
      </c>
      <c r="BP212" s="542">
        <v>-1086291</v>
      </c>
      <c r="BQ212" s="542">
        <v>0</v>
      </c>
      <c r="BR212" s="542">
        <v>0</v>
      </c>
      <c r="BS212" s="542">
        <v>0</v>
      </c>
      <c r="BT212" s="542">
        <v>-726651</v>
      </c>
      <c r="BU212" s="542">
        <v>0</v>
      </c>
      <c r="BV212" s="542">
        <v>-726651</v>
      </c>
      <c r="BW212" s="542">
        <v>-40723</v>
      </c>
      <c r="BX212" s="542">
        <v>0</v>
      </c>
      <c r="BY212" s="542">
        <v>-40723</v>
      </c>
      <c r="BZ212" s="542">
        <v>731</v>
      </c>
      <c r="CA212" s="542">
        <v>0</v>
      </c>
      <c r="CB212" s="542">
        <v>731</v>
      </c>
      <c r="CC212" s="542">
        <v>-273683</v>
      </c>
      <c r="CD212" s="542">
        <v>0</v>
      </c>
      <c r="CE212" s="542">
        <v>-273683</v>
      </c>
      <c r="CF212" s="542">
        <v>4821</v>
      </c>
      <c r="CG212" s="542">
        <v>0</v>
      </c>
      <c r="CH212" s="542">
        <v>4821</v>
      </c>
      <c r="CI212" s="542">
        <v>0</v>
      </c>
      <c r="CJ212" s="542">
        <v>0</v>
      </c>
      <c r="CK212" s="542">
        <v>0</v>
      </c>
      <c r="CL212" s="542">
        <v>0</v>
      </c>
      <c r="CM212" s="542">
        <v>0</v>
      </c>
      <c r="CN212" s="542">
        <v>0</v>
      </c>
      <c r="CO212" s="542">
        <v>-307</v>
      </c>
      <c r="CP212" s="542">
        <v>0</v>
      </c>
      <c r="CQ212" s="542">
        <v>-307</v>
      </c>
      <c r="CR212" s="542">
        <v>0</v>
      </c>
      <c r="CS212" s="542">
        <v>0</v>
      </c>
      <c r="CT212" s="542">
        <v>0</v>
      </c>
      <c r="CU212" s="542">
        <v>-1331</v>
      </c>
      <c r="CV212" s="542">
        <v>0</v>
      </c>
      <c r="CW212" s="542">
        <v>-1331</v>
      </c>
      <c r="CX212" s="542">
        <v>0</v>
      </c>
      <c r="CY212" s="542">
        <v>0</v>
      </c>
      <c r="CZ212" s="542">
        <v>0</v>
      </c>
      <c r="DA212" s="542">
        <v>0</v>
      </c>
      <c r="DB212" s="542">
        <v>0</v>
      </c>
      <c r="DC212" s="542">
        <v>0</v>
      </c>
      <c r="DD212" s="542">
        <v>0</v>
      </c>
      <c r="DE212" s="542">
        <v>0</v>
      </c>
      <c r="DF212" s="542">
        <v>0</v>
      </c>
      <c r="DG212" s="542"/>
      <c r="DH212" s="542">
        <v>-18316</v>
      </c>
      <c r="DI212" s="542"/>
      <c r="DJ212" s="542">
        <v>0</v>
      </c>
      <c r="DK212" s="542"/>
      <c r="DL212" s="542"/>
      <c r="DM212" s="542">
        <v>-310492</v>
      </c>
      <c r="DN212" s="542">
        <v>0</v>
      </c>
      <c r="DO212" s="542">
        <v>-310492</v>
      </c>
      <c r="DP212" s="542">
        <v>-6929</v>
      </c>
      <c r="DQ212" s="542">
        <v>0</v>
      </c>
      <c r="DR212" s="542">
        <v>-6929</v>
      </c>
      <c r="DS212" s="542">
        <v>0</v>
      </c>
      <c r="DT212" s="542">
        <v>0</v>
      </c>
      <c r="DU212" s="542">
        <v>0</v>
      </c>
      <c r="DV212" s="542">
        <v>0</v>
      </c>
      <c r="DW212" s="542">
        <v>0</v>
      </c>
      <c r="DX212" s="542">
        <v>0</v>
      </c>
      <c r="DY212" s="542">
        <v>-232633</v>
      </c>
      <c r="DZ212" s="542">
        <v>0</v>
      </c>
      <c r="EA212" s="542">
        <v>-232633</v>
      </c>
      <c r="EB212" s="542">
        <v>0</v>
      </c>
      <c r="EC212" s="542">
        <v>0</v>
      </c>
      <c r="ED212" s="542">
        <v>0</v>
      </c>
      <c r="EE212" s="542">
        <v>0</v>
      </c>
      <c r="EF212" s="542">
        <v>0</v>
      </c>
      <c r="EG212" s="542">
        <v>0</v>
      </c>
      <c r="EH212" s="542">
        <v>-239562</v>
      </c>
      <c r="EI212" s="542">
        <v>0</v>
      </c>
      <c r="EJ212" s="542">
        <v>-239562</v>
      </c>
      <c r="EK212" s="542">
        <v>0</v>
      </c>
      <c r="EL212" s="542">
        <v>0</v>
      </c>
      <c r="EM212" s="542">
        <v>0</v>
      </c>
      <c r="EN212" s="542">
        <v>0</v>
      </c>
      <c r="EO212" s="542">
        <v>0</v>
      </c>
      <c r="EP212" s="542">
        <v>0</v>
      </c>
      <c r="EQ212" s="542">
        <v>0</v>
      </c>
      <c r="ER212" s="542">
        <v>0</v>
      </c>
      <c r="ES212" s="542">
        <v>0</v>
      </c>
      <c r="ET212" s="542">
        <v>46767147</v>
      </c>
      <c r="EU212" s="542">
        <v>0</v>
      </c>
      <c r="EV212" s="542">
        <v>46767147</v>
      </c>
      <c r="EW212" s="542">
        <v>-1007824</v>
      </c>
      <c r="EX212" s="542">
        <v>0</v>
      </c>
      <c r="EY212" s="542">
        <v>-1007824</v>
      </c>
      <c r="EZ212" s="542">
        <v>-3732709</v>
      </c>
      <c r="FA212" s="542">
        <v>0</v>
      </c>
      <c r="FB212" s="542">
        <v>-3732709</v>
      </c>
      <c r="FC212" s="542">
        <v>-726651</v>
      </c>
      <c r="FD212" s="542">
        <v>0</v>
      </c>
      <c r="FE212" s="542">
        <v>-726651</v>
      </c>
      <c r="FF212" s="542">
        <v>-310492</v>
      </c>
      <c r="FG212" s="542">
        <v>0</v>
      </c>
      <c r="FH212" s="542">
        <v>-310492</v>
      </c>
      <c r="FI212" s="542">
        <v>-239562</v>
      </c>
      <c r="FJ212" s="542">
        <v>0</v>
      </c>
      <c r="FK212" s="542">
        <v>-239562</v>
      </c>
      <c r="FL212" s="542">
        <v>0</v>
      </c>
      <c r="FM212" s="542">
        <v>0</v>
      </c>
      <c r="FN212" s="542">
        <v>0</v>
      </c>
      <c r="FO212" s="542">
        <v>-6017238</v>
      </c>
      <c r="FP212" s="542">
        <v>0</v>
      </c>
      <c r="FQ212" s="542">
        <v>-6017238</v>
      </c>
      <c r="FR212" s="542">
        <v>40749909</v>
      </c>
      <c r="FS212" s="542">
        <v>0</v>
      </c>
      <c r="FT212" s="542">
        <v>40749909</v>
      </c>
    </row>
    <row r="213" spans="1:176" ht="12.75" x14ac:dyDescent="0.2">
      <c r="A213" s="93">
        <v>208</v>
      </c>
      <c r="B213" s="145" t="s">
        <v>294</v>
      </c>
      <c r="C213" s="604" t="s">
        <v>866</v>
      </c>
      <c r="D213" s="142" t="s">
        <v>876</v>
      </c>
      <c r="E213" s="149" t="s">
        <v>293</v>
      </c>
      <c r="F213" s="542">
        <v>-24325</v>
      </c>
      <c r="G213" s="542">
        <v>0</v>
      </c>
      <c r="H213" s="542">
        <v>-24325</v>
      </c>
      <c r="I213" s="542">
        <v>27747</v>
      </c>
      <c r="J213" s="542">
        <v>0</v>
      </c>
      <c r="K213" s="542">
        <v>27747</v>
      </c>
      <c r="L213" s="542">
        <v>3674</v>
      </c>
      <c r="M213" s="542">
        <v>0</v>
      </c>
      <c r="N213" s="542">
        <v>3674</v>
      </c>
      <c r="O213" s="542">
        <v>65553</v>
      </c>
      <c r="P213" s="542">
        <v>0</v>
      </c>
      <c r="Q213" s="542">
        <v>65553</v>
      </c>
      <c r="R213" s="542">
        <v>72649</v>
      </c>
      <c r="S213" s="542">
        <v>0</v>
      </c>
      <c r="T213" s="542">
        <v>72649</v>
      </c>
      <c r="U213" s="542">
        <v>-1328376</v>
      </c>
      <c r="V213" s="542">
        <v>0</v>
      </c>
      <c r="W213" s="542">
        <v>-1328376</v>
      </c>
      <c r="X213" s="542">
        <v>0</v>
      </c>
      <c r="Y213" s="542">
        <v>0</v>
      </c>
      <c r="Z213" s="542">
        <v>0</v>
      </c>
      <c r="AA213" s="542">
        <v>-64745</v>
      </c>
      <c r="AB213" s="542">
        <v>0</v>
      </c>
      <c r="AC213" s="542">
        <v>-64745</v>
      </c>
      <c r="AD213" s="542">
        <v>-29487</v>
      </c>
      <c r="AE213" s="542">
        <v>0</v>
      </c>
      <c r="AF213" s="542">
        <v>-29487</v>
      </c>
      <c r="AG213" s="542">
        <v>825599.84</v>
      </c>
      <c r="AH213" s="542">
        <v>0</v>
      </c>
      <c r="AI213" s="542">
        <v>825599.84</v>
      </c>
      <c r="AJ213" s="542">
        <v>-9720</v>
      </c>
      <c r="AK213" s="542">
        <v>0</v>
      </c>
      <c r="AL213" s="542">
        <v>-9720</v>
      </c>
      <c r="AM213" s="542">
        <v>-1213418</v>
      </c>
      <c r="AN213" s="542">
        <v>0</v>
      </c>
      <c r="AO213" s="542">
        <v>-1213418</v>
      </c>
      <c r="AP213" s="542">
        <v>37100</v>
      </c>
      <c r="AQ213" s="542">
        <v>0</v>
      </c>
      <c r="AR213" s="542">
        <v>37100</v>
      </c>
      <c r="AS213" s="542">
        <v>-13108</v>
      </c>
      <c r="AT213" s="542">
        <v>0</v>
      </c>
      <c r="AU213" s="542">
        <v>-13108</v>
      </c>
      <c r="AV213" s="542">
        <v>0</v>
      </c>
      <c r="AW213" s="542">
        <v>0</v>
      </c>
      <c r="AX213" s="542">
        <v>0</v>
      </c>
      <c r="AY213" s="542">
        <v>-1374</v>
      </c>
      <c r="AZ213" s="542">
        <v>0</v>
      </c>
      <c r="BA213" s="542">
        <v>-1374</v>
      </c>
      <c r="BB213" s="542">
        <v>0</v>
      </c>
      <c r="BC213" s="542">
        <v>0</v>
      </c>
      <c r="BD213" s="542">
        <v>0</v>
      </c>
      <c r="BE213" s="542">
        <v>-1768041</v>
      </c>
      <c r="BF213" s="542">
        <v>0</v>
      </c>
      <c r="BG213" s="542">
        <v>-1768041</v>
      </c>
      <c r="BH213" s="542">
        <v>0</v>
      </c>
      <c r="BI213" s="542">
        <v>0</v>
      </c>
      <c r="BJ213" s="542">
        <v>0</v>
      </c>
      <c r="BK213" s="542">
        <v>13147</v>
      </c>
      <c r="BL213" s="542">
        <v>0</v>
      </c>
      <c r="BM213" s="542">
        <v>13147</v>
      </c>
      <c r="BN213" s="542">
        <v>-1259523</v>
      </c>
      <c r="BO213" s="542">
        <v>0</v>
      </c>
      <c r="BP213" s="542">
        <v>-1259523</v>
      </c>
      <c r="BQ213" s="542">
        <v>78515</v>
      </c>
      <c r="BR213" s="542">
        <v>0</v>
      </c>
      <c r="BS213" s="542">
        <v>78515</v>
      </c>
      <c r="BT213" s="542">
        <v>-1167861</v>
      </c>
      <c r="BU213" s="542">
        <v>0</v>
      </c>
      <c r="BV213" s="542">
        <v>-1167861</v>
      </c>
      <c r="BW213" s="542">
        <v>-29977</v>
      </c>
      <c r="BX213" s="542">
        <v>0</v>
      </c>
      <c r="BY213" s="542">
        <v>-29977</v>
      </c>
      <c r="BZ213" s="542">
        <v>6993</v>
      </c>
      <c r="CA213" s="542">
        <v>0</v>
      </c>
      <c r="CB213" s="542">
        <v>6993</v>
      </c>
      <c r="CC213" s="542">
        <v>-49743</v>
      </c>
      <c r="CD213" s="542">
        <v>0</v>
      </c>
      <c r="CE213" s="542">
        <v>-49743</v>
      </c>
      <c r="CF213" s="542">
        <v>-1351</v>
      </c>
      <c r="CG213" s="542">
        <v>0</v>
      </c>
      <c r="CH213" s="542">
        <v>-1351</v>
      </c>
      <c r="CI213" s="542">
        <v>0</v>
      </c>
      <c r="CJ213" s="542">
        <v>0</v>
      </c>
      <c r="CK213" s="542">
        <v>0</v>
      </c>
      <c r="CL213" s="542">
        <v>0</v>
      </c>
      <c r="CM213" s="542">
        <v>0</v>
      </c>
      <c r="CN213" s="542">
        <v>0</v>
      </c>
      <c r="CO213" s="542">
        <v>0</v>
      </c>
      <c r="CP213" s="542">
        <v>0</v>
      </c>
      <c r="CQ213" s="542">
        <v>0</v>
      </c>
      <c r="CR213" s="542">
        <v>0</v>
      </c>
      <c r="CS213" s="542">
        <v>0</v>
      </c>
      <c r="CT213" s="542">
        <v>0</v>
      </c>
      <c r="CU213" s="542">
        <v>0</v>
      </c>
      <c r="CV213" s="542">
        <v>0</v>
      </c>
      <c r="CW213" s="542">
        <v>0</v>
      </c>
      <c r="CX213" s="542">
        <v>0</v>
      </c>
      <c r="CY213" s="542">
        <v>0</v>
      </c>
      <c r="CZ213" s="542">
        <v>0</v>
      </c>
      <c r="DA213" s="542">
        <v>0</v>
      </c>
      <c r="DB213" s="542">
        <v>0</v>
      </c>
      <c r="DC213" s="542">
        <v>0</v>
      </c>
      <c r="DD213" s="542">
        <v>0</v>
      </c>
      <c r="DE213" s="542">
        <v>0</v>
      </c>
      <c r="DF213" s="542">
        <v>0</v>
      </c>
      <c r="DG213" s="542"/>
      <c r="DH213" s="542">
        <v>0</v>
      </c>
      <c r="DI213" s="542"/>
      <c r="DJ213" s="542">
        <v>0</v>
      </c>
      <c r="DK213" s="542"/>
      <c r="DL213" s="542"/>
      <c r="DM213" s="542">
        <v>-74078</v>
      </c>
      <c r="DN213" s="542">
        <v>0</v>
      </c>
      <c r="DO213" s="542">
        <v>-74078</v>
      </c>
      <c r="DP213" s="542">
        <v>0</v>
      </c>
      <c r="DQ213" s="542">
        <v>0</v>
      </c>
      <c r="DR213" s="542">
        <v>0</v>
      </c>
      <c r="DS213" s="542">
        <v>0</v>
      </c>
      <c r="DT213" s="542">
        <v>0</v>
      </c>
      <c r="DU213" s="542">
        <v>0</v>
      </c>
      <c r="DV213" s="542">
        <v>-9631</v>
      </c>
      <c r="DW213" s="542">
        <v>0</v>
      </c>
      <c r="DX213" s="542">
        <v>-9631</v>
      </c>
      <c r="DY213" s="542">
        <v>-144237</v>
      </c>
      <c r="DZ213" s="542">
        <v>0</v>
      </c>
      <c r="EA213" s="542">
        <v>-144237</v>
      </c>
      <c r="EB213" s="542">
        <v>0</v>
      </c>
      <c r="EC213" s="542">
        <v>0</v>
      </c>
      <c r="ED213" s="542">
        <v>0</v>
      </c>
      <c r="EE213" s="542">
        <v>0</v>
      </c>
      <c r="EF213" s="542">
        <v>0</v>
      </c>
      <c r="EG213" s="542">
        <v>0</v>
      </c>
      <c r="EH213" s="542">
        <v>-153868</v>
      </c>
      <c r="EI213" s="542">
        <v>0</v>
      </c>
      <c r="EJ213" s="542">
        <v>-153868</v>
      </c>
      <c r="EK213" s="542">
        <v>0</v>
      </c>
      <c r="EL213" s="542">
        <v>0</v>
      </c>
      <c r="EM213" s="542">
        <v>0</v>
      </c>
      <c r="EN213" s="542">
        <v>0</v>
      </c>
      <c r="EO213" s="542">
        <v>0</v>
      </c>
      <c r="EP213" s="542">
        <v>0</v>
      </c>
      <c r="EQ213" s="542">
        <v>0</v>
      </c>
      <c r="ER213" s="542">
        <v>0</v>
      </c>
      <c r="ES213" s="542">
        <v>0</v>
      </c>
      <c r="ET213" s="542">
        <v>39203812</v>
      </c>
      <c r="EU213" s="542">
        <v>0</v>
      </c>
      <c r="EV213" s="542">
        <v>39203812</v>
      </c>
      <c r="EW213" s="542">
        <v>72649</v>
      </c>
      <c r="EX213" s="542">
        <v>0</v>
      </c>
      <c r="EY213" s="542">
        <v>72649</v>
      </c>
      <c r="EZ213" s="542">
        <v>-1768041</v>
      </c>
      <c r="FA213" s="542">
        <v>0</v>
      </c>
      <c r="FB213" s="542">
        <v>-1768041</v>
      </c>
      <c r="FC213" s="542">
        <v>-1167861</v>
      </c>
      <c r="FD213" s="542">
        <v>0</v>
      </c>
      <c r="FE213" s="542">
        <v>-1167861</v>
      </c>
      <c r="FF213" s="542">
        <v>-74078</v>
      </c>
      <c r="FG213" s="542">
        <v>0</v>
      </c>
      <c r="FH213" s="542">
        <v>-74078</v>
      </c>
      <c r="FI213" s="542">
        <v>-153868</v>
      </c>
      <c r="FJ213" s="542">
        <v>0</v>
      </c>
      <c r="FK213" s="542">
        <v>-153868</v>
      </c>
      <c r="FL213" s="542">
        <v>0</v>
      </c>
      <c r="FM213" s="542">
        <v>0</v>
      </c>
      <c r="FN213" s="542">
        <v>0</v>
      </c>
      <c r="FO213" s="542">
        <v>-3091199</v>
      </c>
      <c r="FP213" s="542">
        <v>0</v>
      </c>
      <c r="FQ213" s="542">
        <v>-3091199</v>
      </c>
      <c r="FR213" s="542">
        <v>36112613</v>
      </c>
      <c r="FS213" s="542">
        <v>0</v>
      </c>
      <c r="FT213" s="542">
        <v>36112613</v>
      </c>
    </row>
    <row r="214" spans="1:176" ht="12.75" x14ac:dyDescent="0.2">
      <c r="A214" s="93">
        <v>209</v>
      </c>
      <c r="B214" s="145" t="s">
        <v>296</v>
      </c>
      <c r="C214" s="604" t="s">
        <v>866</v>
      </c>
      <c r="D214" s="142" t="s">
        <v>867</v>
      </c>
      <c r="E214" s="149" t="s">
        <v>721</v>
      </c>
      <c r="F214" s="542">
        <v>-36372</v>
      </c>
      <c r="G214" s="542">
        <v>0</v>
      </c>
      <c r="H214" s="542">
        <v>-36372</v>
      </c>
      <c r="I214" s="542">
        <v>66125.440000000002</v>
      </c>
      <c r="J214" s="542">
        <v>0</v>
      </c>
      <c r="K214" s="542">
        <v>66125.440000000002</v>
      </c>
      <c r="L214" s="542">
        <v>11745</v>
      </c>
      <c r="M214" s="542">
        <v>0</v>
      </c>
      <c r="N214" s="542">
        <v>11745</v>
      </c>
      <c r="O214" s="542">
        <v>12220.15</v>
      </c>
      <c r="P214" s="542">
        <v>0</v>
      </c>
      <c r="Q214" s="542">
        <v>12220.15</v>
      </c>
      <c r="R214" s="542">
        <v>53719</v>
      </c>
      <c r="S214" s="542">
        <v>0</v>
      </c>
      <c r="T214" s="542">
        <v>53719</v>
      </c>
      <c r="U214" s="542">
        <v>-1952516</v>
      </c>
      <c r="V214" s="542">
        <v>0</v>
      </c>
      <c r="W214" s="542">
        <v>-1952516</v>
      </c>
      <c r="X214" s="542">
        <v>-9160</v>
      </c>
      <c r="Y214" s="542">
        <v>0</v>
      </c>
      <c r="Z214" s="542">
        <v>-9160</v>
      </c>
      <c r="AA214" s="542">
        <v>-61359</v>
      </c>
      <c r="AB214" s="542">
        <v>0</v>
      </c>
      <c r="AC214" s="542">
        <v>-61359</v>
      </c>
      <c r="AD214" s="542">
        <v>0</v>
      </c>
      <c r="AE214" s="542">
        <v>0</v>
      </c>
      <c r="AF214" s="542">
        <v>0</v>
      </c>
      <c r="AG214" s="542">
        <v>1156585</v>
      </c>
      <c r="AH214" s="542">
        <v>0</v>
      </c>
      <c r="AI214" s="542">
        <v>1156585</v>
      </c>
      <c r="AJ214" s="542">
        <v>44065</v>
      </c>
      <c r="AK214" s="542">
        <v>0</v>
      </c>
      <c r="AL214" s="542">
        <v>44065</v>
      </c>
      <c r="AM214" s="542">
        <v>-3302355</v>
      </c>
      <c r="AN214" s="542">
        <v>0</v>
      </c>
      <c r="AO214" s="542">
        <v>-3302355</v>
      </c>
      <c r="AP214" s="542">
        <v>98963</v>
      </c>
      <c r="AQ214" s="542">
        <v>0</v>
      </c>
      <c r="AR214" s="542">
        <v>98963</v>
      </c>
      <c r="AS214" s="542">
        <v>-57560</v>
      </c>
      <c r="AT214" s="542">
        <v>0</v>
      </c>
      <c r="AU214" s="542">
        <v>-57560</v>
      </c>
      <c r="AV214" s="542">
        <v>-3897</v>
      </c>
      <c r="AW214" s="542">
        <v>0</v>
      </c>
      <c r="AX214" s="542">
        <v>-3897</v>
      </c>
      <c r="AY214" s="542">
        <v>0</v>
      </c>
      <c r="AZ214" s="542">
        <v>0</v>
      </c>
      <c r="BA214" s="542">
        <v>0</v>
      </c>
      <c r="BB214" s="542">
        <v>0</v>
      </c>
      <c r="BC214" s="542">
        <v>0</v>
      </c>
      <c r="BD214" s="542">
        <v>0</v>
      </c>
      <c r="BE214" s="542">
        <v>-4078074</v>
      </c>
      <c r="BF214" s="542">
        <v>0</v>
      </c>
      <c r="BG214" s="542">
        <v>-4078074</v>
      </c>
      <c r="BH214" s="542">
        <v>-28075</v>
      </c>
      <c r="BI214" s="542">
        <v>0</v>
      </c>
      <c r="BJ214" s="542">
        <v>-28075</v>
      </c>
      <c r="BK214" s="542">
        <v>-18204</v>
      </c>
      <c r="BL214" s="542">
        <v>0</v>
      </c>
      <c r="BM214" s="542">
        <v>-18204</v>
      </c>
      <c r="BN214" s="542">
        <v>-1988447</v>
      </c>
      <c r="BO214" s="542">
        <v>0</v>
      </c>
      <c r="BP214" s="542">
        <v>-1988447</v>
      </c>
      <c r="BQ214" s="542">
        <v>-40318</v>
      </c>
      <c r="BR214" s="542">
        <v>0</v>
      </c>
      <c r="BS214" s="542">
        <v>-40318</v>
      </c>
      <c r="BT214" s="542">
        <v>-2075044</v>
      </c>
      <c r="BU214" s="542">
        <v>0</v>
      </c>
      <c r="BV214" s="542">
        <v>-2075044</v>
      </c>
      <c r="BW214" s="542">
        <v>-70549</v>
      </c>
      <c r="BX214" s="542">
        <v>0</v>
      </c>
      <c r="BY214" s="542">
        <v>-70549</v>
      </c>
      <c r="BZ214" s="542">
        <v>-4528</v>
      </c>
      <c r="CA214" s="542">
        <v>0</v>
      </c>
      <c r="CB214" s="542">
        <v>-4528</v>
      </c>
      <c r="CC214" s="542">
        <v>-33043</v>
      </c>
      <c r="CD214" s="542">
        <v>0</v>
      </c>
      <c r="CE214" s="542">
        <v>-33043</v>
      </c>
      <c r="CF214" s="542">
        <v>0</v>
      </c>
      <c r="CG214" s="542">
        <v>0</v>
      </c>
      <c r="CH214" s="542">
        <v>0</v>
      </c>
      <c r="CI214" s="542">
        <v>-2420</v>
      </c>
      <c r="CJ214" s="542">
        <v>0</v>
      </c>
      <c r="CK214" s="542">
        <v>-2420</v>
      </c>
      <c r="CL214" s="542">
        <v>0</v>
      </c>
      <c r="CM214" s="542">
        <v>0</v>
      </c>
      <c r="CN214" s="542">
        <v>0</v>
      </c>
      <c r="CO214" s="542">
        <v>-2564</v>
      </c>
      <c r="CP214" s="542">
        <v>0</v>
      </c>
      <c r="CQ214" s="542">
        <v>-2564</v>
      </c>
      <c r="CR214" s="542">
        <v>0</v>
      </c>
      <c r="CS214" s="542">
        <v>0</v>
      </c>
      <c r="CT214" s="542">
        <v>0</v>
      </c>
      <c r="CU214" s="542">
        <v>0</v>
      </c>
      <c r="CV214" s="542">
        <v>0</v>
      </c>
      <c r="CW214" s="542">
        <v>0</v>
      </c>
      <c r="CX214" s="542">
        <v>0</v>
      </c>
      <c r="CY214" s="542">
        <v>0</v>
      </c>
      <c r="CZ214" s="542">
        <v>0</v>
      </c>
      <c r="DA214" s="542">
        <v>0</v>
      </c>
      <c r="DB214" s="542">
        <v>0</v>
      </c>
      <c r="DC214" s="542">
        <v>0</v>
      </c>
      <c r="DD214" s="542">
        <v>0</v>
      </c>
      <c r="DE214" s="542">
        <v>0</v>
      </c>
      <c r="DF214" s="542">
        <v>0</v>
      </c>
      <c r="DG214" s="542"/>
      <c r="DH214" s="542">
        <v>0</v>
      </c>
      <c r="DI214" s="542"/>
      <c r="DJ214" s="542">
        <v>0</v>
      </c>
      <c r="DK214" s="542"/>
      <c r="DL214" s="542"/>
      <c r="DM214" s="542">
        <v>-113104</v>
      </c>
      <c r="DN214" s="542">
        <v>0</v>
      </c>
      <c r="DO214" s="542">
        <v>-113104</v>
      </c>
      <c r="DP214" s="542">
        <v>-991</v>
      </c>
      <c r="DQ214" s="542">
        <v>0</v>
      </c>
      <c r="DR214" s="542">
        <v>-991</v>
      </c>
      <c r="DS214" s="542">
        <v>0</v>
      </c>
      <c r="DT214" s="542">
        <v>0</v>
      </c>
      <c r="DU214" s="542">
        <v>0</v>
      </c>
      <c r="DV214" s="542">
        <v>0</v>
      </c>
      <c r="DW214" s="542">
        <v>0</v>
      </c>
      <c r="DX214" s="542">
        <v>0</v>
      </c>
      <c r="DY214" s="542">
        <v>-493499</v>
      </c>
      <c r="DZ214" s="542">
        <v>0</v>
      </c>
      <c r="EA214" s="542">
        <v>-493499</v>
      </c>
      <c r="EB214" s="542">
        <v>0</v>
      </c>
      <c r="EC214" s="542">
        <v>0</v>
      </c>
      <c r="ED214" s="542">
        <v>0</v>
      </c>
      <c r="EE214" s="542">
        <v>-2613</v>
      </c>
      <c r="EF214" s="542">
        <v>0</v>
      </c>
      <c r="EG214" s="542">
        <v>-2613</v>
      </c>
      <c r="EH214" s="542">
        <v>-497103</v>
      </c>
      <c r="EI214" s="542">
        <v>0</v>
      </c>
      <c r="EJ214" s="542">
        <v>-497103</v>
      </c>
      <c r="EK214" s="542">
        <v>0</v>
      </c>
      <c r="EL214" s="542">
        <v>0</v>
      </c>
      <c r="EM214" s="542">
        <v>0</v>
      </c>
      <c r="EN214" s="542">
        <v>0</v>
      </c>
      <c r="EO214" s="542">
        <v>0</v>
      </c>
      <c r="EP214" s="542">
        <v>0</v>
      </c>
      <c r="EQ214" s="542">
        <v>0</v>
      </c>
      <c r="ER214" s="542">
        <v>0</v>
      </c>
      <c r="ES214" s="542">
        <v>0</v>
      </c>
      <c r="ET214" s="542">
        <v>55293293</v>
      </c>
      <c r="EU214" s="542">
        <v>0</v>
      </c>
      <c r="EV214" s="542">
        <v>55293293</v>
      </c>
      <c r="EW214" s="542">
        <v>53719</v>
      </c>
      <c r="EX214" s="542">
        <v>0</v>
      </c>
      <c r="EY214" s="542">
        <v>53719</v>
      </c>
      <c r="EZ214" s="542">
        <v>-4078074</v>
      </c>
      <c r="FA214" s="542">
        <v>0</v>
      </c>
      <c r="FB214" s="542">
        <v>-4078074</v>
      </c>
      <c r="FC214" s="542">
        <v>-2075044</v>
      </c>
      <c r="FD214" s="542">
        <v>0</v>
      </c>
      <c r="FE214" s="542">
        <v>-2075044</v>
      </c>
      <c r="FF214" s="542">
        <v>-113104</v>
      </c>
      <c r="FG214" s="542">
        <v>0</v>
      </c>
      <c r="FH214" s="542">
        <v>-113104</v>
      </c>
      <c r="FI214" s="542">
        <v>-497103</v>
      </c>
      <c r="FJ214" s="542">
        <v>0</v>
      </c>
      <c r="FK214" s="542">
        <v>-497103</v>
      </c>
      <c r="FL214" s="542">
        <v>0</v>
      </c>
      <c r="FM214" s="542">
        <v>0</v>
      </c>
      <c r="FN214" s="542">
        <v>0</v>
      </c>
      <c r="FO214" s="542">
        <v>-6709606</v>
      </c>
      <c r="FP214" s="542">
        <v>0</v>
      </c>
      <c r="FQ214" s="542">
        <v>-6709606</v>
      </c>
      <c r="FR214" s="542">
        <v>48583687</v>
      </c>
      <c r="FS214" s="542">
        <v>0</v>
      </c>
      <c r="FT214" s="542">
        <v>48583687</v>
      </c>
    </row>
    <row r="215" spans="1:176" ht="12.75" x14ac:dyDescent="0.2">
      <c r="A215" s="93">
        <v>210</v>
      </c>
      <c r="B215" s="145" t="s">
        <v>298</v>
      </c>
      <c r="C215" s="604" t="s">
        <v>866</v>
      </c>
      <c r="D215" s="142" t="s">
        <v>868</v>
      </c>
      <c r="E215" s="149" t="s">
        <v>297</v>
      </c>
      <c r="F215" s="542">
        <v>-68314</v>
      </c>
      <c r="G215" s="542">
        <v>0</v>
      </c>
      <c r="H215" s="542">
        <v>-68314</v>
      </c>
      <c r="I215" s="542">
        <v>21773</v>
      </c>
      <c r="J215" s="542">
        <v>0</v>
      </c>
      <c r="K215" s="542">
        <v>21773</v>
      </c>
      <c r="L215" s="542">
        <v>5417</v>
      </c>
      <c r="M215" s="542">
        <v>0</v>
      </c>
      <c r="N215" s="542">
        <v>5417</v>
      </c>
      <c r="O215" s="542">
        <v>4160</v>
      </c>
      <c r="P215" s="542">
        <v>0</v>
      </c>
      <c r="Q215" s="542">
        <v>4160</v>
      </c>
      <c r="R215" s="542">
        <v>-36964</v>
      </c>
      <c r="S215" s="542">
        <v>0</v>
      </c>
      <c r="T215" s="542">
        <v>-36964</v>
      </c>
      <c r="U215" s="542">
        <v>-1877691</v>
      </c>
      <c r="V215" s="542">
        <v>0</v>
      </c>
      <c r="W215" s="542">
        <v>-1877691</v>
      </c>
      <c r="X215" s="542">
        <v>-4442</v>
      </c>
      <c r="Y215" s="542">
        <v>0</v>
      </c>
      <c r="Z215" s="542">
        <v>-4442</v>
      </c>
      <c r="AA215" s="542">
        <v>-80345</v>
      </c>
      <c r="AB215" s="542">
        <v>0</v>
      </c>
      <c r="AC215" s="542">
        <v>-80345</v>
      </c>
      <c r="AD215" s="542">
        <v>-17607</v>
      </c>
      <c r="AE215" s="542">
        <v>0</v>
      </c>
      <c r="AF215" s="542">
        <v>-17607</v>
      </c>
      <c r="AG215" s="542">
        <v>235613</v>
      </c>
      <c r="AH215" s="542">
        <v>41910</v>
      </c>
      <c r="AI215" s="542">
        <v>277523</v>
      </c>
      <c r="AJ215" s="542">
        <v>32033</v>
      </c>
      <c r="AK215" s="542">
        <v>0</v>
      </c>
      <c r="AL215" s="542">
        <v>32033</v>
      </c>
      <c r="AM215" s="542">
        <v>-889848</v>
      </c>
      <c r="AN215" s="542">
        <v>0</v>
      </c>
      <c r="AO215" s="542">
        <v>-889848</v>
      </c>
      <c r="AP215" s="542">
        <v>-44924</v>
      </c>
      <c r="AQ215" s="542">
        <v>0</v>
      </c>
      <c r="AR215" s="542">
        <v>-44924</v>
      </c>
      <c r="AS215" s="542">
        <v>-26115</v>
      </c>
      <c r="AT215" s="542">
        <v>0</v>
      </c>
      <c r="AU215" s="542">
        <v>-26115</v>
      </c>
      <c r="AV215" s="542">
        <v>0</v>
      </c>
      <c r="AW215" s="542">
        <v>0</v>
      </c>
      <c r="AX215" s="542">
        <v>0</v>
      </c>
      <c r="AY215" s="542">
        <v>-27073</v>
      </c>
      <c r="AZ215" s="542">
        <v>0</v>
      </c>
      <c r="BA215" s="542">
        <v>-27073</v>
      </c>
      <c r="BB215" s="542">
        <v>-1554</v>
      </c>
      <c r="BC215" s="542">
        <v>0</v>
      </c>
      <c r="BD215" s="542">
        <v>-1554</v>
      </c>
      <c r="BE215" s="542">
        <v>-2679904</v>
      </c>
      <c r="BF215" s="542">
        <v>41910</v>
      </c>
      <c r="BG215" s="542">
        <v>-2637994</v>
      </c>
      <c r="BH215" s="542">
        <v>0</v>
      </c>
      <c r="BI215" s="542">
        <v>0</v>
      </c>
      <c r="BJ215" s="542">
        <v>0</v>
      </c>
      <c r="BK215" s="542">
        <v>13301</v>
      </c>
      <c r="BL215" s="542">
        <v>0</v>
      </c>
      <c r="BM215" s="542">
        <v>13301</v>
      </c>
      <c r="BN215" s="542">
        <v>-377919</v>
      </c>
      <c r="BO215" s="542">
        <v>0</v>
      </c>
      <c r="BP215" s="542">
        <v>-377919</v>
      </c>
      <c r="BQ215" s="542">
        <v>36089</v>
      </c>
      <c r="BR215" s="542">
        <v>0</v>
      </c>
      <c r="BS215" s="542">
        <v>36089</v>
      </c>
      <c r="BT215" s="542">
        <v>-328529</v>
      </c>
      <c r="BU215" s="542">
        <v>0</v>
      </c>
      <c r="BV215" s="542">
        <v>-328529</v>
      </c>
      <c r="BW215" s="542">
        <v>-29114</v>
      </c>
      <c r="BX215" s="542">
        <v>0</v>
      </c>
      <c r="BY215" s="542">
        <v>-29114</v>
      </c>
      <c r="BZ215" s="542">
        <v>-932</v>
      </c>
      <c r="CA215" s="542">
        <v>0</v>
      </c>
      <c r="CB215" s="542">
        <v>-932</v>
      </c>
      <c r="CC215" s="542">
        <v>-10142</v>
      </c>
      <c r="CD215" s="542">
        <v>0</v>
      </c>
      <c r="CE215" s="542">
        <v>-10142</v>
      </c>
      <c r="CF215" s="542">
        <v>0</v>
      </c>
      <c r="CG215" s="542">
        <v>0</v>
      </c>
      <c r="CH215" s="542">
        <v>0</v>
      </c>
      <c r="CI215" s="542">
        <v>0</v>
      </c>
      <c r="CJ215" s="542">
        <v>0</v>
      </c>
      <c r="CK215" s="542">
        <v>0</v>
      </c>
      <c r="CL215" s="542">
        <v>0</v>
      </c>
      <c r="CM215" s="542">
        <v>0</v>
      </c>
      <c r="CN215" s="542">
        <v>0</v>
      </c>
      <c r="CO215" s="542">
        <v>-5323</v>
      </c>
      <c r="CP215" s="542">
        <v>0</v>
      </c>
      <c r="CQ215" s="542">
        <v>-5323</v>
      </c>
      <c r="CR215" s="542">
        <v>0</v>
      </c>
      <c r="CS215" s="542">
        <v>0</v>
      </c>
      <c r="CT215" s="542">
        <v>0</v>
      </c>
      <c r="CU215" s="542">
        <v>-1590</v>
      </c>
      <c r="CV215" s="542">
        <v>0</v>
      </c>
      <c r="CW215" s="542">
        <v>-1590</v>
      </c>
      <c r="CX215" s="542">
        <v>0</v>
      </c>
      <c r="CY215" s="542">
        <v>0</v>
      </c>
      <c r="CZ215" s="542">
        <v>0</v>
      </c>
      <c r="DA215" s="542">
        <v>0</v>
      </c>
      <c r="DB215" s="542">
        <v>0</v>
      </c>
      <c r="DC215" s="542">
        <v>0</v>
      </c>
      <c r="DD215" s="542">
        <v>0</v>
      </c>
      <c r="DE215" s="542">
        <v>0</v>
      </c>
      <c r="DF215" s="542">
        <v>0</v>
      </c>
      <c r="DG215" s="542"/>
      <c r="DH215" s="542">
        <v>0</v>
      </c>
      <c r="DI215" s="542"/>
      <c r="DJ215" s="542">
        <v>0</v>
      </c>
      <c r="DK215" s="542"/>
      <c r="DL215" s="542"/>
      <c r="DM215" s="542">
        <v>-47101</v>
      </c>
      <c r="DN215" s="542">
        <v>0</v>
      </c>
      <c r="DO215" s="542">
        <v>-47101</v>
      </c>
      <c r="DP215" s="542">
        <v>-9766</v>
      </c>
      <c r="DQ215" s="542">
        <v>0</v>
      </c>
      <c r="DR215" s="542">
        <v>-9766</v>
      </c>
      <c r="DS215" s="542">
        <v>0</v>
      </c>
      <c r="DT215" s="542">
        <v>0</v>
      </c>
      <c r="DU215" s="542">
        <v>0</v>
      </c>
      <c r="DV215" s="542">
        <v>-4854</v>
      </c>
      <c r="DW215" s="542">
        <v>0</v>
      </c>
      <c r="DX215" s="542">
        <v>-4854</v>
      </c>
      <c r="DY215" s="542">
        <v>-305361</v>
      </c>
      <c r="DZ215" s="542">
        <v>0</v>
      </c>
      <c r="EA215" s="542">
        <v>-305361</v>
      </c>
      <c r="EB215" s="542">
        <v>0</v>
      </c>
      <c r="EC215" s="542">
        <v>0</v>
      </c>
      <c r="ED215" s="542">
        <v>0</v>
      </c>
      <c r="EE215" s="542">
        <v>0</v>
      </c>
      <c r="EF215" s="542">
        <v>0</v>
      </c>
      <c r="EG215" s="542">
        <v>0</v>
      </c>
      <c r="EH215" s="542">
        <v>-319981</v>
      </c>
      <c r="EI215" s="542">
        <v>0</v>
      </c>
      <c r="EJ215" s="542">
        <v>-319981</v>
      </c>
      <c r="EK215" s="542">
        <v>0</v>
      </c>
      <c r="EL215" s="542">
        <v>0</v>
      </c>
      <c r="EM215" s="542">
        <v>0</v>
      </c>
      <c r="EN215" s="542">
        <v>0</v>
      </c>
      <c r="EO215" s="542">
        <v>0</v>
      </c>
      <c r="EP215" s="542">
        <v>0</v>
      </c>
      <c r="EQ215" s="542">
        <v>0</v>
      </c>
      <c r="ER215" s="542">
        <v>0</v>
      </c>
      <c r="ES215" s="542">
        <v>0</v>
      </c>
      <c r="ET215" s="542">
        <v>15818440</v>
      </c>
      <c r="EU215" s="542">
        <v>1794510</v>
      </c>
      <c r="EV215" s="542">
        <v>17612950</v>
      </c>
      <c r="EW215" s="542">
        <v>-36964</v>
      </c>
      <c r="EX215" s="542">
        <v>0</v>
      </c>
      <c r="EY215" s="542">
        <v>-36964</v>
      </c>
      <c r="EZ215" s="542">
        <v>-2679904</v>
      </c>
      <c r="FA215" s="542">
        <v>41910</v>
      </c>
      <c r="FB215" s="542">
        <v>-2637994</v>
      </c>
      <c r="FC215" s="542">
        <v>-328529</v>
      </c>
      <c r="FD215" s="542">
        <v>0</v>
      </c>
      <c r="FE215" s="542">
        <v>-328529</v>
      </c>
      <c r="FF215" s="542">
        <v>-47101</v>
      </c>
      <c r="FG215" s="542">
        <v>0</v>
      </c>
      <c r="FH215" s="542">
        <v>-47101</v>
      </c>
      <c r="FI215" s="542">
        <v>-319981</v>
      </c>
      <c r="FJ215" s="542">
        <v>0</v>
      </c>
      <c r="FK215" s="542">
        <v>-319981</v>
      </c>
      <c r="FL215" s="542">
        <v>0</v>
      </c>
      <c r="FM215" s="542">
        <v>0</v>
      </c>
      <c r="FN215" s="542">
        <v>0</v>
      </c>
      <c r="FO215" s="542">
        <v>-3412479</v>
      </c>
      <c r="FP215" s="542">
        <v>41910</v>
      </c>
      <c r="FQ215" s="542">
        <v>-3370569</v>
      </c>
      <c r="FR215" s="542">
        <v>12405961</v>
      </c>
      <c r="FS215" s="542">
        <v>1836420</v>
      </c>
      <c r="FT215" s="542">
        <v>14242381</v>
      </c>
    </row>
    <row r="216" spans="1:176" ht="12.75" x14ac:dyDescent="0.2">
      <c r="A216" s="93">
        <v>211</v>
      </c>
      <c r="B216" s="145" t="s">
        <v>300</v>
      </c>
      <c r="C216" s="604" t="s">
        <v>871</v>
      </c>
      <c r="D216" s="142" t="s">
        <v>872</v>
      </c>
      <c r="E216" s="149" t="s">
        <v>299</v>
      </c>
      <c r="F216" s="542">
        <v>-107869</v>
      </c>
      <c r="G216" s="542">
        <v>0</v>
      </c>
      <c r="H216" s="542">
        <v>-107869</v>
      </c>
      <c r="I216" s="542">
        <v>663137</v>
      </c>
      <c r="J216" s="542">
        <v>0</v>
      </c>
      <c r="K216" s="542">
        <v>663137</v>
      </c>
      <c r="L216" s="542">
        <v>20455</v>
      </c>
      <c r="M216" s="542">
        <v>0</v>
      </c>
      <c r="N216" s="542">
        <v>20455</v>
      </c>
      <c r="O216" s="542">
        <v>68944</v>
      </c>
      <c r="P216" s="542">
        <v>0</v>
      </c>
      <c r="Q216" s="542">
        <v>68944</v>
      </c>
      <c r="R216" s="542">
        <v>644667</v>
      </c>
      <c r="S216" s="542">
        <v>0</v>
      </c>
      <c r="T216" s="542">
        <v>644667</v>
      </c>
      <c r="U216" s="542">
        <v>-2337414</v>
      </c>
      <c r="V216" s="542">
        <v>0</v>
      </c>
      <c r="W216" s="542">
        <v>-2337414</v>
      </c>
      <c r="X216" s="542">
        <v>0</v>
      </c>
      <c r="Y216" s="542">
        <v>0</v>
      </c>
      <c r="Z216" s="542">
        <v>0</v>
      </c>
      <c r="AA216" s="542">
        <v>-203008</v>
      </c>
      <c r="AB216" s="542">
        <v>0</v>
      </c>
      <c r="AC216" s="542">
        <v>-203008</v>
      </c>
      <c r="AD216" s="542">
        <v>236775</v>
      </c>
      <c r="AE216" s="542">
        <v>0</v>
      </c>
      <c r="AF216" s="542">
        <v>236775</v>
      </c>
      <c r="AG216" s="542">
        <v>1820343</v>
      </c>
      <c r="AH216" s="542">
        <v>0</v>
      </c>
      <c r="AI216" s="542">
        <v>1820343</v>
      </c>
      <c r="AJ216" s="542">
        <v>-40215</v>
      </c>
      <c r="AK216" s="542">
        <v>0</v>
      </c>
      <c r="AL216" s="542">
        <v>-40215</v>
      </c>
      <c r="AM216" s="542">
        <v>-8227880</v>
      </c>
      <c r="AN216" s="542">
        <v>0</v>
      </c>
      <c r="AO216" s="542">
        <v>-8227880</v>
      </c>
      <c r="AP216" s="542">
        <v>-438204</v>
      </c>
      <c r="AQ216" s="542">
        <v>0</v>
      </c>
      <c r="AR216" s="542">
        <v>-438204</v>
      </c>
      <c r="AS216" s="542">
        <v>-51674</v>
      </c>
      <c r="AT216" s="542">
        <v>0</v>
      </c>
      <c r="AU216" s="542">
        <v>-51674</v>
      </c>
      <c r="AV216" s="542">
        <v>0</v>
      </c>
      <c r="AW216" s="542">
        <v>0</v>
      </c>
      <c r="AX216" s="542">
        <v>0</v>
      </c>
      <c r="AY216" s="542">
        <v>0</v>
      </c>
      <c r="AZ216" s="542">
        <v>0</v>
      </c>
      <c r="BA216" s="542">
        <v>0</v>
      </c>
      <c r="BB216" s="542">
        <v>0</v>
      </c>
      <c r="BC216" s="542">
        <v>0</v>
      </c>
      <c r="BD216" s="542">
        <v>0</v>
      </c>
      <c r="BE216" s="542">
        <v>-9478052</v>
      </c>
      <c r="BF216" s="542">
        <v>0</v>
      </c>
      <c r="BG216" s="542">
        <v>-9478052</v>
      </c>
      <c r="BH216" s="542">
        <v>0</v>
      </c>
      <c r="BI216" s="542">
        <v>0</v>
      </c>
      <c r="BJ216" s="542">
        <v>0</v>
      </c>
      <c r="BK216" s="542">
        <v>0</v>
      </c>
      <c r="BL216" s="542">
        <v>0</v>
      </c>
      <c r="BM216" s="542">
        <v>0</v>
      </c>
      <c r="BN216" s="542">
        <v>-2683309</v>
      </c>
      <c r="BO216" s="542">
        <v>0</v>
      </c>
      <c r="BP216" s="542">
        <v>-2683309</v>
      </c>
      <c r="BQ216" s="542">
        <v>-48435</v>
      </c>
      <c r="BR216" s="542">
        <v>0</v>
      </c>
      <c r="BS216" s="542">
        <v>-48435</v>
      </c>
      <c r="BT216" s="542">
        <v>-2731744</v>
      </c>
      <c r="BU216" s="542">
        <v>0</v>
      </c>
      <c r="BV216" s="542">
        <v>-2731744</v>
      </c>
      <c r="BW216" s="542">
        <v>-247094</v>
      </c>
      <c r="BX216" s="542">
        <v>0</v>
      </c>
      <c r="BY216" s="542">
        <v>-247094</v>
      </c>
      <c r="BZ216" s="542">
        <v>493</v>
      </c>
      <c r="CA216" s="542">
        <v>0</v>
      </c>
      <c r="CB216" s="542">
        <v>493</v>
      </c>
      <c r="CC216" s="542">
        <v>-157941</v>
      </c>
      <c r="CD216" s="542">
        <v>0</v>
      </c>
      <c r="CE216" s="542">
        <v>-157941</v>
      </c>
      <c r="CF216" s="542">
        <v>-1514</v>
      </c>
      <c r="CG216" s="542">
        <v>0</v>
      </c>
      <c r="CH216" s="542">
        <v>-1514</v>
      </c>
      <c r="CI216" s="542">
        <v>-3928</v>
      </c>
      <c r="CJ216" s="542">
        <v>0</v>
      </c>
      <c r="CK216" s="542">
        <v>-3928</v>
      </c>
      <c r="CL216" s="542">
        <v>0</v>
      </c>
      <c r="CM216" s="542">
        <v>0</v>
      </c>
      <c r="CN216" s="542">
        <v>0</v>
      </c>
      <c r="CO216" s="542">
        <v>0</v>
      </c>
      <c r="CP216" s="542">
        <v>0</v>
      </c>
      <c r="CQ216" s="542">
        <v>0</v>
      </c>
      <c r="CR216" s="542">
        <v>0</v>
      </c>
      <c r="CS216" s="542">
        <v>0</v>
      </c>
      <c r="CT216" s="542">
        <v>0</v>
      </c>
      <c r="CU216" s="542">
        <v>0</v>
      </c>
      <c r="CV216" s="542">
        <v>0</v>
      </c>
      <c r="CW216" s="542">
        <v>0</v>
      </c>
      <c r="CX216" s="542">
        <v>0</v>
      </c>
      <c r="CY216" s="542">
        <v>0</v>
      </c>
      <c r="CZ216" s="542">
        <v>0</v>
      </c>
      <c r="DA216" s="542">
        <v>0</v>
      </c>
      <c r="DB216" s="542">
        <v>0</v>
      </c>
      <c r="DC216" s="542">
        <v>0</v>
      </c>
      <c r="DD216" s="542">
        <v>0</v>
      </c>
      <c r="DE216" s="542">
        <v>0</v>
      </c>
      <c r="DF216" s="542">
        <v>0</v>
      </c>
      <c r="DG216" s="542"/>
      <c r="DH216" s="542">
        <v>0</v>
      </c>
      <c r="DI216" s="542"/>
      <c r="DJ216" s="542">
        <v>0</v>
      </c>
      <c r="DK216" s="542"/>
      <c r="DL216" s="542"/>
      <c r="DM216" s="542">
        <v>-409984</v>
      </c>
      <c r="DN216" s="542">
        <v>0</v>
      </c>
      <c r="DO216" s="542">
        <v>-409984</v>
      </c>
      <c r="DP216" s="542">
        <v>0</v>
      </c>
      <c r="DQ216" s="542">
        <v>0</v>
      </c>
      <c r="DR216" s="542">
        <v>0</v>
      </c>
      <c r="DS216" s="542">
        <v>0</v>
      </c>
      <c r="DT216" s="542">
        <v>0</v>
      </c>
      <c r="DU216" s="542">
        <v>0</v>
      </c>
      <c r="DV216" s="542">
        <v>-8344</v>
      </c>
      <c r="DW216" s="542">
        <v>0</v>
      </c>
      <c r="DX216" s="542">
        <v>-8344</v>
      </c>
      <c r="DY216" s="542">
        <v>-1058239</v>
      </c>
      <c r="DZ216" s="542">
        <v>0</v>
      </c>
      <c r="EA216" s="542">
        <v>-1058239</v>
      </c>
      <c r="EB216" s="542">
        <v>-1997</v>
      </c>
      <c r="EC216" s="542">
        <v>0</v>
      </c>
      <c r="ED216" s="542">
        <v>-1997</v>
      </c>
      <c r="EE216" s="542">
        <v>-33148</v>
      </c>
      <c r="EF216" s="542">
        <v>0</v>
      </c>
      <c r="EG216" s="542">
        <v>-33148</v>
      </c>
      <c r="EH216" s="542">
        <v>-1101728</v>
      </c>
      <c r="EI216" s="542">
        <v>0</v>
      </c>
      <c r="EJ216" s="542">
        <v>-1101728</v>
      </c>
      <c r="EK216" s="542">
        <v>0</v>
      </c>
      <c r="EL216" s="542">
        <v>0</v>
      </c>
      <c r="EM216" s="542">
        <v>0</v>
      </c>
      <c r="EN216" s="542">
        <v>0</v>
      </c>
      <c r="EO216" s="542">
        <v>0</v>
      </c>
      <c r="EP216" s="542">
        <v>0</v>
      </c>
      <c r="EQ216" s="542">
        <v>0</v>
      </c>
      <c r="ER216" s="542">
        <v>0</v>
      </c>
      <c r="ES216" s="542">
        <v>0</v>
      </c>
      <c r="ET216" s="542">
        <v>94112126</v>
      </c>
      <c r="EU216" s="542">
        <v>0</v>
      </c>
      <c r="EV216" s="542">
        <v>94112126</v>
      </c>
      <c r="EW216" s="542">
        <v>644667</v>
      </c>
      <c r="EX216" s="542">
        <v>0</v>
      </c>
      <c r="EY216" s="542">
        <v>644667</v>
      </c>
      <c r="EZ216" s="542">
        <v>-9478052</v>
      </c>
      <c r="FA216" s="542">
        <v>0</v>
      </c>
      <c r="FB216" s="542">
        <v>-9478052</v>
      </c>
      <c r="FC216" s="542">
        <v>-2731744</v>
      </c>
      <c r="FD216" s="542">
        <v>0</v>
      </c>
      <c r="FE216" s="542">
        <v>-2731744</v>
      </c>
      <c r="FF216" s="542">
        <v>-409984</v>
      </c>
      <c r="FG216" s="542">
        <v>0</v>
      </c>
      <c r="FH216" s="542">
        <v>-409984</v>
      </c>
      <c r="FI216" s="542">
        <v>-1101728</v>
      </c>
      <c r="FJ216" s="542">
        <v>0</v>
      </c>
      <c r="FK216" s="542">
        <v>-1101728</v>
      </c>
      <c r="FL216" s="542">
        <v>0</v>
      </c>
      <c r="FM216" s="542">
        <v>0</v>
      </c>
      <c r="FN216" s="542">
        <v>0</v>
      </c>
      <c r="FO216" s="542">
        <v>-13076841</v>
      </c>
      <c r="FP216" s="542">
        <v>0</v>
      </c>
      <c r="FQ216" s="542">
        <v>-13076841</v>
      </c>
      <c r="FR216" s="542">
        <v>81035285</v>
      </c>
      <c r="FS216" s="542">
        <v>0</v>
      </c>
      <c r="FT216" s="542">
        <v>81035285</v>
      </c>
    </row>
    <row r="217" spans="1:176" ht="12.75" x14ac:dyDescent="0.2">
      <c r="A217" s="93">
        <v>212</v>
      </c>
      <c r="B217" s="145" t="s">
        <v>302</v>
      </c>
      <c r="C217" s="604" t="s">
        <v>866</v>
      </c>
      <c r="D217" s="142" t="s">
        <v>874</v>
      </c>
      <c r="E217" s="149" t="s">
        <v>301</v>
      </c>
      <c r="F217" s="542">
        <v>-11426</v>
      </c>
      <c r="G217" s="542">
        <v>0</v>
      </c>
      <c r="H217" s="542">
        <v>-11426</v>
      </c>
      <c r="I217" s="542">
        <v>-85618</v>
      </c>
      <c r="J217" s="542">
        <v>0</v>
      </c>
      <c r="K217" s="542">
        <v>-85618</v>
      </c>
      <c r="L217" s="542">
        <v>6026</v>
      </c>
      <c r="M217" s="542">
        <v>0</v>
      </c>
      <c r="N217" s="542">
        <v>6026</v>
      </c>
      <c r="O217" s="542">
        <v>199748</v>
      </c>
      <c r="P217" s="542">
        <v>0</v>
      </c>
      <c r="Q217" s="542">
        <v>199748</v>
      </c>
      <c r="R217" s="542">
        <v>108730</v>
      </c>
      <c r="S217" s="542">
        <v>0</v>
      </c>
      <c r="T217" s="542">
        <v>108730</v>
      </c>
      <c r="U217" s="542">
        <v>-1802968</v>
      </c>
      <c r="V217" s="542">
        <v>0</v>
      </c>
      <c r="W217" s="542">
        <v>-1802968</v>
      </c>
      <c r="X217" s="542">
        <v>0</v>
      </c>
      <c r="Y217" s="542">
        <v>0</v>
      </c>
      <c r="Z217" s="542">
        <v>0</v>
      </c>
      <c r="AA217" s="542">
        <v>-455578</v>
      </c>
      <c r="AB217" s="542">
        <v>0</v>
      </c>
      <c r="AC217" s="542">
        <v>-455578</v>
      </c>
      <c r="AD217" s="542">
        <v>-163521</v>
      </c>
      <c r="AE217" s="542">
        <v>0</v>
      </c>
      <c r="AF217" s="542">
        <v>-163521</v>
      </c>
      <c r="AG217" s="542">
        <v>256928</v>
      </c>
      <c r="AH217" s="542">
        <v>0</v>
      </c>
      <c r="AI217" s="542">
        <v>256928</v>
      </c>
      <c r="AJ217" s="542">
        <v>-17834</v>
      </c>
      <c r="AK217" s="542">
        <v>0</v>
      </c>
      <c r="AL217" s="542">
        <v>-17834</v>
      </c>
      <c r="AM217" s="542">
        <v>-575387</v>
      </c>
      <c r="AN217" s="542">
        <v>0</v>
      </c>
      <c r="AO217" s="542">
        <v>-575387</v>
      </c>
      <c r="AP217" s="542">
        <v>-32331</v>
      </c>
      <c r="AQ217" s="542">
        <v>0</v>
      </c>
      <c r="AR217" s="542">
        <v>-32331</v>
      </c>
      <c r="AS217" s="542">
        <v>-42447</v>
      </c>
      <c r="AT217" s="542">
        <v>0</v>
      </c>
      <c r="AU217" s="542">
        <v>-42447</v>
      </c>
      <c r="AV217" s="542">
        <v>-1185</v>
      </c>
      <c r="AW217" s="542">
        <v>0</v>
      </c>
      <c r="AX217" s="542">
        <v>-1185</v>
      </c>
      <c r="AY217" s="542">
        <v>-47103</v>
      </c>
      <c r="AZ217" s="542">
        <v>0</v>
      </c>
      <c r="BA217" s="542">
        <v>-47103</v>
      </c>
      <c r="BB217" s="542">
        <v>-4083</v>
      </c>
      <c r="BC217" s="542">
        <v>0</v>
      </c>
      <c r="BD217" s="542">
        <v>-4083</v>
      </c>
      <c r="BE217" s="542">
        <v>-2721988</v>
      </c>
      <c r="BF217" s="542">
        <v>0</v>
      </c>
      <c r="BG217" s="542">
        <v>-2721988</v>
      </c>
      <c r="BH217" s="542">
        <v>0</v>
      </c>
      <c r="BI217" s="542">
        <v>0</v>
      </c>
      <c r="BJ217" s="542">
        <v>0</v>
      </c>
      <c r="BK217" s="542">
        <v>-3037</v>
      </c>
      <c r="BL217" s="542">
        <v>0</v>
      </c>
      <c r="BM217" s="542">
        <v>-3037</v>
      </c>
      <c r="BN217" s="542">
        <v>-248095</v>
      </c>
      <c r="BO217" s="542">
        <v>0</v>
      </c>
      <c r="BP217" s="542">
        <v>-248095</v>
      </c>
      <c r="BQ217" s="542">
        <v>-66620</v>
      </c>
      <c r="BR217" s="542">
        <v>0</v>
      </c>
      <c r="BS217" s="542">
        <v>-66620</v>
      </c>
      <c r="BT217" s="542">
        <v>-317752</v>
      </c>
      <c r="BU217" s="542">
        <v>0</v>
      </c>
      <c r="BV217" s="542">
        <v>-317752</v>
      </c>
      <c r="BW217" s="542">
        <v>-49743</v>
      </c>
      <c r="BX217" s="542">
        <v>0</v>
      </c>
      <c r="BY217" s="542">
        <v>-49743</v>
      </c>
      <c r="BZ217" s="542">
        <v>-2670</v>
      </c>
      <c r="CA217" s="542">
        <v>0</v>
      </c>
      <c r="CB217" s="542">
        <v>-2670</v>
      </c>
      <c r="CC217" s="542">
        <v>-14379</v>
      </c>
      <c r="CD217" s="542">
        <v>0</v>
      </c>
      <c r="CE217" s="542">
        <v>-14379</v>
      </c>
      <c r="CF217" s="542">
        <v>336</v>
      </c>
      <c r="CG217" s="542">
        <v>0</v>
      </c>
      <c r="CH217" s="542">
        <v>336</v>
      </c>
      <c r="CI217" s="542">
        <v>-1357</v>
      </c>
      <c r="CJ217" s="542">
        <v>0</v>
      </c>
      <c r="CK217" s="542">
        <v>-1357</v>
      </c>
      <c r="CL217" s="542">
        <v>0</v>
      </c>
      <c r="CM217" s="542">
        <v>0</v>
      </c>
      <c r="CN217" s="542">
        <v>0</v>
      </c>
      <c r="CO217" s="542">
        <v>-14204</v>
      </c>
      <c r="CP217" s="542">
        <v>0</v>
      </c>
      <c r="CQ217" s="542">
        <v>-14204</v>
      </c>
      <c r="CR217" s="542">
        <v>-12151</v>
      </c>
      <c r="CS217" s="542">
        <v>0</v>
      </c>
      <c r="CT217" s="542">
        <v>-12151</v>
      </c>
      <c r="CU217" s="542">
        <v>0</v>
      </c>
      <c r="CV217" s="542">
        <v>0</v>
      </c>
      <c r="CW217" s="542">
        <v>0</v>
      </c>
      <c r="CX217" s="542">
        <v>3459</v>
      </c>
      <c r="CY217" s="542">
        <v>0</v>
      </c>
      <c r="CZ217" s="542">
        <v>3459</v>
      </c>
      <c r="DA217" s="542">
        <v>0</v>
      </c>
      <c r="DB217" s="542">
        <v>0</v>
      </c>
      <c r="DC217" s="542">
        <v>0</v>
      </c>
      <c r="DD217" s="542">
        <v>0</v>
      </c>
      <c r="DE217" s="542">
        <v>0</v>
      </c>
      <c r="DF217" s="542">
        <v>0</v>
      </c>
      <c r="DG217" s="542"/>
      <c r="DH217" s="542">
        <v>0</v>
      </c>
      <c r="DI217" s="542"/>
      <c r="DJ217" s="542">
        <v>0</v>
      </c>
      <c r="DK217" s="542"/>
      <c r="DL217" s="542"/>
      <c r="DM217" s="542">
        <v>-90709</v>
      </c>
      <c r="DN217" s="542">
        <v>0</v>
      </c>
      <c r="DO217" s="542">
        <v>-90709</v>
      </c>
      <c r="DP217" s="542">
        <v>-1728</v>
      </c>
      <c r="DQ217" s="542">
        <v>0</v>
      </c>
      <c r="DR217" s="542">
        <v>-1728</v>
      </c>
      <c r="DS217" s="542">
        <v>0</v>
      </c>
      <c r="DT217" s="542">
        <v>0</v>
      </c>
      <c r="DU217" s="542">
        <v>0</v>
      </c>
      <c r="DV217" s="542">
        <v>0</v>
      </c>
      <c r="DW217" s="542">
        <v>0</v>
      </c>
      <c r="DX217" s="542">
        <v>0</v>
      </c>
      <c r="DY217" s="542">
        <v>-187302</v>
      </c>
      <c r="DZ217" s="542">
        <v>0</v>
      </c>
      <c r="EA217" s="542">
        <v>-187302</v>
      </c>
      <c r="EB217" s="542">
        <v>0</v>
      </c>
      <c r="EC217" s="542">
        <v>0</v>
      </c>
      <c r="ED217" s="542">
        <v>0</v>
      </c>
      <c r="EE217" s="542">
        <v>0</v>
      </c>
      <c r="EF217" s="542">
        <v>0</v>
      </c>
      <c r="EG217" s="542">
        <v>0</v>
      </c>
      <c r="EH217" s="542">
        <v>-189030</v>
      </c>
      <c r="EI217" s="542">
        <v>0</v>
      </c>
      <c r="EJ217" s="542">
        <v>-189030</v>
      </c>
      <c r="EK217" s="542">
        <v>0</v>
      </c>
      <c r="EL217" s="542">
        <v>0</v>
      </c>
      <c r="EM217" s="542">
        <v>0</v>
      </c>
      <c r="EN217" s="542">
        <v>0</v>
      </c>
      <c r="EO217" s="542">
        <v>0</v>
      </c>
      <c r="EP217" s="542">
        <v>0</v>
      </c>
      <c r="EQ217" s="542">
        <v>0</v>
      </c>
      <c r="ER217" s="542">
        <v>0</v>
      </c>
      <c r="ES217" s="542">
        <v>0</v>
      </c>
      <c r="ET217" s="542">
        <v>11773989</v>
      </c>
      <c r="EU217" s="542">
        <v>0</v>
      </c>
      <c r="EV217" s="542">
        <v>11773989</v>
      </c>
      <c r="EW217" s="542">
        <v>108730</v>
      </c>
      <c r="EX217" s="542">
        <v>0</v>
      </c>
      <c r="EY217" s="542">
        <v>108730</v>
      </c>
      <c r="EZ217" s="542">
        <v>-2721988</v>
      </c>
      <c r="FA217" s="542">
        <v>0</v>
      </c>
      <c r="FB217" s="542">
        <v>-2721988</v>
      </c>
      <c r="FC217" s="542">
        <v>-317752</v>
      </c>
      <c r="FD217" s="542">
        <v>0</v>
      </c>
      <c r="FE217" s="542">
        <v>-317752</v>
      </c>
      <c r="FF217" s="542">
        <v>-90709</v>
      </c>
      <c r="FG217" s="542">
        <v>0</v>
      </c>
      <c r="FH217" s="542">
        <v>-90709</v>
      </c>
      <c r="FI217" s="542">
        <v>-189030</v>
      </c>
      <c r="FJ217" s="542">
        <v>0</v>
      </c>
      <c r="FK217" s="542">
        <v>-189030</v>
      </c>
      <c r="FL217" s="542">
        <v>0</v>
      </c>
      <c r="FM217" s="542">
        <v>0</v>
      </c>
      <c r="FN217" s="542">
        <v>0</v>
      </c>
      <c r="FO217" s="542">
        <v>-3210749</v>
      </c>
      <c r="FP217" s="542">
        <v>0</v>
      </c>
      <c r="FQ217" s="542">
        <v>-3210749</v>
      </c>
      <c r="FR217" s="542">
        <v>8563240</v>
      </c>
      <c r="FS217" s="542">
        <v>0</v>
      </c>
      <c r="FT217" s="542">
        <v>8563240</v>
      </c>
    </row>
    <row r="218" spans="1:176" ht="12.75" x14ac:dyDescent="0.2">
      <c r="A218" s="93">
        <v>213</v>
      </c>
      <c r="B218" s="145" t="s">
        <v>304</v>
      </c>
      <c r="C218" s="604" t="s">
        <v>873</v>
      </c>
      <c r="D218" s="142" t="s">
        <v>868</v>
      </c>
      <c r="E218" s="149" t="s">
        <v>303</v>
      </c>
      <c r="F218" s="542">
        <v>-54090</v>
      </c>
      <c r="G218" s="542">
        <v>0</v>
      </c>
      <c r="H218" s="542">
        <v>-54090</v>
      </c>
      <c r="I218" s="542">
        <v>213952</v>
      </c>
      <c r="J218" s="542">
        <v>0</v>
      </c>
      <c r="K218" s="542">
        <v>213952</v>
      </c>
      <c r="L218" s="542">
        <v>99155</v>
      </c>
      <c r="M218" s="542">
        <v>0</v>
      </c>
      <c r="N218" s="542">
        <v>99155</v>
      </c>
      <c r="O218" s="542">
        <v>429885</v>
      </c>
      <c r="P218" s="542">
        <v>0</v>
      </c>
      <c r="Q218" s="542">
        <v>429885</v>
      </c>
      <c r="R218" s="542">
        <v>688902</v>
      </c>
      <c r="S218" s="542">
        <v>0</v>
      </c>
      <c r="T218" s="542">
        <v>688902</v>
      </c>
      <c r="U218" s="542">
        <v>-5188436</v>
      </c>
      <c r="V218" s="542">
        <v>0</v>
      </c>
      <c r="W218" s="542">
        <v>-5188436</v>
      </c>
      <c r="X218" s="542">
        <v>-5188</v>
      </c>
      <c r="Y218" s="542">
        <v>0</v>
      </c>
      <c r="Z218" s="542">
        <v>-5188</v>
      </c>
      <c r="AA218" s="542">
        <v>-267148</v>
      </c>
      <c r="AB218" s="542">
        <v>0</v>
      </c>
      <c r="AC218" s="542">
        <v>-267148</v>
      </c>
      <c r="AD218" s="542">
        <v>-135165.78</v>
      </c>
      <c r="AE218" s="542">
        <v>0</v>
      </c>
      <c r="AF218" s="542">
        <v>-135165.78</v>
      </c>
      <c r="AG218" s="542">
        <v>1537473</v>
      </c>
      <c r="AH218" s="542">
        <v>0</v>
      </c>
      <c r="AI218" s="542">
        <v>1537473</v>
      </c>
      <c r="AJ218" s="542">
        <v>-21272</v>
      </c>
      <c r="AK218" s="542">
        <v>0</v>
      </c>
      <c r="AL218" s="542">
        <v>-21272</v>
      </c>
      <c r="AM218" s="542">
        <v>-3282902</v>
      </c>
      <c r="AN218" s="542">
        <v>0</v>
      </c>
      <c r="AO218" s="542">
        <v>-3282902</v>
      </c>
      <c r="AP218" s="542">
        <v>-409981</v>
      </c>
      <c r="AQ218" s="542">
        <v>0</v>
      </c>
      <c r="AR218" s="542">
        <v>-409981</v>
      </c>
      <c r="AS218" s="542">
        <v>-94038</v>
      </c>
      <c r="AT218" s="542">
        <v>0</v>
      </c>
      <c r="AU218" s="542">
        <v>-94038</v>
      </c>
      <c r="AV218" s="542">
        <v>0</v>
      </c>
      <c r="AW218" s="542">
        <v>0</v>
      </c>
      <c r="AX218" s="542">
        <v>0</v>
      </c>
      <c r="AY218" s="542">
        <v>0</v>
      </c>
      <c r="AZ218" s="542">
        <v>0</v>
      </c>
      <c r="BA218" s="542">
        <v>0</v>
      </c>
      <c r="BB218" s="542">
        <v>0</v>
      </c>
      <c r="BC218" s="542">
        <v>0</v>
      </c>
      <c r="BD218" s="542">
        <v>0</v>
      </c>
      <c r="BE218" s="542">
        <v>-7726304</v>
      </c>
      <c r="BF218" s="542">
        <v>0</v>
      </c>
      <c r="BG218" s="542">
        <v>-7726304</v>
      </c>
      <c r="BH218" s="542">
        <v>-134335</v>
      </c>
      <c r="BI218" s="542">
        <v>0</v>
      </c>
      <c r="BJ218" s="542">
        <v>-134335</v>
      </c>
      <c r="BK218" s="542">
        <v>-529236.15</v>
      </c>
      <c r="BL218" s="542">
        <v>0</v>
      </c>
      <c r="BM218" s="542">
        <v>-529236.15</v>
      </c>
      <c r="BN218" s="542">
        <v>-4367005</v>
      </c>
      <c r="BO218" s="542">
        <v>0</v>
      </c>
      <c r="BP218" s="542">
        <v>-4367005</v>
      </c>
      <c r="BQ218" s="542">
        <v>308523</v>
      </c>
      <c r="BR218" s="542">
        <v>0</v>
      </c>
      <c r="BS218" s="542">
        <v>308523</v>
      </c>
      <c r="BT218" s="542">
        <v>-4722053</v>
      </c>
      <c r="BU218" s="542">
        <v>0</v>
      </c>
      <c r="BV218" s="542">
        <v>-4722053</v>
      </c>
      <c r="BW218" s="542">
        <v>-221872</v>
      </c>
      <c r="BX218" s="542">
        <v>0</v>
      </c>
      <c r="BY218" s="542">
        <v>-221872</v>
      </c>
      <c r="BZ218" s="542">
        <v>-63869</v>
      </c>
      <c r="CA218" s="542">
        <v>0</v>
      </c>
      <c r="CB218" s="542">
        <v>-63869</v>
      </c>
      <c r="CC218" s="542">
        <v>-102216</v>
      </c>
      <c r="CD218" s="542">
        <v>0</v>
      </c>
      <c r="CE218" s="542">
        <v>-102216</v>
      </c>
      <c r="CF218" s="542">
        <v>-4488</v>
      </c>
      <c r="CG218" s="542">
        <v>0</v>
      </c>
      <c r="CH218" s="542">
        <v>-4488</v>
      </c>
      <c r="CI218" s="542">
        <v>-8980</v>
      </c>
      <c r="CJ218" s="542">
        <v>0</v>
      </c>
      <c r="CK218" s="542">
        <v>-8980</v>
      </c>
      <c r="CL218" s="542">
        <v>-245</v>
      </c>
      <c r="CM218" s="542">
        <v>0</v>
      </c>
      <c r="CN218" s="542">
        <v>-245</v>
      </c>
      <c r="CO218" s="542">
        <v>0</v>
      </c>
      <c r="CP218" s="542">
        <v>0</v>
      </c>
      <c r="CQ218" s="542">
        <v>0</v>
      </c>
      <c r="CR218" s="542">
        <v>0</v>
      </c>
      <c r="CS218" s="542">
        <v>0</v>
      </c>
      <c r="CT218" s="542">
        <v>0</v>
      </c>
      <c r="CU218" s="542">
        <v>0</v>
      </c>
      <c r="CV218" s="542">
        <v>0</v>
      </c>
      <c r="CW218" s="542">
        <v>0</v>
      </c>
      <c r="CX218" s="542">
        <v>0</v>
      </c>
      <c r="CY218" s="542">
        <v>0</v>
      </c>
      <c r="CZ218" s="542">
        <v>0</v>
      </c>
      <c r="DA218" s="542">
        <v>0</v>
      </c>
      <c r="DB218" s="542">
        <v>0</v>
      </c>
      <c r="DC218" s="542">
        <v>0</v>
      </c>
      <c r="DD218" s="542">
        <v>0</v>
      </c>
      <c r="DE218" s="542">
        <v>0</v>
      </c>
      <c r="DF218" s="542">
        <v>0</v>
      </c>
      <c r="DG218" s="542"/>
      <c r="DH218" s="542">
        <v>0</v>
      </c>
      <c r="DI218" s="542"/>
      <c r="DJ218" s="542">
        <v>0</v>
      </c>
      <c r="DK218" s="542"/>
      <c r="DL218" s="542"/>
      <c r="DM218" s="542">
        <v>-401670</v>
      </c>
      <c r="DN218" s="542">
        <v>0</v>
      </c>
      <c r="DO218" s="542">
        <v>-401670</v>
      </c>
      <c r="DP218" s="542">
        <v>-10352</v>
      </c>
      <c r="DQ218" s="542">
        <v>0</v>
      </c>
      <c r="DR218" s="542">
        <v>-10352</v>
      </c>
      <c r="DS218" s="542">
        <v>0</v>
      </c>
      <c r="DT218" s="542">
        <v>0</v>
      </c>
      <c r="DU218" s="542">
        <v>0</v>
      </c>
      <c r="DV218" s="542">
        <v>-42711</v>
      </c>
      <c r="DW218" s="542">
        <v>0</v>
      </c>
      <c r="DX218" s="542">
        <v>-42711</v>
      </c>
      <c r="DY218" s="542">
        <v>-835872</v>
      </c>
      <c r="DZ218" s="542">
        <v>0</v>
      </c>
      <c r="EA218" s="542">
        <v>-835872</v>
      </c>
      <c r="EB218" s="542">
        <v>0</v>
      </c>
      <c r="EC218" s="542">
        <v>0</v>
      </c>
      <c r="ED218" s="542">
        <v>0</v>
      </c>
      <c r="EE218" s="542">
        <v>0</v>
      </c>
      <c r="EF218" s="542">
        <v>0</v>
      </c>
      <c r="EG218" s="542">
        <v>0</v>
      </c>
      <c r="EH218" s="542">
        <v>-888935</v>
      </c>
      <c r="EI218" s="542">
        <v>0</v>
      </c>
      <c r="EJ218" s="542">
        <v>-888935</v>
      </c>
      <c r="EK218" s="542">
        <v>0</v>
      </c>
      <c r="EL218" s="542">
        <v>0</v>
      </c>
      <c r="EM218" s="542">
        <v>0</v>
      </c>
      <c r="EN218" s="542">
        <v>0</v>
      </c>
      <c r="EO218" s="542">
        <v>0</v>
      </c>
      <c r="EP218" s="542">
        <v>0</v>
      </c>
      <c r="EQ218" s="542">
        <v>0</v>
      </c>
      <c r="ER218" s="542">
        <v>0</v>
      </c>
      <c r="ES218" s="542">
        <v>0</v>
      </c>
      <c r="ET218" s="542">
        <v>75396894</v>
      </c>
      <c r="EU218" s="542">
        <v>0</v>
      </c>
      <c r="EV218" s="542">
        <v>75396894</v>
      </c>
      <c r="EW218" s="542">
        <v>688902</v>
      </c>
      <c r="EX218" s="542">
        <v>0</v>
      </c>
      <c r="EY218" s="542">
        <v>688902</v>
      </c>
      <c r="EZ218" s="542">
        <v>-7726304</v>
      </c>
      <c r="FA218" s="542">
        <v>0</v>
      </c>
      <c r="FB218" s="542">
        <v>-7726304</v>
      </c>
      <c r="FC218" s="542">
        <v>-4722053</v>
      </c>
      <c r="FD218" s="542">
        <v>0</v>
      </c>
      <c r="FE218" s="542">
        <v>-4722053</v>
      </c>
      <c r="FF218" s="542">
        <v>-401670</v>
      </c>
      <c r="FG218" s="542">
        <v>0</v>
      </c>
      <c r="FH218" s="542">
        <v>-401670</v>
      </c>
      <c r="FI218" s="542">
        <v>-888935</v>
      </c>
      <c r="FJ218" s="542">
        <v>0</v>
      </c>
      <c r="FK218" s="542">
        <v>-888935</v>
      </c>
      <c r="FL218" s="542">
        <v>0</v>
      </c>
      <c r="FM218" s="542">
        <v>0</v>
      </c>
      <c r="FN218" s="542">
        <v>0</v>
      </c>
      <c r="FO218" s="542">
        <v>-13050060</v>
      </c>
      <c r="FP218" s="542">
        <v>0</v>
      </c>
      <c r="FQ218" s="542">
        <v>-13050060</v>
      </c>
      <c r="FR218" s="542">
        <v>62346834</v>
      </c>
      <c r="FS218" s="542">
        <v>0</v>
      </c>
      <c r="FT218" s="542">
        <v>62346834</v>
      </c>
    </row>
    <row r="219" spans="1:176" ht="12.75" x14ac:dyDescent="0.2">
      <c r="A219" s="93">
        <v>214</v>
      </c>
      <c r="B219" s="145" t="s">
        <v>306</v>
      </c>
      <c r="C219" s="604" t="s">
        <v>866</v>
      </c>
      <c r="D219" s="142" t="s">
        <v>870</v>
      </c>
      <c r="E219" s="149" t="s">
        <v>305</v>
      </c>
      <c r="F219" s="542">
        <v>-23904</v>
      </c>
      <c r="G219" s="542">
        <v>0</v>
      </c>
      <c r="H219" s="542">
        <v>-23904</v>
      </c>
      <c r="I219" s="542">
        <v>-12692</v>
      </c>
      <c r="J219" s="542">
        <v>0</v>
      </c>
      <c r="K219" s="542">
        <v>-12692</v>
      </c>
      <c r="L219" s="542">
        <v>1450</v>
      </c>
      <c r="M219" s="542">
        <v>0</v>
      </c>
      <c r="N219" s="542">
        <v>1450</v>
      </c>
      <c r="O219" s="542">
        <v>-30670</v>
      </c>
      <c r="P219" s="542">
        <v>0</v>
      </c>
      <c r="Q219" s="542">
        <v>-30670</v>
      </c>
      <c r="R219" s="542">
        <v>-65816</v>
      </c>
      <c r="S219" s="542">
        <v>0</v>
      </c>
      <c r="T219" s="542">
        <v>-65816</v>
      </c>
      <c r="U219" s="542">
        <v>-1612902</v>
      </c>
      <c r="V219" s="542">
        <v>0</v>
      </c>
      <c r="W219" s="542">
        <v>-1612902</v>
      </c>
      <c r="X219" s="542">
        <v>0</v>
      </c>
      <c r="Y219" s="542">
        <v>0</v>
      </c>
      <c r="Z219" s="542">
        <v>0</v>
      </c>
      <c r="AA219" s="542">
        <v>-150477</v>
      </c>
      <c r="AB219" s="542">
        <v>0</v>
      </c>
      <c r="AC219" s="542">
        <v>-150477</v>
      </c>
      <c r="AD219" s="542">
        <v>-67369</v>
      </c>
      <c r="AE219" s="542">
        <v>0</v>
      </c>
      <c r="AF219" s="542">
        <v>-67369</v>
      </c>
      <c r="AG219" s="542">
        <v>334944</v>
      </c>
      <c r="AH219" s="542">
        <v>0</v>
      </c>
      <c r="AI219" s="542">
        <v>334944</v>
      </c>
      <c r="AJ219" s="542">
        <v>-9753</v>
      </c>
      <c r="AK219" s="542">
        <v>0</v>
      </c>
      <c r="AL219" s="542">
        <v>-9753</v>
      </c>
      <c r="AM219" s="542">
        <v>-1172017</v>
      </c>
      <c r="AN219" s="542">
        <v>0</v>
      </c>
      <c r="AO219" s="542">
        <v>-1172017</v>
      </c>
      <c r="AP219" s="542">
        <v>34</v>
      </c>
      <c r="AQ219" s="542">
        <v>0</v>
      </c>
      <c r="AR219" s="542">
        <v>34</v>
      </c>
      <c r="AS219" s="542">
        <v>-13216</v>
      </c>
      <c r="AT219" s="542">
        <v>0</v>
      </c>
      <c r="AU219" s="542">
        <v>-13216</v>
      </c>
      <c r="AV219" s="542">
        <v>0</v>
      </c>
      <c r="AW219" s="542">
        <v>0</v>
      </c>
      <c r="AX219" s="542">
        <v>0</v>
      </c>
      <c r="AY219" s="542">
        <v>-259</v>
      </c>
      <c r="AZ219" s="542">
        <v>0</v>
      </c>
      <c r="BA219" s="542">
        <v>-259</v>
      </c>
      <c r="BB219" s="542">
        <v>0</v>
      </c>
      <c r="BC219" s="542">
        <v>0</v>
      </c>
      <c r="BD219" s="542">
        <v>0</v>
      </c>
      <c r="BE219" s="542">
        <v>-2623646</v>
      </c>
      <c r="BF219" s="542">
        <v>0</v>
      </c>
      <c r="BG219" s="542">
        <v>-2623646</v>
      </c>
      <c r="BH219" s="542">
        <v>-39697</v>
      </c>
      <c r="BI219" s="542">
        <v>0</v>
      </c>
      <c r="BJ219" s="542">
        <v>-39697</v>
      </c>
      <c r="BK219" s="542">
        <v>-24659</v>
      </c>
      <c r="BL219" s="542">
        <v>0</v>
      </c>
      <c r="BM219" s="542">
        <v>-24659</v>
      </c>
      <c r="BN219" s="542">
        <v>-397538</v>
      </c>
      <c r="BO219" s="542">
        <v>0</v>
      </c>
      <c r="BP219" s="542">
        <v>-397538</v>
      </c>
      <c r="BQ219" s="542">
        <v>-20023</v>
      </c>
      <c r="BR219" s="542">
        <v>0</v>
      </c>
      <c r="BS219" s="542">
        <v>-20023</v>
      </c>
      <c r="BT219" s="542">
        <v>-481917</v>
      </c>
      <c r="BU219" s="542">
        <v>0</v>
      </c>
      <c r="BV219" s="542">
        <v>-481917</v>
      </c>
      <c r="BW219" s="542">
        <v>-22774</v>
      </c>
      <c r="BX219" s="542">
        <v>0</v>
      </c>
      <c r="BY219" s="542">
        <v>-22774</v>
      </c>
      <c r="BZ219" s="542">
        <v>-273</v>
      </c>
      <c r="CA219" s="542">
        <v>0</v>
      </c>
      <c r="CB219" s="542">
        <v>-273</v>
      </c>
      <c r="CC219" s="542">
        <v>0</v>
      </c>
      <c r="CD219" s="542">
        <v>0</v>
      </c>
      <c r="CE219" s="542">
        <v>0</v>
      </c>
      <c r="CF219" s="542">
        <v>0</v>
      </c>
      <c r="CG219" s="542">
        <v>0</v>
      </c>
      <c r="CH219" s="542">
        <v>0</v>
      </c>
      <c r="CI219" s="542">
        <v>-337</v>
      </c>
      <c r="CJ219" s="542">
        <v>0</v>
      </c>
      <c r="CK219" s="542">
        <v>-337</v>
      </c>
      <c r="CL219" s="542">
        <v>0</v>
      </c>
      <c r="CM219" s="542">
        <v>0</v>
      </c>
      <c r="CN219" s="542">
        <v>0</v>
      </c>
      <c r="CO219" s="542">
        <v>0</v>
      </c>
      <c r="CP219" s="542">
        <v>0</v>
      </c>
      <c r="CQ219" s="542">
        <v>0</v>
      </c>
      <c r="CR219" s="542">
        <v>0</v>
      </c>
      <c r="CS219" s="542">
        <v>0</v>
      </c>
      <c r="CT219" s="542">
        <v>0</v>
      </c>
      <c r="CU219" s="542">
        <v>0</v>
      </c>
      <c r="CV219" s="542">
        <v>0</v>
      </c>
      <c r="CW219" s="542">
        <v>0</v>
      </c>
      <c r="CX219" s="542">
        <v>0</v>
      </c>
      <c r="CY219" s="542">
        <v>0</v>
      </c>
      <c r="CZ219" s="542">
        <v>0</v>
      </c>
      <c r="DA219" s="542">
        <v>0</v>
      </c>
      <c r="DB219" s="542">
        <v>0</v>
      </c>
      <c r="DC219" s="542">
        <v>0</v>
      </c>
      <c r="DD219" s="542">
        <v>0</v>
      </c>
      <c r="DE219" s="542">
        <v>0</v>
      </c>
      <c r="DF219" s="542">
        <v>0</v>
      </c>
      <c r="DG219" s="542"/>
      <c r="DH219" s="542">
        <v>0</v>
      </c>
      <c r="DI219" s="542"/>
      <c r="DJ219" s="542">
        <v>0</v>
      </c>
      <c r="DK219" s="542"/>
      <c r="DL219" s="542"/>
      <c r="DM219" s="542">
        <v>-23384</v>
      </c>
      <c r="DN219" s="542">
        <v>0</v>
      </c>
      <c r="DO219" s="542">
        <v>-23384</v>
      </c>
      <c r="DP219" s="542">
        <v>0</v>
      </c>
      <c r="DQ219" s="542">
        <v>0</v>
      </c>
      <c r="DR219" s="542">
        <v>0</v>
      </c>
      <c r="DS219" s="542">
        <v>0</v>
      </c>
      <c r="DT219" s="542">
        <v>0</v>
      </c>
      <c r="DU219" s="542">
        <v>0</v>
      </c>
      <c r="DV219" s="542">
        <v>0</v>
      </c>
      <c r="DW219" s="542">
        <v>0</v>
      </c>
      <c r="DX219" s="542">
        <v>0</v>
      </c>
      <c r="DY219" s="542">
        <v>-212103</v>
      </c>
      <c r="DZ219" s="542">
        <v>0</v>
      </c>
      <c r="EA219" s="542">
        <v>-212103</v>
      </c>
      <c r="EB219" s="542">
        <v>-18045</v>
      </c>
      <c r="EC219" s="542">
        <v>0</v>
      </c>
      <c r="ED219" s="542">
        <v>-18045</v>
      </c>
      <c r="EE219" s="542">
        <v>0</v>
      </c>
      <c r="EF219" s="542">
        <v>0</v>
      </c>
      <c r="EG219" s="542">
        <v>0</v>
      </c>
      <c r="EH219" s="542">
        <v>-230148</v>
      </c>
      <c r="EI219" s="542">
        <v>0</v>
      </c>
      <c r="EJ219" s="542">
        <v>-230148</v>
      </c>
      <c r="EK219" s="542">
        <v>0</v>
      </c>
      <c r="EL219" s="542">
        <v>0</v>
      </c>
      <c r="EM219" s="542">
        <v>0</v>
      </c>
      <c r="EN219" s="542">
        <v>0</v>
      </c>
      <c r="EO219" s="542">
        <v>0</v>
      </c>
      <c r="EP219" s="542">
        <v>0</v>
      </c>
      <c r="EQ219" s="542">
        <v>0</v>
      </c>
      <c r="ER219" s="542">
        <v>0</v>
      </c>
      <c r="ES219" s="542">
        <v>0</v>
      </c>
      <c r="ET219" s="542">
        <v>18814708</v>
      </c>
      <c r="EU219" s="542">
        <v>0</v>
      </c>
      <c r="EV219" s="542">
        <v>18814708</v>
      </c>
      <c r="EW219" s="542">
        <v>-65816</v>
      </c>
      <c r="EX219" s="542">
        <v>0</v>
      </c>
      <c r="EY219" s="542">
        <v>-65816</v>
      </c>
      <c r="EZ219" s="542">
        <v>-2623646</v>
      </c>
      <c r="FA219" s="542">
        <v>0</v>
      </c>
      <c r="FB219" s="542">
        <v>-2623646</v>
      </c>
      <c r="FC219" s="542">
        <v>-481917</v>
      </c>
      <c r="FD219" s="542">
        <v>0</v>
      </c>
      <c r="FE219" s="542">
        <v>-481917</v>
      </c>
      <c r="FF219" s="542">
        <v>-23384</v>
      </c>
      <c r="FG219" s="542">
        <v>0</v>
      </c>
      <c r="FH219" s="542">
        <v>-23384</v>
      </c>
      <c r="FI219" s="542">
        <v>-230148</v>
      </c>
      <c r="FJ219" s="542">
        <v>0</v>
      </c>
      <c r="FK219" s="542">
        <v>-230148</v>
      </c>
      <c r="FL219" s="542">
        <v>0</v>
      </c>
      <c r="FM219" s="542">
        <v>0</v>
      </c>
      <c r="FN219" s="542">
        <v>0</v>
      </c>
      <c r="FO219" s="542">
        <v>-3424911</v>
      </c>
      <c r="FP219" s="542">
        <v>0</v>
      </c>
      <c r="FQ219" s="542">
        <v>-3424911</v>
      </c>
      <c r="FR219" s="542">
        <v>15389797</v>
      </c>
      <c r="FS219" s="542">
        <v>0</v>
      </c>
      <c r="FT219" s="542">
        <v>15389797</v>
      </c>
    </row>
    <row r="220" spans="1:176" ht="12.75" x14ac:dyDescent="0.2">
      <c r="A220" s="93">
        <v>215</v>
      </c>
      <c r="B220" s="145" t="s">
        <v>308</v>
      </c>
      <c r="C220" s="604" t="s">
        <v>866</v>
      </c>
      <c r="D220" s="142" t="s">
        <v>868</v>
      </c>
      <c r="E220" s="149" t="s">
        <v>307</v>
      </c>
      <c r="F220" s="542">
        <v>-50585</v>
      </c>
      <c r="G220" s="542">
        <v>0</v>
      </c>
      <c r="H220" s="542">
        <v>-50585</v>
      </c>
      <c r="I220" s="542">
        <v>36</v>
      </c>
      <c r="J220" s="542">
        <v>0</v>
      </c>
      <c r="K220" s="542">
        <v>36</v>
      </c>
      <c r="L220" s="542">
        <v>1</v>
      </c>
      <c r="M220" s="542">
        <v>0</v>
      </c>
      <c r="N220" s="542">
        <v>1</v>
      </c>
      <c r="O220" s="542">
        <v>269</v>
      </c>
      <c r="P220" s="542">
        <v>0</v>
      </c>
      <c r="Q220" s="542">
        <v>269</v>
      </c>
      <c r="R220" s="542">
        <v>-50279</v>
      </c>
      <c r="S220" s="542">
        <v>0</v>
      </c>
      <c r="T220" s="542">
        <v>-50279</v>
      </c>
      <c r="U220" s="542">
        <v>-1968051</v>
      </c>
      <c r="V220" s="542">
        <v>0</v>
      </c>
      <c r="W220" s="542">
        <v>-1968051</v>
      </c>
      <c r="X220" s="542">
        <v>-3846</v>
      </c>
      <c r="Y220" s="542">
        <v>0</v>
      </c>
      <c r="Z220" s="542">
        <v>-3846</v>
      </c>
      <c r="AA220" s="542">
        <v>-90400</v>
      </c>
      <c r="AB220" s="542">
        <v>0</v>
      </c>
      <c r="AC220" s="542">
        <v>-90400</v>
      </c>
      <c r="AD220" s="542">
        <v>-38497</v>
      </c>
      <c r="AE220" s="542">
        <v>0</v>
      </c>
      <c r="AF220" s="542">
        <v>-38497</v>
      </c>
      <c r="AG220" s="542">
        <v>302189</v>
      </c>
      <c r="AH220" s="542">
        <v>0</v>
      </c>
      <c r="AI220" s="542">
        <v>302189</v>
      </c>
      <c r="AJ220" s="542">
        <v>60182</v>
      </c>
      <c r="AK220" s="542">
        <v>0</v>
      </c>
      <c r="AL220" s="542">
        <v>60182</v>
      </c>
      <c r="AM220" s="542">
        <v>-464959</v>
      </c>
      <c r="AN220" s="542">
        <v>0</v>
      </c>
      <c r="AO220" s="542">
        <v>-464959</v>
      </c>
      <c r="AP220" s="542">
        <v>-54144</v>
      </c>
      <c r="AQ220" s="542">
        <v>0</v>
      </c>
      <c r="AR220" s="542">
        <v>-54144</v>
      </c>
      <c r="AS220" s="542">
        <v>-45448</v>
      </c>
      <c r="AT220" s="542">
        <v>0</v>
      </c>
      <c r="AU220" s="542">
        <v>-45448</v>
      </c>
      <c r="AV220" s="542">
        <v>5615</v>
      </c>
      <c r="AW220" s="542">
        <v>0</v>
      </c>
      <c r="AX220" s="542">
        <v>5615</v>
      </c>
      <c r="AY220" s="542">
        <v>0</v>
      </c>
      <c r="AZ220" s="542">
        <v>0</v>
      </c>
      <c r="BA220" s="542">
        <v>0</v>
      </c>
      <c r="BB220" s="542">
        <v>0</v>
      </c>
      <c r="BC220" s="542">
        <v>0</v>
      </c>
      <c r="BD220" s="542">
        <v>0</v>
      </c>
      <c r="BE220" s="542">
        <v>-2255016</v>
      </c>
      <c r="BF220" s="542">
        <v>0</v>
      </c>
      <c r="BG220" s="542">
        <v>-2255016</v>
      </c>
      <c r="BH220" s="542">
        <v>0</v>
      </c>
      <c r="BI220" s="542">
        <v>0</v>
      </c>
      <c r="BJ220" s="542">
        <v>0</v>
      </c>
      <c r="BK220" s="542">
        <v>14244</v>
      </c>
      <c r="BL220" s="542">
        <v>0</v>
      </c>
      <c r="BM220" s="542">
        <v>14244</v>
      </c>
      <c r="BN220" s="542">
        <v>-790396</v>
      </c>
      <c r="BO220" s="542">
        <v>0</v>
      </c>
      <c r="BP220" s="542">
        <v>-790396</v>
      </c>
      <c r="BQ220" s="542">
        <v>45305</v>
      </c>
      <c r="BR220" s="542">
        <v>0</v>
      </c>
      <c r="BS220" s="542">
        <v>45305</v>
      </c>
      <c r="BT220" s="542">
        <v>-730847</v>
      </c>
      <c r="BU220" s="542">
        <v>0</v>
      </c>
      <c r="BV220" s="542">
        <v>-730847</v>
      </c>
      <c r="BW220" s="542">
        <v>-46634</v>
      </c>
      <c r="BX220" s="542">
        <v>0</v>
      </c>
      <c r="BY220" s="542">
        <v>-46634</v>
      </c>
      <c r="BZ220" s="542">
        <v>-9234</v>
      </c>
      <c r="CA220" s="542">
        <v>0</v>
      </c>
      <c r="CB220" s="542">
        <v>-9234</v>
      </c>
      <c r="CC220" s="542">
        <v>-24798</v>
      </c>
      <c r="CD220" s="542">
        <v>0</v>
      </c>
      <c r="CE220" s="542">
        <v>-24798</v>
      </c>
      <c r="CF220" s="542">
        <v>0</v>
      </c>
      <c r="CG220" s="542">
        <v>0</v>
      </c>
      <c r="CH220" s="542">
        <v>0</v>
      </c>
      <c r="CI220" s="542">
        <v>-2660</v>
      </c>
      <c r="CJ220" s="542">
        <v>0</v>
      </c>
      <c r="CK220" s="542">
        <v>-2660</v>
      </c>
      <c r="CL220" s="542">
        <v>1404</v>
      </c>
      <c r="CM220" s="542">
        <v>0</v>
      </c>
      <c r="CN220" s="542">
        <v>1404</v>
      </c>
      <c r="CO220" s="542">
        <v>0</v>
      </c>
      <c r="CP220" s="542">
        <v>0</v>
      </c>
      <c r="CQ220" s="542">
        <v>0</v>
      </c>
      <c r="CR220" s="542">
        <v>0</v>
      </c>
      <c r="CS220" s="542">
        <v>0</v>
      </c>
      <c r="CT220" s="542">
        <v>0</v>
      </c>
      <c r="CU220" s="542">
        <v>0</v>
      </c>
      <c r="CV220" s="542">
        <v>0</v>
      </c>
      <c r="CW220" s="542">
        <v>0</v>
      </c>
      <c r="CX220" s="542">
        <v>0</v>
      </c>
      <c r="CY220" s="542">
        <v>0</v>
      </c>
      <c r="CZ220" s="542">
        <v>0</v>
      </c>
      <c r="DA220" s="542">
        <v>0</v>
      </c>
      <c r="DB220" s="542">
        <v>0</v>
      </c>
      <c r="DC220" s="542">
        <v>0</v>
      </c>
      <c r="DD220" s="542">
        <v>0</v>
      </c>
      <c r="DE220" s="542">
        <v>0</v>
      </c>
      <c r="DF220" s="542">
        <v>0</v>
      </c>
      <c r="DG220" s="542"/>
      <c r="DH220" s="542">
        <v>0</v>
      </c>
      <c r="DI220" s="542"/>
      <c r="DJ220" s="542">
        <v>0</v>
      </c>
      <c r="DK220" s="542"/>
      <c r="DL220" s="542"/>
      <c r="DM220" s="542">
        <v>-81922</v>
      </c>
      <c r="DN220" s="542">
        <v>0</v>
      </c>
      <c r="DO220" s="542">
        <v>-81922</v>
      </c>
      <c r="DP220" s="542">
        <v>0</v>
      </c>
      <c r="DQ220" s="542">
        <v>0</v>
      </c>
      <c r="DR220" s="542">
        <v>0</v>
      </c>
      <c r="DS220" s="542">
        <v>0</v>
      </c>
      <c r="DT220" s="542">
        <v>0</v>
      </c>
      <c r="DU220" s="542">
        <v>0</v>
      </c>
      <c r="DV220" s="542">
        <v>-993</v>
      </c>
      <c r="DW220" s="542">
        <v>0</v>
      </c>
      <c r="DX220" s="542">
        <v>-993</v>
      </c>
      <c r="DY220" s="542">
        <v>-211588</v>
      </c>
      <c r="DZ220" s="542">
        <v>0</v>
      </c>
      <c r="EA220" s="542">
        <v>-211588</v>
      </c>
      <c r="EB220" s="542">
        <v>0</v>
      </c>
      <c r="EC220" s="542">
        <v>0</v>
      </c>
      <c r="ED220" s="542">
        <v>0</v>
      </c>
      <c r="EE220" s="542">
        <v>0</v>
      </c>
      <c r="EF220" s="542">
        <v>0</v>
      </c>
      <c r="EG220" s="542">
        <v>0</v>
      </c>
      <c r="EH220" s="542">
        <v>-212581</v>
      </c>
      <c r="EI220" s="542">
        <v>0</v>
      </c>
      <c r="EJ220" s="542">
        <v>-212581</v>
      </c>
      <c r="EK220" s="542">
        <v>0</v>
      </c>
      <c r="EL220" s="542">
        <v>0</v>
      </c>
      <c r="EM220" s="542">
        <v>0</v>
      </c>
      <c r="EN220" s="542">
        <v>0</v>
      </c>
      <c r="EO220" s="542">
        <v>0</v>
      </c>
      <c r="EP220" s="542">
        <v>0</v>
      </c>
      <c r="EQ220" s="542">
        <v>0</v>
      </c>
      <c r="ER220" s="542">
        <v>0</v>
      </c>
      <c r="ES220" s="542">
        <v>0</v>
      </c>
      <c r="ET220" s="542">
        <v>17073559</v>
      </c>
      <c r="EU220" s="542">
        <v>0</v>
      </c>
      <c r="EV220" s="542">
        <v>17073559</v>
      </c>
      <c r="EW220" s="542">
        <v>-50279</v>
      </c>
      <c r="EX220" s="542">
        <v>0</v>
      </c>
      <c r="EY220" s="542">
        <v>-50279</v>
      </c>
      <c r="EZ220" s="542">
        <v>-2255016</v>
      </c>
      <c r="FA220" s="542">
        <v>0</v>
      </c>
      <c r="FB220" s="542">
        <v>-2255016</v>
      </c>
      <c r="FC220" s="542">
        <v>-730847</v>
      </c>
      <c r="FD220" s="542">
        <v>0</v>
      </c>
      <c r="FE220" s="542">
        <v>-730847</v>
      </c>
      <c r="FF220" s="542">
        <v>-81922</v>
      </c>
      <c r="FG220" s="542">
        <v>0</v>
      </c>
      <c r="FH220" s="542">
        <v>-81922</v>
      </c>
      <c r="FI220" s="542">
        <v>-212581</v>
      </c>
      <c r="FJ220" s="542">
        <v>0</v>
      </c>
      <c r="FK220" s="542">
        <v>-212581</v>
      </c>
      <c r="FL220" s="542">
        <v>0</v>
      </c>
      <c r="FM220" s="542">
        <v>0</v>
      </c>
      <c r="FN220" s="542">
        <v>0</v>
      </c>
      <c r="FO220" s="542">
        <v>-3330645</v>
      </c>
      <c r="FP220" s="542">
        <v>0</v>
      </c>
      <c r="FQ220" s="542">
        <v>-3330645</v>
      </c>
      <c r="FR220" s="542">
        <v>13742914</v>
      </c>
      <c r="FS220" s="542">
        <v>0</v>
      </c>
      <c r="FT220" s="542">
        <v>13742914</v>
      </c>
    </row>
    <row r="221" spans="1:176" ht="12.75" x14ac:dyDescent="0.2">
      <c r="A221" s="93">
        <v>216</v>
      </c>
      <c r="B221" s="145" t="s">
        <v>310</v>
      </c>
      <c r="C221" s="604" t="s">
        <v>866</v>
      </c>
      <c r="D221" s="142" t="s">
        <v>867</v>
      </c>
      <c r="E221" s="149" t="s">
        <v>309</v>
      </c>
      <c r="F221" s="542">
        <v>-62740</v>
      </c>
      <c r="G221" s="542">
        <v>0</v>
      </c>
      <c r="H221" s="542">
        <v>-62740</v>
      </c>
      <c r="I221" s="542">
        <v>134626</v>
      </c>
      <c r="J221" s="542">
        <v>0</v>
      </c>
      <c r="K221" s="542">
        <v>134626</v>
      </c>
      <c r="L221" s="542">
        <v>26648</v>
      </c>
      <c r="M221" s="542">
        <v>0</v>
      </c>
      <c r="N221" s="542">
        <v>26648</v>
      </c>
      <c r="O221" s="542">
        <v>84617</v>
      </c>
      <c r="P221" s="542">
        <v>0</v>
      </c>
      <c r="Q221" s="542">
        <v>84617</v>
      </c>
      <c r="R221" s="542">
        <v>183151</v>
      </c>
      <c r="S221" s="542">
        <v>0</v>
      </c>
      <c r="T221" s="542">
        <v>183151</v>
      </c>
      <c r="U221" s="542">
        <v>-2820421</v>
      </c>
      <c r="V221" s="542">
        <v>0</v>
      </c>
      <c r="W221" s="542">
        <v>-2820421</v>
      </c>
      <c r="X221" s="542">
        <v>0</v>
      </c>
      <c r="Y221" s="542">
        <v>0</v>
      </c>
      <c r="Z221" s="542">
        <v>0</v>
      </c>
      <c r="AA221" s="542">
        <v>-134602</v>
      </c>
      <c r="AB221" s="542">
        <v>0</v>
      </c>
      <c r="AC221" s="542">
        <v>-134602</v>
      </c>
      <c r="AD221" s="542">
        <v>-51667</v>
      </c>
      <c r="AE221" s="542">
        <v>0</v>
      </c>
      <c r="AF221" s="542">
        <v>-51667</v>
      </c>
      <c r="AG221" s="542">
        <v>363580</v>
      </c>
      <c r="AH221" s="542">
        <v>0</v>
      </c>
      <c r="AI221" s="542">
        <v>363580</v>
      </c>
      <c r="AJ221" s="542">
        <v>-10425</v>
      </c>
      <c r="AK221" s="542">
        <v>0</v>
      </c>
      <c r="AL221" s="542">
        <v>-10425</v>
      </c>
      <c r="AM221" s="542">
        <v>-2102186</v>
      </c>
      <c r="AN221" s="542">
        <v>0</v>
      </c>
      <c r="AO221" s="542">
        <v>-2102186</v>
      </c>
      <c r="AP221" s="542">
        <v>-38717</v>
      </c>
      <c r="AQ221" s="542">
        <v>0</v>
      </c>
      <c r="AR221" s="542">
        <v>-38717</v>
      </c>
      <c r="AS221" s="542">
        <v>-67930</v>
      </c>
      <c r="AT221" s="542">
        <v>0</v>
      </c>
      <c r="AU221" s="542">
        <v>-67930</v>
      </c>
      <c r="AV221" s="542">
        <v>0</v>
      </c>
      <c r="AW221" s="542">
        <v>0</v>
      </c>
      <c r="AX221" s="542">
        <v>0</v>
      </c>
      <c r="AY221" s="542">
        <v>-37366</v>
      </c>
      <c r="AZ221" s="542">
        <v>0</v>
      </c>
      <c r="BA221" s="542">
        <v>-37366</v>
      </c>
      <c r="BB221" s="542">
        <v>0</v>
      </c>
      <c r="BC221" s="542">
        <v>0</v>
      </c>
      <c r="BD221" s="542">
        <v>0</v>
      </c>
      <c r="BE221" s="542">
        <v>-4848067</v>
      </c>
      <c r="BF221" s="542">
        <v>0</v>
      </c>
      <c r="BG221" s="542">
        <v>-4848067</v>
      </c>
      <c r="BH221" s="542">
        <v>-165</v>
      </c>
      <c r="BI221" s="542">
        <v>0</v>
      </c>
      <c r="BJ221" s="542">
        <v>-165</v>
      </c>
      <c r="BK221" s="542">
        <v>4869</v>
      </c>
      <c r="BL221" s="542">
        <v>0</v>
      </c>
      <c r="BM221" s="542">
        <v>4869</v>
      </c>
      <c r="BN221" s="542">
        <v>-426988</v>
      </c>
      <c r="BO221" s="542">
        <v>0</v>
      </c>
      <c r="BP221" s="542">
        <v>-426988</v>
      </c>
      <c r="BQ221" s="542">
        <v>-17066</v>
      </c>
      <c r="BR221" s="542">
        <v>0</v>
      </c>
      <c r="BS221" s="542">
        <v>-17066</v>
      </c>
      <c r="BT221" s="542">
        <v>-439350</v>
      </c>
      <c r="BU221" s="542">
        <v>0</v>
      </c>
      <c r="BV221" s="542">
        <v>-439350</v>
      </c>
      <c r="BW221" s="542">
        <v>-41078</v>
      </c>
      <c r="BX221" s="542">
        <v>0</v>
      </c>
      <c r="BY221" s="542">
        <v>-41078</v>
      </c>
      <c r="BZ221" s="542">
        <v>0</v>
      </c>
      <c r="CA221" s="542">
        <v>0</v>
      </c>
      <c r="CB221" s="542">
        <v>0</v>
      </c>
      <c r="CC221" s="542">
        <v>0</v>
      </c>
      <c r="CD221" s="542">
        <v>0</v>
      </c>
      <c r="CE221" s="542">
        <v>0</v>
      </c>
      <c r="CF221" s="542">
        <v>0</v>
      </c>
      <c r="CG221" s="542">
        <v>0</v>
      </c>
      <c r="CH221" s="542">
        <v>0</v>
      </c>
      <c r="CI221" s="542">
        <v>-5385</v>
      </c>
      <c r="CJ221" s="542">
        <v>0</v>
      </c>
      <c r="CK221" s="542">
        <v>-5385</v>
      </c>
      <c r="CL221" s="542">
        <v>0</v>
      </c>
      <c r="CM221" s="542">
        <v>0</v>
      </c>
      <c r="CN221" s="542">
        <v>0</v>
      </c>
      <c r="CO221" s="542">
        <v>-14205</v>
      </c>
      <c r="CP221" s="542">
        <v>0</v>
      </c>
      <c r="CQ221" s="542">
        <v>-14205</v>
      </c>
      <c r="CR221" s="542">
        <v>0</v>
      </c>
      <c r="CS221" s="542">
        <v>0</v>
      </c>
      <c r="CT221" s="542">
        <v>0</v>
      </c>
      <c r="CU221" s="542">
        <v>0</v>
      </c>
      <c r="CV221" s="542">
        <v>0</v>
      </c>
      <c r="CW221" s="542">
        <v>0</v>
      </c>
      <c r="CX221" s="542">
        <v>0</v>
      </c>
      <c r="CY221" s="542">
        <v>0</v>
      </c>
      <c r="CZ221" s="542">
        <v>0</v>
      </c>
      <c r="DA221" s="542">
        <v>0</v>
      </c>
      <c r="DB221" s="542">
        <v>0</v>
      </c>
      <c r="DC221" s="542">
        <v>0</v>
      </c>
      <c r="DD221" s="542">
        <v>0</v>
      </c>
      <c r="DE221" s="542">
        <v>0</v>
      </c>
      <c r="DF221" s="542">
        <v>0</v>
      </c>
      <c r="DG221" s="542"/>
      <c r="DH221" s="542">
        <v>0</v>
      </c>
      <c r="DI221" s="542"/>
      <c r="DJ221" s="542">
        <v>0</v>
      </c>
      <c r="DK221" s="542"/>
      <c r="DL221" s="542"/>
      <c r="DM221" s="542">
        <v>-60668</v>
      </c>
      <c r="DN221" s="542">
        <v>0</v>
      </c>
      <c r="DO221" s="542">
        <v>-60668</v>
      </c>
      <c r="DP221" s="542">
        <v>0</v>
      </c>
      <c r="DQ221" s="542">
        <v>0</v>
      </c>
      <c r="DR221" s="542">
        <v>0</v>
      </c>
      <c r="DS221" s="542">
        <v>0</v>
      </c>
      <c r="DT221" s="542">
        <v>0</v>
      </c>
      <c r="DU221" s="542">
        <v>0</v>
      </c>
      <c r="DV221" s="542">
        <v>-5434</v>
      </c>
      <c r="DW221" s="542">
        <v>0</v>
      </c>
      <c r="DX221" s="542">
        <v>-5434</v>
      </c>
      <c r="DY221" s="542">
        <v>-432443</v>
      </c>
      <c r="DZ221" s="542">
        <v>0</v>
      </c>
      <c r="EA221" s="542">
        <v>-432443</v>
      </c>
      <c r="EB221" s="542">
        <v>-1050</v>
      </c>
      <c r="EC221" s="542">
        <v>0</v>
      </c>
      <c r="ED221" s="542">
        <v>-1050</v>
      </c>
      <c r="EE221" s="542">
        <v>-2018</v>
      </c>
      <c r="EF221" s="542">
        <v>0</v>
      </c>
      <c r="EG221" s="542">
        <v>-2018</v>
      </c>
      <c r="EH221" s="542">
        <v>-440945</v>
      </c>
      <c r="EI221" s="542">
        <v>0</v>
      </c>
      <c r="EJ221" s="542">
        <v>-440945</v>
      </c>
      <c r="EK221" s="542">
        <v>-13585</v>
      </c>
      <c r="EL221" s="542">
        <v>0</v>
      </c>
      <c r="EM221" s="542">
        <v>-13585</v>
      </c>
      <c r="EN221" s="542">
        <v>0</v>
      </c>
      <c r="EO221" s="542">
        <v>0</v>
      </c>
      <c r="EP221" s="542">
        <v>0</v>
      </c>
      <c r="EQ221" s="542">
        <v>-13585</v>
      </c>
      <c r="ER221" s="542">
        <v>0</v>
      </c>
      <c r="ES221" s="542">
        <v>-13585</v>
      </c>
      <c r="ET221" s="542">
        <v>22009454</v>
      </c>
      <c r="EU221" s="542">
        <v>0</v>
      </c>
      <c r="EV221" s="542">
        <v>22009454</v>
      </c>
      <c r="EW221" s="542">
        <v>183151</v>
      </c>
      <c r="EX221" s="542">
        <v>0</v>
      </c>
      <c r="EY221" s="542">
        <v>183151</v>
      </c>
      <c r="EZ221" s="542">
        <v>-4848067</v>
      </c>
      <c r="FA221" s="542">
        <v>0</v>
      </c>
      <c r="FB221" s="542">
        <v>-4848067</v>
      </c>
      <c r="FC221" s="542">
        <v>-439350</v>
      </c>
      <c r="FD221" s="542">
        <v>0</v>
      </c>
      <c r="FE221" s="542">
        <v>-439350</v>
      </c>
      <c r="FF221" s="542">
        <v>-60668</v>
      </c>
      <c r="FG221" s="542">
        <v>0</v>
      </c>
      <c r="FH221" s="542">
        <v>-60668</v>
      </c>
      <c r="FI221" s="542">
        <v>-440945</v>
      </c>
      <c r="FJ221" s="542">
        <v>0</v>
      </c>
      <c r="FK221" s="542">
        <v>-440945</v>
      </c>
      <c r="FL221" s="542">
        <v>-13585</v>
      </c>
      <c r="FM221" s="542">
        <v>0</v>
      </c>
      <c r="FN221" s="542">
        <v>-13585</v>
      </c>
      <c r="FO221" s="542">
        <v>-5619464</v>
      </c>
      <c r="FP221" s="542">
        <v>0</v>
      </c>
      <c r="FQ221" s="542">
        <v>-5619464</v>
      </c>
      <c r="FR221" s="542">
        <v>16389990</v>
      </c>
      <c r="FS221" s="542">
        <v>0</v>
      </c>
      <c r="FT221" s="542">
        <v>16389990</v>
      </c>
    </row>
    <row r="222" spans="1:176" ht="12.75" x14ac:dyDescent="0.2">
      <c r="A222" s="93">
        <v>217</v>
      </c>
      <c r="B222" s="145" t="s">
        <v>312</v>
      </c>
      <c r="C222" s="604" t="s">
        <v>873</v>
      </c>
      <c r="D222" s="142" t="s">
        <v>874</v>
      </c>
      <c r="E222" s="149" t="s">
        <v>311</v>
      </c>
      <c r="F222" s="542">
        <v>-42068</v>
      </c>
      <c r="G222" s="542">
        <v>0</v>
      </c>
      <c r="H222" s="542">
        <v>-42068</v>
      </c>
      <c r="I222" s="542">
        <v>482488</v>
      </c>
      <c r="J222" s="542">
        <v>0</v>
      </c>
      <c r="K222" s="542">
        <v>482488</v>
      </c>
      <c r="L222" s="542">
        <v>8899</v>
      </c>
      <c r="M222" s="542">
        <v>2298</v>
      </c>
      <c r="N222" s="542">
        <v>11197</v>
      </c>
      <c r="O222" s="542">
        <v>216212</v>
      </c>
      <c r="P222" s="542">
        <v>0</v>
      </c>
      <c r="Q222" s="542">
        <v>216212</v>
      </c>
      <c r="R222" s="542">
        <v>665531</v>
      </c>
      <c r="S222" s="542">
        <v>2298</v>
      </c>
      <c r="T222" s="542">
        <v>667829</v>
      </c>
      <c r="U222" s="542">
        <v>-5037060</v>
      </c>
      <c r="V222" s="542">
        <v>-8440</v>
      </c>
      <c r="W222" s="542">
        <v>-5045500</v>
      </c>
      <c r="X222" s="542">
        <v>-5776</v>
      </c>
      <c r="Y222" s="542">
        <v>0</v>
      </c>
      <c r="Z222" s="542">
        <v>-5776</v>
      </c>
      <c r="AA222" s="542">
        <v>-129516</v>
      </c>
      <c r="AB222" s="542">
        <v>0</v>
      </c>
      <c r="AC222" s="542">
        <v>-129516</v>
      </c>
      <c r="AD222" s="542">
        <v>-44448</v>
      </c>
      <c r="AE222" s="542">
        <v>0</v>
      </c>
      <c r="AF222" s="542">
        <v>-44448</v>
      </c>
      <c r="AG222" s="542">
        <v>1741255</v>
      </c>
      <c r="AH222" s="542">
        <v>0</v>
      </c>
      <c r="AI222" s="542">
        <v>1741255</v>
      </c>
      <c r="AJ222" s="542">
        <v>-31283</v>
      </c>
      <c r="AK222" s="542">
        <v>0</v>
      </c>
      <c r="AL222" s="542">
        <v>-31283</v>
      </c>
      <c r="AM222" s="542">
        <v>-4052656</v>
      </c>
      <c r="AN222" s="542">
        <v>-107004</v>
      </c>
      <c r="AO222" s="542">
        <v>-4159660</v>
      </c>
      <c r="AP222" s="542">
        <v>-207952</v>
      </c>
      <c r="AQ222" s="542">
        <v>0</v>
      </c>
      <c r="AR222" s="542">
        <v>-207952</v>
      </c>
      <c r="AS222" s="542">
        <v>-14113</v>
      </c>
      <c r="AT222" s="542">
        <v>0</v>
      </c>
      <c r="AU222" s="542">
        <v>-14113</v>
      </c>
      <c r="AV222" s="542">
        <v>0</v>
      </c>
      <c r="AW222" s="542">
        <v>0</v>
      </c>
      <c r="AX222" s="542">
        <v>0</v>
      </c>
      <c r="AY222" s="542">
        <v>-16002</v>
      </c>
      <c r="AZ222" s="542">
        <v>0</v>
      </c>
      <c r="BA222" s="542">
        <v>-16002</v>
      </c>
      <c r="BB222" s="542">
        <v>0</v>
      </c>
      <c r="BC222" s="542">
        <v>0</v>
      </c>
      <c r="BD222" s="542">
        <v>0</v>
      </c>
      <c r="BE222" s="542">
        <v>-7747327</v>
      </c>
      <c r="BF222" s="542">
        <v>-115444</v>
      </c>
      <c r="BG222" s="542">
        <v>-7862771</v>
      </c>
      <c r="BH222" s="542">
        <v>-5335</v>
      </c>
      <c r="BI222" s="542">
        <v>0</v>
      </c>
      <c r="BJ222" s="542">
        <v>-5335</v>
      </c>
      <c r="BK222" s="542">
        <v>25813</v>
      </c>
      <c r="BL222" s="542">
        <v>0</v>
      </c>
      <c r="BM222" s="542">
        <v>25813</v>
      </c>
      <c r="BN222" s="542">
        <v>-2232946</v>
      </c>
      <c r="BO222" s="542">
        <v>-3014</v>
      </c>
      <c r="BP222" s="542">
        <v>-2235960</v>
      </c>
      <c r="BQ222" s="542">
        <v>-23911</v>
      </c>
      <c r="BR222" s="542">
        <v>0</v>
      </c>
      <c r="BS222" s="542">
        <v>-23911</v>
      </c>
      <c r="BT222" s="542">
        <v>-2236379</v>
      </c>
      <c r="BU222" s="542">
        <v>-3014</v>
      </c>
      <c r="BV222" s="542">
        <v>-2239393</v>
      </c>
      <c r="BW222" s="542">
        <v>-132272</v>
      </c>
      <c r="BX222" s="542">
        <v>0</v>
      </c>
      <c r="BY222" s="542">
        <v>-132272</v>
      </c>
      <c r="BZ222" s="542">
        <v>-16337</v>
      </c>
      <c r="CA222" s="542">
        <v>0</v>
      </c>
      <c r="CB222" s="542">
        <v>-16337</v>
      </c>
      <c r="CC222" s="542">
        <v>-619331</v>
      </c>
      <c r="CD222" s="542">
        <v>0</v>
      </c>
      <c r="CE222" s="542">
        <v>-619331</v>
      </c>
      <c r="CF222" s="542">
        <v>4069</v>
      </c>
      <c r="CG222" s="542">
        <v>0</v>
      </c>
      <c r="CH222" s="542">
        <v>4069</v>
      </c>
      <c r="CI222" s="542">
        <v>-3528</v>
      </c>
      <c r="CJ222" s="542">
        <v>0</v>
      </c>
      <c r="CK222" s="542">
        <v>-3528</v>
      </c>
      <c r="CL222" s="542">
        <v>0</v>
      </c>
      <c r="CM222" s="542">
        <v>0</v>
      </c>
      <c r="CN222" s="542">
        <v>0</v>
      </c>
      <c r="CO222" s="542">
        <v>0</v>
      </c>
      <c r="CP222" s="542">
        <v>0</v>
      </c>
      <c r="CQ222" s="542">
        <v>0</v>
      </c>
      <c r="CR222" s="542">
        <v>0</v>
      </c>
      <c r="CS222" s="542">
        <v>0</v>
      </c>
      <c r="CT222" s="542">
        <v>0</v>
      </c>
      <c r="CU222" s="542">
        <v>0</v>
      </c>
      <c r="CV222" s="542">
        <v>0</v>
      </c>
      <c r="CW222" s="542">
        <v>0</v>
      </c>
      <c r="CX222" s="542">
        <v>0</v>
      </c>
      <c r="CY222" s="542">
        <v>0</v>
      </c>
      <c r="CZ222" s="542">
        <v>0</v>
      </c>
      <c r="DA222" s="542">
        <v>-149255</v>
      </c>
      <c r="DB222" s="542">
        <v>-272418</v>
      </c>
      <c r="DC222" s="542">
        <v>-421673</v>
      </c>
      <c r="DD222" s="542">
        <v>0</v>
      </c>
      <c r="DE222" s="542">
        <v>120314</v>
      </c>
      <c r="DF222" s="542">
        <v>120314</v>
      </c>
      <c r="DG222" s="542"/>
      <c r="DH222" s="542">
        <v>-152104</v>
      </c>
      <c r="DI222" s="542"/>
      <c r="DJ222" s="542">
        <v>0</v>
      </c>
      <c r="DK222" s="542"/>
      <c r="DL222" s="542"/>
      <c r="DM222" s="542">
        <v>-916654</v>
      </c>
      <c r="DN222" s="542">
        <v>-152104</v>
      </c>
      <c r="DO222" s="542">
        <v>-1068758</v>
      </c>
      <c r="DP222" s="542">
        <v>0</v>
      </c>
      <c r="DQ222" s="542">
        <v>0</v>
      </c>
      <c r="DR222" s="542">
        <v>0</v>
      </c>
      <c r="DS222" s="542">
        <v>0</v>
      </c>
      <c r="DT222" s="542">
        <v>0</v>
      </c>
      <c r="DU222" s="542">
        <v>0</v>
      </c>
      <c r="DV222" s="542">
        <v>-101381</v>
      </c>
      <c r="DW222" s="542">
        <v>0</v>
      </c>
      <c r="DX222" s="542">
        <v>-101381</v>
      </c>
      <c r="DY222" s="542">
        <v>-582433</v>
      </c>
      <c r="DZ222" s="542">
        <v>0</v>
      </c>
      <c r="EA222" s="542">
        <v>-582433</v>
      </c>
      <c r="EB222" s="542">
        <v>0</v>
      </c>
      <c r="EC222" s="542">
        <v>0</v>
      </c>
      <c r="ED222" s="542">
        <v>0</v>
      </c>
      <c r="EE222" s="542">
        <v>0</v>
      </c>
      <c r="EF222" s="542">
        <v>0</v>
      </c>
      <c r="EG222" s="542">
        <v>0</v>
      </c>
      <c r="EH222" s="542">
        <v>-683814</v>
      </c>
      <c r="EI222" s="542">
        <v>0</v>
      </c>
      <c r="EJ222" s="542">
        <v>-683814</v>
      </c>
      <c r="EK222" s="542">
        <v>0</v>
      </c>
      <c r="EL222" s="542">
        <v>0</v>
      </c>
      <c r="EM222" s="542">
        <v>0</v>
      </c>
      <c r="EN222" s="542">
        <v>0</v>
      </c>
      <c r="EO222" s="542">
        <v>0</v>
      </c>
      <c r="EP222" s="542">
        <v>0</v>
      </c>
      <c r="EQ222" s="542">
        <v>0</v>
      </c>
      <c r="ER222" s="542">
        <v>0</v>
      </c>
      <c r="ES222" s="542">
        <v>0</v>
      </c>
      <c r="ET222" s="542">
        <v>84551527</v>
      </c>
      <c r="EU222" s="542">
        <v>564828</v>
      </c>
      <c r="EV222" s="542">
        <v>85116355</v>
      </c>
      <c r="EW222" s="542">
        <v>665531</v>
      </c>
      <c r="EX222" s="542">
        <v>2298</v>
      </c>
      <c r="EY222" s="542">
        <v>667829</v>
      </c>
      <c r="EZ222" s="542">
        <v>-7747327</v>
      </c>
      <c r="FA222" s="542">
        <v>-115444</v>
      </c>
      <c r="FB222" s="542">
        <v>-7862771</v>
      </c>
      <c r="FC222" s="542">
        <v>-2236379</v>
      </c>
      <c r="FD222" s="542">
        <v>-3014</v>
      </c>
      <c r="FE222" s="542">
        <v>-2239393</v>
      </c>
      <c r="FF222" s="542">
        <v>-916654</v>
      </c>
      <c r="FG222" s="542">
        <v>-152104</v>
      </c>
      <c r="FH222" s="542">
        <v>-1068758</v>
      </c>
      <c r="FI222" s="542">
        <v>-683814</v>
      </c>
      <c r="FJ222" s="542">
        <v>0</v>
      </c>
      <c r="FK222" s="542">
        <v>-683814</v>
      </c>
      <c r="FL222" s="542">
        <v>0</v>
      </c>
      <c r="FM222" s="542">
        <v>0</v>
      </c>
      <c r="FN222" s="542">
        <v>0</v>
      </c>
      <c r="FO222" s="542">
        <v>-10918643</v>
      </c>
      <c r="FP222" s="542">
        <v>-268264</v>
      </c>
      <c r="FQ222" s="542">
        <v>-11186907</v>
      </c>
      <c r="FR222" s="542">
        <v>73632884</v>
      </c>
      <c r="FS222" s="542">
        <v>296564</v>
      </c>
      <c r="FT222" s="542">
        <v>73929448</v>
      </c>
    </row>
    <row r="223" spans="1:176" ht="12.75" x14ac:dyDescent="0.2">
      <c r="A223" s="93">
        <v>218</v>
      </c>
      <c r="B223" s="145" t="s">
        <v>314</v>
      </c>
      <c r="C223" s="604" t="s">
        <v>866</v>
      </c>
      <c r="D223" s="142" t="s">
        <v>876</v>
      </c>
      <c r="E223" s="149" t="s">
        <v>313</v>
      </c>
      <c r="F223" s="542">
        <v>-22013</v>
      </c>
      <c r="G223" s="542">
        <v>0</v>
      </c>
      <c r="H223" s="542">
        <v>-22013</v>
      </c>
      <c r="I223" s="542">
        <v>56691.64</v>
      </c>
      <c r="J223" s="542">
        <v>0</v>
      </c>
      <c r="K223" s="542">
        <v>56691.64</v>
      </c>
      <c r="L223" s="542">
        <v>384</v>
      </c>
      <c r="M223" s="542">
        <v>0</v>
      </c>
      <c r="N223" s="542">
        <v>384</v>
      </c>
      <c r="O223" s="542">
        <v>117799</v>
      </c>
      <c r="P223" s="542">
        <v>0</v>
      </c>
      <c r="Q223" s="542">
        <v>117799</v>
      </c>
      <c r="R223" s="542">
        <v>152862</v>
      </c>
      <c r="S223" s="542">
        <v>0</v>
      </c>
      <c r="T223" s="542">
        <v>152862</v>
      </c>
      <c r="U223" s="542">
        <v>-1780492</v>
      </c>
      <c r="V223" s="542">
        <v>0</v>
      </c>
      <c r="W223" s="542">
        <v>-1780492</v>
      </c>
      <c r="X223" s="542">
        <v>0</v>
      </c>
      <c r="Y223" s="542">
        <v>0</v>
      </c>
      <c r="Z223" s="542">
        <v>0</v>
      </c>
      <c r="AA223" s="542">
        <v>-80245</v>
      </c>
      <c r="AB223" s="542">
        <v>0</v>
      </c>
      <c r="AC223" s="542">
        <v>-80245</v>
      </c>
      <c r="AD223" s="542">
        <v>0</v>
      </c>
      <c r="AE223" s="542">
        <v>0</v>
      </c>
      <c r="AF223" s="542">
        <v>0</v>
      </c>
      <c r="AG223" s="542">
        <v>1022143</v>
      </c>
      <c r="AH223" s="542">
        <v>0</v>
      </c>
      <c r="AI223" s="542">
        <v>1022143</v>
      </c>
      <c r="AJ223" s="542">
        <v>-14995</v>
      </c>
      <c r="AK223" s="542">
        <v>0</v>
      </c>
      <c r="AL223" s="542">
        <v>-14995</v>
      </c>
      <c r="AM223" s="542">
        <v>-2626901</v>
      </c>
      <c r="AN223" s="542">
        <v>0</v>
      </c>
      <c r="AO223" s="542">
        <v>-2626901</v>
      </c>
      <c r="AP223" s="542">
        <v>-43971</v>
      </c>
      <c r="AQ223" s="542">
        <v>0</v>
      </c>
      <c r="AR223" s="542">
        <v>-43971</v>
      </c>
      <c r="AS223" s="542">
        <v>-73785</v>
      </c>
      <c r="AT223" s="542">
        <v>0</v>
      </c>
      <c r="AU223" s="542">
        <v>-73785</v>
      </c>
      <c r="AV223" s="542">
        <v>0</v>
      </c>
      <c r="AW223" s="542">
        <v>0</v>
      </c>
      <c r="AX223" s="542">
        <v>0</v>
      </c>
      <c r="AY223" s="542">
        <v>-12575</v>
      </c>
      <c r="AZ223" s="542">
        <v>0</v>
      </c>
      <c r="BA223" s="542">
        <v>-12575</v>
      </c>
      <c r="BB223" s="542">
        <v>-523</v>
      </c>
      <c r="BC223" s="542">
        <v>0</v>
      </c>
      <c r="BD223" s="542">
        <v>-523</v>
      </c>
      <c r="BE223" s="542">
        <v>-3611344</v>
      </c>
      <c r="BF223" s="542">
        <v>0</v>
      </c>
      <c r="BG223" s="542">
        <v>-3611344</v>
      </c>
      <c r="BH223" s="542">
        <v>-231389</v>
      </c>
      <c r="BI223" s="542">
        <v>0</v>
      </c>
      <c r="BJ223" s="542">
        <v>-231389</v>
      </c>
      <c r="BK223" s="542">
        <v>12435</v>
      </c>
      <c r="BL223" s="542">
        <v>0</v>
      </c>
      <c r="BM223" s="542">
        <v>12435</v>
      </c>
      <c r="BN223" s="542">
        <v>-1926745</v>
      </c>
      <c r="BO223" s="542">
        <v>0</v>
      </c>
      <c r="BP223" s="542">
        <v>-1926745</v>
      </c>
      <c r="BQ223" s="542">
        <v>-322800</v>
      </c>
      <c r="BR223" s="542">
        <v>0</v>
      </c>
      <c r="BS223" s="542">
        <v>-322800</v>
      </c>
      <c r="BT223" s="542">
        <v>-2468499</v>
      </c>
      <c r="BU223" s="542">
        <v>0</v>
      </c>
      <c r="BV223" s="542">
        <v>-2468499</v>
      </c>
      <c r="BW223" s="542">
        <v>-89600</v>
      </c>
      <c r="BX223" s="542">
        <v>0</v>
      </c>
      <c r="BY223" s="542">
        <v>-89600</v>
      </c>
      <c r="BZ223" s="542">
        <v>-25011</v>
      </c>
      <c r="CA223" s="542">
        <v>0</v>
      </c>
      <c r="CB223" s="542">
        <v>-25011</v>
      </c>
      <c r="CC223" s="542">
        <v>-16035</v>
      </c>
      <c r="CD223" s="542">
        <v>0</v>
      </c>
      <c r="CE223" s="542">
        <v>-16035</v>
      </c>
      <c r="CF223" s="542">
        <v>22260</v>
      </c>
      <c r="CG223" s="542">
        <v>0</v>
      </c>
      <c r="CH223" s="542">
        <v>22260</v>
      </c>
      <c r="CI223" s="542">
        <v>0</v>
      </c>
      <c r="CJ223" s="542">
        <v>0</v>
      </c>
      <c r="CK223" s="542">
        <v>0</v>
      </c>
      <c r="CL223" s="542">
        <v>0</v>
      </c>
      <c r="CM223" s="542">
        <v>0</v>
      </c>
      <c r="CN223" s="542">
        <v>0</v>
      </c>
      <c r="CO223" s="542">
        <v>0</v>
      </c>
      <c r="CP223" s="542">
        <v>0</v>
      </c>
      <c r="CQ223" s="542">
        <v>0</v>
      </c>
      <c r="CR223" s="542">
        <v>0</v>
      </c>
      <c r="CS223" s="542">
        <v>0</v>
      </c>
      <c r="CT223" s="542">
        <v>0</v>
      </c>
      <c r="CU223" s="542">
        <v>0</v>
      </c>
      <c r="CV223" s="542">
        <v>0</v>
      </c>
      <c r="CW223" s="542">
        <v>0</v>
      </c>
      <c r="CX223" s="542">
        <v>0</v>
      </c>
      <c r="CY223" s="542">
        <v>0</v>
      </c>
      <c r="CZ223" s="542">
        <v>0</v>
      </c>
      <c r="DA223" s="542">
        <v>0</v>
      </c>
      <c r="DB223" s="542">
        <v>0</v>
      </c>
      <c r="DC223" s="542">
        <v>0</v>
      </c>
      <c r="DD223" s="542">
        <v>0</v>
      </c>
      <c r="DE223" s="542">
        <v>0</v>
      </c>
      <c r="DF223" s="542">
        <v>0</v>
      </c>
      <c r="DG223" s="542"/>
      <c r="DH223" s="542">
        <v>0</v>
      </c>
      <c r="DI223" s="542"/>
      <c r="DJ223" s="542">
        <v>0</v>
      </c>
      <c r="DK223" s="542"/>
      <c r="DL223" s="542"/>
      <c r="DM223" s="542">
        <v>-108386</v>
      </c>
      <c r="DN223" s="542">
        <v>0</v>
      </c>
      <c r="DO223" s="542">
        <v>-108386</v>
      </c>
      <c r="DP223" s="542">
        <v>-81029</v>
      </c>
      <c r="DQ223" s="542">
        <v>0</v>
      </c>
      <c r="DR223" s="542">
        <v>-81029</v>
      </c>
      <c r="DS223" s="542">
        <v>0</v>
      </c>
      <c r="DT223" s="542">
        <v>0</v>
      </c>
      <c r="DU223" s="542">
        <v>0</v>
      </c>
      <c r="DV223" s="542">
        <v>-1400</v>
      </c>
      <c r="DW223" s="542">
        <v>0</v>
      </c>
      <c r="DX223" s="542">
        <v>-1400</v>
      </c>
      <c r="DY223" s="542">
        <v>-264099</v>
      </c>
      <c r="DZ223" s="542">
        <v>0</v>
      </c>
      <c r="EA223" s="542">
        <v>-264099</v>
      </c>
      <c r="EB223" s="542">
        <v>0</v>
      </c>
      <c r="EC223" s="542">
        <v>0</v>
      </c>
      <c r="ED223" s="542">
        <v>0</v>
      </c>
      <c r="EE223" s="542">
        <v>0</v>
      </c>
      <c r="EF223" s="542">
        <v>0</v>
      </c>
      <c r="EG223" s="542">
        <v>0</v>
      </c>
      <c r="EH223" s="542">
        <v>-346528</v>
      </c>
      <c r="EI223" s="542">
        <v>0</v>
      </c>
      <c r="EJ223" s="542">
        <v>-346528</v>
      </c>
      <c r="EK223" s="542">
        <v>0</v>
      </c>
      <c r="EL223" s="542">
        <v>0</v>
      </c>
      <c r="EM223" s="542">
        <v>0</v>
      </c>
      <c r="EN223" s="542">
        <v>0</v>
      </c>
      <c r="EO223" s="542">
        <v>0</v>
      </c>
      <c r="EP223" s="542">
        <v>0</v>
      </c>
      <c r="EQ223" s="542">
        <v>0</v>
      </c>
      <c r="ER223" s="542">
        <v>0</v>
      </c>
      <c r="ES223" s="542">
        <v>0</v>
      </c>
      <c r="ET223" s="542">
        <v>48279717</v>
      </c>
      <c r="EU223" s="542">
        <v>0</v>
      </c>
      <c r="EV223" s="542">
        <v>48279717</v>
      </c>
      <c r="EW223" s="542">
        <v>152862</v>
      </c>
      <c r="EX223" s="542">
        <v>0</v>
      </c>
      <c r="EY223" s="542">
        <v>152862</v>
      </c>
      <c r="EZ223" s="542">
        <v>-3611344</v>
      </c>
      <c r="FA223" s="542">
        <v>0</v>
      </c>
      <c r="FB223" s="542">
        <v>-3611344</v>
      </c>
      <c r="FC223" s="542">
        <v>-2468499</v>
      </c>
      <c r="FD223" s="542">
        <v>0</v>
      </c>
      <c r="FE223" s="542">
        <v>-2468499</v>
      </c>
      <c r="FF223" s="542">
        <v>-108386</v>
      </c>
      <c r="FG223" s="542">
        <v>0</v>
      </c>
      <c r="FH223" s="542">
        <v>-108386</v>
      </c>
      <c r="FI223" s="542">
        <v>-346528</v>
      </c>
      <c r="FJ223" s="542">
        <v>0</v>
      </c>
      <c r="FK223" s="542">
        <v>-346528</v>
      </c>
      <c r="FL223" s="542">
        <v>0</v>
      </c>
      <c r="FM223" s="542">
        <v>0</v>
      </c>
      <c r="FN223" s="542">
        <v>0</v>
      </c>
      <c r="FO223" s="542">
        <v>-6381895</v>
      </c>
      <c r="FP223" s="542">
        <v>0</v>
      </c>
      <c r="FQ223" s="542">
        <v>-6381895</v>
      </c>
      <c r="FR223" s="542">
        <v>41897822</v>
      </c>
      <c r="FS223" s="542">
        <v>0</v>
      </c>
      <c r="FT223" s="542">
        <v>41897822</v>
      </c>
    </row>
    <row r="224" spans="1:176" ht="12.75" x14ac:dyDescent="0.2">
      <c r="A224" s="93">
        <v>219</v>
      </c>
      <c r="B224" s="145" t="s">
        <v>316</v>
      </c>
      <c r="C224" s="604" t="s">
        <v>866</v>
      </c>
      <c r="D224" s="142" t="s">
        <v>867</v>
      </c>
      <c r="E224" s="149" t="s">
        <v>315</v>
      </c>
      <c r="F224" s="542">
        <v>-9214</v>
      </c>
      <c r="G224" s="542">
        <v>0</v>
      </c>
      <c r="H224" s="542">
        <v>-9214</v>
      </c>
      <c r="I224" s="542">
        <v>7692</v>
      </c>
      <c r="J224" s="542">
        <v>0</v>
      </c>
      <c r="K224" s="542">
        <v>7692</v>
      </c>
      <c r="L224" s="542">
        <v>6829</v>
      </c>
      <c r="M224" s="542">
        <v>0</v>
      </c>
      <c r="N224" s="542">
        <v>6829</v>
      </c>
      <c r="O224" s="542">
        <v>73593</v>
      </c>
      <c r="P224" s="542">
        <v>0</v>
      </c>
      <c r="Q224" s="542">
        <v>73593</v>
      </c>
      <c r="R224" s="542">
        <v>78900</v>
      </c>
      <c r="S224" s="542">
        <v>0</v>
      </c>
      <c r="T224" s="542">
        <v>78900</v>
      </c>
      <c r="U224" s="542">
        <v>-1193493</v>
      </c>
      <c r="V224" s="542">
        <v>0</v>
      </c>
      <c r="W224" s="542">
        <v>-1193493</v>
      </c>
      <c r="X224" s="542">
        <v>0</v>
      </c>
      <c r="Y224" s="542">
        <v>0</v>
      </c>
      <c r="Z224" s="542">
        <v>0</v>
      </c>
      <c r="AA224" s="542">
        <v>-101831</v>
      </c>
      <c r="AB224" s="542">
        <v>0</v>
      </c>
      <c r="AC224" s="542">
        <v>-101831</v>
      </c>
      <c r="AD224" s="542">
        <v>-101831</v>
      </c>
      <c r="AE224" s="542">
        <v>0</v>
      </c>
      <c r="AF224" s="542">
        <v>-101831</v>
      </c>
      <c r="AG224" s="542">
        <v>1048855</v>
      </c>
      <c r="AH224" s="542">
        <v>0</v>
      </c>
      <c r="AI224" s="542">
        <v>1048855</v>
      </c>
      <c r="AJ224" s="542">
        <v>-17461</v>
      </c>
      <c r="AK224" s="542">
        <v>0</v>
      </c>
      <c r="AL224" s="542">
        <v>-17461</v>
      </c>
      <c r="AM224" s="542">
        <v>-2956941</v>
      </c>
      <c r="AN224" s="542">
        <v>0</v>
      </c>
      <c r="AO224" s="542">
        <v>-2956941</v>
      </c>
      <c r="AP224" s="542">
        <v>118221</v>
      </c>
      <c r="AQ224" s="542">
        <v>0</v>
      </c>
      <c r="AR224" s="542">
        <v>118221</v>
      </c>
      <c r="AS224" s="542">
        <v>-36805</v>
      </c>
      <c r="AT224" s="542">
        <v>0</v>
      </c>
      <c r="AU224" s="542">
        <v>-36805</v>
      </c>
      <c r="AV224" s="542">
        <v>-441</v>
      </c>
      <c r="AW224" s="542">
        <v>0</v>
      </c>
      <c r="AX224" s="542">
        <v>-441</v>
      </c>
      <c r="AY224" s="542">
        <v>-1648</v>
      </c>
      <c r="AZ224" s="542">
        <v>0</v>
      </c>
      <c r="BA224" s="542">
        <v>-1648</v>
      </c>
      <c r="BB224" s="542">
        <v>0</v>
      </c>
      <c r="BC224" s="542">
        <v>0</v>
      </c>
      <c r="BD224" s="542">
        <v>0</v>
      </c>
      <c r="BE224" s="542">
        <v>-3141544</v>
      </c>
      <c r="BF224" s="542">
        <v>0</v>
      </c>
      <c r="BG224" s="542">
        <v>-3141544</v>
      </c>
      <c r="BH224" s="542">
        <v>-15187</v>
      </c>
      <c r="BI224" s="542">
        <v>0</v>
      </c>
      <c r="BJ224" s="542">
        <v>-15187</v>
      </c>
      <c r="BK224" s="542">
        <v>-7580</v>
      </c>
      <c r="BL224" s="542">
        <v>0</v>
      </c>
      <c r="BM224" s="542">
        <v>-7580</v>
      </c>
      <c r="BN224" s="542">
        <v>-1809208</v>
      </c>
      <c r="BO224" s="542">
        <v>0</v>
      </c>
      <c r="BP224" s="542">
        <v>-1809208</v>
      </c>
      <c r="BQ224" s="542">
        <v>16562</v>
      </c>
      <c r="BR224" s="542">
        <v>0</v>
      </c>
      <c r="BS224" s="542">
        <v>16562</v>
      </c>
      <c r="BT224" s="542">
        <v>-1815413</v>
      </c>
      <c r="BU224" s="542">
        <v>0</v>
      </c>
      <c r="BV224" s="542">
        <v>-1815413</v>
      </c>
      <c r="BW224" s="542">
        <v>-20491</v>
      </c>
      <c r="BX224" s="542">
        <v>0</v>
      </c>
      <c r="BY224" s="542">
        <v>-20491</v>
      </c>
      <c r="BZ224" s="542">
        <v>5</v>
      </c>
      <c r="CA224" s="542">
        <v>0</v>
      </c>
      <c r="CB224" s="542">
        <v>5</v>
      </c>
      <c r="CC224" s="542">
        <v>-275</v>
      </c>
      <c r="CD224" s="542">
        <v>0</v>
      </c>
      <c r="CE224" s="542">
        <v>-275</v>
      </c>
      <c r="CF224" s="542">
        <v>0</v>
      </c>
      <c r="CG224" s="542">
        <v>0</v>
      </c>
      <c r="CH224" s="542">
        <v>0</v>
      </c>
      <c r="CI224" s="542">
        <v>0</v>
      </c>
      <c r="CJ224" s="542">
        <v>0</v>
      </c>
      <c r="CK224" s="542">
        <v>0</v>
      </c>
      <c r="CL224" s="542">
        <v>0</v>
      </c>
      <c r="CM224" s="542">
        <v>0</v>
      </c>
      <c r="CN224" s="542">
        <v>0</v>
      </c>
      <c r="CO224" s="542">
        <v>0</v>
      </c>
      <c r="CP224" s="542">
        <v>0</v>
      </c>
      <c r="CQ224" s="542">
        <v>0</v>
      </c>
      <c r="CR224" s="542">
        <v>0</v>
      </c>
      <c r="CS224" s="542">
        <v>0</v>
      </c>
      <c r="CT224" s="542">
        <v>0</v>
      </c>
      <c r="CU224" s="542">
        <v>-2482</v>
      </c>
      <c r="CV224" s="542">
        <v>0</v>
      </c>
      <c r="CW224" s="542">
        <v>-2482</v>
      </c>
      <c r="CX224" s="542">
        <v>0</v>
      </c>
      <c r="CY224" s="542">
        <v>0</v>
      </c>
      <c r="CZ224" s="542">
        <v>0</v>
      </c>
      <c r="DA224" s="542">
        <v>0</v>
      </c>
      <c r="DB224" s="542">
        <v>0</v>
      </c>
      <c r="DC224" s="542">
        <v>0</v>
      </c>
      <c r="DD224" s="542">
        <v>0</v>
      </c>
      <c r="DE224" s="542">
        <v>0</v>
      </c>
      <c r="DF224" s="542">
        <v>0</v>
      </c>
      <c r="DG224" s="542"/>
      <c r="DH224" s="542">
        <v>0</v>
      </c>
      <c r="DI224" s="542"/>
      <c r="DJ224" s="542">
        <v>0</v>
      </c>
      <c r="DK224" s="542"/>
      <c r="DL224" s="542"/>
      <c r="DM224" s="542">
        <v>-23243</v>
      </c>
      <c r="DN224" s="542">
        <v>0</v>
      </c>
      <c r="DO224" s="542">
        <v>-23243</v>
      </c>
      <c r="DP224" s="542">
        <v>0</v>
      </c>
      <c r="DQ224" s="542">
        <v>0</v>
      </c>
      <c r="DR224" s="542">
        <v>0</v>
      </c>
      <c r="DS224" s="542">
        <v>0</v>
      </c>
      <c r="DT224" s="542">
        <v>0</v>
      </c>
      <c r="DU224" s="542">
        <v>0</v>
      </c>
      <c r="DV224" s="542">
        <v>-6541</v>
      </c>
      <c r="DW224" s="542">
        <v>0</v>
      </c>
      <c r="DX224" s="542">
        <v>-6541</v>
      </c>
      <c r="DY224" s="542">
        <v>-321888</v>
      </c>
      <c r="DZ224" s="542">
        <v>0</v>
      </c>
      <c r="EA224" s="542">
        <v>-321888</v>
      </c>
      <c r="EB224" s="542">
        <v>-171441</v>
      </c>
      <c r="EC224" s="542">
        <v>0</v>
      </c>
      <c r="ED224" s="542">
        <v>-171441</v>
      </c>
      <c r="EE224" s="542">
        <v>-221682</v>
      </c>
      <c r="EF224" s="542">
        <v>0</v>
      </c>
      <c r="EG224" s="542">
        <v>-221682</v>
      </c>
      <c r="EH224" s="542">
        <v>-721552</v>
      </c>
      <c r="EI224" s="542">
        <v>0</v>
      </c>
      <c r="EJ224" s="542">
        <v>-721552</v>
      </c>
      <c r="EK224" s="542">
        <v>0</v>
      </c>
      <c r="EL224" s="542">
        <v>0</v>
      </c>
      <c r="EM224" s="542">
        <v>0</v>
      </c>
      <c r="EN224" s="542">
        <v>0</v>
      </c>
      <c r="EO224" s="542">
        <v>0</v>
      </c>
      <c r="EP224" s="542">
        <v>0</v>
      </c>
      <c r="EQ224" s="542">
        <v>0</v>
      </c>
      <c r="ER224" s="542">
        <v>0</v>
      </c>
      <c r="ES224" s="542">
        <v>0</v>
      </c>
      <c r="ET224" s="542">
        <v>48462881</v>
      </c>
      <c r="EU224" s="542">
        <v>0</v>
      </c>
      <c r="EV224" s="542">
        <v>48462881</v>
      </c>
      <c r="EW224" s="542">
        <v>78900</v>
      </c>
      <c r="EX224" s="542">
        <v>0</v>
      </c>
      <c r="EY224" s="542">
        <v>78900</v>
      </c>
      <c r="EZ224" s="542">
        <v>-3141544</v>
      </c>
      <c r="FA224" s="542">
        <v>0</v>
      </c>
      <c r="FB224" s="542">
        <v>-3141544</v>
      </c>
      <c r="FC224" s="542">
        <v>-1815413</v>
      </c>
      <c r="FD224" s="542">
        <v>0</v>
      </c>
      <c r="FE224" s="542">
        <v>-1815413</v>
      </c>
      <c r="FF224" s="542">
        <v>-23243</v>
      </c>
      <c r="FG224" s="542">
        <v>0</v>
      </c>
      <c r="FH224" s="542">
        <v>-23243</v>
      </c>
      <c r="FI224" s="542">
        <v>-721552</v>
      </c>
      <c r="FJ224" s="542">
        <v>0</v>
      </c>
      <c r="FK224" s="542">
        <v>-721552</v>
      </c>
      <c r="FL224" s="542">
        <v>0</v>
      </c>
      <c r="FM224" s="542">
        <v>0</v>
      </c>
      <c r="FN224" s="542">
        <v>0</v>
      </c>
      <c r="FO224" s="542">
        <v>-5622852</v>
      </c>
      <c r="FP224" s="542">
        <v>0</v>
      </c>
      <c r="FQ224" s="542">
        <v>-5622852</v>
      </c>
      <c r="FR224" s="542">
        <v>42840029</v>
      </c>
      <c r="FS224" s="542">
        <v>0</v>
      </c>
      <c r="FT224" s="542">
        <v>42840029</v>
      </c>
    </row>
    <row r="225" spans="1:176" ht="12.75" x14ac:dyDescent="0.2">
      <c r="A225" s="93">
        <v>220</v>
      </c>
      <c r="B225" s="145" t="s">
        <v>318</v>
      </c>
      <c r="C225" s="604" t="s">
        <v>866</v>
      </c>
      <c r="D225" s="142" t="s">
        <v>869</v>
      </c>
      <c r="E225" s="149" t="s">
        <v>317</v>
      </c>
      <c r="F225" s="542">
        <v>-492687</v>
      </c>
      <c r="G225" s="542">
        <v>0</v>
      </c>
      <c r="H225" s="542">
        <v>-492687</v>
      </c>
      <c r="I225" s="542">
        <v>55453</v>
      </c>
      <c r="J225" s="542">
        <v>0</v>
      </c>
      <c r="K225" s="542">
        <v>55453</v>
      </c>
      <c r="L225" s="542">
        <v>47640</v>
      </c>
      <c r="M225" s="542">
        <v>0</v>
      </c>
      <c r="N225" s="542">
        <v>47640</v>
      </c>
      <c r="O225" s="542">
        <v>67630</v>
      </c>
      <c r="P225" s="542">
        <v>0</v>
      </c>
      <c r="Q225" s="542">
        <v>67630</v>
      </c>
      <c r="R225" s="542">
        <v>-321964</v>
      </c>
      <c r="S225" s="542">
        <v>0</v>
      </c>
      <c r="T225" s="542">
        <v>-321964</v>
      </c>
      <c r="U225" s="542">
        <v>-1891458</v>
      </c>
      <c r="V225" s="542">
        <v>0</v>
      </c>
      <c r="W225" s="542">
        <v>-1891458</v>
      </c>
      <c r="X225" s="542">
        <v>-281</v>
      </c>
      <c r="Y225" s="542">
        <v>0</v>
      </c>
      <c r="Z225" s="542">
        <v>-281</v>
      </c>
      <c r="AA225" s="542">
        <v>-162251</v>
      </c>
      <c r="AB225" s="542">
        <v>0</v>
      </c>
      <c r="AC225" s="542">
        <v>-162251</v>
      </c>
      <c r="AD225" s="542">
        <v>0</v>
      </c>
      <c r="AE225" s="542">
        <v>0</v>
      </c>
      <c r="AF225" s="542">
        <v>0</v>
      </c>
      <c r="AG225" s="542">
        <v>638415</v>
      </c>
      <c r="AH225" s="542">
        <v>0</v>
      </c>
      <c r="AI225" s="542">
        <v>638415</v>
      </c>
      <c r="AJ225" s="542">
        <v>-19118</v>
      </c>
      <c r="AK225" s="542">
        <v>0</v>
      </c>
      <c r="AL225" s="542">
        <v>-19118</v>
      </c>
      <c r="AM225" s="542">
        <v>-2574062</v>
      </c>
      <c r="AN225" s="542">
        <v>0</v>
      </c>
      <c r="AO225" s="542">
        <v>-2574062</v>
      </c>
      <c r="AP225" s="542">
        <v>272798</v>
      </c>
      <c r="AQ225" s="542">
        <v>0</v>
      </c>
      <c r="AR225" s="542">
        <v>272798</v>
      </c>
      <c r="AS225" s="542">
        <v>-77457</v>
      </c>
      <c r="AT225" s="542">
        <v>0</v>
      </c>
      <c r="AU225" s="542">
        <v>-77457</v>
      </c>
      <c r="AV225" s="542">
        <v>1959</v>
      </c>
      <c r="AW225" s="542">
        <v>0</v>
      </c>
      <c r="AX225" s="542">
        <v>1959</v>
      </c>
      <c r="AY225" s="542">
        <v>-9342</v>
      </c>
      <c r="AZ225" s="542">
        <v>0</v>
      </c>
      <c r="BA225" s="542">
        <v>-9342</v>
      </c>
      <c r="BB225" s="542">
        <v>-2358</v>
      </c>
      <c r="BC225" s="542">
        <v>0</v>
      </c>
      <c r="BD225" s="542">
        <v>-2358</v>
      </c>
      <c r="BE225" s="542">
        <v>-3822874</v>
      </c>
      <c r="BF225" s="542">
        <v>0</v>
      </c>
      <c r="BG225" s="542">
        <v>-3822874</v>
      </c>
      <c r="BH225" s="542">
        <v>0</v>
      </c>
      <c r="BI225" s="542">
        <v>0</v>
      </c>
      <c r="BJ225" s="542">
        <v>0</v>
      </c>
      <c r="BK225" s="542">
        <v>0</v>
      </c>
      <c r="BL225" s="542">
        <v>0</v>
      </c>
      <c r="BM225" s="542">
        <v>0</v>
      </c>
      <c r="BN225" s="542">
        <v>-405740</v>
      </c>
      <c r="BO225" s="542">
        <v>0</v>
      </c>
      <c r="BP225" s="542">
        <v>-405740</v>
      </c>
      <c r="BQ225" s="542">
        <v>-11252</v>
      </c>
      <c r="BR225" s="542">
        <v>0</v>
      </c>
      <c r="BS225" s="542">
        <v>-11252</v>
      </c>
      <c r="BT225" s="542">
        <v>-416992</v>
      </c>
      <c r="BU225" s="542">
        <v>0</v>
      </c>
      <c r="BV225" s="542">
        <v>-416992</v>
      </c>
      <c r="BW225" s="542">
        <v>-23476</v>
      </c>
      <c r="BX225" s="542">
        <v>0</v>
      </c>
      <c r="BY225" s="542">
        <v>-23476</v>
      </c>
      <c r="BZ225" s="542">
        <v>0</v>
      </c>
      <c r="CA225" s="542">
        <v>0</v>
      </c>
      <c r="CB225" s="542">
        <v>0</v>
      </c>
      <c r="CC225" s="542">
        <v>-377709</v>
      </c>
      <c r="CD225" s="542">
        <v>0</v>
      </c>
      <c r="CE225" s="542">
        <v>-377709</v>
      </c>
      <c r="CF225" s="542">
        <v>0</v>
      </c>
      <c r="CG225" s="542">
        <v>0</v>
      </c>
      <c r="CH225" s="542">
        <v>0</v>
      </c>
      <c r="CI225" s="542">
        <v>0</v>
      </c>
      <c r="CJ225" s="542">
        <v>0</v>
      </c>
      <c r="CK225" s="542">
        <v>0</v>
      </c>
      <c r="CL225" s="542">
        <v>0</v>
      </c>
      <c r="CM225" s="542">
        <v>0</v>
      </c>
      <c r="CN225" s="542">
        <v>0</v>
      </c>
      <c r="CO225" s="542">
        <v>-980</v>
      </c>
      <c r="CP225" s="542">
        <v>0</v>
      </c>
      <c r="CQ225" s="542">
        <v>-980</v>
      </c>
      <c r="CR225" s="542">
        <v>0</v>
      </c>
      <c r="CS225" s="542">
        <v>0</v>
      </c>
      <c r="CT225" s="542">
        <v>0</v>
      </c>
      <c r="CU225" s="542">
        <v>-1436</v>
      </c>
      <c r="CV225" s="542">
        <v>0</v>
      </c>
      <c r="CW225" s="542">
        <v>-1436</v>
      </c>
      <c r="CX225" s="542">
        <v>0</v>
      </c>
      <c r="CY225" s="542">
        <v>0</v>
      </c>
      <c r="CZ225" s="542">
        <v>0</v>
      </c>
      <c r="DA225" s="542">
        <v>0</v>
      </c>
      <c r="DB225" s="542">
        <v>0</v>
      </c>
      <c r="DC225" s="542">
        <v>0</v>
      </c>
      <c r="DD225" s="542">
        <v>0</v>
      </c>
      <c r="DE225" s="542">
        <v>0</v>
      </c>
      <c r="DF225" s="542">
        <v>0</v>
      </c>
      <c r="DG225" s="542"/>
      <c r="DH225" s="542">
        <v>0</v>
      </c>
      <c r="DI225" s="542"/>
      <c r="DJ225" s="542">
        <v>0</v>
      </c>
      <c r="DK225" s="542"/>
      <c r="DL225" s="542"/>
      <c r="DM225" s="542">
        <v>-403601</v>
      </c>
      <c r="DN225" s="542">
        <v>0</v>
      </c>
      <c r="DO225" s="542">
        <v>-403601</v>
      </c>
      <c r="DP225" s="542">
        <v>-9092</v>
      </c>
      <c r="DQ225" s="542">
        <v>0</v>
      </c>
      <c r="DR225" s="542">
        <v>-9092</v>
      </c>
      <c r="DS225" s="542">
        <v>0</v>
      </c>
      <c r="DT225" s="542">
        <v>0</v>
      </c>
      <c r="DU225" s="542">
        <v>0</v>
      </c>
      <c r="DV225" s="542">
        <v>-309948</v>
      </c>
      <c r="DW225" s="542">
        <v>0</v>
      </c>
      <c r="DX225" s="542">
        <v>-309948</v>
      </c>
      <c r="DY225" s="542">
        <v>0</v>
      </c>
      <c r="DZ225" s="542">
        <v>0</v>
      </c>
      <c r="EA225" s="542">
        <v>0</v>
      </c>
      <c r="EB225" s="542">
        <v>0</v>
      </c>
      <c r="EC225" s="542">
        <v>0</v>
      </c>
      <c r="ED225" s="542">
        <v>0</v>
      </c>
      <c r="EE225" s="542">
        <v>0</v>
      </c>
      <c r="EF225" s="542">
        <v>0</v>
      </c>
      <c r="EG225" s="542">
        <v>0</v>
      </c>
      <c r="EH225" s="542">
        <v>-319040</v>
      </c>
      <c r="EI225" s="542">
        <v>0</v>
      </c>
      <c r="EJ225" s="542">
        <v>-319040</v>
      </c>
      <c r="EK225" s="542">
        <v>0</v>
      </c>
      <c r="EL225" s="542">
        <v>0</v>
      </c>
      <c r="EM225" s="542">
        <v>0</v>
      </c>
      <c r="EN225" s="542">
        <v>0</v>
      </c>
      <c r="EO225" s="542">
        <v>0</v>
      </c>
      <c r="EP225" s="542">
        <v>0</v>
      </c>
      <c r="EQ225" s="542">
        <v>0</v>
      </c>
      <c r="ER225" s="542">
        <v>0</v>
      </c>
      <c r="ES225" s="542">
        <v>0</v>
      </c>
      <c r="ET225" s="542">
        <v>31415011</v>
      </c>
      <c r="EU225" s="542">
        <v>0</v>
      </c>
      <c r="EV225" s="542">
        <v>31415011</v>
      </c>
      <c r="EW225" s="542">
        <v>-321964</v>
      </c>
      <c r="EX225" s="542">
        <v>0</v>
      </c>
      <c r="EY225" s="542">
        <v>-321964</v>
      </c>
      <c r="EZ225" s="542">
        <v>-3822874</v>
      </c>
      <c r="FA225" s="542">
        <v>0</v>
      </c>
      <c r="FB225" s="542">
        <v>-3822874</v>
      </c>
      <c r="FC225" s="542">
        <v>-416992</v>
      </c>
      <c r="FD225" s="542">
        <v>0</v>
      </c>
      <c r="FE225" s="542">
        <v>-416992</v>
      </c>
      <c r="FF225" s="542">
        <v>-403601</v>
      </c>
      <c r="FG225" s="542">
        <v>0</v>
      </c>
      <c r="FH225" s="542">
        <v>-403601</v>
      </c>
      <c r="FI225" s="542">
        <v>-319040</v>
      </c>
      <c r="FJ225" s="542">
        <v>0</v>
      </c>
      <c r="FK225" s="542">
        <v>-319040</v>
      </c>
      <c r="FL225" s="542">
        <v>0</v>
      </c>
      <c r="FM225" s="542">
        <v>0</v>
      </c>
      <c r="FN225" s="542">
        <v>0</v>
      </c>
      <c r="FO225" s="542">
        <v>-5284471</v>
      </c>
      <c r="FP225" s="542">
        <v>0</v>
      </c>
      <c r="FQ225" s="542">
        <v>-5284471</v>
      </c>
      <c r="FR225" s="542">
        <v>26130540</v>
      </c>
      <c r="FS225" s="542">
        <v>0</v>
      </c>
      <c r="FT225" s="542">
        <v>26130540</v>
      </c>
    </row>
    <row r="226" spans="1:176" ht="12.75" x14ac:dyDescent="0.2">
      <c r="A226" s="93">
        <v>221</v>
      </c>
      <c r="B226" s="145" t="s">
        <v>320</v>
      </c>
      <c r="C226" s="604" t="s">
        <v>866</v>
      </c>
      <c r="D226" s="142" t="s">
        <v>867</v>
      </c>
      <c r="E226" s="149" t="s">
        <v>319</v>
      </c>
      <c r="F226" s="542">
        <v>-12803</v>
      </c>
      <c r="G226" s="542">
        <v>0</v>
      </c>
      <c r="H226" s="542">
        <v>-12803</v>
      </c>
      <c r="I226" s="542">
        <v>138701</v>
      </c>
      <c r="J226" s="542">
        <v>0</v>
      </c>
      <c r="K226" s="542">
        <v>138701</v>
      </c>
      <c r="L226" s="542">
        <v>5222</v>
      </c>
      <c r="M226" s="542">
        <v>0</v>
      </c>
      <c r="N226" s="542">
        <v>5222</v>
      </c>
      <c r="O226" s="542">
        <v>193091</v>
      </c>
      <c r="P226" s="542">
        <v>0</v>
      </c>
      <c r="Q226" s="542">
        <v>193091</v>
      </c>
      <c r="R226" s="542">
        <v>324211</v>
      </c>
      <c r="S226" s="542">
        <v>0</v>
      </c>
      <c r="T226" s="542">
        <v>324211</v>
      </c>
      <c r="U226" s="542">
        <v>-1217893</v>
      </c>
      <c r="V226" s="542">
        <v>0</v>
      </c>
      <c r="W226" s="542">
        <v>-1217893</v>
      </c>
      <c r="X226" s="542">
        <v>-8664</v>
      </c>
      <c r="Y226" s="542">
        <v>0</v>
      </c>
      <c r="Z226" s="542">
        <v>-8664</v>
      </c>
      <c r="AA226" s="542">
        <v>-91614</v>
      </c>
      <c r="AB226" s="542">
        <v>0</v>
      </c>
      <c r="AC226" s="542">
        <v>-91614</v>
      </c>
      <c r="AD226" s="542">
        <v>-38362</v>
      </c>
      <c r="AE226" s="542">
        <v>0</v>
      </c>
      <c r="AF226" s="542">
        <v>-38362</v>
      </c>
      <c r="AG226" s="542">
        <v>1084853</v>
      </c>
      <c r="AH226" s="542">
        <v>0</v>
      </c>
      <c r="AI226" s="542">
        <v>1084853</v>
      </c>
      <c r="AJ226" s="542">
        <v>38497</v>
      </c>
      <c r="AK226" s="542">
        <v>0</v>
      </c>
      <c r="AL226" s="542">
        <v>38497</v>
      </c>
      <c r="AM226" s="542">
        <v>-1521346</v>
      </c>
      <c r="AN226" s="542">
        <v>0</v>
      </c>
      <c r="AO226" s="542">
        <v>-1521346</v>
      </c>
      <c r="AP226" s="542">
        <v>-29382</v>
      </c>
      <c r="AQ226" s="542">
        <v>0</v>
      </c>
      <c r="AR226" s="542">
        <v>-29382</v>
      </c>
      <c r="AS226" s="542">
        <v>-15308</v>
      </c>
      <c r="AT226" s="542">
        <v>0</v>
      </c>
      <c r="AU226" s="542">
        <v>-15308</v>
      </c>
      <c r="AV226" s="542">
        <v>0</v>
      </c>
      <c r="AW226" s="542">
        <v>0</v>
      </c>
      <c r="AX226" s="542">
        <v>0</v>
      </c>
      <c r="AY226" s="542">
        <v>0</v>
      </c>
      <c r="AZ226" s="542">
        <v>0</v>
      </c>
      <c r="BA226" s="542">
        <v>0</v>
      </c>
      <c r="BB226" s="542">
        <v>0</v>
      </c>
      <c r="BC226" s="542">
        <v>0</v>
      </c>
      <c r="BD226" s="542">
        <v>0</v>
      </c>
      <c r="BE226" s="542">
        <v>-1752193</v>
      </c>
      <c r="BF226" s="542">
        <v>0</v>
      </c>
      <c r="BG226" s="542">
        <v>-1752193</v>
      </c>
      <c r="BH226" s="542">
        <v>-318889</v>
      </c>
      <c r="BI226" s="542">
        <v>0</v>
      </c>
      <c r="BJ226" s="542">
        <v>-318889</v>
      </c>
      <c r="BK226" s="542">
        <v>-20566</v>
      </c>
      <c r="BL226" s="542">
        <v>0</v>
      </c>
      <c r="BM226" s="542">
        <v>-20566</v>
      </c>
      <c r="BN226" s="542">
        <v>-2452658</v>
      </c>
      <c r="BO226" s="542">
        <v>0</v>
      </c>
      <c r="BP226" s="542">
        <v>-2452658</v>
      </c>
      <c r="BQ226" s="542">
        <v>-85200</v>
      </c>
      <c r="BR226" s="542">
        <v>0</v>
      </c>
      <c r="BS226" s="542">
        <v>-85200</v>
      </c>
      <c r="BT226" s="542">
        <v>-2877313</v>
      </c>
      <c r="BU226" s="542">
        <v>0</v>
      </c>
      <c r="BV226" s="542">
        <v>-2877313</v>
      </c>
      <c r="BW226" s="542">
        <v>-53312</v>
      </c>
      <c r="BX226" s="542">
        <v>0</v>
      </c>
      <c r="BY226" s="542">
        <v>-53312</v>
      </c>
      <c r="BZ226" s="542">
        <v>572</v>
      </c>
      <c r="CA226" s="542">
        <v>0</v>
      </c>
      <c r="CB226" s="542">
        <v>572</v>
      </c>
      <c r="CC226" s="542">
        <v>-43596</v>
      </c>
      <c r="CD226" s="542">
        <v>0</v>
      </c>
      <c r="CE226" s="542">
        <v>-43596</v>
      </c>
      <c r="CF226" s="542">
        <v>-4326</v>
      </c>
      <c r="CG226" s="542">
        <v>0</v>
      </c>
      <c r="CH226" s="542">
        <v>-4326</v>
      </c>
      <c r="CI226" s="542">
        <v>-3827</v>
      </c>
      <c r="CJ226" s="542">
        <v>0</v>
      </c>
      <c r="CK226" s="542">
        <v>-3827</v>
      </c>
      <c r="CL226" s="542">
        <v>0</v>
      </c>
      <c r="CM226" s="542">
        <v>0</v>
      </c>
      <c r="CN226" s="542">
        <v>0</v>
      </c>
      <c r="CO226" s="542">
        <v>0</v>
      </c>
      <c r="CP226" s="542">
        <v>0</v>
      </c>
      <c r="CQ226" s="542">
        <v>0</v>
      </c>
      <c r="CR226" s="542">
        <v>0</v>
      </c>
      <c r="CS226" s="542">
        <v>0</v>
      </c>
      <c r="CT226" s="542">
        <v>0</v>
      </c>
      <c r="CU226" s="542">
        <v>0</v>
      </c>
      <c r="CV226" s="542">
        <v>0</v>
      </c>
      <c r="CW226" s="542">
        <v>0</v>
      </c>
      <c r="CX226" s="542">
        <v>0</v>
      </c>
      <c r="CY226" s="542">
        <v>0</v>
      </c>
      <c r="CZ226" s="542">
        <v>0</v>
      </c>
      <c r="DA226" s="542">
        <v>0</v>
      </c>
      <c r="DB226" s="542">
        <v>0</v>
      </c>
      <c r="DC226" s="542">
        <v>0</v>
      </c>
      <c r="DD226" s="542">
        <v>0</v>
      </c>
      <c r="DE226" s="542">
        <v>0</v>
      </c>
      <c r="DF226" s="542">
        <v>0</v>
      </c>
      <c r="DG226" s="542"/>
      <c r="DH226" s="542">
        <v>0</v>
      </c>
      <c r="DI226" s="542"/>
      <c r="DJ226" s="542">
        <v>0</v>
      </c>
      <c r="DK226" s="542"/>
      <c r="DL226" s="542"/>
      <c r="DM226" s="542">
        <v>-104489</v>
      </c>
      <c r="DN226" s="542">
        <v>0</v>
      </c>
      <c r="DO226" s="542">
        <v>-104489</v>
      </c>
      <c r="DP226" s="542">
        <v>0</v>
      </c>
      <c r="DQ226" s="542">
        <v>0</v>
      </c>
      <c r="DR226" s="542">
        <v>0</v>
      </c>
      <c r="DS226" s="542">
        <v>4230</v>
      </c>
      <c r="DT226" s="542">
        <v>0</v>
      </c>
      <c r="DU226" s="542">
        <v>4230</v>
      </c>
      <c r="DV226" s="542">
        <v>-15378</v>
      </c>
      <c r="DW226" s="542">
        <v>0</v>
      </c>
      <c r="DX226" s="542">
        <v>-15378</v>
      </c>
      <c r="DY226" s="542">
        <v>-331673</v>
      </c>
      <c r="DZ226" s="542">
        <v>0</v>
      </c>
      <c r="EA226" s="542">
        <v>-331673</v>
      </c>
      <c r="EB226" s="542">
        <v>0</v>
      </c>
      <c r="EC226" s="542">
        <v>0</v>
      </c>
      <c r="ED226" s="542">
        <v>0</v>
      </c>
      <c r="EE226" s="542">
        <v>1180</v>
      </c>
      <c r="EF226" s="542">
        <v>0</v>
      </c>
      <c r="EG226" s="542">
        <v>1180</v>
      </c>
      <c r="EH226" s="542">
        <v>-341641</v>
      </c>
      <c r="EI226" s="542">
        <v>0</v>
      </c>
      <c r="EJ226" s="542">
        <v>-341641</v>
      </c>
      <c r="EK226" s="542">
        <v>-13806</v>
      </c>
      <c r="EL226" s="542">
        <v>0</v>
      </c>
      <c r="EM226" s="542">
        <v>-13806</v>
      </c>
      <c r="EN226" s="542">
        <v>-3830</v>
      </c>
      <c r="EO226" s="542">
        <v>0</v>
      </c>
      <c r="EP226" s="542">
        <v>-3830</v>
      </c>
      <c r="EQ226" s="542">
        <v>-17636</v>
      </c>
      <c r="ER226" s="542">
        <v>0</v>
      </c>
      <c r="ES226" s="542">
        <v>-17636</v>
      </c>
      <c r="ET226" s="542">
        <v>49146855</v>
      </c>
      <c r="EU226" s="542">
        <v>0</v>
      </c>
      <c r="EV226" s="542">
        <v>49146855</v>
      </c>
      <c r="EW226" s="542">
        <v>324211</v>
      </c>
      <c r="EX226" s="542">
        <v>0</v>
      </c>
      <c r="EY226" s="542">
        <v>324211</v>
      </c>
      <c r="EZ226" s="542">
        <v>-1752193</v>
      </c>
      <c r="FA226" s="542">
        <v>0</v>
      </c>
      <c r="FB226" s="542">
        <v>-1752193</v>
      </c>
      <c r="FC226" s="542">
        <v>-2877313</v>
      </c>
      <c r="FD226" s="542">
        <v>0</v>
      </c>
      <c r="FE226" s="542">
        <v>-2877313</v>
      </c>
      <c r="FF226" s="542">
        <v>-104489</v>
      </c>
      <c r="FG226" s="542">
        <v>0</v>
      </c>
      <c r="FH226" s="542">
        <v>-104489</v>
      </c>
      <c r="FI226" s="542">
        <v>-341641</v>
      </c>
      <c r="FJ226" s="542">
        <v>0</v>
      </c>
      <c r="FK226" s="542">
        <v>-341641</v>
      </c>
      <c r="FL226" s="542">
        <v>-17636</v>
      </c>
      <c r="FM226" s="542">
        <v>0</v>
      </c>
      <c r="FN226" s="542">
        <v>-17636</v>
      </c>
      <c r="FO226" s="542">
        <v>-4769061</v>
      </c>
      <c r="FP226" s="542">
        <v>0</v>
      </c>
      <c r="FQ226" s="542">
        <v>-4769061</v>
      </c>
      <c r="FR226" s="542">
        <v>44377794</v>
      </c>
      <c r="FS226" s="542">
        <v>0</v>
      </c>
      <c r="FT226" s="542">
        <v>44377794</v>
      </c>
    </row>
    <row r="227" spans="1:176" ht="12.75" x14ac:dyDescent="0.2">
      <c r="A227" s="93">
        <v>222</v>
      </c>
      <c r="B227" s="145" t="s">
        <v>322</v>
      </c>
      <c r="C227" s="604" t="s">
        <v>770</v>
      </c>
      <c r="D227" s="142" t="s">
        <v>869</v>
      </c>
      <c r="E227" s="149" t="s">
        <v>722</v>
      </c>
      <c r="F227" s="542">
        <v>-14736</v>
      </c>
      <c r="G227" s="542">
        <v>0</v>
      </c>
      <c r="H227" s="542">
        <v>-14736</v>
      </c>
      <c r="I227" s="542">
        <v>-15673</v>
      </c>
      <c r="J227" s="542">
        <v>0</v>
      </c>
      <c r="K227" s="542">
        <v>-15673</v>
      </c>
      <c r="L227" s="542">
        <v>2407</v>
      </c>
      <c r="M227" s="542">
        <v>0</v>
      </c>
      <c r="N227" s="542">
        <v>2407</v>
      </c>
      <c r="O227" s="542">
        <v>12797</v>
      </c>
      <c r="P227" s="542">
        <v>0</v>
      </c>
      <c r="Q227" s="542">
        <v>12797</v>
      </c>
      <c r="R227" s="542">
        <v>-15205</v>
      </c>
      <c r="S227" s="542">
        <v>0</v>
      </c>
      <c r="T227" s="542">
        <v>-15205</v>
      </c>
      <c r="U227" s="542">
        <v>-918414</v>
      </c>
      <c r="V227" s="542">
        <v>0</v>
      </c>
      <c r="W227" s="542">
        <v>-918414</v>
      </c>
      <c r="X227" s="542">
        <v>-10975</v>
      </c>
      <c r="Y227" s="542">
        <v>0</v>
      </c>
      <c r="Z227" s="542">
        <v>-10975</v>
      </c>
      <c r="AA227" s="542">
        <v>-58329</v>
      </c>
      <c r="AB227" s="542">
        <v>0</v>
      </c>
      <c r="AC227" s="542">
        <v>-58329</v>
      </c>
      <c r="AD227" s="542">
        <v>-16834</v>
      </c>
      <c r="AE227" s="542">
        <v>0</v>
      </c>
      <c r="AF227" s="542">
        <v>-16834</v>
      </c>
      <c r="AG227" s="542">
        <v>228833</v>
      </c>
      <c r="AH227" s="542">
        <v>0</v>
      </c>
      <c r="AI227" s="542">
        <v>228833</v>
      </c>
      <c r="AJ227" s="542">
        <v>796</v>
      </c>
      <c r="AK227" s="542">
        <v>0</v>
      </c>
      <c r="AL227" s="542">
        <v>796</v>
      </c>
      <c r="AM227" s="542">
        <v>-1142494</v>
      </c>
      <c r="AN227" s="542">
        <v>0</v>
      </c>
      <c r="AO227" s="542">
        <v>-1142494</v>
      </c>
      <c r="AP227" s="542">
        <v>-19678</v>
      </c>
      <c r="AQ227" s="542">
        <v>0</v>
      </c>
      <c r="AR227" s="542">
        <v>-19678</v>
      </c>
      <c r="AS227" s="542">
        <v>-17445</v>
      </c>
      <c r="AT227" s="542">
        <v>0</v>
      </c>
      <c r="AU227" s="542">
        <v>-17445</v>
      </c>
      <c r="AV227" s="542">
        <v>-5429</v>
      </c>
      <c r="AW227" s="542">
        <v>0</v>
      </c>
      <c r="AX227" s="542">
        <v>-5429</v>
      </c>
      <c r="AY227" s="542">
        <v>-11153</v>
      </c>
      <c r="AZ227" s="542">
        <v>0</v>
      </c>
      <c r="BA227" s="542">
        <v>-11153</v>
      </c>
      <c r="BB227" s="542">
        <v>-27</v>
      </c>
      <c r="BC227" s="542">
        <v>0</v>
      </c>
      <c r="BD227" s="542">
        <v>-27</v>
      </c>
      <c r="BE227" s="542">
        <v>-1943340</v>
      </c>
      <c r="BF227" s="542">
        <v>0</v>
      </c>
      <c r="BG227" s="542">
        <v>-1943340</v>
      </c>
      <c r="BH227" s="542">
        <v>0</v>
      </c>
      <c r="BI227" s="542">
        <v>0</v>
      </c>
      <c r="BJ227" s="542">
        <v>0</v>
      </c>
      <c r="BK227" s="542">
        <v>0</v>
      </c>
      <c r="BL227" s="542">
        <v>0</v>
      </c>
      <c r="BM227" s="542">
        <v>0</v>
      </c>
      <c r="BN227" s="542">
        <v>-231909</v>
      </c>
      <c r="BO227" s="542">
        <v>0</v>
      </c>
      <c r="BP227" s="542">
        <v>-231909</v>
      </c>
      <c r="BQ227" s="542">
        <v>9258</v>
      </c>
      <c r="BR227" s="542">
        <v>0</v>
      </c>
      <c r="BS227" s="542">
        <v>9258</v>
      </c>
      <c r="BT227" s="542">
        <v>-222651</v>
      </c>
      <c r="BU227" s="542">
        <v>0</v>
      </c>
      <c r="BV227" s="542">
        <v>-222651</v>
      </c>
      <c r="BW227" s="542">
        <v>-35176</v>
      </c>
      <c r="BX227" s="542">
        <v>0</v>
      </c>
      <c r="BY227" s="542">
        <v>-35176</v>
      </c>
      <c r="BZ227" s="542">
        <v>-754</v>
      </c>
      <c r="CA227" s="542">
        <v>0</v>
      </c>
      <c r="CB227" s="542">
        <v>-754</v>
      </c>
      <c r="CC227" s="542">
        <v>-35848</v>
      </c>
      <c r="CD227" s="542">
        <v>0</v>
      </c>
      <c r="CE227" s="542">
        <v>-35848</v>
      </c>
      <c r="CF227" s="542">
        <v>4070</v>
      </c>
      <c r="CG227" s="542">
        <v>0</v>
      </c>
      <c r="CH227" s="542">
        <v>4070</v>
      </c>
      <c r="CI227" s="542">
        <v>-4261</v>
      </c>
      <c r="CJ227" s="542">
        <v>0</v>
      </c>
      <c r="CK227" s="542">
        <v>-4261</v>
      </c>
      <c r="CL227" s="542">
        <v>0</v>
      </c>
      <c r="CM227" s="542">
        <v>0</v>
      </c>
      <c r="CN227" s="542">
        <v>0</v>
      </c>
      <c r="CO227" s="542">
        <v>-1531</v>
      </c>
      <c r="CP227" s="542">
        <v>0</v>
      </c>
      <c r="CQ227" s="542">
        <v>-1531</v>
      </c>
      <c r="CR227" s="542">
        <v>0</v>
      </c>
      <c r="CS227" s="542">
        <v>0</v>
      </c>
      <c r="CT227" s="542">
        <v>0</v>
      </c>
      <c r="CU227" s="542">
        <v>-11153</v>
      </c>
      <c r="CV227" s="542">
        <v>0</v>
      </c>
      <c r="CW227" s="542">
        <v>-11153</v>
      </c>
      <c r="CX227" s="542">
        <v>-27</v>
      </c>
      <c r="CY227" s="542">
        <v>0</v>
      </c>
      <c r="CZ227" s="542">
        <v>-27</v>
      </c>
      <c r="DA227" s="542">
        <v>0</v>
      </c>
      <c r="DB227" s="542">
        <v>0</v>
      </c>
      <c r="DC227" s="542">
        <v>0</v>
      </c>
      <c r="DD227" s="542">
        <v>0</v>
      </c>
      <c r="DE227" s="542">
        <v>0</v>
      </c>
      <c r="DF227" s="542">
        <v>0</v>
      </c>
      <c r="DG227" s="542"/>
      <c r="DH227" s="542">
        <v>0</v>
      </c>
      <c r="DI227" s="542"/>
      <c r="DJ227" s="542">
        <v>0</v>
      </c>
      <c r="DK227" s="542"/>
      <c r="DL227" s="542"/>
      <c r="DM227" s="542">
        <v>-84680</v>
      </c>
      <c r="DN227" s="542">
        <v>0</v>
      </c>
      <c r="DO227" s="542">
        <v>-84680</v>
      </c>
      <c r="DP227" s="542">
        <v>0</v>
      </c>
      <c r="DQ227" s="542">
        <v>0</v>
      </c>
      <c r="DR227" s="542">
        <v>0</v>
      </c>
      <c r="DS227" s="542">
        <v>0</v>
      </c>
      <c r="DT227" s="542">
        <v>0</v>
      </c>
      <c r="DU227" s="542">
        <v>0</v>
      </c>
      <c r="DV227" s="542">
        <v>0</v>
      </c>
      <c r="DW227" s="542">
        <v>0</v>
      </c>
      <c r="DX227" s="542">
        <v>0</v>
      </c>
      <c r="DY227" s="542">
        <v>-160422</v>
      </c>
      <c r="DZ227" s="542">
        <v>0</v>
      </c>
      <c r="EA227" s="542">
        <v>-160422</v>
      </c>
      <c r="EB227" s="542">
        <v>0</v>
      </c>
      <c r="EC227" s="542">
        <v>0</v>
      </c>
      <c r="ED227" s="542">
        <v>0</v>
      </c>
      <c r="EE227" s="542">
        <v>0</v>
      </c>
      <c r="EF227" s="542">
        <v>0</v>
      </c>
      <c r="EG227" s="542">
        <v>0</v>
      </c>
      <c r="EH227" s="542">
        <v>-160422</v>
      </c>
      <c r="EI227" s="542">
        <v>0</v>
      </c>
      <c r="EJ227" s="542">
        <v>-160422</v>
      </c>
      <c r="EK227" s="542">
        <v>0</v>
      </c>
      <c r="EL227" s="542">
        <v>0</v>
      </c>
      <c r="EM227" s="542">
        <v>0</v>
      </c>
      <c r="EN227" s="542">
        <v>0</v>
      </c>
      <c r="EO227" s="542">
        <v>0</v>
      </c>
      <c r="EP227" s="542">
        <v>0</v>
      </c>
      <c r="EQ227" s="542">
        <v>0</v>
      </c>
      <c r="ER227" s="542">
        <v>0</v>
      </c>
      <c r="ES227" s="542">
        <v>0</v>
      </c>
      <c r="ET227" s="542">
        <v>12617786</v>
      </c>
      <c r="EU227" s="542">
        <v>0</v>
      </c>
      <c r="EV227" s="542">
        <v>12617786</v>
      </c>
      <c r="EW227" s="542">
        <v>-15205</v>
      </c>
      <c r="EX227" s="542">
        <v>0</v>
      </c>
      <c r="EY227" s="542">
        <v>-15205</v>
      </c>
      <c r="EZ227" s="542">
        <v>-1943340</v>
      </c>
      <c r="FA227" s="542">
        <v>0</v>
      </c>
      <c r="FB227" s="542">
        <v>-1943340</v>
      </c>
      <c r="FC227" s="542">
        <v>-222651</v>
      </c>
      <c r="FD227" s="542">
        <v>0</v>
      </c>
      <c r="FE227" s="542">
        <v>-222651</v>
      </c>
      <c r="FF227" s="542">
        <v>-84680</v>
      </c>
      <c r="FG227" s="542">
        <v>0</v>
      </c>
      <c r="FH227" s="542">
        <v>-84680</v>
      </c>
      <c r="FI227" s="542">
        <v>-160422</v>
      </c>
      <c r="FJ227" s="542">
        <v>0</v>
      </c>
      <c r="FK227" s="542">
        <v>-160422</v>
      </c>
      <c r="FL227" s="542">
        <v>0</v>
      </c>
      <c r="FM227" s="542">
        <v>0</v>
      </c>
      <c r="FN227" s="542">
        <v>0</v>
      </c>
      <c r="FO227" s="542">
        <v>-2426298</v>
      </c>
      <c r="FP227" s="542">
        <v>0</v>
      </c>
      <c r="FQ227" s="542">
        <v>-2426298</v>
      </c>
      <c r="FR227" s="542">
        <v>10191488</v>
      </c>
      <c r="FS227" s="542">
        <v>0</v>
      </c>
      <c r="FT227" s="542">
        <v>10191488</v>
      </c>
    </row>
    <row r="228" spans="1:176" ht="12.75" x14ac:dyDescent="0.2">
      <c r="A228" s="93">
        <v>223</v>
      </c>
      <c r="B228" s="145" t="s">
        <v>324</v>
      </c>
      <c r="C228" s="604" t="s">
        <v>866</v>
      </c>
      <c r="D228" s="142" t="s">
        <v>874</v>
      </c>
      <c r="E228" s="149" t="s">
        <v>323</v>
      </c>
      <c r="F228" s="542">
        <v>-93178</v>
      </c>
      <c r="G228" s="542">
        <v>0</v>
      </c>
      <c r="H228" s="542">
        <v>-93178</v>
      </c>
      <c r="I228" s="542">
        <v>13807</v>
      </c>
      <c r="J228" s="542">
        <v>0</v>
      </c>
      <c r="K228" s="542">
        <v>13807</v>
      </c>
      <c r="L228" s="542">
        <v>1783</v>
      </c>
      <c r="M228" s="542">
        <v>0</v>
      </c>
      <c r="N228" s="542">
        <v>1783</v>
      </c>
      <c r="O228" s="542">
        <v>60162</v>
      </c>
      <c r="P228" s="542">
        <v>0</v>
      </c>
      <c r="Q228" s="542">
        <v>60162</v>
      </c>
      <c r="R228" s="542">
        <v>-17426</v>
      </c>
      <c r="S228" s="542">
        <v>0</v>
      </c>
      <c r="T228" s="542">
        <v>-17426</v>
      </c>
      <c r="U228" s="542">
        <v>-2074084</v>
      </c>
      <c r="V228" s="542">
        <v>0</v>
      </c>
      <c r="W228" s="542">
        <v>-2074084</v>
      </c>
      <c r="X228" s="542">
        <v>-8513</v>
      </c>
      <c r="Y228" s="542">
        <v>0</v>
      </c>
      <c r="Z228" s="542">
        <v>-8513</v>
      </c>
      <c r="AA228" s="542">
        <v>-94788</v>
      </c>
      <c r="AB228" s="542">
        <v>0</v>
      </c>
      <c r="AC228" s="542">
        <v>-94788</v>
      </c>
      <c r="AD228" s="542">
        <v>-38879</v>
      </c>
      <c r="AE228" s="542">
        <v>0</v>
      </c>
      <c r="AF228" s="542">
        <v>-38879</v>
      </c>
      <c r="AG228" s="542">
        <v>337914</v>
      </c>
      <c r="AH228" s="542">
        <v>0</v>
      </c>
      <c r="AI228" s="542">
        <v>337914</v>
      </c>
      <c r="AJ228" s="542">
        <v>6744</v>
      </c>
      <c r="AK228" s="542">
        <v>0</v>
      </c>
      <c r="AL228" s="542">
        <v>6744</v>
      </c>
      <c r="AM228" s="542">
        <v>-832315</v>
      </c>
      <c r="AN228" s="542">
        <v>0</v>
      </c>
      <c r="AO228" s="542">
        <v>-832315</v>
      </c>
      <c r="AP228" s="542">
        <v>-45763</v>
      </c>
      <c r="AQ228" s="542">
        <v>0</v>
      </c>
      <c r="AR228" s="542">
        <v>-45763</v>
      </c>
      <c r="AS228" s="542">
        <v>-29186</v>
      </c>
      <c r="AT228" s="542">
        <v>0</v>
      </c>
      <c r="AU228" s="542">
        <v>-29186</v>
      </c>
      <c r="AV228" s="542">
        <v>0</v>
      </c>
      <c r="AW228" s="542">
        <v>0</v>
      </c>
      <c r="AX228" s="542">
        <v>0</v>
      </c>
      <c r="AY228" s="542">
        <v>-45093</v>
      </c>
      <c r="AZ228" s="542">
        <v>0</v>
      </c>
      <c r="BA228" s="542">
        <v>-45093</v>
      </c>
      <c r="BB228" s="542">
        <v>-4058</v>
      </c>
      <c r="BC228" s="542">
        <v>0</v>
      </c>
      <c r="BD228" s="542">
        <v>-4058</v>
      </c>
      <c r="BE228" s="542">
        <v>-2780629</v>
      </c>
      <c r="BF228" s="542">
        <v>0</v>
      </c>
      <c r="BG228" s="542">
        <v>-2780629</v>
      </c>
      <c r="BH228" s="542">
        <v>0</v>
      </c>
      <c r="BI228" s="542">
        <v>0</v>
      </c>
      <c r="BJ228" s="542">
        <v>0</v>
      </c>
      <c r="BK228" s="542">
        <v>0</v>
      </c>
      <c r="BL228" s="542">
        <v>0</v>
      </c>
      <c r="BM228" s="542">
        <v>0</v>
      </c>
      <c r="BN228" s="542">
        <v>-384424</v>
      </c>
      <c r="BO228" s="542">
        <v>0</v>
      </c>
      <c r="BP228" s="542">
        <v>-384424</v>
      </c>
      <c r="BQ228" s="542">
        <v>3536</v>
      </c>
      <c r="BR228" s="542">
        <v>0</v>
      </c>
      <c r="BS228" s="542">
        <v>3536</v>
      </c>
      <c r="BT228" s="542">
        <v>-380888</v>
      </c>
      <c r="BU228" s="542">
        <v>0</v>
      </c>
      <c r="BV228" s="542">
        <v>-380888</v>
      </c>
      <c r="BW228" s="542">
        <v>-84098</v>
      </c>
      <c r="BX228" s="542">
        <v>0</v>
      </c>
      <c r="BY228" s="542">
        <v>-84098</v>
      </c>
      <c r="BZ228" s="542">
        <v>160</v>
      </c>
      <c r="CA228" s="542">
        <v>0</v>
      </c>
      <c r="CB228" s="542">
        <v>160</v>
      </c>
      <c r="CC228" s="542">
        <v>-44723</v>
      </c>
      <c r="CD228" s="542">
        <v>0</v>
      </c>
      <c r="CE228" s="542">
        <v>-44723</v>
      </c>
      <c r="CF228" s="542">
        <v>-7566</v>
      </c>
      <c r="CG228" s="542">
        <v>0</v>
      </c>
      <c r="CH228" s="542">
        <v>-7566</v>
      </c>
      <c r="CI228" s="542">
        <v>-2477</v>
      </c>
      <c r="CJ228" s="542">
        <v>0</v>
      </c>
      <c r="CK228" s="542">
        <v>-2477</v>
      </c>
      <c r="CL228" s="542">
        <v>0</v>
      </c>
      <c r="CM228" s="542">
        <v>0</v>
      </c>
      <c r="CN228" s="542">
        <v>0</v>
      </c>
      <c r="CO228" s="542">
        <v>-5791</v>
      </c>
      <c r="CP228" s="542">
        <v>0</v>
      </c>
      <c r="CQ228" s="542">
        <v>-5791</v>
      </c>
      <c r="CR228" s="542">
        <v>0</v>
      </c>
      <c r="CS228" s="542">
        <v>0</v>
      </c>
      <c r="CT228" s="542">
        <v>0</v>
      </c>
      <c r="CU228" s="542">
        <v>-5082</v>
      </c>
      <c r="CV228" s="542">
        <v>0</v>
      </c>
      <c r="CW228" s="542">
        <v>-5082</v>
      </c>
      <c r="CX228" s="542">
        <v>0</v>
      </c>
      <c r="CY228" s="542">
        <v>0</v>
      </c>
      <c r="CZ228" s="542">
        <v>0</v>
      </c>
      <c r="DA228" s="542">
        <v>0</v>
      </c>
      <c r="DB228" s="542">
        <v>0</v>
      </c>
      <c r="DC228" s="542">
        <v>0</v>
      </c>
      <c r="DD228" s="542">
        <v>0</v>
      </c>
      <c r="DE228" s="542">
        <v>0</v>
      </c>
      <c r="DF228" s="542">
        <v>0</v>
      </c>
      <c r="DG228" s="542"/>
      <c r="DH228" s="542">
        <v>0</v>
      </c>
      <c r="DI228" s="542"/>
      <c r="DJ228" s="542">
        <v>0</v>
      </c>
      <c r="DK228" s="542"/>
      <c r="DL228" s="542"/>
      <c r="DM228" s="542">
        <v>-149577</v>
      </c>
      <c r="DN228" s="542">
        <v>0</v>
      </c>
      <c r="DO228" s="542">
        <v>-149577</v>
      </c>
      <c r="DP228" s="542">
        <v>0</v>
      </c>
      <c r="DQ228" s="542">
        <v>0</v>
      </c>
      <c r="DR228" s="542">
        <v>0</v>
      </c>
      <c r="DS228" s="542">
        <v>0</v>
      </c>
      <c r="DT228" s="542">
        <v>0</v>
      </c>
      <c r="DU228" s="542">
        <v>0</v>
      </c>
      <c r="DV228" s="542">
        <v>-7392</v>
      </c>
      <c r="DW228" s="542">
        <v>0</v>
      </c>
      <c r="DX228" s="542">
        <v>-7392</v>
      </c>
      <c r="DY228" s="542">
        <v>-329704</v>
      </c>
      <c r="DZ228" s="542">
        <v>0</v>
      </c>
      <c r="EA228" s="542">
        <v>-329704</v>
      </c>
      <c r="EB228" s="542">
        <v>0</v>
      </c>
      <c r="EC228" s="542">
        <v>0</v>
      </c>
      <c r="ED228" s="542">
        <v>0</v>
      </c>
      <c r="EE228" s="542">
        <v>0</v>
      </c>
      <c r="EF228" s="542">
        <v>0</v>
      </c>
      <c r="EG228" s="542">
        <v>0</v>
      </c>
      <c r="EH228" s="542">
        <v>-337096</v>
      </c>
      <c r="EI228" s="542">
        <v>0</v>
      </c>
      <c r="EJ228" s="542">
        <v>-337096</v>
      </c>
      <c r="EK228" s="542">
        <v>0</v>
      </c>
      <c r="EL228" s="542">
        <v>0</v>
      </c>
      <c r="EM228" s="542">
        <v>0</v>
      </c>
      <c r="EN228" s="542">
        <v>0</v>
      </c>
      <c r="EO228" s="542">
        <v>0</v>
      </c>
      <c r="EP228" s="542">
        <v>0</v>
      </c>
      <c r="EQ228" s="542">
        <v>0</v>
      </c>
      <c r="ER228" s="542">
        <v>0</v>
      </c>
      <c r="ES228" s="542">
        <v>0</v>
      </c>
      <c r="ET228" s="542">
        <v>19986516</v>
      </c>
      <c r="EU228" s="542">
        <v>0</v>
      </c>
      <c r="EV228" s="542">
        <v>19986516</v>
      </c>
      <c r="EW228" s="542">
        <v>-17426</v>
      </c>
      <c r="EX228" s="542">
        <v>0</v>
      </c>
      <c r="EY228" s="542">
        <v>-17426</v>
      </c>
      <c r="EZ228" s="542">
        <v>-2780629</v>
      </c>
      <c r="FA228" s="542">
        <v>0</v>
      </c>
      <c r="FB228" s="542">
        <v>-2780629</v>
      </c>
      <c r="FC228" s="542">
        <v>-380888</v>
      </c>
      <c r="FD228" s="542">
        <v>0</v>
      </c>
      <c r="FE228" s="542">
        <v>-380888</v>
      </c>
      <c r="FF228" s="542">
        <v>-149577</v>
      </c>
      <c r="FG228" s="542">
        <v>0</v>
      </c>
      <c r="FH228" s="542">
        <v>-149577</v>
      </c>
      <c r="FI228" s="542">
        <v>-337096</v>
      </c>
      <c r="FJ228" s="542">
        <v>0</v>
      </c>
      <c r="FK228" s="542">
        <v>-337096</v>
      </c>
      <c r="FL228" s="542">
        <v>0</v>
      </c>
      <c r="FM228" s="542">
        <v>0</v>
      </c>
      <c r="FN228" s="542">
        <v>0</v>
      </c>
      <c r="FO228" s="542">
        <v>-3665616</v>
      </c>
      <c r="FP228" s="542">
        <v>0</v>
      </c>
      <c r="FQ228" s="542">
        <v>-3665616</v>
      </c>
      <c r="FR228" s="542">
        <v>16320900</v>
      </c>
      <c r="FS228" s="542">
        <v>0</v>
      </c>
      <c r="FT228" s="542">
        <v>16320900</v>
      </c>
    </row>
    <row r="229" spans="1:176" ht="12.75" x14ac:dyDescent="0.2">
      <c r="A229" s="93">
        <v>224</v>
      </c>
      <c r="B229" s="145" t="s">
        <v>326</v>
      </c>
      <c r="C229" s="604" t="s">
        <v>873</v>
      </c>
      <c r="D229" s="142" t="s">
        <v>868</v>
      </c>
      <c r="E229" s="149" t="s">
        <v>325</v>
      </c>
      <c r="F229" s="542">
        <v>-59942</v>
      </c>
      <c r="G229" s="542">
        <v>0</v>
      </c>
      <c r="H229" s="542">
        <v>-59942</v>
      </c>
      <c r="I229" s="542">
        <v>310157</v>
      </c>
      <c r="J229" s="542">
        <v>0</v>
      </c>
      <c r="K229" s="542">
        <v>310157</v>
      </c>
      <c r="L229" s="542">
        <v>12689</v>
      </c>
      <c r="M229" s="542">
        <v>0</v>
      </c>
      <c r="N229" s="542">
        <v>12689</v>
      </c>
      <c r="O229" s="542">
        <v>254035</v>
      </c>
      <c r="P229" s="542">
        <v>0</v>
      </c>
      <c r="Q229" s="542">
        <v>254035</v>
      </c>
      <c r="R229" s="542">
        <v>516939</v>
      </c>
      <c r="S229" s="542">
        <v>0</v>
      </c>
      <c r="T229" s="542">
        <v>516939</v>
      </c>
      <c r="U229" s="542">
        <v>-4435855</v>
      </c>
      <c r="V229" s="542">
        <v>0</v>
      </c>
      <c r="W229" s="542">
        <v>-4435855</v>
      </c>
      <c r="X229" s="542">
        <v>-1507</v>
      </c>
      <c r="Y229" s="542">
        <v>0</v>
      </c>
      <c r="Z229" s="542">
        <v>-1507</v>
      </c>
      <c r="AA229" s="542">
        <v>-304289</v>
      </c>
      <c r="AB229" s="542">
        <v>0</v>
      </c>
      <c r="AC229" s="542">
        <v>-304289</v>
      </c>
      <c r="AD229" s="542">
        <v>-151585</v>
      </c>
      <c r="AE229" s="542">
        <v>0</v>
      </c>
      <c r="AF229" s="542">
        <v>-151585</v>
      </c>
      <c r="AG229" s="542">
        <v>2352904</v>
      </c>
      <c r="AH229" s="542">
        <v>0</v>
      </c>
      <c r="AI229" s="542">
        <v>2352904</v>
      </c>
      <c r="AJ229" s="542">
        <v>266539</v>
      </c>
      <c r="AK229" s="542">
        <v>0</v>
      </c>
      <c r="AL229" s="542">
        <v>266539</v>
      </c>
      <c r="AM229" s="542">
        <v>-6480327</v>
      </c>
      <c r="AN229" s="542">
        <v>0</v>
      </c>
      <c r="AO229" s="542">
        <v>-6480327</v>
      </c>
      <c r="AP229" s="542">
        <v>19286</v>
      </c>
      <c r="AQ229" s="542">
        <v>0</v>
      </c>
      <c r="AR229" s="542">
        <v>19286</v>
      </c>
      <c r="AS229" s="542">
        <v>-88218</v>
      </c>
      <c r="AT229" s="542">
        <v>0</v>
      </c>
      <c r="AU229" s="542">
        <v>-88218</v>
      </c>
      <c r="AV229" s="542">
        <v>8283</v>
      </c>
      <c r="AW229" s="542">
        <v>0</v>
      </c>
      <c r="AX229" s="542">
        <v>8283</v>
      </c>
      <c r="AY229" s="542">
        <v>0</v>
      </c>
      <c r="AZ229" s="542">
        <v>0</v>
      </c>
      <c r="BA229" s="542">
        <v>0</v>
      </c>
      <c r="BB229" s="542">
        <v>0</v>
      </c>
      <c r="BC229" s="542">
        <v>0</v>
      </c>
      <c r="BD229" s="542">
        <v>0</v>
      </c>
      <c r="BE229" s="542">
        <v>-8661677</v>
      </c>
      <c r="BF229" s="542">
        <v>0</v>
      </c>
      <c r="BG229" s="542">
        <v>-8661677</v>
      </c>
      <c r="BH229" s="542">
        <v>-1304</v>
      </c>
      <c r="BI229" s="542">
        <v>0</v>
      </c>
      <c r="BJ229" s="542">
        <v>-1304</v>
      </c>
      <c r="BK229" s="542">
        <v>8323</v>
      </c>
      <c r="BL229" s="542">
        <v>0</v>
      </c>
      <c r="BM229" s="542">
        <v>8323</v>
      </c>
      <c r="BN229" s="542">
        <v>-5997352</v>
      </c>
      <c r="BO229" s="542">
        <v>0</v>
      </c>
      <c r="BP229" s="542">
        <v>-5997352</v>
      </c>
      <c r="BQ229" s="542">
        <v>156683</v>
      </c>
      <c r="BR229" s="542">
        <v>0</v>
      </c>
      <c r="BS229" s="542">
        <v>156683</v>
      </c>
      <c r="BT229" s="542">
        <v>-5833650</v>
      </c>
      <c r="BU229" s="542">
        <v>0</v>
      </c>
      <c r="BV229" s="542">
        <v>-5833650</v>
      </c>
      <c r="BW229" s="542">
        <v>-62596</v>
      </c>
      <c r="BX229" s="542">
        <v>0</v>
      </c>
      <c r="BY229" s="542">
        <v>-62596</v>
      </c>
      <c r="BZ229" s="542">
        <v>-18211</v>
      </c>
      <c r="CA229" s="542">
        <v>0</v>
      </c>
      <c r="CB229" s="542">
        <v>-18211</v>
      </c>
      <c r="CC229" s="542">
        <v>-30404</v>
      </c>
      <c r="CD229" s="542">
        <v>0</v>
      </c>
      <c r="CE229" s="542">
        <v>-30404</v>
      </c>
      <c r="CF229" s="542">
        <v>5615</v>
      </c>
      <c r="CG229" s="542">
        <v>0</v>
      </c>
      <c r="CH229" s="542">
        <v>5615</v>
      </c>
      <c r="CI229" s="542">
        <v>-19</v>
      </c>
      <c r="CJ229" s="542">
        <v>0</v>
      </c>
      <c r="CK229" s="542">
        <v>-19</v>
      </c>
      <c r="CL229" s="542">
        <v>205</v>
      </c>
      <c r="CM229" s="542">
        <v>0</v>
      </c>
      <c r="CN229" s="542">
        <v>205</v>
      </c>
      <c r="CO229" s="542">
        <v>0</v>
      </c>
      <c r="CP229" s="542">
        <v>0</v>
      </c>
      <c r="CQ229" s="542">
        <v>0</v>
      </c>
      <c r="CR229" s="542">
        <v>0</v>
      </c>
      <c r="CS229" s="542">
        <v>0</v>
      </c>
      <c r="CT229" s="542">
        <v>0</v>
      </c>
      <c r="CU229" s="542">
        <v>0</v>
      </c>
      <c r="CV229" s="542">
        <v>0</v>
      </c>
      <c r="CW229" s="542">
        <v>0</v>
      </c>
      <c r="CX229" s="542">
        <v>0</v>
      </c>
      <c r="CY229" s="542">
        <v>0</v>
      </c>
      <c r="CZ229" s="542">
        <v>0</v>
      </c>
      <c r="DA229" s="542">
        <v>0</v>
      </c>
      <c r="DB229" s="542">
        <v>0</v>
      </c>
      <c r="DC229" s="542">
        <v>0</v>
      </c>
      <c r="DD229" s="542">
        <v>0</v>
      </c>
      <c r="DE229" s="542">
        <v>0</v>
      </c>
      <c r="DF229" s="542">
        <v>0</v>
      </c>
      <c r="DG229" s="542"/>
      <c r="DH229" s="542">
        <v>0</v>
      </c>
      <c r="DI229" s="542"/>
      <c r="DJ229" s="542">
        <v>0</v>
      </c>
      <c r="DK229" s="542"/>
      <c r="DL229" s="542"/>
      <c r="DM229" s="542">
        <v>-105410</v>
      </c>
      <c r="DN229" s="542">
        <v>0</v>
      </c>
      <c r="DO229" s="542">
        <v>-105410</v>
      </c>
      <c r="DP229" s="542">
        <v>-3196</v>
      </c>
      <c r="DQ229" s="542">
        <v>0</v>
      </c>
      <c r="DR229" s="542">
        <v>-3196</v>
      </c>
      <c r="DS229" s="542">
        <v>0</v>
      </c>
      <c r="DT229" s="542">
        <v>0</v>
      </c>
      <c r="DU229" s="542">
        <v>0</v>
      </c>
      <c r="DV229" s="542">
        <v>-17771</v>
      </c>
      <c r="DW229" s="542">
        <v>0</v>
      </c>
      <c r="DX229" s="542">
        <v>-17771</v>
      </c>
      <c r="DY229" s="542">
        <v>-706367</v>
      </c>
      <c r="DZ229" s="542">
        <v>0</v>
      </c>
      <c r="EA229" s="542">
        <v>-706367</v>
      </c>
      <c r="EB229" s="542">
        <v>0</v>
      </c>
      <c r="EC229" s="542">
        <v>0</v>
      </c>
      <c r="ED229" s="542">
        <v>0</v>
      </c>
      <c r="EE229" s="542">
        <v>0</v>
      </c>
      <c r="EF229" s="542">
        <v>0</v>
      </c>
      <c r="EG229" s="542">
        <v>0</v>
      </c>
      <c r="EH229" s="542">
        <v>-727334</v>
      </c>
      <c r="EI229" s="542">
        <v>0</v>
      </c>
      <c r="EJ229" s="542">
        <v>-727334</v>
      </c>
      <c r="EK229" s="542">
        <v>-7375</v>
      </c>
      <c r="EL229" s="542">
        <v>0</v>
      </c>
      <c r="EM229" s="542">
        <v>-7375</v>
      </c>
      <c r="EN229" s="542">
        <v>-1944</v>
      </c>
      <c r="EO229" s="542">
        <v>0</v>
      </c>
      <c r="EP229" s="542">
        <v>-1944</v>
      </c>
      <c r="EQ229" s="542">
        <v>-9319</v>
      </c>
      <c r="ER229" s="542">
        <v>0</v>
      </c>
      <c r="ES229" s="542">
        <v>-9319</v>
      </c>
      <c r="ET229" s="542">
        <v>111346148</v>
      </c>
      <c r="EU229" s="542">
        <v>0</v>
      </c>
      <c r="EV229" s="542">
        <v>111346148</v>
      </c>
      <c r="EW229" s="542">
        <v>516939</v>
      </c>
      <c r="EX229" s="542">
        <v>0</v>
      </c>
      <c r="EY229" s="542">
        <v>516939</v>
      </c>
      <c r="EZ229" s="542">
        <v>-8661677</v>
      </c>
      <c r="FA229" s="542">
        <v>0</v>
      </c>
      <c r="FB229" s="542">
        <v>-8661677</v>
      </c>
      <c r="FC229" s="542">
        <v>-5833650</v>
      </c>
      <c r="FD229" s="542">
        <v>0</v>
      </c>
      <c r="FE229" s="542">
        <v>-5833650</v>
      </c>
      <c r="FF229" s="542">
        <v>-105410</v>
      </c>
      <c r="FG229" s="542">
        <v>0</v>
      </c>
      <c r="FH229" s="542">
        <v>-105410</v>
      </c>
      <c r="FI229" s="542">
        <v>-727334</v>
      </c>
      <c r="FJ229" s="542">
        <v>0</v>
      </c>
      <c r="FK229" s="542">
        <v>-727334</v>
      </c>
      <c r="FL229" s="542">
        <v>-9319</v>
      </c>
      <c r="FM229" s="542">
        <v>0</v>
      </c>
      <c r="FN229" s="542">
        <v>-9319</v>
      </c>
      <c r="FO229" s="542">
        <v>-14820451</v>
      </c>
      <c r="FP229" s="542">
        <v>0</v>
      </c>
      <c r="FQ229" s="542">
        <v>-14820451</v>
      </c>
      <c r="FR229" s="542">
        <v>96525697</v>
      </c>
      <c r="FS229" s="542">
        <v>0</v>
      </c>
      <c r="FT229" s="542">
        <v>96525697</v>
      </c>
    </row>
    <row r="230" spans="1:176" ht="12.75" x14ac:dyDescent="0.2">
      <c r="A230" s="93">
        <v>225</v>
      </c>
      <c r="B230" s="145" t="s">
        <v>328</v>
      </c>
      <c r="C230" s="604" t="s">
        <v>873</v>
      </c>
      <c r="D230" s="142" t="s">
        <v>876</v>
      </c>
      <c r="E230" s="149" t="s">
        <v>327</v>
      </c>
      <c r="F230" s="542">
        <v>-69257</v>
      </c>
      <c r="G230" s="542">
        <v>0</v>
      </c>
      <c r="H230" s="542">
        <v>-69257</v>
      </c>
      <c r="I230" s="542">
        <v>-15128</v>
      </c>
      <c r="J230" s="542">
        <v>0</v>
      </c>
      <c r="K230" s="542">
        <v>-15128</v>
      </c>
      <c r="L230" s="542">
        <v>51564</v>
      </c>
      <c r="M230" s="542">
        <v>0</v>
      </c>
      <c r="N230" s="542">
        <v>51564</v>
      </c>
      <c r="O230" s="542">
        <v>155324</v>
      </c>
      <c r="P230" s="542">
        <v>0</v>
      </c>
      <c r="Q230" s="542">
        <v>155324</v>
      </c>
      <c r="R230" s="542">
        <v>122503</v>
      </c>
      <c r="S230" s="542">
        <v>0</v>
      </c>
      <c r="T230" s="542">
        <v>122503</v>
      </c>
      <c r="U230" s="542">
        <v>-7676339</v>
      </c>
      <c r="V230" s="542">
        <v>0</v>
      </c>
      <c r="W230" s="542">
        <v>-7676339</v>
      </c>
      <c r="X230" s="542">
        <v>-11069</v>
      </c>
      <c r="Y230" s="542">
        <v>0</v>
      </c>
      <c r="Z230" s="542">
        <v>-11069</v>
      </c>
      <c r="AA230" s="542">
        <v>-463096</v>
      </c>
      <c r="AB230" s="542">
        <v>0</v>
      </c>
      <c r="AC230" s="542">
        <v>-463096</v>
      </c>
      <c r="AD230" s="542">
        <v>-581</v>
      </c>
      <c r="AE230" s="542">
        <v>0</v>
      </c>
      <c r="AF230" s="542">
        <v>-581</v>
      </c>
      <c r="AG230" s="542">
        <v>2340009</v>
      </c>
      <c r="AH230" s="542">
        <v>0</v>
      </c>
      <c r="AI230" s="542">
        <v>2340009</v>
      </c>
      <c r="AJ230" s="542">
        <v>133120</v>
      </c>
      <c r="AK230" s="542">
        <v>0</v>
      </c>
      <c r="AL230" s="542">
        <v>133120</v>
      </c>
      <c r="AM230" s="542">
        <v>-5307709</v>
      </c>
      <c r="AN230" s="542">
        <v>0</v>
      </c>
      <c r="AO230" s="542">
        <v>-5307709</v>
      </c>
      <c r="AP230" s="542">
        <v>-1309539</v>
      </c>
      <c r="AQ230" s="542">
        <v>0</v>
      </c>
      <c r="AR230" s="542">
        <v>-1309539</v>
      </c>
      <c r="AS230" s="542">
        <v>-95100</v>
      </c>
      <c r="AT230" s="542">
        <v>0</v>
      </c>
      <c r="AU230" s="542">
        <v>-95100</v>
      </c>
      <c r="AV230" s="542">
        <v>0</v>
      </c>
      <c r="AW230" s="542">
        <v>0</v>
      </c>
      <c r="AX230" s="542">
        <v>0</v>
      </c>
      <c r="AY230" s="542">
        <v>0</v>
      </c>
      <c r="AZ230" s="542">
        <v>0</v>
      </c>
      <c r="BA230" s="542">
        <v>0</v>
      </c>
      <c r="BB230" s="542">
        <v>0</v>
      </c>
      <c r="BC230" s="542">
        <v>0</v>
      </c>
      <c r="BD230" s="542">
        <v>0</v>
      </c>
      <c r="BE230" s="542">
        <v>-12378654</v>
      </c>
      <c r="BF230" s="542">
        <v>0</v>
      </c>
      <c r="BG230" s="542">
        <v>-12378654</v>
      </c>
      <c r="BH230" s="542">
        <v>-186751</v>
      </c>
      <c r="BI230" s="542">
        <v>0</v>
      </c>
      <c r="BJ230" s="542">
        <v>-186751</v>
      </c>
      <c r="BK230" s="542">
        <v>-13850</v>
      </c>
      <c r="BL230" s="542">
        <v>0</v>
      </c>
      <c r="BM230" s="542">
        <v>-13850</v>
      </c>
      <c r="BN230" s="542">
        <v>-4478582</v>
      </c>
      <c r="BO230" s="542">
        <v>0</v>
      </c>
      <c r="BP230" s="542">
        <v>-4478582</v>
      </c>
      <c r="BQ230" s="542">
        <v>63119</v>
      </c>
      <c r="BR230" s="542">
        <v>0</v>
      </c>
      <c r="BS230" s="542">
        <v>63119</v>
      </c>
      <c r="BT230" s="542">
        <v>-4616064</v>
      </c>
      <c r="BU230" s="542">
        <v>0</v>
      </c>
      <c r="BV230" s="542">
        <v>-4616064</v>
      </c>
      <c r="BW230" s="542">
        <v>-433027</v>
      </c>
      <c r="BX230" s="542">
        <v>0</v>
      </c>
      <c r="BY230" s="542">
        <v>-433027</v>
      </c>
      <c r="BZ230" s="542">
        <v>-28905</v>
      </c>
      <c r="CA230" s="542">
        <v>0</v>
      </c>
      <c r="CB230" s="542">
        <v>-28905</v>
      </c>
      <c r="CC230" s="542">
        <v>-330782</v>
      </c>
      <c r="CD230" s="542">
        <v>0</v>
      </c>
      <c r="CE230" s="542">
        <v>-330782</v>
      </c>
      <c r="CF230" s="542">
        <v>-20437</v>
      </c>
      <c r="CG230" s="542">
        <v>0</v>
      </c>
      <c r="CH230" s="542">
        <v>-20437</v>
      </c>
      <c r="CI230" s="542">
        <v>-2283</v>
      </c>
      <c r="CJ230" s="542">
        <v>0</v>
      </c>
      <c r="CK230" s="542">
        <v>-2283</v>
      </c>
      <c r="CL230" s="542">
        <v>0</v>
      </c>
      <c r="CM230" s="542">
        <v>0</v>
      </c>
      <c r="CN230" s="542">
        <v>0</v>
      </c>
      <c r="CO230" s="542">
        <v>0</v>
      </c>
      <c r="CP230" s="542">
        <v>0</v>
      </c>
      <c r="CQ230" s="542">
        <v>0</v>
      </c>
      <c r="CR230" s="542">
        <v>0</v>
      </c>
      <c r="CS230" s="542">
        <v>0</v>
      </c>
      <c r="CT230" s="542">
        <v>0</v>
      </c>
      <c r="CU230" s="542">
        <v>0</v>
      </c>
      <c r="CV230" s="542">
        <v>0</v>
      </c>
      <c r="CW230" s="542">
        <v>0</v>
      </c>
      <c r="CX230" s="542">
        <v>0</v>
      </c>
      <c r="CY230" s="542">
        <v>0</v>
      </c>
      <c r="CZ230" s="542">
        <v>0</v>
      </c>
      <c r="DA230" s="542">
        <v>0</v>
      </c>
      <c r="DB230" s="542">
        <v>0</v>
      </c>
      <c r="DC230" s="542">
        <v>0</v>
      </c>
      <c r="DD230" s="542">
        <v>0</v>
      </c>
      <c r="DE230" s="542">
        <v>0</v>
      </c>
      <c r="DF230" s="542">
        <v>0</v>
      </c>
      <c r="DG230" s="542"/>
      <c r="DH230" s="542">
        <v>0</v>
      </c>
      <c r="DI230" s="542"/>
      <c r="DJ230" s="542">
        <v>0</v>
      </c>
      <c r="DK230" s="542"/>
      <c r="DL230" s="542"/>
      <c r="DM230" s="542">
        <v>-815434</v>
      </c>
      <c r="DN230" s="542">
        <v>0</v>
      </c>
      <c r="DO230" s="542">
        <v>-815434</v>
      </c>
      <c r="DP230" s="542">
        <v>-25378</v>
      </c>
      <c r="DQ230" s="542">
        <v>0</v>
      </c>
      <c r="DR230" s="542">
        <v>-25378</v>
      </c>
      <c r="DS230" s="542">
        <v>0</v>
      </c>
      <c r="DT230" s="542">
        <v>0</v>
      </c>
      <c r="DU230" s="542">
        <v>0</v>
      </c>
      <c r="DV230" s="542">
        <v>-41880</v>
      </c>
      <c r="DW230" s="542">
        <v>0</v>
      </c>
      <c r="DX230" s="542">
        <v>-41880</v>
      </c>
      <c r="DY230" s="542">
        <v>-1018272</v>
      </c>
      <c r="DZ230" s="542">
        <v>0</v>
      </c>
      <c r="EA230" s="542">
        <v>-1018272</v>
      </c>
      <c r="EB230" s="542">
        <v>0</v>
      </c>
      <c r="EC230" s="542">
        <v>0</v>
      </c>
      <c r="ED230" s="542">
        <v>0</v>
      </c>
      <c r="EE230" s="542">
        <v>0</v>
      </c>
      <c r="EF230" s="542">
        <v>0</v>
      </c>
      <c r="EG230" s="542">
        <v>0</v>
      </c>
      <c r="EH230" s="542">
        <v>-1085530</v>
      </c>
      <c r="EI230" s="542">
        <v>0</v>
      </c>
      <c r="EJ230" s="542">
        <v>-1085530</v>
      </c>
      <c r="EK230" s="542">
        <v>-146020</v>
      </c>
      <c r="EL230" s="542">
        <v>0</v>
      </c>
      <c r="EM230" s="542">
        <v>-146020</v>
      </c>
      <c r="EN230" s="542">
        <v>430</v>
      </c>
      <c r="EO230" s="542">
        <v>0</v>
      </c>
      <c r="EP230" s="542">
        <v>430</v>
      </c>
      <c r="EQ230" s="542">
        <v>-145590</v>
      </c>
      <c r="ER230" s="542">
        <v>0</v>
      </c>
      <c r="ES230" s="542">
        <v>-145590</v>
      </c>
      <c r="ET230" s="542">
        <v>118797793</v>
      </c>
      <c r="EU230" s="542">
        <v>0</v>
      </c>
      <c r="EV230" s="542">
        <v>118797793</v>
      </c>
      <c r="EW230" s="542">
        <v>122503</v>
      </c>
      <c r="EX230" s="542">
        <v>0</v>
      </c>
      <c r="EY230" s="542">
        <v>122503</v>
      </c>
      <c r="EZ230" s="542">
        <v>-12378654</v>
      </c>
      <c r="FA230" s="542">
        <v>0</v>
      </c>
      <c r="FB230" s="542">
        <v>-12378654</v>
      </c>
      <c r="FC230" s="542">
        <v>-4616064</v>
      </c>
      <c r="FD230" s="542">
        <v>0</v>
      </c>
      <c r="FE230" s="542">
        <v>-4616064</v>
      </c>
      <c r="FF230" s="542">
        <v>-815434</v>
      </c>
      <c r="FG230" s="542">
        <v>0</v>
      </c>
      <c r="FH230" s="542">
        <v>-815434</v>
      </c>
      <c r="FI230" s="542">
        <v>-1085530</v>
      </c>
      <c r="FJ230" s="542">
        <v>0</v>
      </c>
      <c r="FK230" s="542">
        <v>-1085530</v>
      </c>
      <c r="FL230" s="542">
        <v>-145590</v>
      </c>
      <c r="FM230" s="542">
        <v>0</v>
      </c>
      <c r="FN230" s="542">
        <v>-145590</v>
      </c>
      <c r="FO230" s="542">
        <v>-18918769</v>
      </c>
      <c r="FP230" s="542">
        <v>0</v>
      </c>
      <c r="FQ230" s="542">
        <v>-18918769</v>
      </c>
      <c r="FR230" s="542">
        <v>99879024</v>
      </c>
      <c r="FS230" s="542">
        <v>0</v>
      </c>
      <c r="FT230" s="542">
        <v>99879024</v>
      </c>
    </row>
    <row r="231" spans="1:176" ht="12.75" x14ac:dyDescent="0.2">
      <c r="A231" s="93">
        <v>226</v>
      </c>
      <c r="B231" s="145" t="s">
        <v>330</v>
      </c>
      <c r="C231" s="604" t="s">
        <v>866</v>
      </c>
      <c r="D231" s="142" t="s">
        <v>874</v>
      </c>
      <c r="E231" s="149" t="s">
        <v>329</v>
      </c>
      <c r="F231" s="542">
        <v>-171598</v>
      </c>
      <c r="G231" s="542">
        <v>0</v>
      </c>
      <c r="H231" s="542">
        <v>-171598</v>
      </c>
      <c r="I231" s="542">
        <v>140619</v>
      </c>
      <c r="J231" s="542">
        <v>0</v>
      </c>
      <c r="K231" s="542">
        <v>140619</v>
      </c>
      <c r="L231" s="542">
        <v>3182</v>
      </c>
      <c r="M231" s="542">
        <v>0</v>
      </c>
      <c r="N231" s="542">
        <v>3182</v>
      </c>
      <c r="O231" s="542">
        <v>44232</v>
      </c>
      <c r="P231" s="542">
        <v>0</v>
      </c>
      <c r="Q231" s="542">
        <v>44232</v>
      </c>
      <c r="R231" s="542">
        <v>16435</v>
      </c>
      <c r="S231" s="542">
        <v>0</v>
      </c>
      <c r="T231" s="542">
        <v>16435</v>
      </c>
      <c r="U231" s="542">
        <v>-5153794</v>
      </c>
      <c r="V231" s="542">
        <v>0</v>
      </c>
      <c r="W231" s="542">
        <v>-5153794</v>
      </c>
      <c r="X231" s="542">
        <v>-17547</v>
      </c>
      <c r="Y231" s="542">
        <v>0</v>
      </c>
      <c r="Z231" s="542">
        <v>-17547</v>
      </c>
      <c r="AA231" s="542">
        <v>-336915</v>
      </c>
      <c r="AB231" s="542">
        <v>0</v>
      </c>
      <c r="AC231" s="542">
        <v>-336915</v>
      </c>
      <c r="AD231" s="542">
        <v>-131987</v>
      </c>
      <c r="AE231" s="542">
        <v>0</v>
      </c>
      <c r="AF231" s="542">
        <v>-131987</v>
      </c>
      <c r="AG231" s="542">
        <v>661494</v>
      </c>
      <c r="AH231" s="542">
        <v>0</v>
      </c>
      <c r="AI231" s="542">
        <v>661494</v>
      </c>
      <c r="AJ231" s="542">
        <v>47140</v>
      </c>
      <c r="AK231" s="542">
        <v>0</v>
      </c>
      <c r="AL231" s="542">
        <v>47140</v>
      </c>
      <c r="AM231" s="542">
        <v>-1525065</v>
      </c>
      <c r="AN231" s="542">
        <v>0</v>
      </c>
      <c r="AO231" s="542">
        <v>-1525065</v>
      </c>
      <c r="AP231" s="542">
        <v>-14144</v>
      </c>
      <c r="AQ231" s="542">
        <v>0</v>
      </c>
      <c r="AR231" s="542">
        <v>-14144</v>
      </c>
      <c r="AS231" s="542">
        <v>-142257</v>
      </c>
      <c r="AT231" s="542">
        <v>0</v>
      </c>
      <c r="AU231" s="542">
        <v>-142257</v>
      </c>
      <c r="AV231" s="542">
        <v>0</v>
      </c>
      <c r="AW231" s="542">
        <v>0</v>
      </c>
      <c r="AX231" s="542">
        <v>0</v>
      </c>
      <c r="AY231" s="542">
        <v>-27829</v>
      </c>
      <c r="AZ231" s="542">
        <v>0</v>
      </c>
      <c r="BA231" s="542">
        <v>-27829</v>
      </c>
      <c r="BB231" s="542">
        <v>0</v>
      </c>
      <c r="BC231" s="542">
        <v>0</v>
      </c>
      <c r="BD231" s="542">
        <v>0</v>
      </c>
      <c r="BE231" s="542">
        <v>-6491370</v>
      </c>
      <c r="BF231" s="542">
        <v>0</v>
      </c>
      <c r="BG231" s="542">
        <v>-6491370</v>
      </c>
      <c r="BH231" s="542">
        <v>-4638</v>
      </c>
      <c r="BI231" s="542">
        <v>0</v>
      </c>
      <c r="BJ231" s="542">
        <v>-4638</v>
      </c>
      <c r="BK231" s="542">
        <v>30031</v>
      </c>
      <c r="BL231" s="542">
        <v>0</v>
      </c>
      <c r="BM231" s="542">
        <v>30031</v>
      </c>
      <c r="BN231" s="542">
        <v>-712791</v>
      </c>
      <c r="BO231" s="542">
        <v>0</v>
      </c>
      <c r="BP231" s="542">
        <v>-712791</v>
      </c>
      <c r="BQ231" s="542">
        <v>91683</v>
      </c>
      <c r="BR231" s="542">
        <v>0</v>
      </c>
      <c r="BS231" s="542">
        <v>91683</v>
      </c>
      <c r="BT231" s="542">
        <v>-595715</v>
      </c>
      <c r="BU231" s="542">
        <v>0</v>
      </c>
      <c r="BV231" s="542">
        <v>-595715</v>
      </c>
      <c r="BW231" s="542">
        <v>-127667</v>
      </c>
      <c r="BX231" s="542">
        <v>0</v>
      </c>
      <c r="BY231" s="542">
        <v>-127667</v>
      </c>
      <c r="BZ231" s="542">
        <v>1195</v>
      </c>
      <c r="CA231" s="542">
        <v>0</v>
      </c>
      <c r="CB231" s="542">
        <v>1195</v>
      </c>
      <c r="CC231" s="542">
        <v>-57813</v>
      </c>
      <c r="CD231" s="542">
        <v>0</v>
      </c>
      <c r="CE231" s="542">
        <v>-57813</v>
      </c>
      <c r="CF231" s="542">
        <v>-10252</v>
      </c>
      <c r="CG231" s="542">
        <v>0</v>
      </c>
      <c r="CH231" s="542">
        <v>-10252</v>
      </c>
      <c r="CI231" s="542">
        <v>0</v>
      </c>
      <c r="CJ231" s="542">
        <v>0</v>
      </c>
      <c r="CK231" s="542">
        <v>0</v>
      </c>
      <c r="CL231" s="542">
        <v>0</v>
      </c>
      <c r="CM231" s="542">
        <v>0</v>
      </c>
      <c r="CN231" s="542">
        <v>0</v>
      </c>
      <c r="CO231" s="542">
        <v>-1229</v>
      </c>
      <c r="CP231" s="542">
        <v>0</v>
      </c>
      <c r="CQ231" s="542">
        <v>-1229</v>
      </c>
      <c r="CR231" s="542">
        <v>0</v>
      </c>
      <c r="CS231" s="542">
        <v>0</v>
      </c>
      <c r="CT231" s="542">
        <v>0</v>
      </c>
      <c r="CU231" s="542">
        <v>0</v>
      </c>
      <c r="CV231" s="542">
        <v>0</v>
      </c>
      <c r="CW231" s="542">
        <v>0</v>
      </c>
      <c r="CX231" s="542">
        <v>0</v>
      </c>
      <c r="CY231" s="542">
        <v>0</v>
      </c>
      <c r="CZ231" s="542">
        <v>0</v>
      </c>
      <c r="DA231" s="542">
        <v>0</v>
      </c>
      <c r="DB231" s="542">
        <v>0</v>
      </c>
      <c r="DC231" s="542">
        <v>0</v>
      </c>
      <c r="DD231" s="542">
        <v>0</v>
      </c>
      <c r="DE231" s="542">
        <v>0</v>
      </c>
      <c r="DF231" s="542">
        <v>0</v>
      </c>
      <c r="DG231" s="542"/>
      <c r="DH231" s="542">
        <v>0</v>
      </c>
      <c r="DI231" s="542"/>
      <c r="DJ231" s="542">
        <v>0</v>
      </c>
      <c r="DK231" s="542"/>
      <c r="DL231" s="542"/>
      <c r="DM231" s="542">
        <v>-195766</v>
      </c>
      <c r="DN231" s="542">
        <v>0</v>
      </c>
      <c r="DO231" s="542">
        <v>-195766</v>
      </c>
      <c r="DP231" s="542">
        <v>-77974</v>
      </c>
      <c r="DQ231" s="542">
        <v>0</v>
      </c>
      <c r="DR231" s="542">
        <v>-77974</v>
      </c>
      <c r="DS231" s="542">
        <v>0</v>
      </c>
      <c r="DT231" s="542">
        <v>0</v>
      </c>
      <c r="DU231" s="542">
        <v>0</v>
      </c>
      <c r="DV231" s="542">
        <v>-12056</v>
      </c>
      <c r="DW231" s="542">
        <v>0</v>
      </c>
      <c r="DX231" s="542">
        <v>-12056</v>
      </c>
      <c r="DY231" s="542">
        <v>-798490</v>
      </c>
      <c r="DZ231" s="542">
        <v>0</v>
      </c>
      <c r="EA231" s="542">
        <v>-798490</v>
      </c>
      <c r="EB231" s="542">
        <v>0</v>
      </c>
      <c r="EC231" s="542">
        <v>0</v>
      </c>
      <c r="ED231" s="542">
        <v>0</v>
      </c>
      <c r="EE231" s="542">
        <v>-83045</v>
      </c>
      <c r="EF231" s="542">
        <v>0</v>
      </c>
      <c r="EG231" s="542">
        <v>-83045</v>
      </c>
      <c r="EH231" s="542">
        <v>-971565</v>
      </c>
      <c r="EI231" s="542">
        <v>0</v>
      </c>
      <c r="EJ231" s="542">
        <v>-971565</v>
      </c>
      <c r="EK231" s="542">
        <v>0</v>
      </c>
      <c r="EL231" s="542">
        <v>0</v>
      </c>
      <c r="EM231" s="542">
        <v>0</v>
      </c>
      <c r="EN231" s="542">
        <v>0</v>
      </c>
      <c r="EO231" s="542">
        <v>0</v>
      </c>
      <c r="EP231" s="542">
        <v>0</v>
      </c>
      <c r="EQ231" s="542">
        <v>0</v>
      </c>
      <c r="ER231" s="542">
        <v>0</v>
      </c>
      <c r="ES231" s="542">
        <v>0</v>
      </c>
      <c r="ET231" s="542">
        <v>40912385</v>
      </c>
      <c r="EU231" s="542">
        <v>0</v>
      </c>
      <c r="EV231" s="542">
        <v>40912385</v>
      </c>
      <c r="EW231" s="542">
        <v>16435</v>
      </c>
      <c r="EX231" s="542">
        <v>0</v>
      </c>
      <c r="EY231" s="542">
        <v>16435</v>
      </c>
      <c r="EZ231" s="542">
        <v>-6491370</v>
      </c>
      <c r="FA231" s="542">
        <v>0</v>
      </c>
      <c r="FB231" s="542">
        <v>-6491370</v>
      </c>
      <c r="FC231" s="542">
        <v>-595715</v>
      </c>
      <c r="FD231" s="542">
        <v>0</v>
      </c>
      <c r="FE231" s="542">
        <v>-595715</v>
      </c>
      <c r="FF231" s="542">
        <v>-195766</v>
      </c>
      <c r="FG231" s="542">
        <v>0</v>
      </c>
      <c r="FH231" s="542">
        <v>-195766</v>
      </c>
      <c r="FI231" s="542">
        <v>-971565</v>
      </c>
      <c r="FJ231" s="542">
        <v>0</v>
      </c>
      <c r="FK231" s="542">
        <v>-971565</v>
      </c>
      <c r="FL231" s="542">
        <v>0</v>
      </c>
      <c r="FM231" s="542">
        <v>0</v>
      </c>
      <c r="FN231" s="542">
        <v>0</v>
      </c>
      <c r="FO231" s="542">
        <v>-8237981</v>
      </c>
      <c r="FP231" s="542">
        <v>0</v>
      </c>
      <c r="FQ231" s="542">
        <v>-8237981</v>
      </c>
      <c r="FR231" s="542">
        <v>32674404</v>
      </c>
      <c r="FS231" s="542">
        <v>0</v>
      </c>
      <c r="FT231" s="542">
        <v>32674404</v>
      </c>
    </row>
    <row r="232" spans="1:176" ht="12.75" x14ac:dyDescent="0.2">
      <c r="A232" s="93">
        <v>227</v>
      </c>
      <c r="B232" s="145" t="s">
        <v>332</v>
      </c>
      <c r="C232" s="604" t="s">
        <v>866</v>
      </c>
      <c r="D232" s="142" t="s">
        <v>875</v>
      </c>
      <c r="E232" s="149" t="s">
        <v>331</v>
      </c>
      <c r="F232" s="542">
        <v>-142280</v>
      </c>
      <c r="G232" s="542">
        <v>0</v>
      </c>
      <c r="H232" s="542">
        <v>-142280</v>
      </c>
      <c r="I232" s="542">
        <v>63246</v>
      </c>
      <c r="J232" s="542">
        <v>0</v>
      </c>
      <c r="K232" s="542">
        <v>63246</v>
      </c>
      <c r="L232" s="542">
        <v>43575</v>
      </c>
      <c r="M232" s="542">
        <v>0</v>
      </c>
      <c r="N232" s="542">
        <v>43575</v>
      </c>
      <c r="O232" s="542">
        <v>68601</v>
      </c>
      <c r="P232" s="542">
        <v>0</v>
      </c>
      <c r="Q232" s="542">
        <v>68601</v>
      </c>
      <c r="R232" s="542">
        <v>33142</v>
      </c>
      <c r="S232" s="542">
        <v>0</v>
      </c>
      <c r="T232" s="542">
        <v>33142</v>
      </c>
      <c r="U232" s="542">
        <v>-2778569</v>
      </c>
      <c r="V232" s="542">
        <v>0</v>
      </c>
      <c r="W232" s="542">
        <v>-2778569</v>
      </c>
      <c r="X232" s="542">
        <v>-7477</v>
      </c>
      <c r="Y232" s="542">
        <v>0</v>
      </c>
      <c r="Z232" s="542">
        <v>-7477</v>
      </c>
      <c r="AA232" s="542">
        <v>-169223</v>
      </c>
      <c r="AB232" s="542">
        <v>0</v>
      </c>
      <c r="AC232" s="542">
        <v>-169223</v>
      </c>
      <c r="AD232" s="542">
        <v>-67053</v>
      </c>
      <c r="AE232" s="542">
        <v>0</v>
      </c>
      <c r="AF232" s="542">
        <v>-67053</v>
      </c>
      <c r="AG232" s="542">
        <v>853430</v>
      </c>
      <c r="AH232" s="542">
        <v>0</v>
      </c>
      <c r="AI232" s="542">
        <v>853430</v>
      </c>
      <c r="AJ232" s="542">
        <v>-2611</v>
      </c>
      <c r="AK232" s="542">
        <v>0</v>
      </c>
      <c r="AL232" s="542">
        <v>-2611</v>
      </c>
      <c r="AM232" s="542">
        <v>-2293974</v>
      </c>
      <c r="AN232" s="542">
        <v>0</v>
      </c>
      <c r="AO232" s="542">
        <v>-2293974</v>
      </c>
      <c r="AP232" s="542">
        <v>-265633</v>
      </c>
      <c r="AQ232" s="542">
        <v>0</v>
      </c>
      <c r="AR232" s="542">
        <v>-265633</v>
      </c>
      <c r="AS232" s="542">
        <v>-29557</v>
      </c>
      <c r="AT232" s="542">
        <v>0</v>
      </c>
      <c r="AU232" s="542">
        <v>-29557</v>
      </c>
      <c r="AV232" s="542">
        <v>0</v>
      </c>
      <c r="AW232" s="542">
        <v>0</v>
      </c>
      <c r="AX232" s="542">
        <v>0</v>
      </c>
      <c r="AY232" s="542">
        <v>-71440</v>
      </c>
      <c r="AZ232" s="542">
        <v>0</v>
      </c>
      <c r="BA232" s="542">
        <v>-71440</v>
      </c>
      <c r="BB232" s="542">
        <v>1450</v>
      </c>
      <c r="BC232" s="542">
        <v>0</v>
      </c>
      <c r="BD232" s="542">
        <v>1450</v>
      </c>
      <c r="BE232" s="542">
        <v>-4756127</v>
      </c>
      <c r="BF232" s="542">
        <v>0</v>
      </c>
      <c r="BG232" s="542">
        <v>-4756127</v>
      </c>
      <c r="BH232" s="542">
        <v>-191621</v>
      </c>
      <c r="BI232" s="542">
        <v>0</v>
      </c>
      <c r="BJ232" s="542">
        <v>-191621</v>
      </c>
      <c r="BK232" s="542">
        <v>-5092</v>
      </c>
      <c r="BL232" s="542">
        <v>0</v>
      </c>
      <c r="BM232" s="542">
        <v>-5092</v>
      </c>
      <c r="BN232" s="542">
        <v>-878877</v>
      </c>
      <c r="BO232" s="542">
        <v>0</v>
      </c>
      <c r="BP232" s="542">
        <v>-878877</v>
      </c>
      <c r="BQ232" s="542">
        <v>-25384</v>
      </c>
      <c r="BR232" s="542">
        <v>0</v>
      </c>
      <c r="BS232" s="542">
        <v>-25384</v>
      </c>
      <c r="BT232" s="542">
        <v>-1100974</v>
      </c>
      <c r="BU232" s="542">
        <v>0</v>
      </c>
      <c r="BV232" s="542">
        <v>-1100974</v>
      </c>
      <c r="BW232" s="542">
        <v>-70489</v>
      </c>
      <c r="BX232" s="542">
        <v>0</v>
      </c>
      <c r="BY232" s="542">
        <v>-70489</v>
      </c>
      <c r="BZ232" s="542">
        <v>-967</v>
      </c>
      <c r="CA232" s="542">
        <v>0</v>
      </c>
      <c r="CB232" s="542">
        <v>-967</v>
      </c>
      <c r="CC232" s="542">
        <v>-21749</v>
      </c>
      <c r="CD232" s="542">
        <v>0</v>
      </c>
      <c r="CE232" s="542">
        <v>-21749</v>
      </c>
      <c r="CF232" s="542">
        <v>0</v>
      </c>
      <c r="CG232" s="542">
        <v>0</v>
      </c>
      <c r="CH232" s="542">
        <v>0</v>
      </c>
      <c r="CI232" s="542">
        <v>0</v>
      </c>
      <c r="CJ232" s="542">
        <v>0</v>
      </c>
      <c r="CK232" s="542">
        <v>0</v>
      </c>
      <c r="CL232" s="542">
        <v>0</v>
      </c>
      <c r="CM232" s="542">
        <v>0</v>
      </c>
      <c r="CN232" s="542">
        <v>0</v>
      </c>
      <c r="CO232" s="542">
        <v>-38026</v>
      </c>
      <c r="CP232" s="542">
        <v>0</v>
      </c>
      <c r="CQ232" s="542">
        <v>-38026</v>
      </c>
      <c r="CR232" s="542">
        <v>0</v>
      </c>
      <c r="CS232" s="542">
        <v>0</v>
      </c>
      <c r="CT232" s="542">
        <v>0</v>
      </c>
      <c r="CU232" s="542">
        <v>-358</v>
      </c>
      <c r="CV232" s="542">
        <v>0</v>
      </c>
      <c r="CW232" s="542">
        <v>-358</v>
      </c>
      <c r="CX232" s="542">
        <v>0</v>
      </c>
      <c r="CY232" s="542">
        <v>0</v>
      </c>
      <c r="CZ232" s="542">
        <v>0</v>
      </c>
      <c r="DA232" s="542">
        <v>0</v>
      </c>
      <c r="DB232" s="542">
        <v>0</v>
      </c>
      <c r="DC232" s="542">
        <v>0</v>
      </c>
      <c r="DD232" s="542">
        <v>0</v>
      </c>
      <c r="DE232" s="542">
        <v>0</v>
      </c>
      <c r="DF232" s="542">
        <v>0</v>
      </c>
      <c r="DG232" s="542"/>
      <c r="DH232" s="542">
        <v>0</v>
      </c>
      <c r="DI232" s="542"/>
      <c r="DJ232" s="542">
        <v>0</v>
      </c>
      <c r="DK232" s="542"/>
      <c r="DL232" s="542"/>
      <c r="DM232" s="542">
        <v>-131589</v>
      </c>
      <c r="DN232" s="542">
        <v>0</v>
      </c>
      <c r="DO232" s="542">
        <v>-131589</v>
      </c>
      <c r="DP232" s="542">
        <v>-30728</v>
      </c>
      <c r="DQ232" s="542">
        <v>0</v>
      </c>
      <c r="DR232" s="542">
        <v>-30728</v>
      </c>
      <c r="DS232" s="542">
        <v>623</v>
      </c>
      <c r="DT232" s="542">
        <v>0</v>
      </c>
      <c r="DU232" s="542">
        <v>623</v>
      </c>
      <c r="DV232" s="542">
        <v>-16923</v>
      </c>
      <c r="DW232" s="542">
        <v>0</v>
      </c>
      <c r="DX232" s="542">
        <v>-16923</v>
      </c>
      <c r="DY232" s="542">
        <v>-402565</v>
      </c>
      <c r="DZ232" s="542">
        <v>0</v>
      </c>
      <c r="EA232" s="542">
        <v>-402565</v>
      </c>
      <c r="EB232" s="542">
        <v>-418</v>
      </c>
      <c r="EC232" s="542">
        <v>0</v>
      </c>
      <c r="ED232" s="542">
        <v>-418</v>
      </c>
      <c r="EE232" s="542">
        <v>0</v>
      </c>
      <c r="EF232" s="542">
        <v>0</v>
      </c>
      <c r="EG232" s="542">
        <v>0</v>
      </c>
      <c r="EH232" s="542">
        <v>-450011</v>
      </c>
      <c r="EI232" s="542">
        <v>0</v>
      </c>
      <c r="EJ232" s="542">
        <v>-450011</v>
      </c>
      <c r="EK232" s="542">
        <v>-6078</v>
      </c>
      <c r="EL232" s="542">
        <v>0</v>
      </c>
      <c r="EM232" s="542">
        <v>-6078</v>
      </c>
      <c r="EN232" s="542">
        <v>363</v>
      </c>
      <c r="EO232" s="542">
        <v>0</v>
      </c>
      <c r="EP232" s="542">
        <v>363</v>
      </c>
      <c r="EQ232" s="542">
        <v>-5715</v>
      </c>
      <c r="ER232" s="542">
        <v>0</v>
      </c>
      <c r="ES232" s="542">
        <v>-5715</v>
      </c>
      <c r="ET232" s="542">
        <v>43837196</v>
      </c>
      <c r="EU232" s="542">
        <v>0</v>
      </c>
      <c r="EV232" s="542">
        <v>43837196</v>
      </c>
      <c r="EW232" s="542">
        <v>33142</v>
      </c>
      <c r="EX232" s="542">
        <v>0</v>
      </c>
      <c r="EY232" s="542">
        <v>33142</v>
      </c>
      <c r="EZ232" s="542">
        <v>-4756127</v>
      </c>
      <c r="FA232" s="542">
        <v>0</v>
      </c>
      <c r="FB232" s="542">
        <v>-4756127</v>
      </c>
      <c r="FC232" s="542">
        <v>-1100974</v>
      </c>
      <c r="FD232" s="542">
        <v>0</v>
      </c>
      <c r="FE232" s="542">
        <v>-1100974</v>
      </c>
      <c r="FF232" s="542">
        <v>-131589</v>
      </c>
      <c r="FG232" s="542">
        <v>0</v>
      </c>
      <c r="FH232" s="542">
        <v>-131589</v>
      </c>
      <c r="FI232" s="542">
        <v>-450011</v>
      </c>
      <c r="FJ232" s="542">
        <v>0</v>
      </c>
      <c r="FK232" s="542">
        <v>-450011</v>
      </c>
      <c r="FL232" s="542">
        <v>-5715</v>
      </c>
      <c r="FM232" s="542">
        <v>0</v>
      </c>
      <c r="FN232" s="542">
        <v>-5715</v>
      </c>
      <c r="FO232" s="542">
        <v>-6411274</v>
      </c>
      <c r="FP232" s="542">
        <v>0</v>
      </c>
      <c r="FQ232" s="542">
        <v>-6411274</v>
      </c>
      <c r="FR232" s="542">
        <v>37425922</v>
      </c>
      <c r="FS232" s="542">
        <v>0</v>
      </c>
      <c r="FT232" s="542">
        <v>37425922</v>
      </c>
    </row>
    <row r="233" spans="1:176" ht="12.75" x14ac:dyDescent="0.2">
      <c r="A233" s="93">
        <v>228</v>
      </c>
      <c r="B233" s="145" t="s">
        <v>334</v>
      </c>
      <c r="C233" s="604" t="s">
        <v>873</v>
      </c>
      <c r="D233" s="142" t="s">
        <v>868</v>
      </c>
      <c r="E233" s="149" t="s">
        <v>333</v>
      </c>
      <c r="F233" s="542">
        <v>-71075</v>
      </c>
      <c r="G233" s="542">
        <v>0</v>
      </c>
      <c r="H233" s="542">
        <v>-71075</v>
      </c>
      <c r="I233" s="542">
        <v>665641</v>
      </c>
      <c r="J233" s="542">
        <v>0</v>
      </c>
      <c r="K233" s="542">
        <v>665641</v>
      </c>
      <c r="L233" s="542">
        <v>50317</v>
      </c>
      <c r="M233" s="542">
        <v>0</v>
      </c>
      <c r="N233" s="542">
        <v>50317</v>
      </c>
      <c r="O233" s="542">
        <v>212272</v>
      </c>
      <c r="P233" s="542">
        <v>0</v>
      </c>
      <c r="Q233" s="542">
        <v>212272</v>
      </c>
      <c r="R233" s="542">
        <v>857155</v>
      </c>
      <c r="S233" s="542">
        <v>0</v>
      </c>
      <c r="T233" s="542">
        <v>857155</v>
      </c>
      <c r="U233" s="542">
        <v>-5630640</v>
      </c>
      <c r="V233" s="542">
        <v>0</v>
      </c>
      <c r="W233" s="542">
        <v>-5630640</v>
      </c>
      <c r="X233" s="542">
        <v>-6500</v>
      </c>
      <c r="Y233" s="542">
        <v>0</v>
      </c>
      <c r="Z233" s="542">
        <v>-6500</v>
      </c>
      <c r="AA233" s="542">
        <v>-159103</v>
      </c>
      <c r="AB233" s="542">
        <v>0</v>
      </c>
      <c r="AC233" s="542">
        <v>-159103</v>
      </c>
      <c r="AD233" s="542">
        <v>-64833</v>
      </c>
      <c r="AE233" s="542">
        <v>0</v>
      </c>
      <c r="AF233" s="542">
        <v>-64833</v>
      </c>
      <c r="AG233" s="542">
        <v>1639973</v>
      </c>
      <c r="AH233" s="542">
        <v>0</v>
      </c>
      <c r="AI233" s="542">
        <v>1639973</v>
      </c>
      <c r="AJ233" s="542">
        <v>60418</v>
      </c>
      <c r="AK233" s="542">
        <v>0</v>
      </c>
      <c r="AL233" s="542">
        <v>60418</v>
      </c>
      <c r="AM233" s="542">
        <v>-4365719</v>
      </c>
      <c r="AN233" s="542">
        <v>0</v>
      </c>
      <c r="AO233" s="542">
        <v>-4365719</v>
      </c>
      <c r="AP233" s="542">
        <v>217146</v>
      </c>
      <c r="AQ233" s="542">
        <v>0</v>
      </c>
      <c r="AR233" s="542">
        <v>217146</v>
      </c>
      <c r="AS233" s="542">
        <v>-33443</v>
      </c>
      <c r="AT233" s="542">
        <v>0</v>
      </c>
      <c r="AU233" s="542">
        <v>-33443</v>
      </c>
      <c r="AV233" s="542">
        <v>-284</v>
      </c>
      <c r="AW233" s="542">
        <v>0</v>
      </c>
      <c r="AX233" s="542">
        <v>-284</v>
      </c>
      <c r="AY233" s="542">
        <v>-1766</v>
      </c>
      <c r="AZ233" s="542">
        <v>0</v>
      </c>
      <c r="BA233" s="542">
        <v>-1766</v>
      </c>
      <c r="BB233" s="542">
        <v>0</v>
      </c>
      <c r="BC233" s="542">
        <v>0</v>
      </c>
      <c r="BD233" s="542">
        <v>0</v>
      </c>
      <c r="BE233" s="542">
        <v>-8273418</v>
      </c>
      <c r="BF233" s="542">
        <v>0</v>
      </c>
      <c r="BG233" s="542">
        <v>-8273418</v>
      </c>
      <c r="BH233" s="542">
        <v>0</v>
      </c>
      <c r="BI233" s="542">
        <v>0</v>
      </c>
      <c r="BJ233" s="542">
        <v>0</v>
      </c>
      <c r="BK233" s="542">
        <v>-77663</v>
      </c>
      <c r="BL233" s="542">
        <v>0</v>
      </c>
      <c r="BM233" s="542">
        <v>-77663</v>
      </c>
      <c r="BN233" s="542">
        <v>-3601033</v>
      </c>
      <c r="BO233" s="542">
        <v>0</v>
      </c>
      <c r="BP233" s="542">
        <v>-3601033</v>
      </c>
      <c r="BQ233" s="542">
        <v>613248</v>
      </c>
      <c r="BR233" s="542">
        <v>0</v>
      </c>
      <c r="BS233" s="542">
        <v>613248</v>
      </c>
      <c r="BT233" s="542">
        <v>-3065448</v>
      </c>
      <c r="BU233" s="542">
        <v>0</v>
      </c>
      <c r="BV233" s="542">
        <v>-3065448</v>
      </c>
      <c r="BW233" s="542">
        <v>-240465</v>
      </c>
      <c r="BX233" s="542">
        <v>0</v>
      </c>
      <c r="BY233" s="542">
        <v>-240465</v>
      </c>
      <c r="BZ233" s="542">
        <v>38530</v>
      </c>
      <c r="CA233" s="542">
        <v>0</v>
      </c>
      <c r="CB233" s="542">
        <v>38530</v>
      </c>
      <c r="CC233" s="542">
        <v>-76324</v>
      </c>
      <c r="CD233" s="542">
        <v>0</v>
      </c>
      <c r="CE233" s="542">
        <v>-76324</v>
      </c>
      <c r="CF233" s="542">
        <v>723</v>
      </c>
      <c r="CG233" s="542">
        <v>0</v>
      </c>
      <c r="CH233" s="542">
        <v>723</v>
      </c>
      <c r="CI233" s="542">
        <v>0</v>
      </c>
      <c r="CJ233" s="542">
        <v>0</v>
      </c>
      <c r="CK233" s="542">
        <v>0</v>
      </c>
      <c r="CL233" s="542">
        <v>0</v>
      </c>
      <c r="CM233" s="542">
        <v>0</v>
      </c>
      <c r="CN233" s="542">
        <v>0</v>
      </c>
      <c r="CO233" s="542">
        <v>0</v>
      </c>
      <c r="CP233" s="542">
        <v>0</v>
      </c>
      <c r="CQ233" s="542">
        <v>0</v>
      </c>
      <c r="CR233" s="542">
        <v>0</v>
      </c>
      <c r="CS233" s="542">
        <v>0</v>
      </c>
      <c r="CT233" s="542">
        <v>0</v>
      </c>
      <c r="CU233" s="542">
        <v>0</v>
      </c>
      <c r="CV233" s="542">
        <v>0</v>
      </c>
      <c r="CW233" s="542">
        <v>0</v>
      </c>
      <c r="CX233" s="542">
        <v>0</v>
      </c>
      <c r="CY233" s="542">
        <v>0</v>
      </c>
      <c r="CZ233" s="542">
        <v>0</v>
      </c>
      <c r="DA233" s="542">
        <v>0</v>
      </c>
      <c r="DB233" s="542">
        <v>0</v>
      </c>
      <c r="DC233" s="542">
        <v>0</v>
      </c>
      <c r="DD233" s="542">
        <v>0</v>
      </c>
      <c r="DE233" s="542">
        <v>0</v>
      </c>
      <c r="DF233" s="542">
        <v>0</v>
      </c>
      <c r="DG233" s="542"/>
      <c r="DH233" s="542">
        <v>0</v>
      </c>
      <c r="DI233" s="542"/>
      <c r="DJ233" s="542">
        <v>0</v>
      </c>
      <c r="DK233" s="542"/>
      <c r="DL233" s="542"/>
      <c r="DM233" s="542">
        <v>-277536</v>
      </c>
      <c r="DN233" s="542">
        <v>0</v>
      </c>
      <c r="DO233" s="542">
        <v>-277536</v>
      </c>
      <c r="DP233" s="542">
        <v>0</v>
      </c>
      <c r="DQ233" s="542">
        <v>0</v>
      </c>
      <c r="DR233" s="542">
        <v>0</v>
      </c>
      <c r="DS233" s="542">
        <v>0</v>
      </c>
      <c r="DT233" s="542">
        <v>0</v>
      </c>
      <c r="DU233" s="542">
        <v>0</v>
      </c>
      <c r="DV233" s="542">
        <v>-8486</v>
      </c>
      <c r="DW233" s="542">
        <v>0</v>
      </c>
      <c r="DX233" s="542">
        <v>-8486</v>
      </c>
      <c r="DY233" s="542">
        <v>-622597</v>
      </c>
      <c r="DZ233" s="542">
        <v>0</v>
      </c>
      <c r="EA233" s="542">
        <v>-622597</v>
      </c>
      <c r="EB233" s="542">
        <v>0</v>
      </c>
      <c r="EC233" s="542">
        <v>0</v>
      </c>
      <c r="ED233" s="542">
        <v>0</v>
      </c>
      <c r="EE233" s="542">
        <v>0</v>
      </c>
      <c r="EF233" s="542">
        <v>0</v>
      </c>
      <c r="EG233" s="542">
        <v>0</v>
      </c>
      <c r="EH233" s="542">
        <v>-631083</v>
      </c>
      <c r="EI233" s="542">
        <v>0</v>
      </c>
      <c r="EJ233" s="542">
        <v>-631083</v>
      </c>
      <c r="EK233" s="542">
        <v>0</v>
      </c>
      <c r="EL233" s="542">
        <v>0</v>
      </c>
      <c r="EM233" s="542">
        <v>0</v>
      </c>
      <c r="EN233" s="542">
        <v>-5778</v>
      </c>
      <c r="EO233" s="542">
        <v>0</v>
      </c>
      <c r="EP233" s="542">
        <v>-5778</v>
      </c>
      <c r="EQ233" s="542">
        <v>-5778</v>
      </c>
      <c r="ER233" s="542">
        <v>0</v>
      </c>
      <c r="ES233" s="542">
        <v>-5778</v>
      </c>
      <c r="ET233" s="542">
        <v>86604418</v>
      </c>
      <c r="EU233" s="542">
        <v>0</v>
      </c>
      <c r="EV233" s="542">
        <v>86604418</v>
      </c>
      <c r="EW233" s="542">
        <v>857155</v>
      </c>
      <c r="EX233" s="542">
        <v>0</v>
      </c>
      <c r="EY233" s="542">
        <v>857155</v>
      </c>
      <c r="EZ233" s="542">
        <v>-8273418</v>
      </c>
      <c r="FA233" s="542">
        <v>0</v>
      </c>
      <c r="FB233" s="542">
        <v>-8273418</v>
      </c>
      <c r="FC233" s="542">
        <v>-3065448</v>
      </c>
      <c r="FD233" s="542">
        <v>0</v>
      </c>
      <c r="FE233" s="542">
        <v>-3065448</v>
      </c>
      <c r="FF233" s="542">
        <v>-277536</v>
      </c>
      <c r="FG233" s="542">
        <v>0</v>
      </c>
      <c r="FH233" s="542">
        <v>-277536</v>
      </c>
      <c r="FI233" s="542">
        <v>-631083</v>
      </c>
      <c r="FJ233" s="542">
        <v>0</v>
      </c>
      <c r="FK233" s="542">
        <v>-631083</v>
      </c>
      <c r="FL233" s="542">
        <v>-5778</v>
      </c>
      <c r="FM233" s="542">
        <v>0</v>
      </c>
      <c r="FN233" s="542">
        <v>-5778</v>
      </c>
      <c r="FO233" s="542">
        <v>-11396108</v>
      </c>
      <c r="FP233" s="542">
        <v>0</v>
      </c>
      <c r="FQ233" s="542">
        <v>-11396108</v>
      </c>
      <c r="FR233" s="542">
        <v>75208310</v>
      </c>
      <c r="FS233" s="542">
        <v>0</v>
      </c>
      <c r="FT233" s="542">
        <v>75208310</v>
      </c>
    </row>
    <row r="234" spans="1:176" ht="12.75" x14ac:dyDescent="0.2">
      <c r="A234" s="93">
        <v>229</v>
      </c>
      <c r="B234" s="145" t="s">
        <v>336</v>
      </c>
      <c r="C234" s="604" t="s">
        <v>866</v>
      </c>
      <c r="D234" s="142" t="s">
        <v>874</v>
      </c>
      <c r="E234" s="149" t="s">
        <v>335</v>
      </c>
      <c r="F234" s="542">
        <v>-125066</v>
      </c>
      <c r="G234" s="542">
        <v>0</v>
      </c>
      <c r="H234" s="542">
        <v>-125066</v>
      </c>
      <c r="I234" s="542">
        <v>90207</v>
      </c>
      <c r="J234" s="542">
        <v>0</v>
      </c>
      <c r="K234" s="542">
        <v>90207</v>
      </c>
      <c r="L234" s="542">
        <v>17098</v>
      </c>
      <c r="M234" s="542">
        <v>0</v>
      </c>
      <c r="N234" s="542">
        <v>17098</v>
      </c>
      <c r="O234" s="542">
        <v>4425</v>
      </c>
      <c r="P234" s="542">
        <v>0</v>
      </c>
      <c r="Q234" s="542">
        <v>4425</v>
      </c>
      <c r="R234" s="542">
        <v>-13336</v>
      </c>
      <c r="S234" s="542">
        <v>0</v>
      </c>
      <c r="T234" s="542">
        <v>-13336</v>
      </c>
      <c r="U234" s="542">
        <v>-1614340</v>
      </c>
      <c r="V234" s="542">
        <v>0</v>
      </c>
      <c r="W234" s="542">
        <v>-1614340</v>
      </c>
      <c r="X234" s="542">
        <v>-1098</v>
      </c>
      <c r="Y234" s="542">
        <v>0</v>
      </c>
      <c r="Z234" s="542">
        <v>-1098</v>
      </c>
      <c r="AA234" s="542">
        <v>-75452</v>
      </c>
      <c r="AB234" s="542">
        <v>0</v>
      </c>
      <c r="AC234" s="542">
        <v>-75452</v>
      </c>
      <c r="AD234" s="542">
        <v>-26408</v>
      </c>
      <c r="AE234" s="542">
        <v>0</v>
      </c>
      <c r="AF234" s="542">
        <v>-26408</v>
      </c>
      <c r="AG234" s="542">
        <v>971612</v>
      </c>
      <c r="AH234" s="542">
        <v>0</v>
      </c>
      <c r="AI234" s="542">
        <v>971612</v>
      </c>
      <c r="AJ234" s="542">
        <v>13331</v>
      </c>
      <c r="AK234" s="542">
        <v>0</v>
      </c>
      <c r="AL234" s="542">
        <v>13331</v>
      </c>
      <c r="AM234" s="542">
        <v>-910289</v>
      </c>
      <c r="AN234" s="542">
        <v>0</v>
      </c>
      <c r="AO234" s="542">
        <v>-910289</v>
      </c>
      <c r="AP234" s="542">
        <v>6121</v>
      </c>
      <c r="AQ234" s="542">
        <v>0</v>
      </c>
      <c r="AR234" s="542">
        <v>6121</v>
      </c>
      <c r="AS234" s="542">
        <v>-52681</v>
      </c>
      <c r="AT234" s="542">
        <v>0</v>
      </c>
      <c r="AU234" s="542">
        <v>-52681</v>
      </c>
      <c r="AV234" s="542">
        <v>0</v>
      </c>
      <c r="AW234" s="542">
        <v>0</v>
      </c>
      <c r="AX234" s="542">
        <v>0</v>
      </c>
      <c r="AY234" s="542">
        <v>-22038</v>
      </c>
      <c r="AZ234" s="542">
        <v>0</v>
      </c>
      <c r="BA234" s="542">
        <v>-22038</v>
      </c>
      <c r="BB234" s="542">
        <v>0</v>
      </c>
      <c r="BC234" s="542">
        <v>0</v>
      </c>
      <c r="BD234" s="542">
        <v>0</v>
      </c>
      <c r="BE234" s="542">
        <v>-1683736</v>
      </c>
      <c r="BF234" s="542">
        <v>0</v>
      </c>
      <c r="BG234" s="542">
        <v>-1683736</v>
      </c>
      <c r="BH234" s="542">
        <v>0</v>
      </c>
      <c r="BI234" s="542">
        <v>0</v>
      </c>
      <c r="BJ234" s="542">
        <v>0</v>
      </c>
      <c r="BK234" s="542">
        <v>-23680</v>
      </c>
      <c r="BL234" s="542">
        <v>0</v>
      </c>
      <c r="BM234" s="542">
        <v>-23680</v>
      </c>
      <c r="BN234" s="542">
        <v>-762131</v>
      </c>
      <c r="BO234" s="542">
        <v>0</v>
      </c>
      <c r="BP234" s="542">
        <v>-762131</v>
      </c>
      <c r="BQ234" s="542">
        <v>119429</v>
      </c>
      <c r="BR234" s="542">
        <v>0</v>
      </c>
      <c r="BS234" s="542">
        <v>119429</v>
      </c>
      <c r="BT234" s="542">
        <v>-666382</v>
      </c>
      <c r="BU234" s="542">
        <v>0</v>
      </c>
      <c r="BV234" s="542">
        <v>-666382</v>
      </c>
      <c r="BW234" s="542">
        <v>-43079</v>
      </c>
      <c r="BX234" s="542">
        <v>0</v>
      </c>
      <c r="BY234" s="542">
        <v>-43079</v>
      </c>
      <c r="BZ234" s="542">
        <v>0</v>
      </c>
      <c r="CA234" s="542">
        <v>0</v>
      </c>
      <c r="CB234" s="542">
        <v>0</v>
      </c>
      <c r="CC234" s="542">
        <v>-19352</v>
      </c>
      <c r="CD234" s="542">
        <v>0</v>
      </c>
      <c r="CE234" s="542">
        <v>-19352</v>
      </c>
      <c r="CF234" s="542">
        <v>0</v>
      </c>
      <c r="CG234" s="542">
        <v>0</v>
      </c>
      <c r="CH234" s="542">
        <v>0</v>
      </c>
      <c r="CI234" s="542">
        <v>-1347</v>
      </c>
      <c r="CJ234" s="542">
        <v>0</v>
      </c>
      <c r="CK234" s="542">
        <v>-1347</v>
      </c>
      <c r="CL234" s="542">
        <v>0</v>
      </c>
      <c r="CM234" s="542">
        <v>0</v>
      </c>
      <c r="CN234" s="542">
        <v>0</v>
      </c>
      <c r="CO234" s="542">
        <v>-14168</v>
      </c>
      <c r="CP234" s="542">
        <v>0</v>
      </c>
      <c r="CQ234" s="542">
        <v>-14168</v>
      </c>
      <c r="CR234" s="542">
        <v>-1118</v>
      </c>
      <c r="CS234" s="542">
        <v>0</v>
      </c>
      <c r="CT234" s="542">
        <v>-1118</v>
      </c>
      <c r="CU234" s="542">
        <v>-2791</v>
      </c>
      <c r="CV234" s="542">
        <v>0</v>
      </c>
      <c r="CW234" s="542">
        <v>-2791</v>
      </c>
      <c r="CX234" s="542">
        <v>0</v>
      </c>
      <c r="CY234" s="542">
        <v>0</v>
      </c>
      <c r="CZ234" s="542">
        <v>0</v>
      </c>
      <c r="DA234" s="542">
        <v>0</v>
      </c>
      <c r="DB234" s="542">
        <v>0</v>
      </c>
      <c r="DC234" s="542">
        <v>0</v>
      </c>
      <c r="DD234" s="542">
        <v>0</v>
      </c>
      <c r="DE234" s="542">
        <v>0</v>
      </c>
      <c r="DF234" s="542">
        <v>0</v>
      </c>
      <c r="DG234" s="542"/>
      <c r="DH234" s="542">
        <v>0</v>
      </c>
      <c r="DI234" s="542"/>
      <c r="DJ234" s="542">
        <v>0</v>
      </c>
      <c r="DK234" s="542"/>
      <c r="DL234" s="542"/>
      <c r="DM234" s="542">
        <v>-81855</v>
      </c>
      <c r="DN234" s="542">
        <v>0</v>
      </c>
      <c r="DO234" s="542">
        <v>-81855</v>
      </c>
      <c r="DP234" s="542">
        <v>-2593</v>
      </c>
      <c r="DQ234" s="542">
        <v>0</v>
      </c>
      <c r="DR234" s="542">
        <v>-2593</v>
      </c>
      <c r="DS234" s="542">
        <v>-352</v>
      </c>
      <c r="DT234" s="542">
        <v>0</v>
      </c>
      <c r="DU234" s="542">
        <v>-352</v>
      </c>
      <c r="DV234" s="542">
        <v>-3194</v>
      </c>
      <c r="DW234" s="542">
        <v>0</v>
      </c>
      <c r="DX234" s="542">
        <v>-3194</v>
      </c>
      <c r="DY234" s="542">
        <v>-163345</v>
      </c>
      <c r="DZ234" s="542">
        <v>0</v>
      </c>
      <c r="EA234" s="542">
        <v>-163345</v>
      </c>
      <c r="EB234" s="542">
        <v>0</v>
      </c>
      <c r="EC234" s="542">
        <v>0</v>
      </c>
      <c r="ED234" s="542">
        <v>0</v>
      </c>
      <c r="EE234" s="542">
        <v>0</v>
      </c>
      <c r="EF234" s="542">
        <v>0</v>
      </c>
      <c r="EG234" s="542">
        <v>0</v>
      </c>
      <c r="EH234" s="542">
        <v>-169484</v>
      </c>
      <c r="EI234" s="542">
        <v>0</v>
      </c>
      <c r="EJ234" s="542">
        <v>-169484</v>
      </c>
      <c r="EK234" s="542">
        <v>-4613</v>
      </c>
      <c r="EL234" s="542">
        <v>0</v>
      </c>
      <c r="EM234" s="542">
        <v>-4613</v>
      </c>
      <c r="EN234" s="542">
        <v>0</v>
      </c>
      <c r="EO234" s="542">
        <v>0</v>
      </c>
      <c r="EP234" s="542">
        <v>0</v>
      </c>
      <c r="EQ234" s="542">
        <v>-4613</v>
      </c>
      <c r="ER234" s="542">
        <v>0</v>
      </c>
      <c r="ES234" s="542">
        <v>-4613</v>
      </c>
      <c r="ET234" s="542">
        <v>46468437</v>
      </c>
      <c r="EU234" s="542">
        <v>0</v>
      </c>
      <c r="EV234" s="542">
        <v>46468437</v>
      </c>
      <c r="EW234" s="542">
        <v>-13336</v>
      </c>
      <c r="EX234" s="542">
        <v>0</v>
      </c>
      <c r="EY234" s="542">
        <v>-13336</v>
      </c>
      <c r="EZ234" s="542">
        <v>-1683736</v>
      </c>
      <c r="FA234" s="542">
        <v>0</v>
      </c>
      <c r="FB234" s="542">
        <v>-1683736</v>
      </c>
      <c r="FC234" s="542">
        <v>-666382</v>
      </c>
      <c r="FD234" s="542">
        <v>0</v>
      </c>
      <c r="FE234" s="542">
        <v>-666382</v>
      </c>
      <c r="FF234" s="542">
        <v>-81855</v>
      </c>
      <c r="FG234" s="542">
        <v>0</v>
      </c>
      <c r="FH234" s="542">
        <v>-81855</v>
      </c>
      <c r="FI234" s="542">
        <v>-169484</v>
      </c>
      <c r="FJ234" s="542">
        <v>0</v>
      </c>
      <c r="FK234" s="542">
        <v>-169484</v>
      </c>
      <c r="FL234" s="542">
        <v>-4613</v>
      </c>
      <c r="FM234" s="542">
        <v>0</v>
      </c>
      <c r="FN234" s="542">
        <v>-4613</v>
      </c>
      <c r="FO234" s="542">
        <v>-2619406</v>
      </c>
      <c r="FP234" s="542">
        <v>0</v>
      </c>
      <c r="FQ234" s="542">
        <v>-2619406</v>
      </c>
      <c r="FR234" s="542">
        <v>43849031</v>
      </c>
      <c r="FS234" s="542">
        <v>0</v>
      </c>
      <c r="FT234" s="542">
        <v>43849031</v>
      </c>
    </row>
    <row r="235" spans="1:176" ht="12.75" x14ac:dyDescent="0.2">
      <c r="A235" s="93">
        <v>230</v>
      </c>
      <c r="B235" s="145" t="s">
        <v>338</v>
      </c>
      <c r="C235" s="604" t="s">
        <v>866</v>
      </c>
      <c r="D235" s="142" t="s">
        <v>867</v>
      </c>
      <c r="E235" s="149" t="s">
        <v>337</v>
      </c>
      <c r="F235" s="542">
        <v>-51901</v>
      </c>
      <c r="G235" s="542">
        <v>0</v>
      </c>
      <c r="H235" s="542">
        <v>-51901</v>
      </c>
      <c r="I235" s="542">
        <v>25403</v>
      </c>
      <c r="J235" s="542">
        <v>0</v>
      </c>
      <c r="K235" s="542">
        <v>25403</v>
      </c>
      <c r="L235" s="542">
        <v>803</v>
      </c>
      <c r="M235" s="542">
        <v>0</v>
      </c>
      <c r="N235" s="542">
        <v>803</v>
      </c>
      <c r="O235" s="542">
        <v>46308</v>
      </c>
      <c r="P235" s="542">
        <v>0</v>
      </c>
      <c r="Q235" s="542">
        <v>46308</v>
      </c>
      <c r="R235" s="542">
        <v>20613</v>
      </c>
      <c r="S235" s="542">
        <v>0</v>
      </c>
      <c r="T235" s="542">
        <v>20613</v>
      </c>
      <c r="U235" s="542">
        <v>-2294721</v>
      </c>
      <c r="V235" s="542">
        <v>0</v>
      </c>
      <c r="W235" s="542">
        <v>-2294721</v>
      </c>
      <c r="X235" s="542">
        <v>-1556</v>
      </c>
      <c r="Y235" s="542">
        <v>0</v>
      </c>
      <c r="Z235" s="542">
        <v>-1556</v>
      </c>
      <c r="AA235" s="542">
        <v>-149679</v>
      </c>
      <c r="AB235" s="542">
        <v>0</v>
      </c>
      <c r="AC235" s="542">
        <v>-149679</v>
      </c>
      <c r="AD235" s="542">
        <v>-60555</v>
      </c>
      <c r="AE235" s="542">
        <v>0</v>
      </c>
      <c r="AF235" s="542">
        <v>-60555</v>
      </c>
      <c r="AG235" s="542">
        <v>804543</v>
      </c>
      <c r="AH235" s="542">
        <v>0</v>
      </c>
      <c r="AI235" s="542">
        <v>804543</v>
      </c>
      <c r="AJ235" s="542">
        <v>-9508</v>
      </c>
      <c r="AK235" s="542">
        <v>0</v>
      </c>
      <c r="AL235" s="542">
        <v>-9508</v>
      </c>
      <c r="AM235" s="542">
        <v>-2675703</v>
      </c>
      <c r="AN235" s="542">
        <v>0</v>
      </c>
      <c r="AO235" s="542">
        <v>-2675703</v>
      </c>
      <c r="AP235" s="542">
        <v>-83815</v>
      </c>
      <c r="AQ235" s="542">
        <v>0</v>
      </c>
      <c r="AR235" s="542">
        <v>-83815</v>
      </c>
      <c r="AS235" s="542">
        <v>-85034</v>
      </c>
      <c r="AT235" s="542">
        <v>0</v>
      </c>
      <c r="AU235" s="542">
        <v>-85034</v>
      </c>
      <c r="AV235" s="542">
        <v>-194</v>
      </c>
      <c r="AW235" s="542">
        <v>0</v>
      </c>
      <c r="AX235" s="542">
        <v>-194</v>
      </c>
      <c r="AY235" s="542">
        <v>-14792</v>
      </c>
      <c r="AZ235" s="542">
        <v>0</v>
      </c>
      <c r="BA235" s="542">
        <v>-14792</v>
      </c>
      <c r="BB235" s="542">
        <v>0</v>
      </c>
      <c r="BC235" s="542">
        <v>0</v>
      </c>
      <c r="BD235" s="542">
        <v>0</v>
      </c>
      <c r="BE235" s="542">
        <v>-4508903</v>
      </c>
      <c r="BF235" s="542">
        <v>0</v>
      </c>
      <c r="BG235" s="542">
        <v>-4508903</v>
      </c>
      <c r="BH235" s="542">
        <v>-70307</v>
      </c>
      <c r="BI235" s="542">
        <v>0</v>
      </c>
      <c r="BJ235" s="542">
        <v>-70307</v>
      </c>
      <c r="BK235" s="542">
        <v>0</v>
      </c>
      <c r="BL235" s="542">
        <v>0</v>
      </c>
      <c r="BM235" s="542">
        <v>0</v>
      </c>
      <c r="BN235" s="542">
        <v>-1141706</v>
      </c>
      <c r="BO235" s="542">
        <v>0</v>
      </c>
      <c r="BP235" s="542">
        <v>-1141706</v>
      </c>
      <c r="BQ235" s="542">
        <v>-12687</v>
      </c>
      <c r="BR235" s="542">
        <v>0</v>
      </c>
      <c r="BS235" s="542">
        <v>-12687</v>
      </c>
      <c r="BT235" s="542">
        <v>-1224700</v>
      </c>
      <c r="BU235" s="542">
        <v>0</v>
      </c>
      <c r="BV235" s="542">
        <v>-1224700</v>
      </c>
      <c r="BW235" s="542">
        <v>-123443</v>
      </c>
      <c r="BX235" s="542">
        <v>0</v>
      </c>
      <c r="BY235" s="542">
        <v>-123443</v>
      </c>
      <c r="BZ235" s="542">
        <v>0</v>
      </c>
      <c r="CA235" s="542">
        <v>0</v>
      </c>
      <c r="CB235" s="542">
        <v>0</v>
      </c>
      <c r="CC235" s="542">
        <v>-30319</v>
      </c>
      <c r="CD235" s="542">
        <v>0</v>
      </c>
      <c r="CE235" s="542">
        <v>-30319</v>
      </c>
      <c r="CF235" s="542">
        <v>0</v>
      </c>
      <c r="CG235" s="542">
        <v>0</v>
      </c>
      <c r="CH235" s="542">
        <v>0</v>
      </c>
      <c r="CI235" s="542">
        <v>0</v>
      </c>
      <c r="CJ235" s="542">
        <v>0</v>
      </c>
      <c r="CK235" s="542">
        <v>0</v>
      </c>
      <c r="CL235" s="542">
        <v>0</v>
      </c>
      <c r="CM235" s="542">
        <v>0</v>
      </c>
      <c r="CN235" s="542">
        <v>0</v>
      </c>
      <c r="CO235" s="542">
        <v>-687</v>
      </c>
      <c r="CP235" s="542">
        <v>0</v>
      </c>
      <c r="CQ235" s="542">
        <v>-687</v>
      </c>
      <c r="CR235" s="542">
        <v>-565</v>
      </c>
      <c r="CS235" s="542">
        <v>0</v>
      </c>
      <c r="CT235" s="542">
        <v>-565</v>
      </c>
      <c r="CU235" s="542">
        <v>-7666</v>
      </c>
      <c r="CV235" s="542">
        <v>0</v>
      </c>
      <c r="CW235" s="542">
        <v>-7666</v>
      </c>
      <c r="CX235" s="542">
        <v>0</v>
      </c>
      <c r="CY235" s="542">
        <v>0</v>
      </c>
      <c r="CZ235" s="542">
        <v>0</v>
      </c>
      <c r="DA235" s="542">
        <v>0</v>
      </c>
      <c r="DB235" s="542">
        <v>0</v>
      </c>
      <c r="DC235" s="542">
        <v>0</v>
      </c>
      <c r="DD235" s="542">
        <v>0</v>
      </c>
      <c r="DE235" s="542">
        <v>0</v>
      </c>
      <c r="DF235" s="542">
        <v>0</v>
      </c>
      <c r="DG235" s="542"/>
      <c r="DH235" s="542">
        <v>0</v>
      </c>
      <c r="DI235" s="542"/>
      <c r="DJ235" s="542">
        <v>0</v>
      </c>
      <c r="DK235" s="542"/>
      <c r="DL235" s="542"/>
      <c r="DM235" s="542">
        <v>-162680</v>
      </c>
      <c r="DN235" s="542">
        <v>0</v>
      </c>
      <c r="DO235" s="542">
        <v>-162680</v>
      </c>
      <c r="DP235" s="542">
        <v>0</v>
      </c>
      <c r="DQ235" s="542">
        <v>0</v>
      </c>
      <c r="DR235" s="542">
        <v>0</v>
      </c>
      <c r="DS235" s="542">
        <v>0</v>
      </c>
      <c r="DT235" s="542">
        <v>0</v>
      </c>
      <c r="DU235" s="542">
        <v>0</v>
      </c>
      <c r="DV235" s="542">
        <v>0</v>
      </c>
      <c r="DW235" s="542">
        <v>0</v>
      </c>
      <c r="DX235" s="542">
        <v>0</v>
      </c>
      <c r="DY235" s="542">
        <v>-355023</v>
      </c>
      <c r="DZ235" s="542">
        <v>0</v>
      </c>
      <c r="EA235" s="542">
        <v>-355023</v>
      </c>
      <c r="EB235" s="542">
        <v>-97</v>
      </c>
      <c r="EC235" s="542">
        <v>0</v>
      </c>
      <c r="ED235" s="542">
        <v>-97</v>
      </c>
      <c r="EE235" s="542">
        <v>-2594</v>
      </c>
      <c r="EF235" s="542">
        <v>0</v>
      </c>
      <c r="EG235" s="542">
        <v>-2594</v>
      </c>
      <c r="EH235" s="542">
        <v>-357714</v>
      </c>
      <c r="EI235" s="542">
        <v>0</v>
      </c>
      <c r="EJ235" s="542">
        <v>-357714</v>
      </c>
      <c r="EK235" s="542">
        <v>0</v>
      </c>
      <c r="EL235" s="542">
        <v>0</v>
      </c>
      <c r="EM235" s="542">
        <v>0</v>
      </c>
      <c r="EN235" s="542">
        <v>0</v>
      </c>
      <c r="EO235" s="542">
        <v>0</v>
      </c>
      <c r="EP235" s="542">
        <v>0</v>
      </c>
      <c r="EQ235" s="542">
        <v>0</v>
      </c>
      <c r="ER235" s="542">
        <v>0</v>
      </c>
      <c r="ES235" s="542">
        <v>0</v>
      </c>
      <c r="ET235" s="542">
        <v>41662412</v>
      </c>
      <c r="EU235" s="542">
        <v>0</v>
      </c>
      <c r="EV235" s="542">
        <v>41662412</v>
      </c>
      <c r="EW235" s="542">
        <v>20613</v>
      </c>
      <c r="EX235" s="542">
        <v>0</v>
      </c>
      <c r="EY235" s="542">
        <v>20613</v>
      </c>
      <c r="EZ235" s="542">
        <v>-4508903</v>
      </c>
      <c r="FA235" s="542">
        <v>0</v>
      </c>
      <c r="FB235" s="542">
        <v>-4508903</v>
      </c>
      <c r="FC235" s="542">
        <v>-1224700</v>
      </c>
      <c r="FD235" s="542">
        <v>0</v>
      </c>
      <c r="FE235" s="542">
        <v>-1224700</v>
      </c>
      <c r="FF235" s="542">
        <v>-162680</v>
      </c>
      <c r="FG235" s="542">
        <v>0</v>
      </c>
      <c r="FH235" s="542">
        <v>-162680</v>
      </c>
      <c r="FI235" s="542">
        <v>-357714</v>
      </c>
      <c r="FJ235" s="542">
        <v>0</v>
      </c>
      <c r="FK235" s="542">
        <v>-357714</v>
      </c>
      <c r="FL235" s="542">
        <v>0</v>
      </c>
      <c r="FM235" s="542">
        <v>0</v>
      </c>
      <c r="FN235" s="542">
        <v>0</v>
      </c>
      <c r="FO235" s="542">
        <v>-6233384</v>
      </c>
      <c r="FP235" s="542">
        <v>0</v>
      </c>
      <c r="FQ235" s="542">
        <v>-6233384</v>
      </c>
      <c r="FR235" s="542">
        <v>35429028</v>
      </c>
      <c r="FS235" s="542">
        <v>0</v>
      </c>
      <c r="FT235" s="542">
        <v>35429028</v>
      </c>
    </row>
    <row r="236" spans="1:176" ht="12.75" x14ac:dyDescent="0.2">
      <c r="A236" s="93">
        <v>231</v>
      </c>
      <c r="B236" s="145" t="s">
        <v>340</v>
      </c>
      <c r="C236" s="604" t="s">
        <v>873</v>
      </c>
      <c r="D236" s="142" t="s">
        <v>874</v>
      </c>
      <c r="E236" s="149" t="s">
        <v>339</v>
      </c>
      <c r="F236" s="542">
        <v>-152995</v>
      </c>
      <c r="G236" s="542">
        <v>0</v>
      </c>
      <c r="H236" s="542">
        <v>-152995</v>
      </c>
      <c r="I236" s="542">
        <v>764455</v>
      </c>
      <c r="J236" s="542">
        <v>136</v>
      </c>
      <c r="K236" s="542">
        <v>764591</v>
      </c>
      <c r="L236" s="542">
        <v>41864</v>
      </c>
      <c r="M236" s="542">
        <v>9251</v>
      </c>
      <c r="N236" s="542">
        <v>51115</v>
      </c>
      <c r="O236" s="542">
        <v>997342</v>
      </c>
      <c r="P236" s="542">
        <v>-46</v>
      </c>
      <c r="Q236" s="542">
        <v>997296</v>
      </c>
      <c r="R236" s="542">
        <v>1650666</v>
      </c>
      <c r="S236" s="542">
        <v>9341</v>
      </c>
      <c r="T236" s="542">
        <v>1660007</v>
      </c>
      <c r="U236" s="542">
        <v>-10836566</v>
      </c>
      <c r="V236" s="542">
        <v>-25556</v>
      </c>
      <c r="W236" s="542">
        <v>-10862122</v>
      </c>
      <c r="X236" s="542">
        <v>-15159</v>
      </c>
      <c r="Y236" s="542">
        <v>0</v>
      </c>
      <c r="Z236" s="542">
        <v>-15159</v>
      </c>
      <c r="AA236" s="542">
        <v>-518269</v>
      </c>
      <c r="AB236" s="542">
        <v>0</v>
      </c>
      <c r="AC236" s="542">
        <v>-518269</v>
      </c>
      <c r="AD236" s="542">
        <v>-300319</v>
      </c>
      <c r="AE236" s="542">
        <v>0</v>
      </c>
      <c r="AF236" s="542">
        <v>-300319</v>
      </c>
      <c r="AG236" s="542">
        <v>3813119</v>
      </c>
      <c r="AH236" s="542">
        <v>177539</v>
      </c>
      <c r="AI236" s="542">
        <v>3990658</v>
      </c>
      <c r="AJ236" s="542">
        <v>45416</v>
      </c>
      <c r="AK236" s="542">
        <v>7737</v>
      </c>
      <c r="AL236" s="542">
        <v>53153</v>
      </c>
      <c r="AM236" s="542">
        <v>-18090211</v>
      </c>
      <c r="AN236" s="542">
        <v>-30751</v>
      </c>
      <c r="AO236" s="542">
        <v>-18120962</v>
      </c>
      <c r="AP236" s="542">
        <v>8309</v>
      </c>
      <c r="AQ236" s="542">
        <v>0</v>
      </c>
      <c r="AR236" s="542">
        <v>8309</v>
      </c>
      <c r="AS236" s="542">
        <v>-15701</v>
      </c>
      <c r="AT236" s="542">
        <v>0</v>
      </c>
      <c r="AU236" s="542">
        <v>-15701</v>
      </c>
      <c r="AV236" s="542">
        <v>0</v>
      </c>
      <c r="AW236" s="542">
        <v>0</v>
      </c>
      <c r="AX236" s="542">
        <v>0</v>
      </c>
      <c r="AY236" s="542">
        <v>0</v>
      </c>
      <c r="AZ236" s="542">
        <v>0</v>
      </c>
      <c r="BA236" s="542">
        <v>0</v>
      </c>
      <c r="BB236" s="542">
        <v>0</v>
      </c>
      <c r="BC236" s="542">
        <v>0</v>
      </c>
      <c r="BD236" s="542">
        <v>0</v>
      </c>
      <c r="BE236" s="542">
        <v>-25593903</v>
      </c>
      <c r="BF236" s="542">
        <v>128969</v>
      </c>
      <c r="BG236" s="542">
        <v>-25464934</v>
      </c>
      <c r="BH236" s="542">
        <v>-585524</v>
      </c>
      <c r="BI236" s="542">
        <v>-7827</v>
      </c>
      <c r="BJ236" s="542">
        <v>-593351</v>
      </c>
      <c r="BK236" s="542">
        <v>-268315</v>
      </c>
      <c r="BL236" s="542">
        <v>0</v>
      </c>
      <c r="BM236" s="542">
        <v>-268315</v>
      </c>
      <c r="BN236" s="542">
        <v>-7951873</v>
      </c>
      <c r="BO236" s="542">
        <v>-413408</v>
      </c>
      <c r="BP236" s="542">
        <v>-8365281</v>
      </c>
      <c r="BQ236" s="542">
        <v>197360</v>
      </c>
      <c r="BR236" s="542">
        <v>96407</v>
      </c>
      <c r="BS236" s="542">
        <v>293767</v>
      </c>
      <c r="BT236" s="542">
        <v>-8608352</v>
      </c>
      <c r="BU236" s="542">
        <v>-324828</v>
      </c>
      <c r="BV236" s="542">
        <v>-8933180</v>
      </c>
      <c r="BW236" s="542">
        <v>-6483</v>
      </c>
      <c r="BX236" s="542">
        <v>0</v>
      </c>
      <c r="BY236" s="542">
        <v>-6483</v>
      </c>
      <c r="BZ236" s="542">
        <v>0</v>
      </c>
      <c r="CA236" s="542">
        <v>0</v>
      </c>
      <c r="CB236" s="542">
        <v>0</v>
      </c>
      <c r="CC236" s="542">
        <v>-187965</v>
      </c>
      <c r="CD236" s="542">
        <v>0</v>
      </c>
      <c r="CE236" s="542">
        <v>-187965</v>
      </c>
      <c r="CF236" s="542">
        <v>360066</v>
      </c>
      <c r="CG236" s="542">
        <v>0</v>
      </c>
      <c r="CH236" s="542">
        <v>360066</v>
      </c>
      <c r="CI236" s="542">
        <v>0</v>
      </c>
      <c r="CJ236" s="542">
        <v>0</v>
      </c>
      <c r="CK236" s="542">
        <v>0</v>
      </c>
      <c r="CL236" s="542">
        <v>0</v>
      </c>
      <c r="CM236" s="542">
        <v>0</v>
      </c>
      <c r="CN236" s="542">
        <v>0</v>
      </c>
      <c r="CO236" s="542">
        <v>0</v>
      </c>
      <c r="CP236" s="542">
        <v>0</v>
      </c>
      <c r="CQ236" s="542">
        <v>0</v>
      </c>
      <c r="CR236" s="542">
        <v>0</v>
      </c>
      <c r="CS236" s="542">
        <v>0</v>
      </c>
      <c r="CT236" s="542">
        <v>0</v>
      </c>
      <c r="CU236" s="542">
        <v>0</v>
      </c>
      <c r="CV236" s="542">
        <v>0</v>
      </c>
      <c r="CW236" s="542">
        <v>0</v>
      </c>
      <c r="CX236" s="542">
        <v>0</v>
      </c>
      <c r="CY236" s="542">
        <v>0</v>
      </c>
      <c r="CZ236" s="542">
        <v>0</v>
      </c>
      <c r="DA236" s="542">
        <v>0</v>
      </c>
      <c r="DB236" s="542">
        <v>-55000</v>
      </c>
      <c r="DC236" s="542">
        <v>-55000</v>
      </c>
      <c r="DD236" s="542">
        <v>0</v>
      </c>
      <c r="DE236" s="542">
        <v>0</v>
      </c>
      <c r="DF236" s="542">
        <v>0</v>
      </c>
      <c r="DG236" s="542"/>
      <c r="DH236" s="542">
        <v>-55000</v>
      </c>
      <c r="DI236" s="542"/>
      <c r="DJ236" s="542">
        <v>0</v>
      </c>
      <c r="DK236" s="542"/>
      <c r="DL236" s="542"/>
      <c r="DM236" s="542">
        <v>165618</v>
      </c>
      <c r="DN236" s="542">
        <v>-55000</v>
      </c>
      <c r="DO236" s="542">
        <v>110618</v>
      </c>
      <c r="DP236" s="542">
        <v>0</v>
      </c>
      <c r="DQ236" s="542">
        <v>0</v>
      </c>
      <c r="DR236" s="542">
        <v>0</v>
      </c>
      <c r="DS236" s="542">
        <v>0</v>
      </c>
      <c r="DT236" s="542">
        <v>0</v>
      </c>
      <c r="DU236" s="542">
        <v>0</v>
      </c>
      <c r="DV236" s="542">
        <v>-19012</v>
      </c>
      <c r="DW236" s="542">
        <v>-2555</v>
      </c>
      <c r="DX236" s="542">
        <v>-21567</v>
      </c>
      <c r="DY236" s="542">
        <v>-1327928</v>
      </c>
      <c r="DZ236" s="542">
        <v>-12992</v>
      </c>
      <c r="EA236" s="542">
        <v>-1340920</v>
      </c>
      <c r="EB236" s="542">
        <v>0</v>
      </c>
      <c r="EC236" s="542">
        <v>0</v>
      </c>
      <c r="ED236" s="542">
        <v>0</v>
      </c>
      <c r="EE236" s="542">
        <v>0</v>
      </c>
      <c r="EF236" s="542">
        <v>0</v>
      </c>
      <c r="EG236" s="542">
        <v>0</v>
      </c>
      <c r="EH236" s="542">
        <v>-1346940</v>
      </c>
      <c r="EI236" s="542">
        <v>-15547</v>
      </c>
      <c r="EJ236" s="542">
        <v>-1362487</v>
      </c>
      <c r="EK236" s="542">
        <v>0</v>
      </c>
      <c r="EL236" s="542">
        <v>0</v>
      </c>
      <c r="EM236" s="542">
        <v>0</v>
      </c>
      <c r="EN236" s="542">
        <v>0</v>
      </c>
      <c r="EO236" s="542">
        <v>0</v>
      </c>
      <c r="EP236" s="542">
        <v>0</v>
      </c>
      <c r="EQ236" s="542">
        <v>0</v>
      </c>
      <c r="ER236" s="542">
        <v>0</v>
      </c>
      <c r="ES236" s="542">
        <v>0</v>
      </c>
      <c r="ET236" s="542">
        <v>240566162</v>
      </c>
      <c r="EU236" s="542">
        <v>3212918</v>
      </c>
      <c r="EV236" s="542">
        <v>243779080</v>
      </c>
      <c r="EW236" s="542">
        <v>1650666</v>
      </c>
      <c r="EX236" s="542">
        <v>9341</v>
      </c>
      <c r="EY236" s="542">
        <v>1660007</v>
      </c>
      <c r="EZ236" s="542">
        <v>-25593903</v>
      </c>
      <c r="FA236" s="542">
        <v>128969</v>
      </c>
      <c r="FB236" s="542">
        <v>-25464934</v>
      </c>
      <c r="FC236" s="542">
        <v>-8608352</v>
      </c>
      <c r="FD236" s="542">
        <v>-324828</v>
      </c>
      <c r="FE236" s="542">
        <v>-8933180</v>
      </c>
      <c r="FF236" s="542">
        <v>165618</v>
      </c>
      <c r="FG236" s="542">
        <v>-55000</v>
      </c>
      <c r="FH236" s="542">
        <v>110618</v>
      </c>
      <c r="FI236" s="542">
        <v>-1346940</v>
      </c>
      <c r="FJ236" s="542">
        <v>-15547</v>
      </c>
      <c r="FK236" s="542">
        <v>-1362487</v>
      </c>
      <c r="FL236" s="542">
        <v>0</v>
      </c>
      <c r="FM236" s="542">
        <v>0</v>
      </c>
      <c r="FN236" s="542">
        <v>0</v>
      </c>
      <c r="FO236" s="542">
        <v>-33732911</v>
      </c>
      <c r="FP236" s="542">
        <v>-257065</v>
      </c>
      <c r="FQ236" s="542">
        <v>-33989976</v>
      </c>
      <c r="FR236" s="542">
        <v>206833251</v>
      </c>
      <c r="FS236" s="542">
        <v>2955853</v>
      </c>
      <c r="FT236" s="542">
        <v>209789104</v>
      </c>
    </row>
    <row r="237" spans="1:176" ht="12.75" x14ac:dyDescent="0.2">
      <c r="A237" s="93">
        <v>232</v>
      </c>
      <c r="B237" s="145" t="s">
        <v>342</v>
      </c>
      <c r="C237" s="604" t="s">
        <v>866</v>
      </c>
      <c r="D237" s="142" t="s">
        <v>867</v>
      </c>
      <c r="E237" s="149" t="s">
        <v>341</v>
      </c>
      <c r="F237" s="542">
        <v>-39372</v>
      </c>
      <c r="G237" s="542">
        <v>0</v>
      </c>
      <c r="H237" s="542">
        <v>-39372</v>
      </c>
      <c r="I237" s="542">
        <v>87270</v>
      </c>
      <c r="J237" s="542">
        <v>0</v>
      </c>
      <c r="K237" s="542">
        <v>87270</v>
      </c>
      <c r="L237" s="542">
        <v>1188</v>
      </c>
      <c r="M237" s="542">
        <v>0</v>
      </c>
      <c r="N237" s="542">
        <v>1188</v>
      </c>
      <c r="O237" s="542">
        <v>35944</v>
      </c>
      <c r="P237" s="542">
        <v>0</v>
      </c>
      <c r="Q237" s="542">
        <v>35944</v>
      </c>
      <c r="R237" s="542">
        <v>85030</v>
      </c>
      <c r="S237" s="542">
        <v>0</v>
      </c>
      <c r="T237" s="542">
        <v>85030</v>
      </c>
      <c r="U237" s="542">
        <v>-2653773</v>
      </c>
      <c r="V237" s="542">
        <v>0</v>
      </c>
      <c r="W237" s="542">
        <v>-2653773</v>
      </c>
      <c r="X237" s="542">
        <v>-7833</v>
      </c>
      <c r="Y237" s="542">
        <v>0</v>
      </c>
      <c r="Z237" s="542">
        <v>-7833</v>
      </c>
      <c r="AA237" s="542">
        <v>-164543</v>
      </c>
      <c r="AB237" s="542">
        <v>0</v>
      </c>
      <c r="AC237" s="542">
        <v>-164543</v>
      </c>
      <c r="AD237" s="542">
        <v>-58569</v>
      </c>
      <c r="AE237" s="542">
        <v>0</v>
      </c>
      <c r="AF237" s="542">
        <v>-58569</v>
      </c>
      <c r="AG237" s="542">
        <v>667977</v>
      </c>
      <c r="AH237" s="542">
        <v>0</v>
      </c>
      <c r="AI237" s="542">
        <v>667977</v>
      </c>
      <c r="AJ237" s="542">
        <v>90240</v>
      </c>
      <c r="AK237" s="542">
        <v>0</v>
      </c>
      <c r="AL237" s="542">
        <v>90240</v>
      </c>
      <c r="AM237" s="542">
        <v>-2403679</v>
      </c>
      <c r="AN237" s="542">
        <v>0</v>
      </c>
      <c r="AO237" s="542">
        <v>-2403679</v>
      </c>
      <c r="AP237" s="542">
        <v>7586</v>
      </c>
      <c r="AQ237" s="542">
        <v>0</v>
      </c>
      <c r="AR237" s="542">
        <v>7586</v>
      </c>
      <c r="AS237" s="542">
        <v>-93302</v>
      </c>
      <c r="AT237" s="542">
        <v>0</v>
      </c>
      <c r="AU237" s="542">
        <v>-93302</v>
      </c>
      <c r="AV237" s="542">
        <v>0</v>
      </c>
      <c r="AW237" s="542">
        <v>0</v>
      </c>
      <c r="AX237" s="542">
        <v>0</v>
      </c>
      <c r="AY237" s="542">
        <v>-23451</v>
      </c>
      <c r="AZ237" s="542">
        <v>0</v>
      </c>
      <c r="BA237" s="542">
        <v>-23451</v>
      </c>
      <c r="BB237" s="542">
        <v>-739</v>
      </c>
      <c r="BC237" s="542">
        <v>0</v>
      </c>
      <c r="BD237" s="542">
        <v>-739</v>
      </c>
      <c r="BE237" s="542">
        <v>-4573684</v>
      </c>
      <c r="BF237" s="542">
        <v>0</v>
      </c>
      <c r="BG237" s="542">
        <v>-4573684</v>
      </c>
      <c r="BH237" s="542">
        <v>-20510</v>
      </c>
      <c r="BI237" s="542">
        <v>0</v>
      </c>
      <c r="BJ237" s="542">
        <v>-20510</v>
      </c>
      <c r="BK237" s="542">
        <v>1626</v>
      </c>
      <c r="BL237" s="542">
        <v>0</v>
      </c>
      <c r="BM237" s="542">
        <v>1626</v>
      </c>
      <c r="BN237" s="542">
        <v>-1047546</v>
      </c>
      <c r="BO237" s="542">
        <v>0</v>
      </c>
      <c r="BP237" s="542">
        <v>-1047546</v>
      </c>
      <c r="BQ237" s="542">
        <v>-8069</v>
      </c>
      <c r="BR237" s="542">
        <v>0</v>
      </c>
      <c r="BS237" s="542">
        <v>-8069</v>
      </c>
      <c r="BT237" s="542">
        <v>-1074499</v>
      </c>
      <c r="BU237" s="542">
        <v>0</v>
      </c>
      <c r="BV237" s="542">
        <v>-1074499</v>
      </c>
      <c r="BW237" s="542">
        <v>-65511</v>
      </c>
      <c r="BX237" s="542">
        <v>0</v>
      </c>
      <c r="BY237" s="542">
        <v>-65511</v>
      </c>
      <c r="BZ237" s="542">
        <v>-334</v>
      </c>
      <c r="CA237" s="542">
        <v>0</v>
      </c>
      <c r="CB237" s="542">
        <v>-334</v>
      </c>
      <c r="CC237" s="542">
        <v>-2253</v>
      </c>
      <c r="CD237" s="542">
        <v>0</v>
      </c>
      <c r="CE237" s="542">
        <v>-2253</v>
      </c>
      <c r="CF237" s="542">
        <v>0</v>
      </c>
      <c r="CG237" s="542">
        <v>0</v>
      </c>
      <c r="CH237" s="542">
        <v>0</v>
      </c>
      <c r="CI237" s="542">
        <v>-1110</v>
      </c>
      <c r="CJ237" s="542">
        <v>0</v>
      </c>
      <c r="CK237" s="542">
        <v>-1110</v>
      </c>
      <c r="CL237" s="542">
        <v>0</v>
      </c>
      <c r="CM237" s="542">
        <v>0</v>
      </c>
      <c r="CN237" s="542">
        <v>0</v>
      </c>
      <c r="CO237" s="542">
        <v>0</v>
      </c>
      <c r="CP237" s="542">
        <v>0</v>
      </c>
      <c r="CQ237" s="542">
        <v>0</v>
      </c>
      <c r="CR237" s="542">
        <v>-109</v>
      </c>
      <c r="CS237" s="542">
        <v>0</v>
      </c>
      <c r="CT237" s="542">
        <v>-109</v>
      </c>
      <c r="CU237" s="542">
        <v>0</v>
      </c>
      <c r="CV237" s="542">
        <v>0</v>
      </c>
      <c r="CW237" s="542">
        <v>0</v>
      </c>
      <c r="CX237" s="542">
        <v>0</v>
      </c>
      <c r="CY237" s="542">
        <v>0</v>
      </c>
      <c r="CZ237" s="542">
        <v>0</v>
      </c>
      <c r="DA237" s="542">
        <v>-75919</v>
      </c>
      <c r="DB237" s="542">
        <v>0</v>
      </c>
      <c r="DC237" s="542">
        <v>-75919</v>
      </c>
      <c r="DD237" s="542">
        <v>-15701</v>
      </c>
      <c r="DE237" s="542">
        <v>0</v>
      </c>
      <c r="DF237" s="542">
        <v>-15701</v>
      </c>
      <c r="DG237" s="542"/>
      <c r="DH237" s="542">
        <v>0</v>
      </c>
      <c r="DI237" s="542"/>
      <c r="DJ237" s="542">
        <v>0</v>
      </c>
      <c r="DK237" s="542"/>
      <c r="DL237" s="542"/>
      <c r="DM237" s="542">
        <v>-160937</v>
      </c>
      <c r="DN237" s="542">
        <v>0</v>
      </c>
      <c r="DO237" s="542">
        <v>-160937</v>
      </c>
      <c r="DP237" s="542">
        <v>-11620</v>
      </c>
      <c r="DQ237" s="542">
        <v>0</v>
      </c>
      <c r="DR237" s="542">
        <v>-11620</v>
      </c>
      <c r="DS237" s="542">
        <v>0</v>
      </c>
      <c r="DT237" s="542">
        <v>0</v>
      </c>
      <c r="DU237" s="542">
        <v>0</v>
      </c>
      <c r="DV237" s="542">
        <v>0</v>
      </c>
      <c r="DW237" s="542">
        <v>0</v>
      </c>
      <c r="DX237" s="542">
        <v>0</v>
      </c>
      <c r="DY237" s="542">
        <v>-485034</v>
      </c>
      <c r="DZ237" s="542">
        <v>0</v>
      </c>
      <c r="EA237" s="542">
        <v>-485034</v>
      </c>
      <c r="EB237" s="542">
        <v>-4761</v>
      </c>
      <c r="EC237" s="542">
        <v>0</v>
      </c>
      <c r="ED237" s="542">
        <v>-4761</v>
      </c>
      <c r="EE237" s="542">
        <v>-7177</v>
      </c>
      <c r="EF237" s="542">
        <v>0</v>
      </c>
      <c r="EG237" s="542">
        <v>-7177</v>
      </c>
      <c r="EH237" s="542">
        <v>-508592</v>
      </c>
      <c r="EI237" s="542">
        <v>0</v>
      </c>
      <c r="EJ237" s="542">
        <v>-508592</v>
      </c>
      <c r="EK237" s="542">
        <v>-17885</v>
      </c>
      <c r="EL237" s="542">
        <v>0</v>
      </c>
      <c r="EM237" s="542">
        <v>-17885</v>
      </c>
      <c r="EN237" s="542">
        <v>0</v>
      </c>
      <c r="EO237" s="542">
        <v>0</v>
      </c>
      <c r="EP237" s="542">
        <v>0</v>
      </c>
      <c r="EQ237" s="542">
        <v>-17885</v>
      </c>
      <c r="ER237" s="542">
        <v>0</v>
      </c>
      <c r="ES237" s="542">
        <v>-17885</v>
      </c>
      <c r="ET237" s="542">
        <v>34731861</v>
      </c>
      <c r="EU237" s="542">
        <v>0</v>
      </c>
      <c r="EV237" s="542">
        <v>34731861</v>
      </c>
      <c r="EW237" s="542">
        <v>85030</v>
      </c>
      <c r="EX237" s="542">
        <v>0</v>
      </c>
      <c r="EY237" s="542">
        <v>85030</v>
      </c>
      <c r="EZ237" s="542">
        <v>-4573684</v>
      </c>
      <c r="FA237" s="542">
        <v>0</v>
      </c>
      <c r="FB237" s="542">
        <v>-4573684</v>
      </c>
      <c r="FC237" s="542">
        <v>-1074499</v>
      </c>
      <c r="FD237" s="542">
        <v>0</v>
      </c>
      <c r="FE237" s="542">
        <v>-1074499</v>
      </c>
      <c r="FF237" s="542">
        <v>-160937</v>
      </c>
      <c r="FG237" s="542">
        <v>0</v>
      </c>
      <c r="FH237" s="542">
        <v>-160937</v>
      </c>
      <c r="FI237" s="542">
        <v>-508592</v>
      </c>
      <c r="FJ237" s="542">
        <v>0</v>
      </c>
      <c r="FK237" s="542">
        <v>-508592</v>
      </c>
      <c r="FL237" s="542">
        <v>-17885</v>
      </c>
      <c r="FM237" s="542">
        <v>0</v>
      </c>
      <c r="FN237" s="542">
        <v>-17885</v>
      </c>
      <c r="FO237" s="542">
        <v>-6250567</v>
      </c>
      <c r="FP237" s="542">
        <v>0</v>
      </c>
      <c r="FQ237" s="542">
        <v>-6250567</v>
      </c>
      <c r="FR237" s="542">
        <v>28481294</v>
      </c>
      <c r="FS237" s="542">
        <v>0</v>
      </c>
      <c r="FT237" s="542">
        <v>28481294</v>
      </c>
    </row>
    <row r="238" spans="1:176" ht="12.75" x14ac:dyDescent="0.2">
      <c r="A238" s="93">
        <v>233</v>
      </c>
      <c r="B238" s="145" t="s">
        <v>344</v>
      </c>
      <c r="C238" s="604" t="s">
        <v>770</v>
      </c>
      <c r="D238" s="142" t="s">
        <v>876</v>
      </c>
      <c r="E238" s="149" t="s">
        <v>343</v>
      </c>
      <c r="F238" s="542">
        <v>-173656</v>
      </c>
      <c r="G238" s="542">
        <v>0</v>
      </c>
      <c r="H238" s="542">
        <v>-173656</v>
      </c>
      <c r="I238" s="542">
        <v>236147</v>
      </c>
      <c r="J238" s="542">
        <v>0</v>
      </c>
      <c r="K238" s="542">
        <v>236147</v>
      </c>
      <c r="L238" s="542">
        <v>20395</v>
      </c>
      <c r="M238" s="542">
        <v>0</v>
      </c>
      <c r="N238" s="542">
        <v>20395</v>
      </c>
      <c r="O238" s="542">
        <v>173806</v>
      </c>
      <c r="P238" s="542">
        <v>0</v>
      </c>
      <c r="Q238" s="542">
        <v>173806</v>
      </c>
      <c r="R238" s="542">
        <v>256692</v>
      </c>
      <c r="S238" s="542">
        <v>0</v>
      </c>
      <c r="T238" s="542">
        <v>256692</v>
      </c>
      <c r="U238" s="542">
        <v>-8027173</v>
      </c>
      <c r="V238" s="542">
        <v>0</v>
      </c>
      <c r="W238" s="542">
        <v>-8027173</v>
      </c>
      <c r="X238" s="542">
        <v>-9024</v>
      </c>
      <c r="Y238" s="542">
        <v>0</v>
      </c>
      <c r="Z238" s="542">
        <v>-9024</v>
      </c>
      <c r="AA238" s="542">
        <v>-602870</v>
      </c>
      <c r="AB238" s="542">
        <v>0</v>
      </c>
      <c r="AC238" s="542">
        <v>-602870</v>
      </c>
      <c r="AD238" s="542">
        <v>0</v>
      </c>
      <c r="AE238" s="542">
        <v>0</v>
      </c>
      <c r="AF238" s="542">
        <v>0</v>
      </c>
      <c r="AG238" s="542">
        <v>1746013</v>
      </c>
      <c r="AH238" s="542">
        <v>0</v>
      </c>
      <c r="AI238" s="542">
        <v>1746013</v>
      </c>
      <c r="AJ238" s="542">
        <v>14259</v>
      </c>
      <c r="AK238" s="542">
        <v>0</v>
      </c>
      <c r="AL238" s="542">
        <v>14259</v>
      </c>
      <c r="AM238" s="542">
        <v>-6012563</v>
      </c>
      <c r="AN238" s="542">
        <v>0</v>
      </c>
      <c r="AO238" s="542">
        <v>-6012563</v>
      </c>
      <c r="AP238" s="542">
        <v>57004</v>
      </c>
      <c r="AQ238" s="542">
        <v>0</v>
      </c>
      <c r="AR238" s="542">
        <v>57004</v>
      </c>
      <c r="AS238" s="542">
        <v>-152155</v>
      </c>
      <c r="AT238" s="542">
        <v>0</v>
      </c>
      <c r="AU238" s="542">
        <v>-152155</v>
      </c>
      <c r="AV238" s="542">
        <v>8958</v>
      </c>
      <c r="AW238" s="542">
        <v>0</v>
      </c>
      <c r="AX238" s="542">
        <v>8958</v>
      </c>
      <c r="AY238" s="542">
        <v>-98608</v>
      </c>
      <c r="AZ238" s="542">
        <v>0</v>
      </c>
      <c r="BA238" s="542">
        <v>-98608</v>
      </c>
      <c r="BB238" s="542">
        <v>-1416</v>
      </c>
      <c r="BC238" s="542">
        <v>0</v>
      </c>
      <c r="BD238" s="542">
        <v>-1416</v>
      </c>
      <c r="BE238" s="542">
        <v>-13068551</v>
      </c>
      <c r="BF238" s="542">
        <v>0</v>
      </c>
      <c r="BG238" s="542">
        <v>-13068551</v>
      </c>
      <c r="BH238" s="542">
        <v>-184450</v>
      </c>
      <c r="BI238" s="542">
        <v>0</v>
      </c>
      <c r="BJ238" s="542">
        <v>-184450</v>
      </c>
      <c r="BK238" s="542">
        <v>-124956</v>
      </c>
      <c r="BL238" s="542">
        <v>0</v>
      </c>
      <c r="BM238" s="542">
        <v>-124956</v>
      </c>
      <c r="BN238" s="542">
        <v>-2574353</v>
      </c>
      <c r="BO238" s="542">
        <v>0</v>
      </c>
      <c r="BP238" s="542">
        <v>-2574353</v>
      </c>
      <c r="BQ238" s="542">
        <v>157920</v>
      </c>
      <c r="BR238" s="542">
        <v>0</v>
      </c>
      <c r="BS238" s="542">
        <v>157920</v>
      </c>
      <c r="BT238" s="542">
        <v>-2725839</v>
      </c>
      <c r="BU238" s="542">
        <v>0</v>
      </c>
      <c r="BV238" s="542">
        <v>-2725839</v>
      </c>
      <c r="BW238" s="542">
        <v>-483457</v>
      </c>
      <c r="BX238" s="542">
        <v>0</v>
      </c>
      <c r="BY238" s="542">
        <v>-483457</v>
      </c>
      <c r="BZ238" s="542">
        <v>-64011</v>
      </c>
      <c r="CA238" s="542">
        <v>0</v>
      </c>
      <c r="CB238" s="542">
        <v>-64011</v>
      </c>
      <c r="CC238" s="542">
        <v>-452957</v>
      </c>
      <c r="CD238" s="542">
        <v>0</v>
      </c>
      <c r="CE238" s="542">
        <v>-452957</v>
      </c>
      <c r="CF238" s="542">
        <v>59364</v>
      </c>
      <c r="CG238" s="542">
        <v>0</v>
      </c>
      <c r="CH238" s="542">
        <v>59364</v>
      </c>
      <c r="CI238" s="542">
        <v>-26262</v>
      </c>
      <c r="CJ238" s="542">
        <v>0</v>
      </c>
      <c r="CK238" s="542">
        <v>-26262</v>
      </c>
      <c r="CL238" s="542">
        <v>2401</v>
      </c>
      <c r="CM238" s="542">
        <v>0</v>
      </c>
      <c r="CN238" s="542">
        <v>2401</v>
      </c>
      <c r="CO238" s="542">
        <v>-8254</v>
      </c>
      <c r="CP238" s="542">
        <v>0</v>
      </c>
      <c r="CQ238" s="542">
        <v>-8254</v>
      </c>
      <c r="CR238" s="542">
        <v>0</v>
      </c>
      <c r="CS238" s="542">
        <v>0</v>
      </c>
      <c r="CT238" s="542">
        <v>0</v>
      </c>
      <c r="CU238" s="542">
        <v>0</v>
      </c>
      <c r="CV238" s="542">
        <v>0</v>
      </c>
      <c r="CW238" s="542">
        <v>0</v>
      </c>
      <c r="CX238" s="542">
        <v>0</v>
      </c>
      <c r="CY238" s="542">
        <v>0</v>
      </c>
      <c r="CZ238" s="542">
        <v>0</v>
      </c>
      <c r="DA238" s="542">
        <v>0</v>
      </c>
      <c r="DB238" s="542">
        <v>0</v>
      </c>
      <c r="DC238" s="542">
        <v>0</v>
      </c>
      <c r="DD238" s="542">
        <v>0</v>
      </c>
      <c r="DE238" s="542">
        <v>0</v>
      </c>
      <c r="DF238" s="542">
        <v>0</v>
      </c>
      <c r="DG238" s="542"/>
      <c r="DH238" s="542">
        <v>0</v>
      </c>
      <c r="DI238" s="542"/>
      <c r="DJ238" s="542">
        <v>0</v>
      </c>
      <c r="DK238" s="542"/>
      <c r="DL238" s="542"/>
      <c r="DM238" s="542">
        <v>-973176</v>
      </c>
      <c r="DN238" s="542">
        <v>0</v>
      </c>
      <c r="DO238" s="542">
        <v>-973176</v>
      </c>
      <c r="DP238" s="542">
        <v>-34316</v>
      </c>
      <c r="DQ238" s="542">
        <v>0</v>
      </c>
      <c r="DR238" s="542">
        <v>-34316</v>
      </c>
      <c r="DS238" s="542">
        <v>3146</v>
      </c>
      <c r="DT238" s="542">
        <v>0</v>
      </c>
      <c r="DU238" s="542">
        <v>3146</v>
      </c>
      <c r="DV238" s="542">
        <v>-29183</v>
      </c>
      <c r="DW238" s="542">
        <v>0</v>
      </c>
      <c r="DX238" s="542">
        <v>-29183</v>
      </c>
      <c r="DY238" s="542">
        <v>-913590</v>
      </c>
      <c r="DZ238" s="542">
        <v>0</v>
      </c>
      <c r="EA238" s="542">
        <v>-913590</v>
      </c>
      <c r="EB238" s="542">
        <v>-7440</v>
      </c>
      <c r="EC238" s="542">
        <v>0</v>
      </c>
      <c r="ED238" s="542">
        <v>-7440</v>
      </c>
      <c r="EE238" s="542">
        <v>-19053</v>
      </c>
      <c r="EF238" s="542">
        <v>0</v>
      </c>
      <c r="EG238" s="542">
        <v>-19053</v>
      </c>
      <c r="EH238" s="542">
        <v>-1000436</v>
      </c>
      <c r="EI238" s="542">
        <v>0</v>
      </c>
      <c r="EJ238" s="542">
        <v>-1000436</v>
      </c>
      <c r="EK238" s="542">
        <v>0</v>
      </c>
      <c r="EL238" s="542">
        <v>0</v>
      </c>
      <c r="EM238" s="542">
        <v>0</v>
      </c>
      <c r="EN238" s="542">
        <v>0</v>
      </c>
      <c r="EO238" s="542">
        <v>0</v>
      </c>
      <c r="EP238" s="542">
        <v>0</v>
      </c>
      <c r="EQ238" s="542">
        <v>0</v>
      </c>
      <c r="ER238" s="542">
        <v>0</v>
      </c>
      <c r="ES238" s="542">
        <v>0</v>
      </c>
      <c r="ET238" s="542">
        <v>94330100</v>
      </c>
      <c r="EU238" s="542">
        <v>0</v>
      </c>
      <c r="EV238" s="542">
        <v>94330100</v>
      </c>
      <c r="EW238" s="542">
        <v>256692</v>
      </c>
      <c r="EX238" s="542">
        <v>0</v>
      </c>
      <c r="EY238" s="542">
        <v>256692</v>
      </c>
      <c r="EZ238" s="542">
        <v>-13068551</v>
      </c>
      <c r="FA238" s="542">
        <v>0</v>
      </c>
      <c r="FB238" s="542">
        <v>-13068551</v>
      </c>
      <c r="FC238" s="542">
        <v>-2725839</v>
      </c>
      <c r="FD238" s="542">
        <v>0</v>
      </c>
      <c r="FE238" s="542">
        <v>-2725839</v>
      </c>
      <c r="FF238" s="542">
        <v>-973176</v>
      </c>
      <c r="FG238" s="542">
        <v>0</v>
      </c>
      <c r="FH238" s="542">
        <v>-973176</v>
      </c>
      <c r="FI238" s="542">
        <v>-1000436</v>
      </c>
      <c r="FJ238" s="542">
        <v>0</v>
      </c>
      <c r="FK238" s="542">
        <v>-1000436</v>
      </c>
      <c r="FL238" s="542">
        <v>0</v>
      </c>
      <c r="FM238" s="542">
        <v>0</v>
      </c>
      <c r="FN238" s="542">
        <v>0</v>
      </c>
      <c r="FO238" s="542">
        <v>-17511310</v>
      </c>
      <c r="FP238" s="542">
        <v>0</v>
      </c>
      <c r="FQ238" s="542">
        <v>-17511310</v>
      </c>
      <c r="FR238" s="542">
        <v>76818790</v>
      </c>
      <c r="FS238" s="542">
        <v>0</v>
      </c>
      <c r="FT238" s="542">
        <v>76818790</v>
      </c>
    </row>
    <row r="239" spans="1:176" ht="12.75" x14ac:dyDescent="0.2">
      <c r="A239" s="93">
        <v>234</v>
      </c>
      <c r="B239" s="145" t="s">
        <v>346</v>
      </c>
      <c r="C239" s="604" t="s">
        <v>770</v>
      </c>
      <c r="D239" s="142" t="s">
        <v>867</v>
      </c>
      <c r="E239" s="149" t="s">
        <v>723</v>
      </c>
      <c r="F239" s="542">
        <v>-83192</v>
      </c>
      <c r="G239" s="542">
        <v>0</v>
      </c>
      <c r="H239" s="542">
        <v>-83192</v>
      </c>
      <c r="I239" s="542">
        <v>-56823</v>
      </c>
      <c r="J239" s="542">
        <v>0</v>
      </c>
      <c r="K239" s="542">
        <v>-56823</v>
      </c>
      <c r="L239" s="542">
        <v>400621</v>
      </c>
      <c r="M239" s="542">
        <v>0</v>
      </c>
      <c r="N239" s="542">
        <v>400621</v>
      </c>
      <c r="O239" s="542">
        <v>1258615</v>
      </c>
      <c r="P239" s="542">
        <v>0</v>
      </c>
      <c r="Q239" s="542">
        <v>1258615</v>
      </c>
      <c r="R239" s="542">
        <v>1519221</v>
      </c>
      <c r="S239" s="542">
        <v>0</v>
      </c>
      <c r="T239" s="542">
        <v>1519221</v>
      </c>
      <c r="U239" s="542">
        <v>-1225274</v>
      </c>
      <c r="V239" s="542">
        <v>0</v>
      </c>
      <c r="W239" s="542">
        <v>-1225274</v>
      </c>
      <c r="X239" s="542">
        <v>-1684</v>
      </c>
      <c r="Y239" s="542">
        <v>0</v>
      </c>
      <c r="Z239" s="542">
        <v>-1684</v>
      </c>
      <c r="AA239" s="542">
        <v>-145612</v>
      </c>
      <c r="AB239" s="542">
        <v>0</v>
      </c>
      <c r="AC239" s="542">
        <v>-145612</v>
      </c>
      <c r="AD239" s="542">
        <v>-65554</v>
      </c>
      <c r="AE239" s="542">
        <v>0</v>
      </c>
      <c r="AF239" s="542">
        <v>-65554</v>
      </c>
      <c r="AG239" s="542">
        <v>2329160</v>
      </c>
      <c r="AH239" s="542">
        <v>0</v>
      </c>
      <c r="AI239" s="542">
        <v>2329160</v>
      </c>
      <c r="AJ239" s="542">
        <v>-32927</v>
      </c>
      <c r="AK239" s="542">
        <v>0</v>
      </c>
      <c r="AL239" s="542">
        <v>-32927</v>
      </c>
      <c r="AM239" s="542">
        <v>-3502807</v>
      </c>
      <c r="AN239" s="542">
        <v>0</v>
      </c>
      <c r="AO239" s="542">
        <v>-3502807</v>
      </c>
      <c r="AP239" s="542">
        <v>-133414</v>
      </c>
      <c r="AQ239" s="542">
        <v>0</v>
      </c>
      <c r="AR239" s="542">
        <v>-133414</v>
      </c>
      <c r="AS239" s="542">
        <v>0</v>
      </c>
      <c r="AT239" s="542">
        <v>0</v>
      </c>
      <c r="AU239" s="542">
        <v>0</v>
      </c>
      <c r="AV239" s="542">
        <v>0</v>
      </c>
      <c r="AW239" s="542">
        <v>0</v>
      </c>
      <c r="AX239" s="542">
        <v>0</v>
      </c>
      <c r="AY239" s="542">
        <v>0</v>
      </c>
      <c r="AZ239" s="542">
        <v>0</v>
      </c>
      <c r="BA239" s="542">
        <v>0</v>
      </c>
      <c r="BB239" s="542">
        <v>0</v>
      </c>
      <c r="BC239" s="542">
        <v>0</v>
      </c>
      <c r="BD239" s="542">
        <v>0</v>
      </c>
      <c r="BE239" s="542">
        <v>-2710874</v>
      </c>
      <c r="BF239" s="542">
        <v>0</v>
      </c>
      <c r="BG239" s="542">
        <v>-2710874</v>
      </c>
      <c r="BH239" s="542">
        <v>-76841</v>
      </c>
      <c r="BI239" s="542">
        <v>0</v>
      </c>
      <c r="BJ239" s="542">
        <v>-76841</v>
      </c>
      <c r="BK239" s="542">
        <v>-135110</v>
      </c>
      <c r="BL239" s="542">
        <v>0</v>
      </c>
      <c r="BM239" s="542">
        <v>-135110</v>
      </c>
      <c r="BN239" s="542">
        <v>-4632345</v>
      </c>
      <c r="BO239" s="542">
        <v>0</v>
      </c>
      <c r="BP239" s="542">
        <v>-4632345</v>
      </c>
      <c r="BQ239" s="542">
        <v>-73262</v>
      </c>
      <c r="BR239" s="542">
        <v>0</v>
      </c>
      <c r="BS239" s="542">
        <v>-73262</v>
      </c>
      <c r="BT239" s="542">
        <v>-4917558</v>
      </c>
      <c r="BU239" s="542">
        <v>0</v>
      </c>
      <c r="BV239" s="542">
        <v>-4917558</v>
      </c>
      <c r="BW239" s="542">
        <v>-152512</v>
      </c>
      <c r="BX239" s="542">
        <v>0</v>
      </c>
      <c r="BY239" s="542">
        <v>-152512</v>
      </c>
      <c r="BZ239" s="542">
        <v>-5345</v>
      </c>
      <c r="CA239" s="542">
        <v>0</v>
      </c>
      <c r="CB239" s="542">
        <v>-5345</v>
      </c>
      <c r="CC239" s="542">
        <v>-135388</v>
      </c>
      <c r="CD239" s="542">
        <v>0</v>
      </c>
      <c r="CE239" s="542">
        <v>-135388</v>
      </c>
      <c r="CF239" s="542">
        <v>-35217</v>
      </c>
      <c r="CG239" s="542">
        <v>0</v>
      </c>
      <c r="CH239" s="542">
        <v>-35217</v>
      </c>
      <c r="CI239" s="542">
        <v>0</v>
      </c>
      <c r="CJ239" s="542">
        <v>0</v>
      </c>
      <c r="CK239" s="542">
        <v>0</v>
      </c>
      <c r="CL239" s="542">
        <v>0</v>
      </c>
      <c r="CM239" s="542">
        <v>0</v>
      </c>
      <c r="CN239" s="542">
        <v>0</v>
      </c>
      <c r="CO239" s="542">
        <v>0</v>
      </c>
      <c r="CP239" s="542">
        <v>0</v>
      </c>
      <c r="CQ239" s="542">
        <v>0</v>
      </c>
      <c r="CR239" s="542">
        <v>0</v>
      </c>
      <c r="CS239" s="542">
        <v>0</v>
      </c>
      <c r="CT239" s="542">
        <v>0</v>
      </c>
      <c r="CU239" s="542">
        <v>0</v>
      </c>
      <c r="CV239" s="542">
        <v>0</v>
      </c>
      <c r="CW239" s="542">
        <v>0</v>
      </c>
      <c r="CX239" s="542">
        <v>0</v>
      </c>
      <c r="CY239" s="542">
        <v>0</v>
      </c>
      <c r="CZ239" s="542">
        <v>0</v>
      </c>
      <c r="DA239" s="542">
        <v>0</v>
      </c>
      <c r="DB239" s="542">
        <v>0</v>
      </c>
      <c r="DC239" s="542">
        <v>0</v>
      </c>
      <c r="DD239" s="542">
        <v>0</v>
      </c>
      <c r="DE239" s="542">
        <v>0</v>
      </c>
      <c r="DF239" s="542">
        <v>0</v>
      </c>
      <c r="DG239" s="542"/>
      <c r="DH239" s="542">
        <v>0</v>
      </c>
      <c r="DI239" s="542"/>
      <c r="DJ239" s="542">
        <v>0</v>
      </c>
      <c r="DK239" s="542"/>
      <c r="DL239" s="542"/>
      <c r="DM239" s="542">
        <v>-328462</v>
      </c>
      <c r="DN239" s="542">
        <v>0</v>
      </c>
      <c r="DO239" s="542">
        <v>-328462</v>
      </c>
      <c r="DP239" s="542">
        <v>0</v>
      </c>
      <c r="DQ239" s="542">
        <v>0</v>
      </c>
      <c r="DR239" s="542">
        <v>0</v>
      </c>
      <c r="DS239" s="542">
        <v>0</v>
      </c>
      <c r="DT239" s="542">
        <v>0</v>
      </c>
      <c r="DU239" s="542">
        <v>0</v>
      </c>
      <c r="DV239" s="542">
        <v>-3469</v>
      </c>
      <c r="DW239" s="542">
        <v>0</v>
      </c>
      <c r="DX239" s="542">
        <v>-3469</v>
      </c>
      <c r="DY239" s="542">
        <v>-524924</v>
      </c>
      <c r="DZ239" s="542">
        <v>0</v>
      </c>
      <c r="EA239" s="542">
        <v>-524924</v>
      </c>
      <c r="EB239" s="542">
        <v>0</v>
      </c>
      <c r="EC239" s="542">
        <v>0</v>
      </c>
      <c r="ED239" s="542">
        <v>0</v>
      </c>
      <c r="EE239" s="542">
        <v>0</v>
      </c>
      <c r="EF239" s="542">
        <v>0</v>
      </c>
      <c r="EG239" s="542">
        <v>0</v>
      </c>
      <c r="EH239" s="542">
        <v>-528393</v>
      </c>
      <c r="EI239" s="542">
        <v>0</v>
      </c>
      <c r="EJ239" s="542">
        <v>-528393</v>
      </c>
      <c r="EK239" s="542">
        <v>0</v>
      </c>
      <c r="EL239" s="542">
        <v>0</v>
      </c>
      <c r="EM239" s="542">
        <v>0</v>
      </c>
      <c r="EN239" s="542">
        <v>0</v>
      </c>
      <c r="EO239" s="542">
        <v>0</v>
      </c>
      <c r="EP239" s="542">
        <v>0</v>
      </c>
      <c r="EQ239" s="542">
        <v>0</v>
      </c>
      <c r="ER239" s="542">
        <v>0</v>
      </c>
      <c r="ES239" s="542">
        <v>0</v>
      </c>
      <c r="ET239" s="542">
        <v>103533772</v>
      </c>
      <c r="EU239" s="542">
        <v>0</v>
      </c>
      <c r="EV239" s="542">
        <v>103533772</v>
      </c>
      <c r="EW239" s="542">
        <v>1519221</v>
      </c>
      <c r="EX239" s="542">
        <v>0</v>
      </c>
      <c r="EY239" s="542">
        <v>1519221</v>
      </c>
      <c r="EZ239" s="542">
        <v>-2710874</v>
      </c>
      <c r="FA239" s="542">
        <v>0</v>
      </c>
      <c r="FB239" s="542">
        <v>-2710874</v>
      </c>
      <c r="FC239" s="542">
        <v>-4917558</v>
      </c>
      <c r="FD239" s="542">
        <v>0</v>
      </c>
      <c r="FE239" s="542">
        <v>-4917558</v>
      </c>
      <c r="FF239" s="542">
        <v>-328462</v>
      </c>
      <c r="FG239" s="542">
        <v>0</v>
      </c>
      <c r="FH239" s="542">
        <v>-328462</v>
      </c>
      <c r="FI239" s="542">
        <v>-528393</v>
      </c>
      <c r="FJ239" s="542">
        <v>0</v>
      </c>
      <c r="FK239" s="542">
        <v>-528393</v>
      </c>
      <c r="FL239" s="542">
        <v>0</v>
      </c>
      <c r="FM239" s="542">
        <v>0</v>
      </c>
      <c r="FN239" s="542">
        <v>0</v>
      </c>
      <c r="FO239" s="542">
        <v>-6966066</v>
      </c>
      <c r="FP239" s="542">
        <v>0</v>
      </c>
      <c r="FQ239" s="542">
        <v>-6966066</v>
      </c>
      <c r="FR239" s="542">
        <v>96567706</v>
      </c>
      <c r="FS239" s="542">
        <v>0</v>
      </c>
      <c r="FT239" s="542">
        <v>96567706</v>
      </c>
    </row>
    <row r="240" spans="1:176" ht="12.75" x14ac:dyDescent="0.2">
      <c r="A240" s="93">
        <v>235</v>
      </c>
      <c r="B240" s="145" t="s">
        <v>348</v>
      </c>
      <c r="C240" s="604" t="s">
        <v>873</v>
      </c>
      <c r="D240" s="142" t="s">
        <v>876</v>
      </c>
      <c r="E240" s="149" t="s">
        <v>347</v>
      </c>
      <c r="F240" s="542">
        <v>-47830</v>
      </c>
      <c r="G240" s="542">
        <v>0</v>
      </c>
      <c r="H240" s="542">
        <v>-47830</v>
      </c>
      <c r="I240" s="542">
        <v>173324</v>
      </c>
      <c r="J240" s="542">
        <v>0</v>
      </c>
      <c r="K240" s="542">
        <v>173324</v>
      </c>
      <c r="L240" s="542">
        <v>9343</v>
      </c>
      <c r="M240" s="542">
        <v>0</v>
      </c>
      <c r="N240" s="542">
        <v>9343</v>
      </c>
      <c r="O240" s="542">
        <v>540028</v>
      </c>
      <c r="P240" s="542">
        <v>0</v>
      </c>
      <c r="Q240" s="542">
        <v>540028</v>
      </c>
      <c r="R240" s="542">
        <v>674865</v>
      </c>
      <c r="S240" s="542">
        <v>0</v>
      </c>
      <c r="T240" s="542">
        <v>674865</v>
      </c>
      <c r="U240" s="542">
        <v>-2170276</v>
      </c>
      <c r="V240" s="542">
        <v>0</v>
      </c>
      <c r="W240" s="542">
        <v>-2170276</v>
      </c>
      <c r="X240" s="542">
        <v>-2672</v>
      </c>
      <c r="Y240" s="542">
        <v>0</v>
      </c>
      <c r="Z240" s="542">
        <v>-2672</v>
      </c>
      <c r="AA240" s="542">
        <v>-121586</v>
      </c>
      <c r="AB240" s="542">
        <v>0</v>
      </c>
      <c r="AC240" s="542">
        <v>-121586</v>
      </c>
      <c r="AD240" s="542">
        <v>-47012</v>
      </c>
      <c r="AE240" s="542">
        <v>0</v>
      </c>
      <c r="AF240" s="542">
        <v>-47012</v>
      </c>
      <c r="AG240" s="542">
        <v>2672287</v>
      </c>
      <c r="AH240" s="542">
        <v>0</v>
      </c>
      <c r="AI240" s="542">
        <v>2672287</v>
      </c>
      <c r="AJ240" s="542">
        <v>227346</v>
      </c>
      <c r="AK240" s="542">
        <v>0</v>
      </c>
      <c r="AL240" s="542">
        <v>227346</v>
      </c>
      <c r="AM240" s="542">
        <v>-4460679</v>
      </c>
      <c r="AN240" s="542">
        <v>0</v>
      </c>
      <c r="AO240" s="542">
        <v>-4460679</v>
      </c>
      <c r="AP240" s="542">
        <v>-686354</v>
      </c>
      <c r="AQ240" s="542">
        <v>0</v>
      </c>
      <c r="AR240" s="542">
        <v>-686354</v>
      </c>
      <c r="AS240" s="542">
        <v>-103189</v>
      </c>
      <c r="AT240" s="542">
        <v>0</v>
      </c>
      <c r="AU240" s="542">
        <v>-103189</v>
      </c>
      <c r="AV240" s="542">
        <v>-2793</v>
      </c>
      <c r="AW240" s="542">
        <v>0</v>
      </c>
      <c r="AX240" s="542">
        <v>-2793</v>
      </c>
      <c r="AY240" s="542">
        <v>-964</v>
      </c>
      <c r="AZ240" s="542">
        <v>0</v>
      </c>
      <c r="BA240" s="542">
        <v>-964</v>
      </c>
      <c r="BB240" s="542">
        <v>0</v>
      </c>
      <c r="BC240" s="542">
        <v>0</v>
      </c>
      <c r="BD240" s="542">
        <v>0</v>
      </c>
      <c r="BE240" s="542">
        <v>-4646208</v>
      </c>
      <c r="BF240" s="542">
        <v>0</v>
      </c>
      <c r="BG240" s="542">
        <v>-4646208</v>
      </c>
      <c r="BH240" s="542">
        <v>-186515</v>
      </c>
      <c r="BI240" s="542">
        <v>0</v>
      </c>
      <c r="BJ240" s="542">
        <v>-186515</v>
      </c>
      <c r="BK240" s="542">
        <v>-116609</v>
      </c>
      <c r="BL240" s="542">
        <v>0</v>
      </c>
      <c r="BM240" s="542">
        <v>-116609</v>
      </c>
      <c r="BN240" s="542">
        <v>-3728073</v>
      </c>
      <c r="BO240" s="542">
        <v>0</v>
      </c>
      <c r="BP240" s="542">
        <v>-3728073</v>
      </c>
      <c r="BQ240" s="542">
        <v>375746</v>
      </c>
      <c r="BR240" s="542">
        <v>0</v>
      </c>
      <c r="BS240" s="542">
        <v>375746</v>
      </c>
      <c r="BT240" s="542">
        <v>-3655451</v>
      </c>
      <c r="BU240" s="542">
        <v>0</v>
      </c>
      <c r="BV240" s="542">
        <v>-3655451</v>
      </c>
      <c r="BW240" s="542">
        <v>-63102</v>
      </c>
      <c r="BX240" s="542">
        <v>0</v>
      </c>
      <c r="BY240" s="542">
        <v>-63102</v>
      </c>
      <c r="BZ240" s="542">
        <v>-340</v>
      </c>
      <c r="CA240" s="542">
        <v>0</v>
      </c>
      <c r="CB240" s="542">
        <v>-340</v>
      </c>
      <c r="CC240" s="542">
        <v>-324923</v>
      </c>
      <c r="CD240" s="542">
        <v>0</v>
      </c>
      <c r="CE240" s="542">
        <v>-324923</v>
      </c>
      <c r="CF240" s="542">
        <v>0</v>
      </c>
      <c r="CG240" s="542">
        <v>0</v>
      </c>
      <c r="CH240" s="542">
        <v>0</v>
      </c>
      <c r="CI240" s="542">
        <v>0</v>
      </c>
      <c r="CJ240" s="542">
        <v>0</v>
      </c>
      <c r="CK240" s="542">
        <v>0</v>
      </c>
      <c r="CL240" s="542">
        <v>0</v>
      </c>
      <c r="CM240" s="542">
        <v>0</v>
      </c>
      <c r="CN240" s="542">
        <v>0</v>
      </c>
      <c r="CO240" s="542">
        <v>0</v>
      </c>
      <c r="CP240" s="542">
        <v>0</v>
      </c>
      <c r="CQ240" s="542">
        <v>0</v>
      </c>
      <c r="CR240" s="542">
        <v>0</v>
      </c>
      <c r="CS240" s="542">
        <v>0</v>
      </c>
      <c r="CT240" s="542">
        <v>0</v>
      </c>
      <c r="CU240" s="542">
        <v>0</v>
      </c>
      <c r="CV240" s="542">
        <v>0</v>
      </c>
      <c r="CW240" s="542">
        <v>0</v>
      </c>
      <c r="CX240" s="542">
        <v>0</v>
      </c>
      <c r="CY240" s="542">
        <v>0</v>
      </c>
      <c r="CZ240" s="542">
        <v>0</v>
      </c>
      <c r="DA240" s="542">
        <v>0</v>
      </c>
      <c r="DB240" s="542">
        <v>0</v>
      </c>
      <c r="DC240" s="542">
        <v>0</v>
      </c>
      <c r="DD240" s="542">
        <v>0</v>
      </c>
      <c r="DE240" s="542">
        <v>0</v>
      </c>
      <c r="DF240" s="542">
        <v>0</v>
      </c>
      <c r="DG240" s="542"/>
      <c r="DH240" s="542">
        <v>0</v>
      </c>
      <c r="DI240" s="542"/>
      <c r="DJ240" s="542">
        <v>0</v>
      </c>
      <c r="DK240" s="542"/>
      <c r="DL240" s="542"/>
      <c r="DM240" s="542">
        <v>-388365</v>
      </c>
      <c r="DN240" s="542">
        <v>0</v>
      </c>
      <c r="DO240" s="542">
        <v>-388365</v>
      </c>
      <c r="DP240" s="542">
        <v>-9245</v>
      </c>
      <c r="DQ240" s="542">
        <v>0</v>
      </c>
      <c r="DR240" s="542">
        <v>-9245</v>
      </c>
      <c r="DS240" s="542">
        <v>0</v>
      </c>
      <c r="DT240" s="542">
        <v>0</v>
      </c>
      <c r="DU240" s="542">
        <v>0</v>
      </c>
      <c r="DV240" s="542">
        <v>-20482</v>
      </c>
      <c r="DW240" s="542">
        <v>0</v>
      </c>
      <c r="DX240" s="542">
        <v>-20482</v>
      </c>
      <c r="DY240" s="542">
        <v>-732633</v>
      </c>
      <c r="DZ240" s="542">
        <v>0</v>
      </c>
      <c r="EA240" s="542">
        <v>-732633</v>
      </c>
      <c r="EB240" s="542">
        <v>0</v>
      </c>
      <c r="EC240" s="542">
        <v>0</v>
      </c>
      <c r="ED240" s="542">
        <v>0</v>
      </c>
      <c r="EE240" s="542">
        <v>0</v>
      </c>
      <c r="EF240" s="542">
        <v>0</v>
      </c>
      <c r="EG240" s="542">
        <v>0</v>
      </c>
      <c r="EH240" s="542">
        <v>-762360</v>
      </c>
      <c r="EI240" s="542">
        <v>0</v>
      </c>
      <c r="EJ240" s="542">
        <v>-762360</v>
      </c>
      <c r="EK240" s="542">
        <v>0</v>
      </c>
      <c r="EL240" s="542">
        <v>0</v>
      </c>
      <c r="EM240" s="542">
        <v>0</v>
      </c>
      <c r="EN240" s="542">
        <v>0</v>
      </c>
      <c r="EO240" s="542">
        <v>0</v>
      </c>
      <c r="EP240" s="542">
        <v>0</v>
      </c>
      <c r="EQ240" s="542">
        <v>0</v>
      </c>
      <c r="ER240" s="542">
        <v>0</v>
      </c>
      <c r="ES240" s="542">
        <v>0</v>
      </c>
      <c r="ET240" s="542">
        <v>120909251</v>
      </c>
      <c r="EU240" s="542">
        <v>0</v>
      </c>
      <c r="EV240" s="542">
        <v>120909251</v>
      </c>
      <c r="EW240" s="542">
        <v>674865</v>
      </c>
      <c r="EX240" s="542">
        <v>0</v>
      </c>
      <c r="EY240" s="542">
        <v>674865</v>
      </c>
      <c r="EZ240" s="542">
        <v>-4646208</v>
      </c>
      <c r="FA240" s="542">
        <v>0</v>
      </c>
      <c r="FB240" s="542">
        <v>-4646208</v>
      </c>
      <c r="FC240" s="542">
        <v>-3655451</v>
      </c>
      <c r="FD240" s="542">
        <v>0</v>
      </c>
      <c r="FE240" s="542">
        <v>-3655451</v>
      </c>
      <c r="FF240" s="542">
        <v>-388365</v>
      </c>
      <c r="FG240" s="542">
        <v>0</v>
      </c>
      <c r="FH240" s="542">
        <v>-388365</v>
      </c>
      <c r="FI240" s="542">
        <v>-762360</v>
      </c>
      <c r="FJ240" s="542">
        <v>0</v>
      </c>
      <c r="FK240" s="542">
        <v>-762360</v>
      </c>
      <c r="FL240" s="542">
        <v>0</v>
      </c>
      <c r="FM240" s="542">
        <v>0</v>
      </c>
      <c r="FN240" s="542">
        <v>0</v>
      </c>
      <c r="FO240" s="542">
        <v>-8777519</v>
      </c>
      <c r="FP240" s="542">
        <v>0</v>
      </c>
      <c r="FQ240" s="542">
        <v>-8777519</v>
      </c>
      <c r="FR240" s="542">
        <v>112131732</v>
      </c>
      <c r="FS240" s="542">
        <v>0</v>
      </c>
      <c r="FT240" s="542">
        <v>112131732</v>
      </c>
    </row>
    <row r="241" spans="1:176" ht="12.75" x14ac:dyDescent="0.2">
      <c r="A241" s="93">
        <v>236</v>
      </c>
      <c r="B241" s="145" t="s">
        <v>350</v>
      </c>
      <c r="C241" s="604" t="s">
        <v>866</v>
      </c>
      <c r="D241" s="142" t="s">
        <v>867</v>
      </c>
      <c r="E241" s="149" t="s">
        <v>349</v>
      </c>
      <c r="F241" s="542">
        <v>-26340</v>
      </c>
      <c r="G241" s="542">
        <v>0</v>
      </c>
      <c r="H241" s="542">
        <v>-26340</v>
      </c>
      <c r="I241" s="542">
        <v>31584</v>
      </c>
      <c r="J241" s="542">
        <v>0</v>
      </c>
      <c r="K241" s="542">
        <v>31584</v>
      </c>
      <c r="L241" s="542">
        <v>27291</v>
      </c>
      <c r="M241" s="542">
        <v>0</v>
      </c>
      <c r="N241" s="542">
        <v>27291</v>
      </c>
      <c r="O241" s="542">
        <v>289967</v>
      </c>
      <c r="P241" s="542">
        <v>0</v>
      </c>
      <c r="Q241" s="542">
        <v>289967</v>
      </c>
      <c r="R241" s="542">
        <v>322502</v>
      </c>
      <c r="S241" s="542">
        <v>0</v>
      </c>
      <c r="T241" s="542">
        <v>322502</v>
      </c>
      <c r="U241" s="542">
        <v>-888462</v>
      </c>
      <c r="V241" s="542">
        <v>0</v>
      </c>
      <c r="W241" s="542">
        <v>-888462</v>
      </c>
      <c r="X241" s="542">
        <v>0</v>
      </c>
      <c r="Y241" s="542">
        <v>0</v>
      </c>
      <c r="Z241" s="542">
        <v>0</v>
      </c>
      <c r="AA241" s="542">
        <v>-29520</v>
      </c>
      <c r="AB241" s="542">
        <v>0</v>
      </c>
      <c r="AC241" s="542">
        <v>-29520</v>
      </c>
      <c r="AD241" s="542">
        <v>0</v>
      </c>
      <c r="AE241" s="542">
        <v>0</v>
      </c>
      <c r="AF241" s="542">
        <v>0</v>
      </c>
      <c r="AG241" s="542">
        <v>731201</v>
      </c>
      <c r="AH241" s="542">
        <v>0</v>
      </c>
      <c r="AI241" s="542">
        <v>731201</v>
      </c>
      <c r="AJ241" s="542">
        <v>-18264</v>
      </c>
      <c r="AK241" s="542">
        <v>0</v>
      </c>
      <c r="AL241" s="542">
        <v>-18264</v>
      </c>
      <c r="AM241" s="542">
        <v>-1836183</v>
      </c>
      <c r="AN241" s="542">
        <v>0</v>
      </c>
      <c r="AO241" s="542">
        <v>-1836183</v>
      </c>
      <c r="AP241" s="542">
        <v>-354</v>
      </c>
      <c r="AQ241" s="542">
        <v>0</v>
      </c>
      <c r="AR241" s="542">
        <v>-354</v>
      </c>
      <c r="AS241" s="542">
        <v>-58418</v>
      </c>
      <c r="AT241" s="542">
        <v>0</v>
      </c>
      <c r="AU241" s="542">
        <v>-58418</v>
      </c>
      <c r="AV241" s="542">
        <v>0</v>
      </c>
      <c r="AW241" s="542">
        <v>0</v>
      </c>
      <c r="AX241" s="542">
        <v>0</v>
      </c>
      <c r="AY241" s="542">
        <v>-1133</v>
      </c>
      <c r="AZ241" s="542">
        <v>0</v>
      </c>
      <c r="BA241" s="542">
        <v>-1133</v>
      </c>
      <c r="BB241" s="542">
        <v>0</v>
      </c>
      <c r="BC241" s="542">
        <v>0</v>
      </c>
      <c r="BD241" s="542">
        <v>0</v>
      </c>
      <c r="BE241" s="542">
        <v>-2101133</v>
      </c>
      <c r="BF241" s="542">
        <v>0</v>
      </c>
      <c r="BG241" s="542">
        <v>-2101133</v>
      </c>
      <c r="BH241" s="542">
        <v>0</v>
      </c>
      <c r="BI241" s="542">
        <v>0</v>
      </c>
      <c r="BJ241" s="542">
        <v>0</v>
      </c>
      <c r="BK241" s="542">
        <v>42302</v>
      </c>
      <c r="BL241" s="542">
        <v>0</v>
      </c>
      <c r="BM241" s="542">
        <v>42302</v>
      </c>
      <c r="BN241" s="542">
        <v>-1860388</v>
      </c>
      <c r="BO241" s="542">
        <v>0</v>
      </c>
      <c r="BP241" s="542">
        <v>-1860388</v>
      </c>
      <c r="BQ241" s="542">
        <v>84293</v>
      </c>
      <c r="BR241" s="542">
        <v>0</v>
      </c>
      <c r="BS241" s="542">
        <v>84293</v>
      </c>
      <c r="BT241" s="542">
        <v>-1733793</v>
      </c>
      <c r="BU241" s="542">
        <v>0</v>
      </c>
      <c r="BV241" s="542">
        <v>-1733793</v>
      </c>
      <c r="BW241" s="542">
        <v>-19730</v>
      </c>
      <c r="BX241" s="542">
        <v>0</v>
      </c>
      <c r="BY241" s="542">
        <v>-19730</v>
      </c>
      <c r="BZ241" s="542">
        <v>-152</v>
      </c>
      <c r="CA241" s="542">
        <v>0</v>
      </c>
      <c r="CB241" s="542">
        <v>-152</v>
      </c>
      <c r="CC241" s="542">
        <v>-26992</v>
      </c>
      <c r="CD241" s="542">
        <v>0</v>
      </c>
      <c r="CE241" s="542">
        <v>-26992</v>
      </c>
      <c r="CF241" s="542">
        <v>0</v>
      </c>
      <c r="CG241" s="542">
        <v>0</v>
      </c>
      <c r="CH241" s="542">
        <v>0</v>
      </c>
      <c r="CI241" s="542">
        <v>-255</v>
      </c>
      <c r="CJ241" s="542">
        <v>0</v>
      </c>
      <c r="CK241" s="542">
        <v>-255</v>
      </c>
      <c r="CL241" s="542">
        <v>0</v>
      </c>
      <c r="CM241" s="542">
        <v>0</v>
      </c>
      <c r="CN241" s="542">
        <v>0</v>
      </c>
      <c r="CO241" s="542">
        <v>0</v>
      </c>
      <c r="CP241" s="542">
        <v>0</v>
      </c>
      <c r="CQ241" s="542">
        <v>0</v>
      </c>
      <c r="CR241" s="542">
        <v>0</v>
      </c>
      <c r="CS241" s="542">
        <v>0</v>
      </c>
      <c r="CT241" s="542">
        <v>0</v>
      </c>
      <c r="CU241" s="542">
        <v>0</v>
      </c>
      <c r="CV241" s="542">
        <v>0</v>
      </c>
      <c r="CW241" s="542">
        <v>0</v>
      </c>
      <c r="CX241" s="542">
        <v>0</v>
      </c>
      <c r="CY241" s="542">
        <v>0</v>
      </c>
      <c r="CZ241" s="542">
        <v>0</v>
      </c>
      <c r="DA241" s="542">
        <v>0</v>
      </c>
      <c r="DB241" s="542">
        <v>0</v>
      </c>
      <c r="DC241" s="542">
        <v>0</v>
      </c>
      <c r="DD241" s="542">
        <v>0</v>
      </c>
      <c r="DE241" s="542">
        <v>0</v>
      </c>
      <c r="DF241" s="542">
        <v>0</v>
      </c>
      <c r="DG241" s="542"/>
      <c r="DH241" s="542">
        <v>0</v>
      </c>
      <c r="DI241" s="542"/>
      <c r="DJ241" s="542">
        <v>0</v>
      </c>
      <c r="DK241" s="542"/>
      <c r="DL241" s="542"/>
      <c r="DM241" s="542">
        <v>-47129</v>
      </c>
      <c r="DN241" s="542">
        <v>0</v>
      </c>
      <c r="DO241" s="542">
        <v>-47129</v>
      </c>
      <c r="DP241" s="542">
        <v>0</v>
      </c>
      <c r="DQ241" s="542">
        <v>0</v>
      </c>
      <c r="DR241" s="542">
        <v>0</v>
      </c>
      <c r="DS241" s="542">
        <v>0</v>
      </c>
      <c r="DT241" s="542">
        <v>0</v>
      </c>
      <c r="DU241" s="542">
        <v>0</v>
      </c>
      <c r="DV241" s="542">
        <v>0</v>
      </c>
      <c r="DW241" s="542">
        <v>0</v>
      </c>
      <c r="DX241" s="542">
        <v>0</v>
      </c>
      <c r="DY241" s="542">
        <v>-169607</v>
      </c>
      <c r="DZ241" s="542">
        <v>0</v>
      </c>
      <c r="EA241" s="542">
        <v>-169607</v>
      </c>
      <c r="EB241" s="542">
        <v>-5055</v>
      </c>
      <c r="EC241" s="542">
        <v>0</v>
      </c>
      <c r="ED241" s="542">
        <v>-5055</v>
      </c>
      <c r="EE241" s="542">
        <v>-10220</v>
      </c>
      <c r="EF241" s="542">
        <v>0</v>
      </c>
      <c r="EG241" s="542">
        <v>-10220</v>
      </c>
      <c r="EH241" s="542">
        <v>-184882</v>
      </c>
      <c r="EI241" s="542">
        <v>0</v>
      </c>
      <c r="EJ241" s="542">
        <v>-184882</v>
      </c>
      <c r="EK241" s="542">
        <v>0</v>
      </c>
      <c r="EL241" s="542">
        <v>0</v>
      </c>
      <c r="EM241" s="542">
        <v>0</v>
      </c>
      <c r="EN241" s="542">
        <v>0</v>
      </c>
      <c r="EO241" s="542">
        <v>0</v>
      </c>
      <c r="EP241" s="542">
        <v>0</v>
      </c>
      <c r="EQ241" s="542">
        <v>0</v>
      </c>
      <c r="ER241" s="542">
        <v>0</v>
      </c>
      <c r="ES241" s="542">
        <v>0</v>
      </c>
      <c r="ET241" s="542">
        <v>33790028</v>
      </c>
      <c r="EU241" s="542">
        <v>0</v>
      </c>
      <c r="EV241" s="542">
        <v>33790028</v>
      </c>
      <c r="EW241" s="542">
        <v>322502</v>
      </c>
      <c r="EX241" s="542">
        <v>0</v>
      </c>
      <c r="EY241" s="542">
        <v>322502</v>
      </c>
      <c r="EZ241" s="542">
        <v>-2101133</v>
      </c>
      <c r="FA241" s="542">
        <v>0</v>
      </c>
      <c r="FB241" s="542">
        <v>-2101133</v>
      </c>
      <c r="FC241" s="542">
        <v>-1733793</v>
      </c>
      <c r="FD241" s="542">
        <v>0</v>
      </c>
      <c r="FE241" s="542">
        <v>-1733793</v>
      </c>
      <c r="FF241" s="542">
        <v>-47129</v>
      </c>
      <c r="FG241" s="542">
        <v>0</v>
      </c>
      <c r="FH241" s="542">
        <v>-47129</v>
      </c>
      <c r="FI241" s="542">
        <v>-184882</v>
      </c>
      <c r="FJ241" s="542">
        <v>0</v>
      </c>
      <c r="FK241" s="542">
        <v>-184882</v>
      </c>
      <c r="FL241" s="542">
        <v>0</v>
      </c>
      <c r="FM241" s="542">
        <v>0</v>
      </c>
      <c r="FN241" s="542">
        <v>0</v>
      </c>
      <c r="FO241" s="542">
        <v>-3744435</v>
      </c>
      <c r="FP241" s="542">
        <v>0</v>
      </c>
      <c r="FQ241" s="542">
        <v>-3744435</v>
      </c>
      <c r="FR241" s="542">
        <v>30045593</v>
      </c>
      <c r="FS241" s="542">
        <v>0</v>
      </c>
      <c r="FT241" s="542">
        <v>30045593</v>
      </c>
    </row>
    <row r="242" spans="1:176" ht="12.75" x14ac:dyDescent="0.2">
      <c r="A242" s="93">
        <v>237</v>
      </c>
      <c r="B242" s="145" t="s">
        <v>352</v>
      </c>
      <c r="C242" s="604" t="s">
        <v>866</v>
      </c>
      <c r="D242" s="142" t="s">
        <v>870</v>
      </c>
      <c r="E242" s="149" t="s">
        <v>351</v>
      </c>
      <c r="F242" s="542">
        <v>-53302</v>
      </c>
      <c r="G242" s="542">
        <v>0</v>
      </c>
      <c r="H242" s="542">
        <v>-53302</v>
      </c>
      <c r="I242" s="542">
        <v>114068</v>
      </c>
      <c r="J242" s="542">
        <v>0</v>
      </c>
      <c r="K242" s="542">
        <v>114068</v>
      </c>
      <c r="L242" s="542">
        <v>19497</v>
      </c>
      <c r="M242" s="542">
        <v>0</v>
      </c>
      <c r="N242" s="542">
        <v>19497</v>
      </c>
      <c r="O242" s="542">
        <v>16388</v>
      </c>
      <c r="P242" s="542">
        <v>0</v>
      </c>
      <c r="Q242" s="542">
        <v>16388</v>
      </c>
      <c r="R242" s="542">
        <v>96651</v>
      </c>
      <c r="S242" s="542">
        <v>0</v>
      </c>
      <c r="T242" s="542">
        <v>96651</v>
      </c>
      <c r="U242" s="542">
        <v>-2435182</v>
      </c>
      <c r="V242" s="542">
        <v>0</v>
      </c>
      <c r="W242" s="542">
        <v>-2435182</v>
      </c>
      <c r="X242" s="542">
        <v>-133216</v>
      </c>
      <c r="Y242" s="542">
        <v>0</v>
      </c>
      <c r="Z242" s="542">
        <v>-133216</v>
      </c>
      <c r="AA242" s="542">
        <v>-131582</v>
      </c>
      <c r="AB242" s="542">
        <v>0</v>
      </c>
      <c r="AC242" s="542">
        <v>-131582</v>
      </c>
      <c r="AD242" s="542">
        <v>-55454</v>
      </c>
      <c r="AE242" s="542">
        <v>0</v>
      </c>
      <c r="AF242" s="542">
        <v>-55454</v>
      </c>
      <c r="AG242" s="542">
        <v>1719311</v>
      </c>
      <c r="AH242" s="542">
        <v>0</v>
      </c>
      <c r="AI242" s="542">
        <v>1719311</v>
      </c>
      <c r="AJ242" s="542">
        <v>-31260</v>
      </c>
      <c r="AK242" s="542">
        <v>0</v>
      </c>
      <c r="AL242" s="542">
        <v>-31260</v>
      </c>
      <c r="AM242" s="542">
        <v>-8649054</v>
      </c>
      <c r="AN242" s="542">
        <v>0</v>
      </c>
      <c r="AO242" s="542">
        <v>-8649054</v>
      </c>
      <c r="AP242" s="542">
        <v>-225721</v>
      </c>
      <c r="AQ242" s="542">
        <v>0</v>
      </c>
      <c r="AR242" s="542">
        <v>-225721</v>
      </c>
      <c r="AS242" s="542">
        <v>-37939</v>
      </c>
      <c r="AT242" s="542">
        <v>0</v>
      </c>
      <c r="AU242" s="542">
        <v>-37939</v>
      </c>
      <c r="AV242" s="542">
        <v>-467</v>
      </c>
      <c r="AW242" s="542">
        <v>0</v>
      </c>
      <c r="AX242" s="542">
        <v>-467</v>
      </c>
      <c r="AY242" s="542">
        <v>-81223</v>
      </c>
      <c r="AZ242" s="542">
        <v>0</v>
      </c>
      <c r="BA242" s="542">
        <v>-81223</v>
      </c>
      <c r="BB242" s="542">
        <v>-1463</v>
      </c>
      <c r="BC242" s="542">
        <v>0</v>
      </c>
      <c r="BD242" s="542">
        <v>-1463</v>
      </c>
      <c r="BE242" s="542">
        <v>-9874580</v>
      </c>
      <c r="BF242" s="542">
        <v>0</v>
      </c>
      <c r="BG242" s="542">
        <v>-9874580</v>
      </c>
      <c r="BH242" s="542">
        <v>-9233</v>
      </c>
      <c r="BI242" s="542">
        <v>0</v>
      </c>
      <c r="BJ242" s="542">
        <v>-9233</v>
      </c>
      <c r="BK242" s="542">
        <v>-779</v>
      </c>
      <c r="BL242" s="542">
        <v>0</v>
      </c>
      <c r="BM242" s="542">
        <v>-779</v>
      </c>
      <c r="BN242" s="542">
        <v>-1724228</v>
      </c>
      <c r="BO242" s="542">
        <v>0</v>
      </c>
      <c r="BP242" s="542">
        <v>-1724228</v>
      </c>
      <c r="BQ242" s="542">
        <v>-284892</v>
      </c>
      <c r="BR242" s="542">
        <v>0</v>
      </c>
      <c r="BS242" s="542">
        <v>-284892</v>
      </c>
      <c r="BT242" s="542">
        <v>-2019132</v>
      </c>
      <c r="BU242" s="542">
        <v>0</v>
      </c>
      <c r="BV242" s="542">
        <v>-2019132</v>
      </c>
      <c r="BW242" s="542">
        <v>-103609</v>
      </c>
      <c r="BX242" s="542">
        <v>0</v>
      </c>
      <c r="BY242" s="542">
        <v>-103609</v>
      </c>
      <c r="BZ242" s="542">
        <v>-619</v>
      </c>
      <c r="CA242" s="542">
        <v>0</v>
      </c>
      <c r="CB242" s="542">
        <v>-619</v>
      </c>
      <c r="CC242" s="542">
        <v>-57054</v>
      </c>
      <c r="CD242" s="542">
        <v>0</v>
      </c>
      <c r="CE242" s="542">
        <v>-57054</v>
      </c>
      <c r="CF242" s="542">
        <v>-12</v>
      </c>
      <c r="CG242" s="542">
        <v>0</v>
      </c>
      <c r="CH242" s="542">
        <v>-12</v>
      </c>
      <c r="CI242" s="542">
        <v>0</v>
      </c>
      <c r="CJ242" s="542">
        <v>0</v>
      </c>
      <c r="CK242" s="542">
        <v>0</v>
      </c>
      <c r="CL242" s="542">
        <v>0</v>
      </c>
      <c r="CM242" s="542">
        <v>0</v>
      </c>
      <c r="CN242" s="542">
        <v>0</v>
      </c>
      <c r="CO242" s="542">
        <v>-86993</v>
      </c>
      <c r="CP242" s="542">
        <v>0</v>
      </c>
      <c r="CQ242" s="542">
        <v>-86993</v>
      </c>
      <c r="CR242" s="542">
        <v>-1477</v>
      </c>
      <c r="CS242" s="542">
        <v>0</v>
      </c>
      <c r="CT242" s="542">
        <v>-1477</v>
      </c>
      <c r="CU242" s="542">
        <v>-49832</v>
      </c>
      <c r="CV242" s="542">
        <v>0</v>
      </c>
      <c r="CW242" s="542">
        <v>-49832</v>
      </c>
      <c r="CX242" s="542">
        <v>0</v>
      </c>
      <c r="CY242" s="542">
        <v>0</v>
      </c>
      <c r="CZ242" s="542">
        <v>0</v>
      </c>
      <c r="DA242" s="542">
        <v>0</v>
      </c>
      <c r="DB242" s="542">
        <v>0</v>
      </c>
      <c r="DC242" s="542">
        <v>0</v>
      </c>
      <c r="DD242" s="542">
        <v>0</v>
      </c>
      <c r="DE242" s="542">
        <v>0</v>
      </c>
      <c r="DF242" s="542">
        <v>0</v>
      </c>
      <c r="DG242" s="542"/>
      <c r="DH242" s="542">
        <v>0</v>
      </c>
      <c r="DI242" s="542"/>
      <c r="DJ242" s="542">
        <v>0</v>
      </c>
      <c r="DK242" s="542"/>
      <c r="DL242" s="542"/>
      <c r="DM242" s="542">
        <v>-299596</v>
      </c>
      <c r="DN242" s="542">
        <v>0</v>
      </c>
      <c r="DO242" s="542">
        <v>-299596</v>
      </c>
      <c r="DP242" s="542">
        <v>-6881</v>
      </c>
      <c r="DQ242" s="542">
        <v>0</v>
      </c>
      <c r="DR242" s="542">
        <v>-6881</v>
      </c>
      <c r="DS242" s="542">
        <v>0</v>
      </c>
      <c r="DT242" s="542">
        <v>0</v>
      </c>
      <c r="DU242" s="542">
        <v>0</v>
      </c>
      <c r="DV242" s="542">
        <v>-4000</v>
      </c>
      <c r="DW242" s="542">
        <v>0</v>
      </c>
      <c r="DX242" s="542">
        <v>-4000</v>
      </c>
      <c r="DY242" s="542">
        <v>-246306</v>
      </c>
      <c r="DZ242" s="542">
        <v>0</v>
      </c>
      <c r="EA242" s="542">
        <v>-246306</v>
      </c>
      <c r="EB242" s="542">
        <v>0</v>
      </c>
      <c r="EC242" s="542">
        <v>0</v>
      </c>
      <c r="ED242" s="542">
        <v>0</v>
      </c>
      <c r="EE242" s="542">
        <v>0</v>
      </c>
      <c r="EF242" s="542">
        <v>0</v>
      </c>
      <c r="EG242" s="542">
        <v>0</v>
      </c>
      <c r="EH242" s="542">
        <v>-257187</v>
      </c>
      <c r="EI242" s="542">
        <v>0</v>
      </c>
      <c r="EJ242" s="542">
        <v>-257187</v>
      </c>
      <c r="EK242" s="542">
        <v>0</v>
      </c>
      <c r="EL242" s="542">
        <v>0</v>
      </c>
      <c r="EM242" s="542">
        <v>0</v>
      </c>
      <c r="EN242" s="542">
        <v>0</v>
      </c>
      <c r="EO242" s="542">
        <v>0</v>
      </c>
      <c r="EP242" s="542">
        <v>0</v>
      </c>
      <c r="EQ242" s="542">
        <v>0</v>
      </c>
      <c r="ER242" s="542">
        <v>0</v>
      </c>
      <c r="ES242" s="542">
        <v>0</v>
      </c>
      <c r="ET242" s="542">
        <v>80429212</v>
      </c>
      <c r="EU242" s="542">
        <v>0</v>
      </c>
      <c r="EV242" s="542">
        <v>80429212</v>
      </c>
      <c r="EW242" s="542">
        <v>96651</v>
      </c>
      <c r="EX242" s="542">
        <v>0</v>
      </c>
      <c r="EY242" s="542">
        <v>96651</v>
      </c>
      <c r="EZ242" s="542">
        <v>-9874580</v>
      </c>
      <c r="FA242" s="542">
        <v>0</v>
      </c>
      <c r="FB242" s="542">
        <v>-9874580</v>
      </c>
      <c r="FC242" s="542">
        <v>-2019132</v>
      </c>
      <c r="FD242" s="542">
        <v>0</v>
      </c>
      <c r="FE242" s="542">
        <v>-2019132</v>
      </c>
      <c r="FF242" s="542">
        <v>-299596</v>
      </c>
      <c r="FG242" s="542">
        <v>0</v>
      </c>
      <c r="FH242" s="542">
        <v>-299596</v>
      </c>
      <c r="FI242" s="542">
        <v>-257187</v>
      </c>
      <c r="FJ242" s="542">
        <v>0</v>
      </c>
      <c r="FK242" s="542">
        <v>-257187</v>
      </c>
      <c r="FL242" s="542">
        <v>0</v>
      </c>
      <c r="FM242" s="542">
        <v>0</v>
      </c>
      <c r="FN242" s="542">
        <v>0</v>
      </c>
      <c r="FO242" s="542">
        <v>-12353844</v>
      </c>
      <c r="FP242" s="542">
        <v>0</v>
      </c>
      <c r="FQ242" s="542">
        <v>-12353844</v>
      </c>
      <c r="FR242" s="542">
        <v>68075368</v>
      </c>
      <c r="FS242" s="542">
        <v>0</v>
      </c>
      <c r="FT242" s="542">
        <v>68075368</v>
      </c>
    </row>
    <row r="243" spans="1:176" ht="12.75" x14ac:dyDescent="0.2">
      <c r="A243" s="93">
        <v>238</v>
      </c>
      <c r="B243" s="145" t="s">
        <v>354</v>
      </c>
      <c r="C243" s="604" t="s">
        <v>866</v>
      </c>
      <c r="D243" s="142" t="s">
        <v>869</v>
      </c>
      <c r="E243" s="149" t="s">
        <v>353</v>
      </c>
      <c r="F243" s="542">
        <v>-32499</v>
      </c>
      <c r="G243" s="542">
        <v>0</v>
      </c>
      <c r="H243" s="542">
        <v>-32499</v>
      </c>
      <c r="I243" s="542">
        <v>-2279</v>
      </c>
      <c r="J243" s="542">
        <v>0</v>
      </c>
      <c r="K243" s="542">
        <v>-2279</v>
      </c>
      <c r="L243" s="542">
        <v>17145</v>
      </c>
      <c r="M243" s="542">
        <v>0</v>
      </c>
      <c r="N243" s="542">
        <v>17145</v>
      </c>
      <c r="O243" s="542">
        <v>-23080</v>
      </c>
      <c r="P243" s="542">
        <v>0</v>
      </c>
      <c r="Q243" s="542">
        <v>-23080</v>
      </c>
      <c r="R243" s="542">
        <v>-40713</v>
      </c>
      <c r="S243" s="542">
        <v>0</v>
      </c>
      <c r="T243" s="542">
        <v>-40713</v>
      </c>
      <c r="U243" s="542">
        <v>-1406435</v>
      </c>
      <c r="V243" s="542">
        <v>0</v>
      </c>
      <c r="W243" s="542">
        <v>-1406435</v>
      </c>
      <c r="X243" s="542">
        <v>-966</v>
      </c>
      <c r="Y243" s="542">
        <v>0</v>
      </c>
      <c r="Z243" s="542">
        <v>-966</v>
      </c>
      <c r="AA243" s="542">
        <v>-144345</v>
      </c>
      <c r="AB243" s="542">
        <v>0</v>
      </c>
      <c r="AC243" s="542">
        <v>-144345</v>
      </c>
      <c r="AD243" s="542">
        <v>-47844</v>
      </c>
      <c r="AE243" s="542">
        <v>0</v>
      </c>
      <c r="AF243" s="542">
        <v>-47844</v>
      </c>
      <c r="AG243" s="542">
        <v>524951</v>
      </c>
      <c r="AH243" s="542">
        <v>0</v>
      </c>
      <c r="AI243" s="542">
        <v>524951</v>
      </c>
      <c r="AJ243" s="542">
        <v>3702</v>
      </c>
      <c r="AK243" s="542">
        <v>0</v>
      </c>
      <c r="AL243" s="542">
        <v>3702</v>
      </c>
      <c r="AM243" s="542">
        <v>-1138023</v>
      </c>
      <c r="AN243" s="542">
        <v>0</v>
      </c>
      <c r="AO243" s="542">
        <v>-1138023</v>
      </c>
      <c r="AP243" s="542">
        <v>-50754</v>
      </c>
      <c r="AQ243" s="542">
        <v>0</v>
      </c>
      <c r="AR243" s="542">
        <v>-50754</v>
      </c>
      <c r="AS243" s="542">
        <v>-37535</v>
      </c>
      <c r="AT243" s="542">
        <v>0</v>
      </c>
      <c r="AU243" s="542">
        <v>-37535</v>
      </c>
      <c r="AV243" s="542">
        <v>-7060</v>
      </c>
      <c r="AW243" s="542">
        <v>0</v>
      </c>
      <c r="AX243" s="542">
        <v>-7060</v>
      </c>
      <c r="AY243" s="542">
        <v>-21438</v>
      </c>
      <c r="AZ243" s="542">
        <v>0</v>
      </c>
      <c r="BA243" s="542">
        <v>-21438</v>
      </c>
      <c r="BB243" s="542">
        <v>7145</v>
      </c>
      <c r="BC243" s="542">
        <v>0</v>
      </c>
      <c r="BD243" s="542">
        <v>7145</v>
      </c>
      <c r="BE243" s="542">
        <v>-2269792</v>
      </c>
      <c r="BF243" s="542">
        <v>0</v>
      </c>
      <c r="BG243" s="542">
        <v>-2269792</v>
      </c>
      <c r="BH243" s="542">
        <v>-715521</v>
      </c>
      <c r="BI243" s="542">
        <v>0</v>
      </c>
      <c r="BJ243" s="542">
        <v>-715521</v>
      </c>
      <c r="BK243" s="542">
        <v>-29659</v>
      </c>
      <c r="BL243" s="542">
        <v>0</v>
      </c>
      <c r="BM243" s="542">
        <v>-29659</v>
      </c>
      <c r="BN243" s="542">
        <v>-556024</v>
      </c>
      <c r="BO243" s="542">
        <v>0</v>
      </c>
      <c r="BP243" s="542">
        <v>-556024</v>
      </c>
      <c r="BQ243" s="542">
        <v>-26498</v>
      </c>
      <c r="BR243" s="542">
        <v>0</v>
      </c>
      <c r="BS243" s="542">
        <v>-26498</v>
      </c>
      <c r="BT243" s="542">
        <v>-1327702</v>
      </c>
      <c r="BU243" s="542">
        <v>0</v>
      </c>
      <c r="BV243" s="542">
        <v>-1327702</v>
      </c>
      <c r="BW243" s="542">
        <v>-37820</v>
      </c>
      <c r="BX243" s="542">
        <v>0</v>
      </c>
      <c r="BY243" s="542">
        <v>-37820</v>
      </c>
      <c r="BZ243" s="542">
        <v>0</v>
      </c>
      <c r="CA243" s="542">
        <v>0</v>
      </c>
      <c r="CB243" s="542">
        <v>0</v>
      </c>
      <c r="CC243" s="542">
        <v>-8206</v>
      </c>
      <c r="CD243" s="542">
        <v>0</v>
      </c>
      <c r="CE243" s="542">
        <v>-8206</v>
      </c>
      <c r="CF243" s="542">
        <v>0</v>
      </c>
      <c r="CG243" s="542">
        <v>0</v>
      </c>
      <c r="CH243" s="542">
        <v>0</v>
      </c>
      <c r="CI243" s="542">
        <v>0</v>
      </c>
      <c r="CJ243" s="542">
        <v>0</v>
      </c>
      <c r="CK243" s="542">
        <v>0</v>
      </c>
      <c r="CL243" s="542">
        <v>0</v>
      </c>
      <c r="CM243" s="542">
        <v>0</v>
      </c>
      <c r="CN243" s="542">
        <v>0</v>
      </c>
      <c r="CO243" s="542">
        <v>0</v>
      </c>
      <c r="CP243" s="542">
        <v>0</v>
      </c>
      <c r="CQ243" s="542">
        <v>0</v>
      </c>
      <c r="CR243" s="542">
        <v>0</v>
      </c>
      <c r="CS243" s="542">
        <v>0</v>
      </c>
      <c r="CT243" s="542">
        <v>0</v>
      </c>
      <c r="CU243" s="542">
        <v>-1516</v>
      </c>
      <c r="CV243" s="542">
        <v>0</v>
      </c>
      <c r="CW243" s="542">
        <v>-1516</v>
      </c>
      <c r="CX243" s="542">
        <v>0</v>
      </c>
      <c r="CY243" s="542">
        <v>0</v>
      </c>
      <c r="CZ243" s="542">
        <v>0</v>
      </c>
      <c r="DA243" s="542">
        <v>0</v>
      </c>
      <c r="DB243" s="542">
        <v>0</v>
      </c>
      <c r="DC243" s="542">
        <v>0</v>
      </c>
      <c r="DD243" s="542">
        <v>0</v>
      </c>
      <c r="DE243" s="542">
        <v>0</v>
      </c>
      <c r="DF243" s="542">
        <v>0</v>
      </c>
      <c r="DG243" s="542"/>
      <c r="DH243" s="542">
        <v>0</v>
      </c>
      <c r="DI243" s="542"/>
      <c r="DJ243" s="542">
        <v>0</v>
      </c>
      <c r="DK243" s="542"/>
      <c r="DL243" s="542"/>
      <c r="DM243" s="542">
        <v>-47542</v>
      </c>
      <c r="DN243" s="542">
        <v>0</v>
      </c>
      <c r="DO243" s="542">
        <v>-47542</v>
      </c>
      <c r="DP243" s="542">
        <v>0</v>
      </c>
      <c r="DQ243" s="542">
        <v>0</v>
      </c>
      <c r="DR243" s="542">
        <v>0</v>
      </c>
      <c r="DS243" s="542">
        <v>0</v>
      </c>
      <c r="DT243" s="542">
        <v>0</v>
      </c>
      <c r="DU243" s="542">
        <v>0</v>
      </c>
      <c r="DV243" s="542">
        <v>-3773</v>
      </c>
      <c r="DW243" s="542">
        <v>0</v>
      </c>
      <c r="DX243" s="542">
        <v>-3773</v>
      </c>
      <c r="DY243" s="542">
        <v>-126814</v>
      </c>
      <c r="DZ243" s="542">
        <v>0</v>
      </c>
      <c r="EA243" s="542">
        <v>-126814</v>
      </c>
      <c r="EB243" s="542">
        <v>0</v>
      </c>
      <c r="EC243" s="542">
        <v>0</v>
      </c>
      <c r="ED243" s="542">
        <v>0</v>
      </c>
      <c r="EE243" s="542">
        <v>-31853</v>
      </c>
      <c r="EF243" s="542">
        <v>0</v>
      </c>
      <c r="EG243" s="542">
        <v>-31853</v>
      </c>
      <c r="EH243" s="542">
        <v>-162440</v>
      </c>
      <c r="EI243" s="542">
        <v>0</v>
      </c>
      <c r="EJ243" s="542">
        <v>-162440</v>
      </c>
      <c r="EK243" s="542">
        <v>-4844</v>
      </c>
      <c r="EL243" s="542">
        <v>0</v>
      </c>
      <c r="EM243" s="542">
        <v>-4844</v>
      </c>
      <c r="EN243" s="542">
        <v>0</v>
      </c>
      <c r="EO243" s="542">
        <v>0</v>
      </c>
      <c r="EP243" s="542">
        <v>0</v>
      </c>
      <c r="EQ243" s="542">
        <v>-4844</v>
      </c>
      <c r="ER243" s="542">
        <v>0</v>
      </c>
      <c r="ES243" s="542">
        <v>-4844</v>
      </c>
      <c r="ET243" s="542">
        <v>26590218</v>
      </c>
      <c r="EU243" s="542">
        <v>0</v>
      </c>
      <c r="EV243" s="542">
        <v>26590218</v>
      </c>
      <c r="EW243" s="542">
        <v>-40713</v>
      </c>
      <c r="EX243" s="542">
        <v>0</v>
      </c>
      <c r="EY243" s="542">
        <v>-40713</v>
      </c>
      <c r="EZ243" s="542">
        <v>-2269792</v>
      </c>
      <c r="FA243" s="542">
        <v>0</v>
      </c>
      <c r="FB243" s="542">
        <v>-2269792</v>
      </c>
      <c r="FC243" s="542">
        <v>-1327702</v>
      </c>
      <c r="FD243" s="542">
        <v>0</v>
      </c>
      <c r="FE243" s="542">
        <v>-1327702</v>
      </c>
      <c r="FF243" s="542">
        <v>-47542</v>
      </c>
      <c r="FG243" s="542">
        <v>0</v>
      </c>
      <c r="FH243" s="542">
        <v>-47542</v>
      </c>
      <c r="FI243" s="542">
        <v>-162440</v>
      </c>
      <c r="FJ243" s="542">
        <v>0</v>
      </c>
      <c r="FK243" s="542">
        <v>-162440</v>
      </c>
      <c r="FL243" s="542">
        <v>-4844</v>
      </c>
      <c r="FM243" s="542">
        <v>0</v>
      </c>
      <c r="FN243" s="542">
        <v>-4844</v>
      </c>
      <c r="FO243" s="542">
        <v>-3853033</v>
      </c>
      <c r="FP243" s="542">
        <v>0</v>
      </c>
      <c r="FQ243" s="542">
        <v>-3853033</v>
      </c>
      <c r="FR243" s="542">
        <v>22737185</v>
      </c>
      <c r="FS243" s="542">
        <v>0</v>
      </c>
      <c r="FT243" s="542">
        <v>22737185</v>
      </c>
    </row>
    <row r="244" spans="1:176" ht="12.75" x14ac:dyDescent="0.2">
      <c r="A244" s="93">
        <v>239</v>
      </c>
      <c r="B244" s="145" t="s">
        <v>356</v>
      </c>
      <c r="C244" s="604" t="s">
        <v>770</v>
      </c>
      <c r="D244" s="142" t="s">
        <v>875</v>
      </c>
      <c r="E244" s="149" t="s">
        <v>724</v>
      </c>
      <c r="F244" s="542">
        <v>-313178</v>
      </c>
      <c r="G244" s="542">
        <v>0</v>
      </c>
      <c r="H244" s="542">
        <v>-313178</v>
      </c>
      <c r="I244" s="542">
        <v>40650</v>
      </c>
      <c r="J244" s="542">
        <v>0</v>
      </c>
      <c r="K244" s="542">
        <v>40650</v>
      </c>
      <c r="L244" s="542">
        <v>10659</v>
      </c>
      <c r="M244" s="542">
        <v>0</v>
      </c>
      <c r="N244" s="542">
        <v>10659</v>
      </c>
      <c r="O244" s="542">
        <v>164849</v>
      </c>
      <c r="P244" s="542">
        <v>0</v>
      </c>
      <c r="Q244" s="542">
        <v>164849</v>
      </c>
      <c r="R244" s="542">
        <v>-97020</v>
      </c>
      <c r="S244" s="542">
        <v>0</v>
      </c>
      <c r="T244" s="542">
        <v>-97020</v>
      </c>
      <c r="U244" s="542">
        <v>-3542008</v>
      </c>
      <c r="V244" s="542">
        <v>-8969</v>
      </c>
      <c r="W244" s="542">
        <v>-3550977</v>
      </c>
      <c r="X244" s="542">
        <v>-3865</v>
      </c>
      <c r="Y244" s="542">
        <v>0</v>
      </c>
      <c r="Z244" s="542">
        <v>-3865</v>
      </c>
      <c r="AA244" s="542">
        <v>-156206</v>
      </c>
      <c r="AB244" s="542">
        <v>0</v>
      </c>
      <c r="AC244" s="542">
        <v>-156206</v>
      </c>
      <c r="AD244" s="542">
        <v>-66190</v>
      </c>
      <c r="AE244" s="542">
        <v>0</v>
      </c>
      <c r="AF244" s="542">
        <v>-66190</v>
      </c>
      <c r="AG244" s="542">
        <v>2980621</v>
      </c>
      <c r="AH244" s="542">
        <v>81928</v>
      </c>
      <c r="AI244" s="542">
        <v>3062549</v>
      </c>
      <c r="AJ244" s="542">
        <v>199012</v>
      </c>
      <c r="AK244" s="542">
        <v>0</v>
      </c>
      <c r="AL244" s="542">
        <v>199012</v>
      </c>
      <c r="AM244" s="542">
        <v>-6731841</v>
      </c>
      <c r="AN244" s="542">
        <v>0</v>
      </c>
      <c r="AO244" s="542">
        <v>-6731841</v>
      </c>
      <c r="AP244" s="542">
        <v>-570254</v>
      </c>
      <c r="AQ244" s="542">
        <v>0</v>
      </c>
      <c r="AR244" s="542">
        <v>-570254</v>
      </c>
      <c r="AS244" s="542">
        <v>-91561</v>
      </c>
      <c r="AT244" s="542">
        <v>0</v>
      </c>
      <c r="AU244" s="542">
        <v>-91561</v>
      </c>
      <c r="AV244" s="542">
        <v>0</v>
      </c>
      <c r="AW244" s="542">
        <v>0</v>
      </c>
      <c r="AX244" s="542">
        <v>0</v>
      </c>
      <c r="AY244" s="542">
        <v>-28878</v>
      </c>
      <c r="AZ244" s="542">
        <v>0</v>
      </c>
      <c r="BA244" s="542">
        <v>-28878</v>
      </c>
      <c r="BB244" s="542">
        <v>676</v>
      </c>
      <c r="BC244" s="542">
        <v>0</v>
      </c>
      <c r="BD244" s="542">
        <v>676</v>
      </c>
      <c r="BE244" s="542">
        <v>-7940439</v>
      </c>
      <c r="BF244" s="542">
        <v>72959</v>
      </c>
      <c r="BG244" s="542">
        <v>-7867480</v>
      </c>
      <c r="BH244" s="542">
        <v>-187700</v>
      </c>
      <c r="BI244" s="542">
        <v>0</v>
      </c>
      <c r="BJ244" s="542">
        <v>-187700</v>
      </c>
      <c r="BK244" s="542">
        <v>-27610</v>
      </c>
      <c r="BL244" s="542">
        <v>0</v>
      </c>
      <c r="BM244" s="542">
        <v>-27610</v>
      </c>
      <c r="BN244" s="542">
        <v>-4219727</v>
      </c>
      <c r="BO244" s="542">
        <v>-2096</v>
      </c>
      <c r="BP244" s="542">
        <v>-4221823</v>
      </c>
      <c r="BQ244" s="542">
        <v>-511888</v>
      </c>
      <c r="BR244" s="542">
        <v>0</v>
      </c>
      <c r="BS244" s="542">
        <v>-511888</v>
      </c>
      <c r="BT244" s="542">
        <v>-4946925</v>
      </c>
      <c r="BU244" s="542">
        <v>-2096</v>
      </c>
      <c r="BV244" s="542">
        <v>-4949021</v>
      </c>
      <c r="BW244" s="542">
        <v>-144977</v>
      </c>
      <c r="BX244" s="542">
        <v>0</v>
      </c>
      <c r="BY244" s="542">
        <v>-144977</v>
      </c>
      <c r="BZ244" s="542">
        <v>-9507</v>
      </c>
      <c r="CA244" s="542">
        <v>0</v>
      </c>
      <c r="CB244" s="542">
        <v>-9507</v>
      </c>
      <c r="CC244" s="542">
        <v>-593937</v>
      </c>
      <c r="CD244" s="542">
        <v>0</v>
      </c>
      <c r="CE244" s="542">
        <v>-593937</v>
      </c>
      <c r="CF244" s="542">
        <v>50370</v>
      </c>
      <c r="CG244" s="542">
        <v>0</v>
      </c>
      <c r="CH244" s="542">
        <v>50370</v>
      </c>
      <c r="CI244" s="542">
        <v>0</v>
      </c>
      <c r="CJ244" s="542">
        <v>0</v>
      </c>
      <c r="CK244" s="542">
        <v>0</v>
      </c>
      <c r="CL244" s="542">
        <v>0</v>
      </c>
      <c r="CM244" s="542">
        <v>0</v>
      </c>
      <c r="CN244" s="542">
        <v>0</v>
      </c>
      <c r="CO244" s="542">
        <v>-51203</v>
      </c>
      <c r="CP244" s="542">
        <v>0</v>
      </c>
      <c r="CQ244" s="542">
        <v>-51203</v>
      </c>
      <c r="CR244" s="542">
        <v>676</v>
      </c>
      <c r="CS244" s="542">
        <v>0</v>
      </c>
      <c r="CT244" s="542">
        <v>676</v>
      </c>
      <c r="CU244" s="542">
        <v>0</v>
      </c>
      <c r="CV244" s="542">
        <v>0</v>
      </c>
      <c r="CW244" s="542">
        <v>0</v>
      </c>
      <c r="CX244" s="542">
        <v>0</v>
      </c>
      <c r="CY244" s="542">
        <v>0</v>
      </c>
      <c r="CZ244" s="542">
        <v>0</v>
      </c>
      <c r="DA244" s="542">
        <v>0</v>
      </c>
      <c r="DB244" s="542">
        <v>0</v>
      </c>
      <c r="DC244" s="542">
        <v>0</v>
      </c>
      <c r="DD244" s="542">
        <v>0</v>
      </c>
      <c r="DE244" s="542">
        <v>0</v>
      </c>
      <c r="DF244" s="542">
        <v>0</v>
      </c>
      <c r="DG244" s="542"/>
      <c r="DH244" s="542">
        <v>0</v>
      </c>
      <c r="DI244" s="542"/>
      <c r="DJ244" s="542">
        <v>0</v>
      </c>
      <c r="DK244" s="542"/>
      <c r="DL244" s="542"/>
      <c r="DM244" s="542">
        <v>-748578</v>
      </c>
      <c r="DN244" s="542">
        <v>0</v>
      </c>
      <c r="DO244" s="542">
        <v>-748578</v>
      </c>
      <c r="DP244" s="542">
        <v>0</v>
      </c>
      <c r="DQ244" s="542">
        <v>0</v>
      </c>
      <c r="DR244" s="542">
        <v>0</v>
      </c>
      <c r="DS244" s="542">
        <v>0</v>
      </c>
      <c r="DT244" s="542">
        <v>0</v>
      </c>
      <c r="DU244" s="542">
        <v>0</v>
      </c>
      <c r="DV244" s="542">
        <v>-17756</v>
      </c>
      <c r="DW244" s="542">
        <v>0</v>
      </c>
      <c r="DX244" s="542">
        <v>-17756</v>
      </c>
      <c r="DY244" s="542">
        <v>-552339</v>
      </c>
      <c r="DZ244" s="542">
        <v>0</v>
      </c>
      <c r="EA244" s="542">
        <v>-552339</v>
      </c>
      <c r="EB244" s="542">
        <v>0</v>
      </c>
      <c r="EC244" s="542">
        <v>0</v>
      </c>
      <c r="ED244" s="542">
        <v>0</v>
      </c>
      <c r="EE244" s="542">
        <v>-2613</v>
      </c>
      <c r="EF244" s="542">
        <v>0</v>
      </c>
      <c r="EG244" s="542">
        <v>-2613</v>
      </c>
      <c r="EH244" s="542">
        <v>-572708</v>
      </c>
      <c r="EI244" s="542">
        <v>0</v>
      </c>
      <c r="EJ244" s="542">
        <v>-572708</v>
      </c>
      <c r="EK244" s="542">
        <v>-15291</v>
      </c>
      <c r="EL244" s="542">
        <v>0</v>
      </c>
      <c r="EM244" s="542">
        <v>-15291</v>
      </c>
      <c r="EN244" s="542">
        <v>-671</v>
      </c>
      <c r="EO244" s="542">
        <v>0</v>
      </c>
      <c r="EP244" s="542">
        <v>-671</v>
      </c>
      <c r="EQ244" s="542">
        <v>-15962</v>
      </c>
      <c r="ER244" s="542">
        <v>0</v>
      </c>
      <c r="ES244" s="542">
        <v>-15962</v>
      </c>
      <c r="ET244" s="542">
        <v>142716647</v>
      </c>
      <c r="EU244" s="542">
        <v>3589246</v>
      </c>
      <c r="EV244" s="542">
        <v>146305893</v>
      </c>
      <c r="EW244" s="542">
        <v>-97020</v>
      </c>
      <c r="EX244" s="542">
        <v>0</v>
      </c>
      <c r="EY244" s="542">
        <v>-97020</v>
      </c>
      <c r="EZ244" s="542">
        <v>-7940439</v>
      </c>
      <c r="FA244" s="542">
        <v>72959</v>
      </c>
      <c r="FB244" s="542">
        <v>-7867480</v>
      </c>
      <c r="FC244" s="542">
        <v>-4946925</v>
      </c>
      <c r="FD244" s="542">
        <v>-2096</v>
      </c>
      <c r="FE244" s="542">
        <v>-4949021</v>
      </c>
      <c r="FF244" s="542">
        <v>-748578</v>
      </c>
      <c r="FG244" s="542">
        <v>0</v>
      </c>
      <c r="FH244" s="542">
        <v>-748578</v>
      </c>
      <c r="FI244" s="542">
        <v>-572708</v>
      </c>
      <c r="FJ244" s="542">
        <v>0</v>
      </c>
      <c r="FK244" s="542">
        <v>-572708</v>
      </c>
      <c r="FL244" s="542">
        <v>-15962</v>
      </c>
      <c r="FM244" s="542">
        <v>0</v>
      </c>
      <c r="FN244" s="542">
        <v>-15962</v>
      </c>
      <c r="FO244" s="542">
        <v>-14321632</v>
      </c>
      <c r="FP244" s="542">
        <v>70863</v>
      </c>
      <c r="FQ244" s="542">
        <v>-14250769</v>
      </c>
      <c r="FR244" s="542">
        <v>128395015</v>
      </c>
      <c r="FS244" s="542">
        <v>3660109</v>
      </c>
      <c r="FT244" s="542">
        <v>132055124</v>
      </c>
    </row>
    <row r="245" spans="1:176" ht="12.75" x14ac:dyDescent="0.2">
      <c r="A245" s="93">
        <v>240</v>
      </c>
      <c r="B245" s="145" t="s">
        <v>358</v>
      </c>
      <c r="C245" s="604" t="s">
        <v>866</v>
      </c>
      <c r="D245" s="142" t="s">
        <v>875</v>
      </c>
      <c r="E245" s="149" t="s">
        <v>357</v>
      </c>
      <c r="F245" s="542">
        <v>-1752005</v>
      </c>
      <c r="G245" s="542">
        <v>0</v>
      </c>
      <c r="H245" s="542">
        <v>-1752005</v>
      </c>
      <c r="I245" s="542">
        <v>95843</v>
      </c>
      <c r="J245" s="542">
        <v>0</v>
      </c>
      <c r="K245" s="542">
        <v>95843</v>
      </c>
      <c r="L245" s="542">
        <v>2133</v>
      </c>
      <c r="M245" s="542">
        <v>0</v>
      </c>
      <c r="N245" s="542">
        <v>2133</v>
      </c>
      <c r="O245" s="542">
        <v>30503</v>
      </c>
      <c r="P245" s="542">
        <v>0</v>
      </c>
      <c r="Q245" s="542">
        <v>30503</v>
      </c>
      <c r="R245" s="542">
        <v>-1623526</v>
      </c>
      <c r="S245" s="542">
        <v>0</v>
      </c>
      <c r="T245" s="542">
        <v>-1623526</v>
      </c>
      <c r="U245" s="542">
        <v>-3972069</v>
      </c>
      <c r="V245" s="542">
        <v>0</v>
      </c>
      <c r="W245" s="542">
        <v>-3972069</v>
      </c>
      <c r="X245" s="542">
        <v>0</v>
      </c>
      <c r="Y245" s="542">
        <v>0</v>
      </c>
      <c r="Z245" s="542">
        <v>0</v>
      </c>
      <c r="AA245" s="542">
        <v>-389007</v>
      </c>
      <c r="AB245" s="542">
        <v>0</v>
      </c>
      <c r="AC245" s="542">
        <v>-389007</v>
      </c>
      <c r="AD245" s="542">
        <v>-149355</v>
      </c>
      <c r="AE245" s="542">
        <v>0</v>
      </c>
      <c r="AF245" s="542">
        <v>-149355</v>
      </c>
      <c r="AG245" s="542">
        <v>673129</v>
      </c>
      <c r="AH245" s="542">
        <v>0</v>
      </c>
      <c r="AI245" s="542">
        <v>673129</v>
      </c>
      <c r="AJ245" s="542">
        <v>544</v>
      </c>
      <c r="AK245" s="542">
        <v>0</v>
      </c>
      <c r="AL245" s="542">
        <v>544</v>
      </c>
      <c r="AM245" s="542">
        <v>-2127825</v>
      </c>
      <c r="AN245" s="542">
        <v>0</v>
      </c>
      <c r="AO245" s="542">
        <v>-2127825</v>
      </c>
      <c r="AP245" s="542">
        <v>-189060</v>
      </c>
      <c r="AQ245" s="542">
        <v>0</v>
      </c>
      <c r="AR245" s="542">
        <v>-189060</v>
      </c>
      <c r="AS245" s="542">
        <v>-96716</v>
      </c>
      <c r="AT245" s="542">
        <v>0</v>
      </c>
      <c r="AU245" s="542">
        <v>-96716</v>
      </c>
      <c r="AV245" s="542">
        <v>0</v>
      </c>
      <c r="AW245" s="542">
        <v>0</v>
      </c>
      <c r="AX245" s="542">
        <v>0</v>
      </c>
      <c r="AY245" s="542">
        <v>-55135</v>
      </c>
      <c r="AZ245" s="542">
        <v>0</v>
      </c>
      <c r="BA245" s="542">
        <v>-55135</v>
      </c>
      <c r="BB245" s="542">
        <v>-2040</v>
      </c>
      <c r="BC245" s="542">
        <v>0</v>
      </c>
      <c r="BD245" s="542">
        <v>-2040</v>
      </c>
      <c r="BE245" s="542">
        <v>-6158179</v>
      </c>
      <c r="BF245" s="542">
        <v>0</v>
      </c>
      <c r="BG245" s="542">
        <v>-6158179</v>
      </c>
      <c r="BH245" s="542">
        <v>-316464</v>
      </c>
      <c r="BI245" s="542">
        <v>0</v>
      </c>
      <c r="BJ245" s="542">
        <v>-316464</v>
      </c>
      <c r="BK245" s="542">
        <v>-11225</v>
      </c>
      <c r="BL245" s="542">
        <v>0</v>
      </c>
      <c r="BM245" s="542">
        <v>-11225</v>
      </c>
      <c r="BN245" s="542">
        <v>-917656</v>
      </c>
      <c r="BO245" s="542">
        <v>0</v>
      </c>
      <c r="BP245" s="542">
        <v>-917656</v>
      </c>
      <c r="BQ245" s="542">
        <v>-83819</v>
      </c>
      <c r="BR245" s="542">
        <v>0</v>
      </c>
      <c r="BS245" s="542">
        <v>-83819</v>
      </c>
      <c r="BT245" s="542">
        <v>-1329164</v>
      </c>
      <c r="BU245" s="542">
        <v>0</v>
      </c>
      <c r="BV245" s="542">
        <v>-1329164</v>
      </c>
      <c r="BW245" s="542">
        <v>-208713</v>
      </c>
      <c r="BX245" s="542">
        <v>0</v>
      </c>
      <c r="BY245" s="542">
        <v>-208713</v>
      </c>
      <c r="BZ245" s="542">
        <v>-4532</v>
      </c>
      <c r="CA245" s="542">
        <v>0</v>
      </c>
      <c r="CB245" s="542">
        <v>-4532</v>
      </c>
      <c r="CC245" s="542">
        <v>-49333</v>
      </c>
      <c r="CD245" s="542">
        <v>0</v>
      </c>
      <c r="CE245" s="542">
        <v>-49333</v>
      </c>
      <c r="CF245" s="542">
        <v>3684</v>
      </c>
      <c r="CG245" s="542">
        <v>0</v>
      </c>
      <c r="CH245" s="542">
        <v>3684</v>
      </c>
      <c r="CI245" s="542">
        <v>-1058</v>
      </c>
      <c r="CJ245" s="542">
        <v>0</v>
      </c>
      <c r="CK245" s="542">
        <v>-1058</v>
      </c>
      <c r="CL245" s="542">
        <v>0</v>
      </c>
      <c r="CM245" s="542">
        <v>0</v>
      </c>
      <c r="CN245" s="542">
        <v>0</v>
      </c>
      <c r="CO245" s="542">
        <v>-12167</v>
      </c>
      <c r="CP245" s="542">
        <v>0</v>
      </c>
      <c r="CQ245" s="542">
        <v>-12167</v>
      </c>
      <c r="CR245" s="542">
        <v>-2065</v>
      </c>
      <c r="CS245" s="542">
        <v>0</v>
      </c>
      <c r="CT245" s="542">
        <v>-2065</v>
      </c>
      <c r="CU245" s="542">
        <v>0</v>
      </c>
      <c r="CV245" s="542">
        <v>0</v>
      </c>
      <c r="CW245" s="542">
        <v>0</v>
      </c>
      <c r="CX245" s="542">
        <v>0</v>
      </c>
      <c r="CY245" s="542">
        <v>0</v>
      </c>
      <c r="CZ245" s="542">
        <v>0</v>
      </c>
      <c r="DA245" s="542">
        <v>0</v>
      </c>
      <c r="DB245" s="542">
        <v>0</v>
      </c>
      <c r="DC245" s="542">
        <v>0</v>
      </c>
      <c r="DD245" s="542">
        <v>0</v>
      </c>
      <c r="DE245" s="542">
        <v>0</v>
      </c>
      <c r="DF245" s="542">
        <v>0</v>
      </c>
      <c r="DG245" s="542"/>
      <c r="DH245" s="542">
        <v>0</v>
      </c>
      <c r="DI245" s="542"/>
      <c r="DJ245" s="542">
        <v>0</v>
      </c>
      <c r="DK245" s="542"/>
      <c r="DL245" s="542"/>
      <c r="DM245" s="542">
        <v>-274184</v>
      </c>
      <c r="DN245" s="542">
        <v>0</v>
      </c>
      <c r="DO245" s="542">
        <v>-274184</v>
      </c>
      <c r="DP245" s="542">
        <v>0</v>
      </c>
      <c r="DQ245" s="542">
        <v>0</v>
      </c>
      <c r="DR245" s="542">
        <v>0</v>
      </c>
      <c r="DS245" s="542">
        <v>0</v>
      </c>
      <c r="DT245" s="542">
        <v>0</v>
      </c>
      <c r="DU245" s="542">
        <v>0</v>
      </c>
      <c r="DV245" s="542">
        <v>-2691</v>
      </c>
      <c r="DW245" s="542">
        <v>0</v>
      </c>
      <c r="DX245" s="542">
        <v>-2691</v>
      </c>
      <c r="DY245" s="542">
        <v>-642930</v>
      </c>
      <c r="DZ245" s="542">
        <v>0</v>
      </c>
      <c r="EA245" s="542">
        <v>-642930</v>
      </c>
      <c r="EB245" s="542">
        <v>-1862</v>
      </c>
      <c r="EC245" s="542">
        <v>0</v>
      </c>
      <c r="ED245" s="542">
        <v>-1862</v>
      </c>
      <c r="EE245" s="542">
        <v>-25559</v>
      </c>
      <c r="EF245" s="542">
        <v>0</v>
      </c>
      <c r="EG245" s="542">
        <v>-25559</v>
      </c>
      <c r="EH245" s="542">
        <v>-673042</v>
      </c>
      <c r="EI245" s="542">
        <v>0</v>
      </c>
      <c r="EJ245" s="542">
        <v>-673042</v>
      </c>
      <c r="EK245" s="542">
        <v>-5194</v>
      </c>
      <c r="EL245" s="542">
        <v>0</v>
      </c>
      <c r="EM245" s="542">
        <v>-5194</v>
      </c>
      <c r="EN245" s="542">
        <v>-17541</v>
      </c>
      <c r="EO245" s="542">
        <v>0</v>
      </c>
      <c r="EP245" s="542">
        <v>-17541</v>
      </c>
      <c r="EQ245" s="542">
        <v>-22735</v>
      </c>
      <c r="ER245" s="542">
        <v>0</v>
      </c>
      <c r="ES245" s="542">
        <v>-22735</v>
      </c>
      <c r="ET245" s="542">
        <v>38831607</v>
      </c>
      <c r="EU245" s="542">
        <v>0</v>
      </c>
      <c r="EV245" s="542">
        <v>38831607</v>
      </c>
      <c r="EW245" s="542">
        <v>-1623526</v>
      </c>
      <c r="EX245" s="542">
        <v>0</v>
      </c>
      <c r="EY245" s="542">
        <v>-1623526</v>
      </c>
      <c r="EZ245" s="542">
        <v>-6158179</v>
      </c>
      <c r="FA245" s="542">
        <v>0</v>
      </c>
      <c r="FB245" s="542">
        <v>-6158179</v>
      </c>
      <c r="FC245" s="542">
        <v>-1329164</v>
      </c>
      <c r="FD245" s="542">
        <v>0</v>
      </c>
      <c r="FE245" s="542">
        <v>-1329164</v>
      </c>
      <c r="FF245" s="542">
        <v>-274184</v>
      </c>
      <c r="FG245" s="542">
        <v>0</v>
      </c>
      <c r="FH245" s="542">
        <v>-274184</v>
      </c>
      <c r="FI245" s="542">
        <v>-673042</v>
      </c>
      <c r="FJ245" s="542">
        <v>0</v>
      </c>
      <c r="FK245" s="542">
        <v>-673042</v>
      </c>
      <c r="FL245" s="542">
        <v>-22735</v>
      </c>
      <c r="FM245" s="542">
        <v>0</v>
      </c>
      <c r="FN245" s="542">
        <v>-22735</v>
      </c>
      <c r="FO245" s="542">
        <v>-10080830</v>
      </c>
      <c r="FP245" s="542">
        <v>0</v>
      </c>
      <c r="FQ245" s="542">
        <v>-10080830</v>
      </c>
      <c r="FR245" s="542">
        <v>28750777</v>
      </c>
      <c r="FS245" s="542">
        <v>0</v>
      </c>
      <c r="FT245" s="542">
        <v>28750777</v>
      </c>
    </row>
    <row r="246" spans="1:176" ht="12.75" x14ac:dyDescent="0.2">
      <c r="A246" s="93">
        <v>241</v>
      </c>
      <c r="B246" s="145" t="s">
        <v>360</v>
      </c>
      <c r="C246" s="604" t="s">
        <v>866</v>
      </c>
      <c r="D246" s="142" t="s">
        <v>869</v>
      </c>
      <c r="E246" s="149" t="s">
        <v>359</v>
      </c>
      <c r="F246" s="542">
        <v>-419390</v>
      </c>
      <c r="G246" s="542">
        <v>0</v>
      </c>
      <c r="H246" s="542">
        <v>-419390</v>
      </c>
      <c r="I246" s="542">
        <v>88908</v>
      </c>
      <c r="J246" s="542">
        <v>0</v>
      </c>
      <c r="K246" s="542">
        <v>88908</v>
      </c>
      <c r="L246" s="542">
        <v>7870</v>
      </c>
      <c r="M246" s="542">
        <v>0</v>
      </c>
      <c r="N246" s="542">
        <v>7870</v>
      </c>
      <c r="O246" s="542">
        <v>79913</v>
      </c>
      <c r="P246" s="542">
        <v>0</v>
      </c>
      <c r="Q246" s="542">
        <v>79913</v>
      </c>
      <c r="R246" s="542">
        <v>-242699</v>
      </c>
      <c r="S246" s="542">
        <v>0</v>
      </c>
      <c r="T246" s="542">
        <v>-242699</v>
      </c>
      <c r="U246" s="542">
        <v>-1752708</v>
      </c>
      <c r="V246" s="542">
        <v>0</v>
      </c>
      <c r="W246" s="542">
        <v>-1752708</v>
      </c>
      <c r="X246" s="542">
        <v>0</v>
      </c>
      <c r="Y246" s="542">
        <v>0</v>
      </c>
      <c r="Z246" s="542">
        <v>0</v>
      </c>
      <c r="AA246" s="542">
        <v>-20387</v>
      </c>
      <c r="AB246" s="542">
        <v>0</v>
      </c>
      <c r="AC246" s="542">
        <v>-20387</v>
      </c>
      <c r="AD246" s="542">
        <v>-4309</v>
      </c>
      <c r="AE246" s="542">
        <v>0</v>
      </c>
      <c r="AF246" s="542">
        <v>-4309</v>
      </c>
      <c r="AG246" s="542">
        <v>588943</v>
      </c>
      <c r="AH246" s="542">
        <v>0</v>
      </c>
      <c r="AI246" s="542">
        <v>588943</v>
      </c>
      <c r="AJ246" s="542">
        <v>-5580</v>
      </c>
      <c r="AK246" s="542">
        <v>0</v>
      </c>
      <c r="AL246" s="542">
        <v>-5580</v>
      </c>
      <c r="AM246" s="542">
        <v>-999885</v>
      </c>
      <c r="AN246" s="542">
        <v>0</v>
      </c>
      <c r="AO246" s="542">
        <v>-999885</v>
      </c>
      <c r="AP246" s="542">
        <v>11189</v>
      </c>
      <c r="AQ246" s="542">
        <v>0</v>
      </c>
      <c r="AR246" s="542">
        <v>11189</v>
      </c>
      <c r="AS246" s="542">
        <v>-52213</v>
      </c>
      <c r="AT246" s="542">
        <v>0</v>
      </c>
      <c r="AU246" s="542">
        <v>-52213</v>
      </c>
      <c r="AV246" s="542">
        <v>0</v>
      </c>
      <c r="AW246" s="542">
        <v>0</v>
      </c>
      <c r="AX246" s="542">
        <v>0</v>
      </c>
      <c r="AY246" s="542">
        <v>-35645</v>
      </c>
      <c r="AZ246" s="542">
        <v>0</v>
      </c>
      <c r="BA246" s="542">
        <v>-35645</v>
      </c>
      <c r="BB246" s="542">
        <v>-9476</v>
      </c>
      <c r="BC246" s="542">
        <v>0</v>
      </c>
      <c r="BD246" s="542">
        <v>-9476</v>
      </c>
      <c r="BE246" s="542">
        <v>-2275762</v>
      </c>
      <c r="BF246" s="542">
        <v>0</v>
      </c>
      <c r="BG246" s="542">
        <v>-2275762</v>
      </c>
      <c r="BH246" s="542">
        <v>0</v>
      </c>
      <c r="BI246" s="542">
        <v>0</v>
      </c>
      <c r="BJ246" s="542">
        <v>0</v>
      </c>
      <c r="BK246" s="542">
        <v>0</v>
      </c>
      <c r="BL246" s="542">
        <v>0</v>
      </c>
      <c r="BM246" s="542">
        <v>0</v>
      </c>
      <c r="BN246" s="542">
        <v>-392027</v>
      </c>
      <c r="BO246" s="542">
        <v>0</v>
      </c>
      <c r="BP246" s="542">
        <v>-392027</v>
      </c>
      <c r="BQ246" s="542">
        <v>-37764</v>
      </c>
      <c r="BR246" s="542">
        <v>0</v>
      </c>
      <c r="BS246" s="542">
        <v>-37764</v>
      </c>
      <c r="BT246" s="542">
        <v>-429791</v>
      </c>
      <c r="BU246" s="542">
        <v>0</v>
      </c>
      <c r="BV246" s="542">
        <v>-429791</v>
      </c>
      <c r="BW246" s="542">
        <v>-73604</v>
      </c>
      <c r="BX246" s="542">
        <v>0</v>
      </c>
      <c r="BY246" s="542">
        <v>-73604</v>
      </c>
      <c r="BZ246" s="542">
        <v>1354</v>
      </c>
      <c r="CA246" s="542">
        <v>0</v>
      </c>
      <c r="CB246" s="542">
        <v>1354</v>
      </c>
      <c r="CC246" s="542">
        <v>-48743</v>
      </c>
      <c r="CD246" s="542">
        <v>0</v>
      </c>
      <c r="CE246" s="542">
        <v>-48743</v>
      </c>
      <c r="CF246" s="542">
        <v>-6612</v>
      </c>
      <c r="CG246" s="542">
        <v>0</v>
      </c>
      <c r="CH246" s="542">
        <v>-6612</v>
      </c>
      <c r="CI246" s="542">
        <v>-7159</v>
      </c>
      <c r="CJ246" s="542">
        <v>0</v>
      </c>
      <c r="CK246" s="542">
        <v>-7159</v>
      </c>
      <c r="CL246" s="542">
        <v>0</v>
      </c>
      <c r="CM246" s="542">
        <v>0</v>
      </c>
      <c r="CN246" s="542">
        <v>0</v>
      </c>
      <c r="CO246" s="542">
        <v>-35644</v>
      </c>
      <c r="CP246" s="542">
        <v>0</v>
      </c>
      <c r="CQ246" s="542">
        <v>-35644</v>
      </c>
      <c r="CR246" s="542">
        <v>-2299</v>
      </c>
      <c r="CS246" s="542">
        <v>0</v>
      </c>
      <c r="CT246" s="542">
        <v>-2299</v>
      </c>
      <c r="CU246" s="542">
        <v>0</v>
      </c>
      <c r="CV246" s="542">
        <v>0</v>
      </c>
      <c r="CW246" s="542">
        <v>0</v>
      </c>
      <c r="CX246" s="542">
        <v>0</v>
      </c>
      <c r="CY246" s="542">
        <v>0</v>
      </c>
      <c r="CZ246" s="542">
        <v>0</v>
      </c>
      <c r="DA246" s="542">
        <v>0</v>
      </c>
      <c r="DB246" s="542">
        <v>0</v>
      </c>
      <c r="DC246" s="542">
        <v>0</v>
      </c>
      <c r="DD246" s="542">
        <v>0</v>
      </c>
      <c r="DE246" s="542">
        <v>0</v>
      </c>
      <c r="DF246" s="542">
        <v>0</v>
      </c>
      <c r="DG246" s="542"/>
      <c r="DH246" s="542">
        <v>0</v>
      </c>
      <c r="DI246" s="542"/>
      <c r="DJ246" s="542">
        <v>0</v>
      </c>
      <c r="DK246" s="542"/>
      <c r="DL246" s="542"/>
      <c r="DM246" s="542">
        <v>-172707</v>
      </c>
      <c r="DN246" s="542">
        <v>0</v>
      </c>
      <c r="DO246" s="542">
        <v>-172707</v>
      </c>
      <c r="DP246" s="542">
        <v>0</v>
      </c>
      <c r="DQ246" s="542">
        <v>0</v>
      </c>
      <c r="DR246" s="542">
        <v>0</v>
      </c>
      <c r="DS246" s="542">
        <v>0</v>
      </c>
      <c r="DT246" s="542">
        <v>0</v>
      </c>
      <c r="DU246" s="542">
        <v>0</v>
      </c>
      <c r="DV246" s="542">
        <v>0</v>
      </c>
      <c r="DW246" s="542">
        <v>0</v>
      </c>
      <c r="DX246" s="542">
        <v>0</v>
      </c>
      <c r="DY246" s="542">
        <v>-205214</v>
      </c>
      <c r="DZ246" s="542">
        <v>0</v>
      </c>
      <c r="EA246" s="542">
        <v>-205214</v>
      </c>
      <c r="EB246" s="542">
        <v>0</v>
      </c>
      <c r="EC246" s="542">
        <v>0</v>
      </c>
      <c r="ED246" s="542">
        <v>0</v>
      </c>
      <c r="EE246" s="542">
        <v>0</v>
      </c>
      <c r="EF246" s="542">
        <v>0</v>
      </c>
      <c r="EG246" s="542">
        <v>0</v>
      </c>
      <c r="EH246" s="542">
        <v>-205214</v>
      </c>
      <c r="EI246" s="542">
        <v>0</v>
      </c>
      <c r="EJ246" s="542">
        <v>-205214</v>
      </c>
      <c r="EK246" s="542">
        <v>0</v>
      </c>
      <c r="EL246" s="542">
        <v>0</v>
      </c>
      <c r="EM246" s="542">
        <v>0</v>
      </c>
      <c r="EN246" s="542">
        <v>0</v>
      </c>
      <c r="EO246" s="542">
        <v>0</v>
      </c>
      <c r="EP246" s="542">
        <v>0</v>
      </c>
      <c r="EQ246" s="542">
        <v>0</v>
      </c>
      <c r="ER246" s="542">
        <v>0</v>
      </c>
      <c r="ES246" s="542">
        <v>0</v>
      </c>
      <c r="ET246" s="542">
        <v>29528109</v>
      </c>
      <c r="EU246" s="542">
        <v>0</v>
      </c>
      <c r="EV246" s="542">
        <v>29528109</v>
      </c>
      <c r="EW246" s="542">
        <v>-242699</v>
      </c>
      <c r="EX246" s="542">
        <v>0</v>
      </c>
      <c r="EY246" s="542">
        <v>-242699</v>
      </c>
      <c r="EZ246" s="542">
        <v>-2275762</v>
      </c>
      <c r="FA246" s="542">
        <v>0</v>
      </c>
      <c r="FB246" s="542">
        <v>-2275762</v>
      </c>
      <c r="FC246" s="542">
        <v>-429791</v>
      </c>
      <c r="FD246" s="542">
        <v>0</v>
      </c>
      <c r="FE246" s="542">
        <v>-429791</v>
      </c>
      <c r="FF246" s="542">
        <v>-172707</v>
      </c>
      <c r="FG246" s="542">
        <v>0</v>
      </c>
      <c r="FH246" s="542">
        <v>-172707</v>
      </c>
      <c r="FI246" s="542">
        <v>-205214</v>
      </c>
      <c r="FJ246" s="542">
        <v>0</v>
      </c>
      <c r="FK246" s="542">
        <v>-205214</v>
      </c>
      <c r="FL246" s="542">
        <v>0</v>
      </c>
      <c r="FM246" s="542">
        <v>0</v>
      </c>
      <c r="FN246" s="542">
        <v>0</v>
      </c>
      <c r="FO246" s="542">
        <v>-3326173</v>
      </c>
      <c r="FP246" s="542">
        <v>0</v>
      </c>
      <c r="FQ246" s="542">
        <v>-3326173</v>
      </c>
      <c r="FR246" s="542">
        <v>26201936</v>
      </c>
      <c r="FS246" s="542">
        <v>0</v>
      </c>
      <c r="FT246" s="542">
        <v>26201936</v>
      </c>
    </row>
    <row r="247" spans="1:176" ht="12.75" x14ac:dyDescent="0.2">
      <c r="A247" s="93">
        <v>242</v>
      </c>
      <c r="B247" s="145" t="s">
        <v>362</v>
      </c>
      <c r="C247" s="604" t="s">
        <v>866</v>
      </c>
      <c r="D247" s="142" t="s">
        <v>869</v>
      </c>
      <c r="E247" s="149" t="s">
        <v>361</v>
      </c>
      <c r="F247" s="542">
        <v>-40567</v>
      </c>
      <c r="G247" s="542">
        <v>0</v>
      </c>
      <c r="H247" s="542">
        <v>-40567</v>
      </c>
      <c r="I247" s="542">
        <v>30779</v>
      </c>
      <c r="J247" s="542">
        <v>0</v>
      </c>
      <c r="K247" s="542">
        <v>30779</v>
      </c>
      <c r="L247" s="542">
        <v>4899</v>
      </c>
      <c r="M247" s="542">
        <v>0</v>
      </c>
      <c r="N247" s="542">
        <v>4899</v>
      </c>
      <c r="O247" s="542">
        <v>171454</v>
      </c>
      <c r="P247" s="542">
        <v>0</v>
      </c>
      <c r="Q247" s="542">
        <v>171454</v>
      </c>
      <c r="R247" s="542">
        <v>166565</v>
      </c>
      <c r="S247" s="542">
        <v>0</v>
      </c>
      <c r="T247" s="542">
        <v>166565</v>
      </c>
      <c r="U247" s="542">
        <v>-2701624</v>
      </c>
      <c r="V247" s="542">
        <v>0</v>
      </c>
      <c r="W247" s="542">
        <v>-2701624</v>
      </c>
      <c r="X247" s="542">
        <v>0</v>
      </c>
      <c r="Y247" s="542">
        <v>0</v>
      </c>
      <c r="Z247" s="542">
        <v>0</v>
      </c>
      <c r="AA247" s="542">
        <v>-262600</v>
      </c>
      <c r="AB247" s="542">
        <v>0</v>
      </c>
      <c r="AC247" s="542">
        <v>-262600</v>
      </c>
      <c r="AD247" s="542">
        <v>-83886</v>
      </c>
      <c r="AE247" s="542">
        <v>0</v>
      </c>
      <c r="AF247" s="542">
        <v>-83886</v>
      </c>
      <c r="AG247" s="542">
        <v>905908</v>
      </c>
      <c r="AH247" s="542">
        <v>0</v>
      </c>
      <c r="AI247" s="542">
        <v>905908</v>
      </c>
      <c r="AJ247" s="542">
        <v>94323</v>
      </c>
      <c r="AK247" s="542">
        <v>0</v>
      </c>
      <c r="AL247" s="542">
        <v>94323</v>
      </c>
      <c r="AM247" s="542">
        <v>-3142597</v>
      </c>
      <c r="AN247" s="542">
        <v>0</v>
      </c>
      <c r="AO247" s="542">
        <v>-3142597</v>
      </c>
      <c r="AP247" s="542">
        <v>-31134</v>
      </c>
      <c r="AQ247" s="542">
        <v>0</v>
      </c>
      <c r="AR247" s="542">
        <v>-31134</v>
      </c>
      <c r="AS247" s="542">
        <v>-141121</v>
      </c>
      <c r="AT247" s="542">
        <v>0</v>
      </c>
      <c r="AU247" s="542">
        <v>-141121</v>
      </c>
      <c r="AV247" s="542">
        <v>0</v>
      </c>
      <c r="AW247" s="542">
        <v>0</v>
      </c>
      <c r="AX247" s="542">
        <v>0</v>
      </c>
      <c r="AY247" s="542">
        <v>-51009</v>
      </c>
      <c r="AZ247" s="542">
        <v>0</v>
      </c>
      <c r="BA247" s="542">
        <v>-51009</v>
      </c>
      <c r="BB247" s="542">
        <v>205</v>
      </c>
      <c r="BC247" s="542">
        <v>0</v>
      </c>
      <c r="BD247" s="542">
        <v>205</v>
      </c>
      <c r="BE247" s="542">
        <v>-5329649</v>
      </c>
      <c r="BF247" s="542">
        <v>0</v>
      </c>
      <c r="BG247" s="542">
        <v>-5329649</v>
      </c>
      <c r="BH247" s="542">
        <v>-134507</v>
      </c>
      <c r="BI247" s="542">
        <v>0</v>
      </c>
      <c r="BJ247" s="542">
        <v>-134507</v>
      </c>
      <c r="BK247" s="542">
        <v>0</v>
      </c>
      <c r="BL247" s="542">
        <v>0</v>
      </c>
      <c r="BM247" s="542">
        <v>0</v>
      </c>
      <c r="BN247" s="542">
        <v>-1417195</v>
      </c>
      <c r="BO247" s="542">
        <v>0</v>
      </c>
      <c r="BP247" s="542">
        <v>-1417195</v>
      </c>
      <c r="BQ247" s="542">
        <v>-47699</v>
      </c>
      <c r="BR247" s="542">
        <v>0</v>
      </c>
      <c r="BS247" s="542">
        <v>-47699</v>
      </c>
      <c r="BT247" s="542">
        <v>-1599401</v>
      </c>
      <c r="BU247" s="542">
        <v>0</v>
      </c>
      <c r="BV247" s="542">
        <v>-1599401</v>
      </c>
      <c r="BW247" s="542">
        <v>-19253</v>
      </c>
      <c r="BX247" s="542">
        <v>0</v>
      </c>
      <c r="BY247" s="542">
        <v>-19253</v>
      </c>
      <c r="BZ247" s="542">
        <v>-3546</v>
      </c>
      <c r="CA247" s="542">
        <v>0</v>
      </c>
      <c r="CB247" s="542">
        <v>-3546</v>
      </c>
      <c r="CC247" s="542">
        <v>-2831</v>
      </c>
      <c r="CD247" s="542">
        <v>0</v>
      </c>
      <c r="CE247" s="542">
        <v>-2831</v>
      </c>
      <c r="CF247" s="542">
        <v>-5500</v>
      </c>
      <c r="CG247" s="542">
        <v>0</v>
      </c>
      <c r="CH247" s="542">
        <v>-5500</v>
      </c>
      <c r="CI247" s="542">
        <v>0</v>
      </c>
      <c r="CJ247" s="542">
        <v>0</v>
      </c>
      <c r="CK247" s="542">
        <v>0</v>
      </c>
      <c r="CL247" s="542">
        <v>0</v>
      </c>
      <c r="CM247" s="542">
        <v>0</v>
      </c>
      <c r="CN247" s="542">
        <v>0</v>
      </c>
      <c r="CO247" s="542">
        <v>-24698</v>
      </c>
      <c r="CP247" s="542">
        <v>0</v>
      </c>
      <c r="CQ247" s="542">
        <v>-24698</v>
      </c>
      <c r="CR247" s="542">
        <v>16</v>
      </c>
      <c r="CS247" s="542">
        <v>0</v>
      </c>
      <c r="CT247" s="542">
        <v>16</v>
      </c>
      <c r="CU247" s="542">
        <v>-56150</v>
      </c>
      <c r="CV247" s="542">
        <v>0</v>
      </c>
      <c r="CW247" s="542">
        <v>-56150</v>
      </c>
      <c r="CX247" s="542">
        <v>-947</v>
      </c>
      <c r="CY247" s="542">
        <v>0</v>
      </c>
      <c r="CZ247" s="542">
        <v>-947</v>
      </c>
      <c r="DA247" s="542">
        <v>0</v>
      </c>
      <c r="DB247" s="542">
        <v>0</v>
      </c>
      <c r="DC247" s="542">
        <v>0</v>
      </c>
      <c r="DD247" s="542">
        <v>0</v>
      </c>
      <c r="DE247" s="542">
        <v>0</v>
      </c>
      <c r="DF247" s="542">
        <v>0</v>
      </c>
      <c r="DG247" s="542"/>
      <c r="DH247" s="542">
        <v>0</v>
      </c>
      <c r="DI247" s="542"/>
      <c r="DJ247" s="542">
        <v>0</v>
      </c>
      <c r="DK247" s="542"/>
      <c r="DL247" s="542"/>
      <c r="DM247" s="542">
        <v>-112909</v>
      </c>
      <c r="DN247" s="542">
        <v>0</v>
      </c>
      <c r="DO247" s="542">
        <v>-112909</v>
      </c>
      <c r="DP247" s="542">
        <v>-55204</v>
      </c>
      <c r="DQ247" s="542">
        <v>0</v>
      </c>
      <c r="DR247" s="542">
        <v>-55204</v>
      </c>
      <c r="DS247" s="542">
        <v>0</v>
      </c>
      <c r="DT247" s="542">
        <v>0</v>
      </c>
      <c r="DU247" s="542">
        <v>0</v>
      </c>
      <c r="DV247" s="542">
        <v>-19587</v>
      </c>
      <c r="DW247" s="542">
        <v>0</v>
      </c>
      <c r="DX247" s="542">
        <v>-19587</v>
      </c>
      <c r="DY247" s="542">
        <v>-674243</v>
      </c>
      <c r="DZ247" s="542">
        <v>0</v>
      </c>
      <c r="EA247" s="542">
        <v>-674243</v>
      </c>
      <c r="EB247" s="542">
        <v>0</v>
      </c>
      <c r="EC247" s="542">
        <v>0</v>
      </c>
      <c r="ED247" s="542">
        <v>0</v>
      </c>
      <c r="EE247" s="542">
        <v>0</v>
      </c>
      <c r="EF247" s="542">
        <v>0</v>
      </c>
      <c r="EG247" s="542">
        <v>0</v>
      </c>
      <c r="EH247" s="542">
        <v>-749034</v>
      </c>
      <c r="EI247" s="542">
        <v>0</v>
      </c>
      <c r="EJ247" s="542">
        <v>-749034</v>
      </c>
      <c r="EK247" s="542">
        <v>0</v>
      </c>
      <c r="EL247" s="542">
        <v>0</v>
      </c>
      <c r="EM247" s="542">
        <v>0</v>
      </c>
      <c r="EN247" s="542">
        <v>0</v>
      </c>
      <c r="EO247" s="542">
        <v>0</v>
      </c>
      <c r="EP247" s="542">
        <v>0</v>
      </c>
      <c r="EQ247" s="542">
        <v>0</v>
      </c>
      <c r="ER247" s="542">
        <v>0</v>
      </c>
      <c r="ES247" s="542">
        <v>0</v>
      </c>
      <c r="ET247" s="542">
        <v>46130010</v>
      </c>
      <c r="EU247" s="542">
        <v>0</v>
      </c>
      <c r="EV247" s="542">
        <v>46130010</v>
      </c>
      <c r="EW247" s="542">
        <v>166565</v>
      </c>
      <c r="EX247" s="542">
        <v>0</v>
      </c>
      <c r="EY247" s="542">
        <v>166565</v>
      </c>
      <c r="EZ247" s="542">
        <v>-5329649</v>
      </c>
      <c r="FA247" s="542">
        <v>0</v>
      </c>
      <c r="FB247" s="542">
        <v>-5329649</v>
      </c>
      <c r="FC247" s="542">
        <v>-1599401</v>
      </c>
      <c r="FD247" s="542">
        <v>0</v>
      </c>
      <c r="FE247" s="542">
        <v>-1599401</v>
      </c>
      <c r="FF247" s="542">
        <v>-112909</v>
      </c>
      <c r="FG247" s="542">
        <v>0</v>
      </c>
      <c r="FH247" s="542">
        <v>-112909</v>
      </c>
      <c r="FI247" s="542">
        <v>-749034</v>
      </c>
      <c r="FJ247" s="542">
        <v>0</v>
      </c>
      <c r="FK247" s="542">
        <v>-749034</v>
      </c>
      <c r="FL247" s="542">
        <v>0</v>
      </c>
      <c r="FM247" s="542">
        <v>0</v>
      </c>
      <c r="FN247" s="542">
        <v>0</v>
      </c>
      <c r="FO247" s="542">
        <v>-7624428</v>
      </c>
      <c r="FP247" s="542">
        <v>0</v>
      </c>
      <c r="FQ247" s="542">
        <v>-7624428</v>
      </c>
      <c r="FR247" s="542">
        <v>38505582</v>
      </c>
      <c r="FS247" s="542">
        <v>0</v>
      </c>
      <c r="FT247" s="542">
        <v>38505582</v>
      </c>
    </row>
    <row r="248" spans="1:176" ht="12.75" x14ac:dyDescent="0.2">
      <c r="A248" s="93">
        <v>243</v>
      </c>
      <c r="B248" s="145" t="s">
        <v>364</v>
      </c>
      <c r="C248" s="604" t="s">
        <v>866</v>
      </c>
      <c r="D248" s="142" t="s">
        <v>868</v>
      </c>
      <c r="E248" s="149" t="s">
        <v>363</v>
      </c>
      <c r="F248" s="542">
        <v>-60865</v>
      </c>
      <c r="G248" s="542">
        <v>0</v>
      </c>
      <c r="H248" s="542">
        <v>-60865</v>
      </c>
      <c r="I248" s="542">
        <v>53593</v>
      </c>
      <c r="J248" s="542">
        <v>0</v>
      </c>
      <c r="K248" s="542">
        <v>53593</v>
      </c>
      <c r="L248" s="542">
        <v>10923</v>
      </c>
      <c r="M248" s="542">
        <v>0</v>
      </c>
      <c r="N248" s="542">
        <v>10923</v>
      </c>
      <c r="O248" s="542">
        <v>61179</v>
      </c>
      <c r="P248" s="542">
        <v>0</v>
      </c>
      <c r="Q248" s="542">
        <v>61179</v>
      </c>
      <c r="R248" s="542">
        <v>64830</v>
      </c>
      <c r="S248" s="542">
        <v>0</v>
      </c>
      <c r="T248" s="542">
        <v>64830</v>
      </c>
      <c r="U248" s="542">
        <v>-5825623</v>
      </c>
      <c r="V248" s="542">
        <v>0</v>
      </c>
      <c r="W248" s="542">
        <v>-5825623</v>
      </c>
      <c r="X248" s="542">
        <v>-16231</v>
      </c>
      <c r="Y248" s="542">
        <v>0</v>
      </c>
      <c r="Z248" s="542">
        <v>-16231</v>
      </c>
      <c r="AA248" s="542">
        <v>-291579</v>
      </c>
      <c r="AB248" s="542">
        <v>0</v>
      </c>
      <c r="AC248" s="542">
        <v>-291579</v>
      </c>
      <c r="AD248" s="542">
        <v>-125309</v>
      </c>
      <c r="AE248" s="542">
        <v>0</v>
      </c>
      <c r="AF248" s="542">
        <v>-125309</v>
      </c>
      <c r="AG248" s="542">
        <v>840157</v>
      </c>
      <c r="AH248" s="542">
        <v>0</v>
      </c>
      <c r="AI248" s="542">
        <v>840157</v>
      </c>
      <c r="AJ248" s="542">
        <v>-12958</v>
      </c>
      <c r="AK248" s="542">
        <v>0</v>
      </c>
      <c r="AL248" s="542">
        <v>-12958</v>
      </c>
      <c r="AM248" s="542">
        <v>-2885809</v>
      </c>
      <c r="AN248" s="542">
        <v>0</v>
      </c>
      <c r="AO248" s="542">
        <v>-2885809</v>
      </c>
      <c r="AP248" s="542">
        <v>35024</v>
      </c>
      <c r="AQ248" s="542">
        <v>0</v>
      </c>
      <c r="AR248" s="542">
        <v>35024</v>
      </c>
      <c r="AS248" s="542">
        <v>-105797</v>
      </c>
      <c r="AT248" s="542">
        <v>0</v>
      </c>
      <c r="AU248" s="542">
        <v>-105797</v>
      </c>
      <c r="AV248" s="542">
        <v>-14413</v>
      </c>
      <c r="AW248" s="542">
        <v>0</v>
      </c>
      <c r="AX248" s="542">
        <v>-14413</v>
      </c>
      <c r="AY248" s="542">
        <v>-27890</v>
      </c>
      <c r="AZ248" s="542">
        <v>0</v>
      </c>
      <c r="BA248" s="542">
        <v>-27890</v>
      </c>
      <c r="BB248" s="542">
        <v>671</v>
      </c>
      <c r="BC248" s="542">
        <v>0</v>
      </c>
      <c r="BD248" s="542">
        <v>671</v>
      </c>
      <c r="BE248" s="542">
        <v>-8288217</v>
      </c>
      <c r="BF248" s="542">
        <v>0</v>
      </c>
      <c r="BG248" s="542">
        <v>-8288217</v>
      </c>
      <c r="BH248" s="542">
        <v>-1053</v>
      </c>
      <c r="BI248" s="542">
        <v>0</v>
      </c>
      <c r="BJ248" s="542">
        <v>-1053</v>
      </c>
      <c r="BK248" s="542">
        <v>3346</v>
      </c>
      <c r="BL248" s="542">
        <v>0</v>
      </c>
      <c r="BM248" s="542">
        <v>3346</v>
      </c>
      <c r="BN248" s="542">
        <v>-838614</v>
      </c>
      <c r="BO248" s="542">
        <v>0</v>
      </c>
      <c r="BP248" s="542">
        <v>-838614</v>
      </c>
      <c r="BQ248" s="542">
        <v>-1656</v>
      </c>
      <c r="BR248" s="542">
        <v>0</v>
      </c>
      <c r="BS248" s="542">
        <v>-1656</v>
      </c>
      <c r="BT248" s="542">
        <v>-837977</v>
      </c>
      <c r="BU248" s="542">
        <v>0</v>
      </c>
      <c r="BV248" s="542">
        <v>-837977</v>
      </c>
      <c r="BW248" s="542">
        <v>-61679</v>
      </c>
      <c r="BX248" s="542">
        <v>0</v>
      </c>
      <c r="BY248" s="542">
        <v>-61679</v>
      </c>
      <c r="BZ248" s="542">
        <v>1031</v>
      </c>
      <c r="CA248" s="542">
        <v>0</v>
      </c>
      <c r="CB248" s="542">
        <v>1031</v>
      </c>
      <c r="CC248" s="542">
        <v>-29973</v>
      </c>
      <c r="CD248" s="542">
        <v>0</v>
      </c>
      <c r="CE248" s="542">
        <v>-29973</v>
      </c>
      <c r="CF248" s="542">
        <v>769</v>
      </c>
      <c r="CG248" s="542">
        <v>0</v>
      </c>
      <c r="CH248" s="542">
        <v>769</v>
      </c>
      <c r="CI248" s="542">
        <v>-11006</v>
      </c>
      <c r="CJ248" s="542">
        <v>0</v>
      </c>
      <c r="CK248" s="542">
        <v>-11006</v>
      </c>
      <c r="CL248" s="542">
        <v>0</v>
      </c>
      <c r="CM248" s="542">
        <v>0</v>
      </c>
      <c r="CN248" s="542">
        <v>0</v>
      </c>
      <c r="CO248" s="542">
        <v>-4352</v>
      </c>
      <c r="CP248" s="542">
        <v>0</v>
      </c>
      <c r="CQ248" s="542">
        <v>-4352</v>
      </c>
      <c r="CR248" s="542">
        <v>402</v>
      </c>
      <c r="CS248" s="542">
        <v>0</v>
      </c>
      <c r="CT248" s="542">
        <v>402</v>
      </c>
      <c r="CU248" s="542">
        <v>-8676</v>
      </c>
      <c r="CV248" s="542">
        <v>0</v>
      </c>
      <c r="CW248" s="542">
        <v>-8676</v>
      </c>
      <c r="CX248" s="542">
        <v>0</v>
      </c>
      <c r="CY248" s="542">
        <v>0</v>
      </c>
      <c r="CZ248" s="542">
        <v>0</v>
      </c>
      <c r="DA248" s="542">
        <v>0</v>
      </c>
      <c r="DB248" s="542">
        <v>0</v>
      </c>
      <c r="DC248" s="542">
        <v>0</v>
      </c>
      <c r="DD248" s="542">
        <v>0</v>
      </c>
      <c r="DE248" s="542">
        <v>0</v>
      </c>
      <c r="DF248" s="542">
        <v>0</v>
      </c>
      <c r="DG248" s="542"/>
      <c r="DH248" s="542">
        <v>0</v>
      </c>
      <c r="DI248" s="542"/>
      <c r="DJ248" s="542">
        <v>0</v>
      </c>
      <c r="DK248" s="542"/>
      <c r="DL248" s="542"/>
      <c r="DM248" s="542">
        <v>-113484</v>
      </c>
      <c r="DN248" s="542">
        <v>0</v>
      </c>
      <c r="DO248" s="542">
        <v>-113484</v>
      </c>
      <c r="DP248" s="542">
        <v>-3871</v>
      </c>
      <c r="DQ248" s="542">
        <v>0</v>
      </c>
      <c r="DR248" s="542">
        <v>-3871</v>
      </c>
      <c r="DS248" s="542">
        <v>-120</v>
      </c>
      <c r="DT248" s="542">
        <v>0</v>
      </c>
      <c r="DU248" s="542">
        <v>-120</v>
      </c>
      <c r="DV248" s="542">
        <v>-18730</v>
      </c>
      <c r="DW248" s="542">
        <v>0</v>
      </c>
      <c r="DX248" s="542">
        <v>-18730</v>
      </c>
      <c r="DY248" s="542">
        <v>-802382</v>
      </c>
      <c r="DZ248" s="542">
        <v>0</v>
      </c>
      <c r="EA248" s="542">
        <v>-802382</v>
      </c>
      <c r="EB248" s="542">
        <v>-117</v>
      </c>
      <c r="EC248" s="542">
        <v>0</v>
      </c>
      <c r="ED248" s="542">
        <v>-117</v>
      </c>
      <c r="EE248" s="542">
        <v>-3312</v>
      </c>
      <c r="EF248" s="542">
        <v>0</v>
      </c>
      <c r="EG248" s="542">
        <v>-3312</v>
      </c>
      <c r="EH248" s="542">
        <v>-828532</v>
      </c>
      <c r="EI248" s="542">
        <v>0</v>
      </c>
      <c r="EJ248" s="542">
        <v>-828532</v>
      </c>
      <c r="EK248" s="542">
        <v>0</v>
      </c>
      <c r="EL248" s="542">
        <v>0</v>
      </c>
      <c r="EM248" s="542">
        <v>0</v>
      </c>
      <c r="EN248" s="542">
        <v>0</v>
      </c>
      <c r="EO248" s="542">
        <v>0</v>
      </c>
      <c r="EP248" s="542">
        <v>0</v>
      </c>
      <c r="EQ248" s="542">
        <v>0</v>
      </c>
      <c r="ER248" s="542">
        <v>0</v>
      </c>
      <c r="ES248" s="542">
        <v>0</v>
      </c>
      <c r="ET248" s="542">
        <v>50163806</v>
      </c>
      <c r="EU248" s="542">
        <v>0</v>
      </c>
      <c r="EV248" s="542">
        <v>50163806</v>
      </c>
      <c r="EW248" s="542">
        <v>64830</v>
      </c>
      <c r="EX248" s="542">
        <v>0</v>
      </c>
      <c r="EY248" s="542">
        <v>64830</v>
      </c>
      <c r="EZ248" s="542">
        <v>-8288217</v>
      </c>
      <c r="FA248" s="542">
        <v>0</v>
      </c>
      <c r="FB248" s="542">
        <v>-8288217</v>
      </c>
      <c r="FC248" s="542">
        <v>-837977</v>
      </c>
      <c r="FD248" s="542">
        <v>0</v>
      </c>
      <c r="FE248" s="542">
        <v>-837977</v>
      </c>
      <c r="FF248" s="542">
        <v>-113484</v>
      </c>
      <c r="FG248" s="542">
        <v>0</v>
      </c>
      <c r="FH248" s="542">
        <v>-113484</v>
      </c>
      <c r="FI248" s="542">
        <v>-828532</v>
      </c>
      <c r="FJ248" s="542">
        <v>0</v>
      </c>
      <c r="FK248" s="542">
        <v>-828532</v>
      </c>
      <c r="FL248" s="542">
        <v>0</v>
      </c>
      <c r="FM248" s="542">
        <v>0</v>
      </c>
      <c r="FN248" s="542">
        <v>0</v>
      </c>
      <c r="FO248" s="542">
        <v>-10003380</v>
      </c>
      <c r="FP248" s="542">
        <v>0</v>
      </c>
      <c r="FQ248" s="542">
        <v>-10003380</v>
      </c>
      <c r="FR248" s="542">
        <v>40160426</v>
      </c>
      <c r="FS248" s="542">
        <v>0</v>
      </c>
      <c r="FT248" s="542">
        <v>40160426</v>
      </c>
    </row>
    <row r="249" spans="1:176" ht="12.75" x14ac:dyDescent="0.2">
      <c r="A249" s="93">
        <v>244</v>
      </c>
      <c r="B249" s="145" t="s">
        <v>366</v>
      </c>
      <c r="C249" s="604" t="s">
        <v>866</v>
      </c>
      <c r="D249" s="142" t="s">
        <v>870</v>
      </c>
      <c r="E249" s="149" t="s">
        <v>365</v>
      </c>
      <c r="F249" s="542">
        <v>-61887</v>
      </c>
      <c r="G249" s="542">
        <v>0</v>
      </c>
      <c r="H249" s="542">
        <v>-61887</v>
      </c>
      <c r="I249" s="542">
        <v>144535</v>
      </c>
      <c r="J249" s="542">
        <v>0</v>
      </c>
      <c r="K249" s="542">
        <v>144535</v>
      </c>
      <c r="L249" s="542">
        <v>259</v>
      </c>
      <c r="M249" s="542">
        <v>0</v>
      </c>
      <c r="N249" s="542">
        <v>259</v>
      </c>
      <c r="O249" s="542">
        <v>16228</v>
      </c>
      <c r="P249" s="542">
        <v>0</v>
      </c>
      <c r="Q249" s="542">
        <v>16228</v>
      </c>
      <c r="R249" s="542">
        <v>99135</v>
      </c>
      <c r="S249" s="542">
        <v>0</v>
      </c>
      <c r="T249" s="542">
        <v>99135</v>
      </c>
      <c r="U249" s="542">
        <v>-2565398</v>
      </c>
      <c r="V249" s="542">
        <v>0</v>
      </c>
      <c r="W249" s="542">
        <v>-2565398</v>
      </c>
      <c r="X249" s="542">
        <v>-666</v>
      </c>
      <c r="Y249" s="542">
        <v>0</v>
      </c>
      <c r="Z249" s="542">
        <v>-666</v>
      </c>
      <c r="AA249" s="542">
        <v>-320415</v>
      </c>
      <c r="AB249" s="542">
        <v>0</v>
      </c>
      <c r="AC249" s="542">
        <v>-320415</v>
      </c>
      <c r="AD249" s="542">
        <v>0</v>
      </c>
      <c r="AE249" s="542">
        <v>0</v>
      </c>
      <c r="AF249" s="542">
        <v>0</v>
      </c>
      <c r="AG249" s="542">
        <v>687050</v>
      </c>
      <c r="AH249" s="542">
        <v>0</v>
      </c>
      <c r="AI249" s="542">
        <v>687050</v>
      </c>
      <c r="AJ249" s="542">
        <v>-27208</v>
      </c>
      <c r="AK249" s="542">
        <v>0</v>
      </c>
      <c r="AL249" s="542">
        <v>-27208</v>
      </c>
      <c r="AM249" s="542">
        <v>-3531101</v>
      </c>
      <c r="AN249" s="542">
        <v>0</v>
      </c>
      <c r="AO249" s="542">
        <v>-3531101</v>
      </c>
      <c r="AP249" s="542">
        <v>44202</v>
      </c>
      <c r="AQ249" s="542">
        <v>0</v>
      </c>
      <c r="AR249" s="542">
        <v>44202</v>
      </c>
      <c r="AS249" s="542">
        <v>-60622</v>
      </c>
      <c r="AT249" s="542">
        <v>0</v>
      </c>
      <c r="AU249" s="542">
        <v>-60622</v>
      </c>
      <c r="AV249" s="542">
        <v>0</v>
      </c>
      <c r="AW249" s="542">
        <v>0</v>
      </c>
      <c r="AX249" s="542">
        <v>0</v>
      </c>
      <c r="AY249" s="542">
        <v>-82965</v>
      </c>
      <c r="AZ249" s="542">
        <v>0</v>
      </c>
      <c r="BA249" s="542">
        <v>-82965</v>
      </c>
      <c r="BB249" s="542">
        <v>1514</v>
      </c>
      <c r="BC249" s="542">
        <v>0</v>
      </c>
      <c r="BD249" s="542">
        <v>1514</v>
      </c>
      <c r="BE249" s="542">
        <v>-5854943</v>
      </c>
      <c r="BF249" s="542">
        <v>0</v>
      </c>
      <c r="BG249" s="542">
        <v>-5854943</v>
      </c>
      <c r="BH249" s="542">
        <v>-162467</v>
      </c>
      <c r="BI249" s="542">
        <v>0</v>
      </c>
      <c r="BJ249" s="542">
        <v>-162467</v>
      </c>
      <c r="BK249" s="542">
        <v>-42406</v>
      </c>
      <c r="BL249" s="542">
        <v>0</v>
      </c>
      <c r="BM249" s="542">
        <v>-42406</v>
      </c>
      <c r="BN249" s="542">
        <v>-831972</v>
      </c>
      <c r="BO249" s="542">
        <v>0</v>
      </c>
      <c r="BP249" s="542">
        <v>-831972</v>
      </c>
      <c r="BQ249" s="542">
        <v>112378</v>
      </c>
      <c r="BR249" s="542">
        <v>0</v>
      </c>
      <c r="BS249" s="542">
        <v>112378</v>
      </c>
      <c r="BT249" s="542">
        <v>-924467</v>
      </c>
      <c r="BU249" s="542">
        <v>0</v>
      </c>
      <c r="BV249" s="542">
        <v>-924467</v>
      </c>
      <c r="BW249" s="542">
        <v>-109660</v>
      </c>
      <c r="BX249" s="542">
        <v>0</v>
      </c>
      <c r="BY249" s="542">
        <v>-109660</v>
      </c>
      <c r="BZ249" s="542">
        <v>-3337</v>
      </c>
      <c r="CA249" s="542">
        <v>0</v>
      </c>
      <c r="CB249" s="542">
        <v>-3337</v>
      </c>
      <c r="CC249" s="542">
        <v>-122251</v>
      </c>
      <c r="CD249" s="542">
        <v>0</v>
      </c>
      <c r="CE249" s="542">
        <v>-122251</v>
      </c>
      <c r="CF249" s="542">
        <v>-10624</v>
      </c>
      <c r="CG249" s="542">
        <v>0</v>
      </c>
      <c r="CH249" s="542">
        <v>-10624</v>
      </c>
      <c r="CI249" s="542">
        <v>-4932</v>
      </c>
      <c r="CJ249" s="542">
        <v>0</v>
      </c>
      <c r="CK249" s="542">
        <v>-4932</v>
      </c>
      <c r="CL249" s="542">
        <v>0</v>
      </c>
      <c r="CM249" s="542">
        <v>0</v>
      </c>
      <c r="CN249" s="542">
        <v>0</v>
      </c>
      <c r="CO249" s="542">
        <v>-40553</v>
      </c>
      <c r="CP249" s="542">
        <v>0</v>
      </c>
      <c r="CQ249" s="542">
        <v>-40553</v>
      </c>
      <c r="CR249" s="542">
        <v>2381</v>
      </c>
      <c r="CS249" s="542">
        <v>0</v>
      </c>
      <c r="CT249" s="542">
        <v>2381</v>
      </c>
      <c r="CU249" s="542">
        <v>-25255</v>
      </c>
      <c r="CV249" s="542">
        <v>0</v>
      </c>
      <c r="CW249" s="542">
        <v>-25255</v>
      </c>
      <c r="CX249" s="542">
        <v>-4364</v>
      </c>
      <c r="CY249" s="542">
        <v>0</v>
      </c>
      <c r="CZ249" s="542">
        <v>-4364</v>
      </c>
      <c r="DA249" s="542">
        <v>0</v>
      </c>
      <c r="DB249" s="542">
        <v>0</v>
      </c>
      <c r="DC249" s="542">
        <v>0</v>
      </c>
      <c r="DD249" s="542">
        <v>0</v>
      </c>
      <c r="DE249" s="542">
        <v>0</v>
      </c>
      <c r="DF249" s="542">
        <v>0</v>
      </c>
      <c r="DG249" s="542"/>
      <c r="DH249" s="542">
        <v>0</v>
      </c>
      <c r="DI249" s="542"/>
      <c r="DJ249" s="542">
        <v>0</v>
      </c>
      <c r="DK249" s="542"/>
      <c r="DL249" s="542"/>
      <c r="DM249" s="542">
        <v>-318595</v>
      </c>
      <c r="DN249" s="542">
        <v>0</v>
      </c>
      <c r="DO249" s="542">
        <v>-318595</v>
      </c>
      <c r="DP249" s="542">
        <v>-98571</v>
      </c>
      <c r="DQ249" s="542">
        <v>0</v>
      </c>
      <c r="DR249" s="542">
        <v>-98571</v>
      </c>
      <c r="DS249" s="542">
        <v>0</v>
      </c>
      <c r="DT249" s="542">
        <v>0</v>
      </c>
      <c r="DU249" s="542">
        <v>0</v>
      </c>
      <c r="DV249" s="542">
        <v>-8885</v>
      </c>
      <c r="DW249" s="542">
        <v>0</v>
      </c>
      <c r="DX249" s="542">
        <v>-8885</v>
      </c>
      <c r="DY249" s="542">
        <v>-399670</v>
      </c>
      <c r="DZ249" s="542">
        <v>0</v>
      </c>
      <c r="EA249" s="542">
        <v>-399670</v>
      </c>
      <c r="EB249" s="542">
        <v>-434</v>
      </c>
      <c r="EC249" s="542">
        <v>0</v>
      </c>
      <c r="ED249" s="542">
        <v>-434</v>
      </c>
      <c r="EE249" s="542">
        <v>-14229</v>
      </c>
      <c r="EF249" s="542">
        <v>0</v>
      </c>
      <c r="EG249" s="542">
        <v>-14229</v>
      </c>
      <c r="EH249" s="542">
        <v>-521789</v>
      </c>
      <c r="EI249" s="542">
        <v>0</v>
      </c>
      <c r="EJ249" s="542">
        <v>-521789</v>
      </c>
      <c r="EK249" s="542">
        <v>-1710</v>
      </c>
      <c r="EL249" s="542">
        <v>0</v>
      </c>
      <c r="EM249" s="542">
        <v>-1710</v>
      </c>
      <c r="EN249" s="542">
        <v>-3354</v>
      </c>
      <c r="EO249" s="542">
        <v>0</v>
      </c>
      <c r="EP249" s="542">
        <v>-3354</v>
      </c>
      <c r="EQ249" s="542">
        <v>-5064</v>
      </c>
      <c r="ER249" s="542">
        <v>0</v>
      </c>
      <c r="ES249" s="542">
        <v>-5064</v>
      </c>
      <c r="ET249" s="542">
        <v>35325206</v>
      </c>
      <c r="EU249" s="542">
        <v>0</v>
      </c>
      <c r="EV249" s="542">
        <v>35325206</v>
      </c>
      <c r="EW249" s="542">
        <v>99135</v>
      </c>
      <c r="EX249" s="542">
        <v>0</v>
      </c>
      <c r="EY249" s="542">
        <v>99135</v>
      </c>
      <c r="EZ249" s="542">
        <v>-5854943</v>
      </c>
      <c r="FA249" s="542">
        <v>0</v>
      </c>
      <c r="FB249" s="542">
        <v>-5854943</v>
      </c>
      <c r="FC249" s="542">
        <v>-924467</v>
      </c>
      <c r="FD249" s="542">
        <v>0</v>
      </c>
      <c r="FE249" s="542">
        <v>-924467</v>
      </c>
      <c r="FF249" s="542">
        <v>-318595</v>
      </c>
      <c r="FG249" s="542">
        <v>0</v>
      </c>
      <c r="FH249" s="542">
        <v>-318595</v>
      </c>
      <c r="FI249" s="542">
        <v>-521789</v>
      </c>
      <c r="FJ249" s="542">
        <v>0</v>
      </c>
      <c r="FK249" s="542">
        <v>-521789</v>
      </c>
      <c r="FL249" s="542">
        <v>-5064</v>
      </c>
      <c r="FM249" s="542">
        <v>0</v>
      </c>
      <c r="FN249" s="542">
        <v>-5064</v>
      </c>
      <c r="FO249" s="542">
        <v>-7525723</v>
      </c>
      <c r="FP249" s="542">
        <v>0</v>
      </c>
      <c r="FQ249" s="542">
        <v>-7525723</v>
      </c>
      <c r="FR249" s="542">
        <v>27799483</v>
      </c>
      <c r="FS249" s="542">
        <v>0</v>
      </c>
      <c r="FT249" s="542">
        <v>27799483</v>
      </c>
    </row>
    <row r="250" spans="1:176" ht="12.75" x14ac:dyDescent="0.2">
      <c r="A250" s="93">
        <v>245</v>
      </c>
      <c r="B250" s="145" t="s">
        <v>368</v>
      </c>
      <c r="C250" s="604" t="s">
        <v>866</v>
      </c>
      <c r="D250" s="142" t="s">
        <v>869</v>
      </c>
      <c r="E250" s="149" t="s">
        <v>367</v>
      </c>
      <c r="F250" s="542">
        <v>-24691</v>
      </c>
      <c r="G250" s="542">
        <v>0</v>
      </c>
      <c r="H250" s="542">
        <v>-24691</v>
      </c>
      <c r="I250" s="542">
        <v>176053</v>
      </c>
      <c r="J250" s="542">
        <v>0</v>
      </c>
      <c r="K250" s="542">
        <v>176053</v>
      </c>
      <c r="L250" s="542">
        <v>14685</v>
      </c>
      <c r="M250" s="542">
        <v>0</v>
      </c>
      <c r="N250" s="542">
        <v>14685</v>
      </c>
      <c r="O250" s="542">
        <v>173355</v>
      </c>
      <c r="P250" s="542">
        <v>0</v>
      </c>
      <c r="Q250" s="542">
        <v>173355</v>
      </c>
      <c r="R250" s="542">
        <v>339402</v>
      </c>
      <c r="S250" s="542">
        <v>0</v>
      </c>
      <c r="T250" s="542">
        <v>339402</v>
      </c>
      <c r="U250" s="542">
        <v>-1805563</v>
      </c>
      <c r="V250" s="542">
        <v>0</v>
      </c>
      <c r="W250" s="542">
        <v>-1805563</v>
      </c>
      <c r="X250" s="542">
        <v>0</v>
      </c>
      <c r="Y250" s="542">
        <v>0</v>
      </c>
      <c r="Z250" s="542">
        <v>0</v>
      </c>
      <c r="AA250" s="542">
        <v>-149371</v>
      </c>
      <c r="AB250" s="542">
        <v>0</v>
      </c>
      <c r="AC250" s="542">
        <v>-149371</v>
      </c>
      <c r="AD250" s="542">
        <v>-149371</v>
      </c>
      <c r="AE250" s="542">
        <v>0</v>
      </c>
      <c r="AF250" s="542">
        <v>-149371</v>
      </c>
      <c r="AG250" s="542">
        <v>454834</v>
      </c>
      <c r="AH250" s="542">
        <v>0</v>
      </c>
      <c r="AI250" s="542">
        <v>454834</v>
      </c>
      <c r="AJ250" s="542">
        <v>-13983</v>
      </c>
      <c r="AK250" s="542">
        <v>0</v>
      </c>
      <c r="AL250" s="542">
        <v>-13983</v>
      </c>
      <c r="AM250" s="542">
        <v>-1587634</v>
      </c>
      <c r="AN250" s="542">
        <v>0</v>
      </c>
      <c r="AO250" s="542">
        <v>-1587634</v>
      </c>
      <c r="AP250" s="542">
        <v>-43522</v>
      </c>
      <c r="AQ250" s="542">
        <v>0</v>
      </c>
      <c r="AR250" s="542">
        <v>-43522</v>
      </c>
      <c r="AS250" s="542">
        <v>-6189</v>
      </c>
      <c r="AT250" s="542">
        <v>0</v>
      </c>
      <c r="AU250" s="542">
        <v>-6189</v>
      </c>
      <c r="AV250" s="542">
        <v>0</v>
      </c>
      <c r="AW250" s="542">
        <v>0</v>
      </c>
      <c r="AX250" s="542">
        <v>0</v>
      </c>
      <c r="AY250" s="542">
        <v>-62541</v>
      </c>
      <c r="AZ250" s="542">
        <v>0</v>
      </c>
      <c r="BA250" s="542">
        <v>-62541</v>
      </c>
      <c r="BB250" s="542">
        <v>5964</v>
      </c>
      <c r="BC250" s="542">
        <v>0</v>
      </c>
      <c r="BD250" s="542">
        <v>5964</v>
      </c>
      <c r="BE250" s="542">
        <v>-3208005</v>
      </c>
      <c r="BF250" s="542">
        <v>0</v>
      </c>
      <c r="BG250" s="542">
        <v>-3208005</v>
      </c>
      <c r="BH250" s="542">
        <v>-3958</v>
      </c>
      <c r="BI250" s="542">
        <v>0</v>
      </c>
      <c r="BJ250" s="542">
        <v>-3958</v>
      </c>
      <c r="BK250" s="542">
        <v>-3801</v>
      </c>
      <c r="BL250" s="542">
        <v>0</v>
      </c>
      <c r="BM250" s="542">
        <v>-3801</v>
      </c>
      <c r="BN250" s="542">
        <v>-601324</v>
      </c>
      <c r="BO250" s="542">
        <v>0</v>
      </c>
      <c r="BP250" s="542">
        <v>-601324</v>
      </c>
      <c r="BQ250" s="542">
        <v>59994</v>
      </c>
      <c r="BR250" s="542">
        <v>0</v>
      </c>
      <c r="BS250" s="542">
        <v>59994</v>
      </c>
      <c r="BT250" s="542">
        <v>-549089</v>
      </c>
      <c r="BU250" s="542">
        <v>0</v>
      </c>
      <c r="BV250" s="542">
        <v>-549089</v>
      </c>
      <c r="BW250" s="542">
        <v>-123004</v>
      </c>
      <c r="BX250" s="542">
        <v>0</v>
      </c>
      <c r="BY250" s="542">
        <v>-123004</v>
      </c>
      <c r="BZ250" s="542">
        <v>-1730</v>
      </c>
      <c r="CA250" s="542">
        <v>0</v>
      </c>
      <c r="CB250" s="542">
        <v>-1730</v>
      </c>
      <c r="CC250" s="542">
        <v>-136379</v>
      </c>
      <c r="CD250" s="542">
        <v>0</v>
      </c>
      <c r="CE250" s="542">
        <v>-136379</v>
      </c>
      <c r="CF250" s="542">
        <v>0</v>
      </c>
      <c r="CG250" s="542">
        <v>0</v>
      </c>
      <c r="CH250" s="542">
        <v>0</v>
      </c>
      <c r="CI250" s="542">
        <v>-1547</v>
      </c>
      <c r="CJ250" s="542">
        <v>0</v>
      </c>
      <c r="CK250" s="542">
        <v>-1547</v>
      </c>
      <c r="CL250" s="542">
        <v>0</v>
      </c>
      <c r="CM250" s="542">
        <v>0</v>
      </c>
      <c r="CN250" s="542">
        <v>0</v>
      </c>
      <c r="CO250" s="542">
        <v>-19268</v>
      </c>
      <c r="CP250" s="542">
        <v>0</v>
      </c>
      <c r="CQ250" s="542">
        <v>-19268</v>
      </c>
      <c r="CR250" s="542">
        <v>0</v>
      </c>
      <c r="CS250" s="542">
        <v>0</v>
      </c>
      <c r="CT250" s="542">
        <v>0</v>
      </c>
      <c r="CU250" s="542">
        <v>-7960</v>
      </c>
      <c r="CV250" s="542">
        <v>0</v>
      </c>
      <c r="CW250" s="542">
        <v>-7960</v>
      </c>
      <c r="CX250" s="542">
        <v>0</v>
      </c>
      <c r="CY250" s="542">
        <v>0</v>
      </c>
      <c r="CZ250" s="542">
        <v>0</v>
      </c>
      <c r="DA250" s="542">
        <v>0</v>
      </c>
      <c r="DB250" s="542">
        <v>0</v>
      </c>
      <c r="DC250" s="542">
        <v>0</v>
      </c>
      <c r="DD250" s="542">
        <v>0</v>
      </c>
      <c r="DE250" s="542">
        <v>0</v>
      </c>
      <c r="DF250" s="542">
        <v>0</v>
      </c>
      <c r="DG250" s="542"/>
      <c r="DH250" s="542">
        <v>0</v>
      </c>
      <c r="DI250" s="542"/>
      <c r="DJ250" s="542">
        <v>0</v>
      </c>
      <c r="DK250" s="542"/>
      <c r="DL250" s="542"/>
      <c r="DM250" s="542">
        <v>-289888</v>
      </c>
      <c r="DN250" s="542">
        <v>0</v>
      </c>
      <c r="DO250" s="542">
        <v>-289888</v>
      </c>
      <c r="DP250" s="542">
        <v>0</v>
      </c>
      <c r="DQ250" s="542">
        <v>0</v>
      </c>
      <c r="DR250" s="542">
        <v>0</v>
      </c>
      <c r="DS250" s="542">
        <v>0</v>
      </c>
      <c r="DT250" s="542">
        <v>0</v>
      </c>
      <c r="DU250" s="542">
        <v>0</v>
      </c>
      <c r="DV250" s="542">
        <v>-6461</v>
      </c>
      <c r="DW250" s="542">
        <v>0</v>
      </c>
      <c r="DX250" s="542">
        <v>-6461</v>
      </c>
      <c r="DY250" s="542">
        <v>-239708</v>
      </c>
      <c r="DZ250" s="542">
        <v>0</v>
      </c>
      <c r="EA250" s="542">
        <v>-239708</v>
      </c>
      <c r="EB250" s="542">
        <v>0</v>
      </c>
      <c r="EC250" s="542">
        <v>0</v>
      </c>
      <c r="ED250" s="542">
        <v>0</v>
      </c>
      <c r="EE250" s="542">
        <v>0</v>
      </c>
      <c r="EF250" s="542">
        <v>0</v>
      </c>
      <c r="EG250" s="542">
        <v>0</v>
      </c>
      <c r="EH250" s="542">
        <v>-246169</v>
      </c>
      <c r="EI250" s="542">
        <v>0</v>
      </c>
      <c r="EJ250" s="542">
        <v>-246169</v>
      </c>
      <c r="EK250" s="542">
        <v>-1326</v>
      </c>
      <c r="EL250" s="542">
        <v>0</v>
      </c>
      <c r="EM250" s="542">
        <v>-1326</v>
      </c>
      <c r="EN250" s="542">
        <v>-6825</v>
      </c>
      <c r="EO250" s="542">
        <v>0</v>
      </c>
      <c r="EP250" s="542">
        <v>-6825</v>
      </c>
      <c r="EQ250" s="542">
        <v>-8151</v>
      </c>
      <c r="ER250" s="542">
        <v>0</v>
      </c>
      <c r="ES250" s="542">
        <v>-8151</v>
      </c>
      <c r="ET250" s="542">
        <v>24555014</v>
      </c>
      <c r="EU250" s="542">
        <v>0</v>
      </c>
      <c r="EV250" s="542">
        <v>24555014</v>
      </c>
      <c r="EW250" s="542">
        <v>339402</v>
      </c>
      <c r="EX250" s="542">
        <v>0</v>
      </c>
      <c r="EY250" s="542">
        <v>339402</v>
      </c>
      <c r="EZ250" s="542">
        <v>-3208005</v>
      </c>
      <c r="FA250" s="542">
        <v>0</v>
      </c>
      <c r="FB250" s="542">
        <v>-3208005</v>
      </c>
      <c r="FC250" s="542">
        <v>-549089</v>
      </c>
      <c r="FD250" s="542">
        <v>0</v>
      </c>
      <c r="FE250" s="542">
        <v>-549089</v>
      </c>
      <c r="FF250" s="542">
        <v>-289888</v>
      </c>
      <c r="FG250" s="542">
        <v>0</v>
      </c>
      <c r="FH250" s="542">
        <v>-289888</v>
      </c>
      <c r="FI250" s="542">
        <v>-246169</v>
      </c>
      <c r="FJ250" s="542">
        <v>0</v>
      </c>
      <c r="FK250" s="542">
        <v>-246169</v>
      </c>
      <c r="FL250" s="542">
        <v>-8151</v>
      </c>
      <c r="FM250" s="542">
        <v>0</v>
      </c>
      <c r="FN250" s="542">
        <v>-8151</v>
      </c>
      <c r="FO250" s="542">
        <v>-3961900</v>
      </c>
      <c r="FP250" s="542">
        <v>0</v>
      </c>
      <c r="FQ250" s="542">
        <v>-3961900</v>
      </c>
      <c r="FR250" s="542">
        <v>20593114</v>
      </c>
      <c r="FS250" s="542">
        <v>0</v>
      </c>
      <c r="FT250" s="542">
        <v>20593114</v>
      </c>
    </row>
    <row r="251" spans="1:176" ht="12.75" x14ac:dyDescent="0.2">
      <c r="A251" s="93">
        <v>246</v>
      </c>
      <c r="B251" s="145" t="s">
        <v>370</v>
      </c>
      <c r="C251" s="604" t="s">
        <v>866</v>
      </c>
      <c r="D251" s="142" t="s">
        <v>867</v>
      </c>
      <c r="E251" s="149" t="s">
        <v>369</v>
      </c>
      <c r="F251" s="542">
        <v>-42287</v>
      </c>
      <c r="G251" s="542">
        <v>0</v>
      </c>
      <c r="H251" s="542">
        <v>-42287</v>
      </c>
      <c r="I251" s="542">
        <v>5223</v>
      </c>
      <c r="J251" s="542">
        <v>0</v>
      </c>
      <c r="K251" s="542">
        <v>5223</v>
      </c>
      <c r="L251" s="542">
        <v>5828</v>
      </c>
      <c r="M251" s="542">
        <v>0</v>
      </c>
      <c r="N251" s="542">
        <v>5828</v>
      </c>
      <c r="O251" s="542">
        <v>114446</v>
      </c>
      <c r="P251" s="542">
        <v>0</v>
      </c>
      <c r="Q251" s="542">
        <v>114446</v>
      </c>
      <c r="R251" s="542">
        <v>83210</v>
      </c>
      <c r="S251" s="542">
        <v>0</v>
      </c>
      <c r="T251" s="542">
        <v>83210</v>
      </c>
      <c r="U251" s="542">
        <v>-2435807</v>
      </c>
      <c r="V251" s="542">
        <v>0</v>
      </c>
      <c r="W251" s="542">
        <v>-2435807</v>
      </c>
      <c r="X251" s="542">
        <v>0</v>
      </c>
      <c r="Y251" s="542">
        <v>0</v>
      </c>
      <c r="Z251" s="542">
        <v>0</v>
      </c>
      <c r="AA251" s="542">
        <v>-138910</v>
      </c>
      <c r="AB251" s="542">
        <v>0</v>
      </c>
      <c r="AC251" s="542">
        <v>-138910</v>
      </c>
      <c r="AD251" s="542">
        <v>-49444</v>
      </c>
      <c r="AE251" s="542">
        <v>0</v>
      </c>
      <c r="AF251" s="542">
        <v>-49444</v>
      </c>
      <c r="AG251" s="542">
        <v>985799</v>
      </c>
      <c r="AH251" s="542">
        <v>0</v>
      </c>
      <c r="AI251" s="542">
        <v>985799</v>
      </c>
      <c r="AJ251" s="542">
        <v>-11933</v>
      </c>
      <c r="AK251" s="542">
        <v>0</v>
      </c>
      <c r="AL251" s="542">
        <v>-11933</v>
      </c>
      <c r="AM251" s="542">
        <v>-3965928</v>
      </c>
      <c r="AN251" s="542">
        <v>0</v>
      </c>
      <c r="AO251" s="542">
        <v>-3965928</v>
      </c>
      <c r="AP251" s="542">
        <v>20599</v>
      </c>
      <c r="AQ251" s="542">
        <v>0</v>
      </c>
      <c r="AR251" s="542">
        <v>20599</v>
      </c>
      <c r="AS251" s="542">
        <v>-79673</v>
      </c>
      <c r="AT251" s="542">
        <v>0</v>
      </c>
      <c r="AU251" s="542">
        <v>-79673</v>
      </c>
      <c r="AV251" s="542">
        <v>0</v>
      </c>
      <c r="AW251" s="542">
        <v>0</v>
      </c>
      <c r="AX251" s="542">
        <v>0</v>
      </c>
      <c r="AY251" s="542">
        <v>-44136</v>
      </c>
      <c r="AZ251" s="542">
        <v>0</v>
      </c>
      <c r="BA251" s="542">
        <v>-44136</v>
      </c>
      <c r="BB251" s="542">
        <v>0</v>
      </c>
      <c r="BC251" s="542">
        <v>0</v>
      </c>
      <c r="BD251" s="542">
        <v>0</v>
      </c>
      <c r="BE251" s="542">
        <v>-5669989</v>
      </c>
      <c r="BF251" s="542">
        <v>0</v>
      </c>
      <c r="BG251" s="542">
        <v>-5669989</v>
      </c>
      <c r="BH251" s="542">
        <v>-93799</v>
      </c>
      <c r="BI251" s="542">
        <v>0</v>
      </c>
      <c r="BJ251" s="542">
        <v>-93799</v>
      </c>
      <c r="BK251" s="542">
        <v>17091</v>
      </c>
      <c r="BL251" s="542">
        <v>0</v>
      </c>
      <c r="BM251" s="542">
        <v>17091</v>
      </c>
      <c r="BN251" s="542">
        <v>-1245781</v>
      </c>
      <c r="BO251" s="542">
        <v>0</v>
      </c>
      <c r="BP251" s="542">
        <v>-1245781</v>
      </c>
      <c r="BQ251" s="542">
        <v>42740</v>
      </c>
      <c r="BR251" s="542">
        <v>0</v>
      </c>
      <c r="BS251" s="542">
        <v>42740</v>
      </c>
      <c r="BT251" s="542">
        <v>-1279749</v>
      </c>
      <c r="BU251" s="542">
        <v>0</v>
      </c>
      <c r="BV251" s="542">
        <v>-1279749</v>
      </c>
      <c r="BW251" s="542">
        <v>-200649</v>
      </c>
      <c r="BX251" s="542">
        <v>0</v>
      </c>
      <c r="BY251" s="542">
        <v>-200649</v>
      </c>
      <c r="BZ251" s="542">
        <v>-591</v>
      </c>
      <c r="CA251" s="542">
        <v>0</v>
      </c>
      <c r="CB251" s="542">
        <v>-591</v>
      </c>
      <c r="CC251" s="542">
        <v>-16718</v>
      </c>
      <c r="CD251" s="542">
        <v>0</v>
      </c>
      <c r="CE251" s="542">
        <v>-16718</v>
      </c>
      <c r="CF251" s="542">
        <v>0</v>
      </c>
      <c r="CG251" s="542">
        <v>0</v>
      </c>
      <c r="CH251" s="542">
        <v>0</v>
      </c>
      <c r="CI251" s="542">
        <v>-9959</v>
      </c>
      <c r="CJ251" s="542">
        <v>0</v>
      </c>
      <c r="CK251" s="542">
        <v>-9959</v>
      </c>
      <c r="CL251" s="542">
        <v>0</v>
      </c>
      <c r="CM251" s="542">
        <v>0</v>
      </c>
      <c r="CN251" s="542">
        <v>0</v>
      </c>
      <c r="CO251" s="542">
        <v>-21316</v>
      </c>
      <c r="CP251" s="542">
        <v>0</v>
      </c>
      <c r="CQ251" s="542">
        <v>-21316</v>
      </c>
      <c r="CR251" s="542">
        <v>0</v>
      </c>
      <c r="CS251" s="542">
        <v>0</v>
      </c>
      <c r="CT251" s="542">
        <v>0</v>
      </c>
      <c r="CU251" s="542">
        <v>0</v>
      </c>
      <c r="CV251" s="542">
        <v>0</v>
      </c>
      <c r="CW251" s="542">
        <v>0</v>
      </c>
      <c r="CX251" s="542">
        <v>0</v>
      </c>
      <c r="CY251" s="542">
        <v>0</v>
      </c>
      <c r="CZ251" s="542">
        <v>0</v>
      </c>
      <c r="DA251" s="542">
        <v>0</v>
      </c>
      <c r="DB251" s="542">
        <v>0</v>
      </c>
      <c r="DC251" s="542">
        <v>0</v>
      </c>
      <c r="DD251" s="542">
        <v>0</v>
      </c>
      <c r="DE251" s="542">
        <v>0</v>
      </c>
      <c r="DF251" s="542">
        <v>0</v>
      </c>
      <c r="DG251" s="542"/>
      <c r="DH251" s="542">
        <v>0</v>
      </c>
      <c r="DI251" s="542"/>
      <c r="DJ251" s="542">
        <v>0</v>
      </c>
      <c r="DK251" s="542"/>
      <c r="DL251" s="542"/>
      <c r="DM251" s="542">
        <v>-249233</v>
      </c>
      <c r="DN251" s="542">
        <v>0</v>
      </c>
      <c r="DO251" s="542">
        <v>-249233</v>
      </c>
      <c r="DP251" s="542">
        <v>0</v>
      </c>
      <c r="DQ251" s="542">
        <v>0</v>
      </c>
      <c r="DR251" s="542">
        <v>0</v>
      </c>
      <c r="DS251" s="542">
        <v>0</v>
      </c>
      <c r="DT251" s="542">
        <v>0</v>
      </c>
      <c r="DU251" s="542">
        <v>0</v>
      </c>
      <c r="DV251" s="542">
        <v>-12821</v>
      </c>
      <c r="DW251" s="542">
        <v>0</v>
      </c>
      <c r="DX251" s="542">
        <v>-12821</v>
      </c>
      <c r="DY251" s="542">
        <v>-501813</v>
      </c>
      <c r="DZ251" s="542">
        <v>0</v>
      </c>
      <c r="EA251" s="542">
        <v>-501813</v>
      </c>
      <c r="EB251" s="542">
        <v>0</v>
      </c>
      <c r="EC251" s="542">
        <v>0</v>
      </c>
      <c r="ED251" s="542">
        <v>0</v>
      </c>
      <c r="EE251" s="542">
        <v>-2405</v>
      </c>
      <c r="EF251" s="542">
        <v>0</v>
      </c>
      <c r="EG251" s="542">
        <v>-2405</v>
      </c>
      <c r="EH251" s="542">
        <v>-517039</v>
      </c>
      <c r="EI251" s="542">
        <v>0</v>
      </c>
      <c r="EJ251" s="542">
        <v>-517039</v>
      </c>
      <c r="EK251" s="542">
        <v>0</v>
      </c>
      <c r="EL251" s="542">
        <v>0</v>
      </c>
      <c r="EM251" s="542">
        <v>0</v>
      </c>
      <c r="EN251" s="542">
        <v>0</v>
      </c>
      <c r="EO251" s="542">
        <v>0</v>
      </c>
      <c r="EP251" s="542">
        <v>0</v>
      </c>
      <c r="EQ251" s="542">
        <v>0</v>
      </c>
      <c r="ER251" s="542">
        <v>0</v>
      </c>
      <c r="ES251" s="542">
        <v>0</v>
      </c>
      <c r="ET251" s="542">
        <v>50032725</v>
      </c>
      <c r="EU251" s="542">
        <v>0</v>
      </c>
      <c r="EV251" s="542">
        <v>50032725</v>
      </c>
      <c r="EW251" s="542">
        <v>83210</v>
      </c>
      <c r="EX251" s="542">
        <v>0</v>
      </c>
      <c r="EY251" s="542">
        <v>83210</v>
      </c>
      <c r="EZ251" s="542">
        <v>-5669989</v>
      </c>
      <c r="FA251" s="542">
        <v>0</v>
      </c>
      <c r="FB251" s="542">
        <v>-5669989</v>
      </c>
      <c r="FC251" s="542">
        <v>-1279749</v>
      </c>
      <c r="FD251" s="542">
        <v>0</v>
      </c>
      <c r="FE251" s="542">
        <v>-1279749</v>
      </c>
      <c r="FF251" s="542">
        <v>-249233</v>
      </c>
      <c r="FG251" s="542">
        <v>0</v>
      </c>
      <c r="FH251" s="542">
        <v>-249233</v>
      </c>
      <c r="FI251" s="542">
        <v>-517039</v>
      </c>
      <c r="FJ251" s="542">
        <v>0</v>
      </c>
      <c r="FK251" s="542">
        <v>-517039</v>
      </c>
      <c r="FL251" s="542">
        <v>0</v>
      </c>
      <c r="FM251" s="542">
        <v>0</v>
      </c>
      <c r="FN251" s="542">
        <v>0</v>
      </c>
      <c r="FO251" s="542">
        <v>-7632800</v>
      </c>
      <c r="FP251" s="542">
        <v>0</v>
      </c>
      <c r="FQ251" s="542">
        <v>-7632800</v>
      </c>
      <c r="FR251" s="542">
        <v>42399925</v>
      </c>
      <c r="FS251" s="542">
        <v>0</v>
      </c>
      <c r="FT251" s="542">
        <v>42399925</v>
      </c>
    </row>
    <row r="252" spans="1:176" ht="12.75" x14ac:dyDescent="0.2">
      <c r="A252" s="93">
        <v>247</v>
      </c>
      <c r="B252" s="145" t="s">
        <v>372</v>
      </c>
      <c r="C252" s="604" t="s">
        <v>866</v>
      </c>
      <c r="D252" s="142" t="s">
        <v>868</v>
      </c>
      <c r="E252" s="149" t="s">
        <v>371</v>
      </c>
      <c r="F252" s="542">
        <v>-22019</v>
      </c>
      <c r="G252" s="542">
        <v>0</v>
      </c>
      <c r="H252" s="542">
        <v>-22019</v>
      </c>
      <c r="I252" s="542">
        <v>127744</v>
      </c>
      <c r="J252" s="542">
        <v>0</v>
      </c>
      <c r="K252" s="542">
        <v>127744</v>
      </c>
      <c r="L252" s="542">
        <v>5888</v>
      </c>
      <c r="M252" s="542">
        <v>0</v>
      </c>
      <c r="N252" s="542">
        <v>5888</v>
      </c>
      <c r="O252" s="542">
        <v>71134</v>
      </c>
      <c r="P252" s="542">
        <v>0</v>
      </c>
      <c r="Q252" s="542">
        <v>71134</v>
      </c>
      <c r="R252" s="542">
        <v>182747</v>
      </c>
      <c r="S252" s="542">
        <v>0</v>
      </c>
      <c r="T252" s="542">
        <v>182747</v>
      </c>
      <c r="U252" s="542">
        <v>-2121017</v>
      </c>
      <c r="V252" s="542">
        <v>0</v>
      </c>
      <c r="W252" s="542">
        <v>-2121017</v>
      </c>
      <c r="X252" s="542">
        <v>0</v>
      </c>
      <c r="Y252" s="542">
        <v>0</v>
      </c>
      <c r="Z252" s="542">
        <v>0</v>
      </c>
      <c r="AA252" s="542">
        <v>-155421</v>
      </c>
      <c r="AB252" s="542">
        <v>0</v>
      </c>
      <c r="AC252" s="542">
        <v>-155421</v>
      </c>
      <c r="AD252" s="542">
        <v>-64220</v>
      </c>
      <c r="AE252" s="542">
        <v>0</v>
      </c>
      <c r="AF252" s="542">
        <v>-64220</v>
      </c>
      <c r="AG252" s="542">
        <v>862532</v>
      </c>
      <c r="AH252" s="542">
        <v>0</v>
      </c>
      <c r="AI252" s="542">
        <v>862532</v>
      </c>
      <c r="AJ252" s="542">
        <v>-8665</v>
      </c>
      <c r="AK252" s="542">
        <v>0</v>
      </c>
      <c r="AL252" s="542">
        <v>-8665</v>
      </c>
      <c r="AM252" s="542">
        <v>-1627968</v>
      </c>
      <c r="AN252" s="542">
        <v>0</v>
      </c>
      <c r="AO252" s="542">
        <v>-1627968</v>
      </c>
      <c r="AP252" s="542">
        <v>-6281</v>
      </c>
      <c r="AQ252" s="542">
        <v>0</v>
      </c>
      <c r="AR252" s="542">
        <v>-6281</v>
      </c>
      <c r="AS252" s="542">
        <v>-46446</v>
      </c>
      <c r="AT252" s="542">
        <v>0</v>
      </c>
      <c r="AU252" s="542">
        <v>-46446</v>
      </c>
      <c r="AV252" s="542">
        <v>0</v>
      </c>
      <c r="AW252" s="542">
        <v>0</v>
      </c>
      <c r="AX252" s="542">
        <v>0</v>
      </c>
      <c r="AY252" s="542">
        <v>-4965</v>
      </c>
      <c r="AZ252" s="542">
        <v>0</v>
      </c>
      <c r="BA252" s="542">
        <v>-4965</v>
      </c>
      <c r="BB252" s="542">
        <v>0</v>
      </c>
      <c r="BC252" s="542">
        <v>0</v>
      </c>
      <c r="BD252" s="542">
        <v>0</v>
      </c>
      <c r="BE252" s="542">
        <v>-3108231</v>
      </c>
      <c r="BF252" s="542">
        <v>0</v>
      </c>
      <c r="BG252" s="542">
        <v>-3108231</v>
      </c>
      <c r="BH252" s="542">
        <v>-12683</v>
      </c>
      <c r="BI252" s="542">
        <v>0</v>
      </c>
      <c r="BJ252" s="542">
        <v>-12683</v>
      </c>
      <c r="BK252" s="542">
        <v>-593</v>
      </c>
      <c r="BL252" s="542">
        <v>0</v>
      </c>
      <c r="BM252" s="542">
        <v>-593</v>
      </c>
      <c r="BN252" s="542">
        <v>-967109</v>
      </c>
      <c r="BO252" s="542">
        <v>0</v>
      </c>
      <c r="BP252" s="542">
        <v>-967109</v>
      </c>
      <c r="BQ252" s="542">
        <v>-244853</v>
      </c>
      <c r="BR252" s="542">
        <v>0</v>
      </c>
      <c r="BS252" s="542">
        <v>-244853</v>
      </c>
      <c r="BT252" s="542">
        <v>-1225238</v>
      </c>
      <c r="BU252" s="542">
        <v>0</v>
      </c>
      <c r="BV252" s="542">
        <v>-1225238</v>
      </c>
      <c r="BW252" s="542">
        <v>-109565</v>
      </c>
      <c r="BX252" s="542">
        <v>0</v>
      </c>
      <c r="BY252" s="542">
        <v>-109565</v>
      </c>
      <c r="BZ252" s="542">
        <v>406</v>
      </c>
      <c r="CA252" s="542">
        <v>0</v>
      </c>
      <c r="CB252" s="542">
        <v>406</v>
      </c>
      <c r="CC252" s="542">
        <v>-24041</v>
      </c>
      <c r="CD252" s="542">
        <v>0</v>
      </c>
      <c r="CE252" s="542">
        <v>-24041</v>
      </c>
      <c r="CF252" s="542">
        <v>6217</v>
      </c>
      <c r="CG252" s="542">
        <v>0</v>
      </c>
      <c r="CH252" s="542">
        <v>6217</v>
      </c>
      <c r="CI252" s="542">
        <v>-439</v>
      </c>
      <c r="CJ252" s="542">
        <v>0</v>
      </c>
      <c r="CK252" s="542">
        <v>-439</v>
      </c>
      <c r="CL252" s="542">
        <v>0</v>
      </c>
      <c r="CM252" s="542">
        <v>0</v>
      </c>
      <c r="CN252" s="542">
        <v>0</v>
      </c>
      <c r="CO252" s="542">
        <v>-4965</v>
      </c>
      <c r="CP252" s="542">
        <v>0</v>
      </c>
      <c r="CQ252" s="542">
        <v>-4965</v>
      </c>
      <c r="CR252" s="542">
        <v>0</v>
      </c>
      <c r="CS252" s="542">
        <v>0</v>
      </c>
      <c r="CT252" s="542">
        <v>0</v>
      </c>
      <c r="CU252" s="542">
        <v>0</v>
      </c>
      <c r="CV252" s="542">
        <v>0</v>
      </c>
      <c r="CW252" s="542">
        <v>0</v>
      </c>
      <c r="CX252" s="542">
        <v>0</v>
      </c>
      <c r="CY252" s="542">
        <v>0</v>
      </c>
      <c r="CZ252" s="542">
        <v>0</v>
      </c>
      <c r="DA252" s="542">
        <v>0</v>
      </c>
      <c r="DB252" s="542">
        <v>0</v>
      </c>
      <c r="DC252" s="542">
        <v>0</v>
      </c>
      <c r="DD252" s="542">
        <v>0</v>
      </c>
      <c r="DE252" s="542">
        <v>0</v>
      </c>
      <c r="DF252" s="542">
        <v>0</v>
      </c>
      <c r="DG252" s="542"/>
      <c r="DH252" s="542">
        <v>0</v>
      </c>
      <c r="DI252" s="542"/>
      <c r="DJ252" s="542">
        <v>0</v>
      </c>
      <c r="DK252" s="542"/>
      <c r="DL252" s="542"/>
      <c r="DM252" s="542">
        <v>-132387</v>
      </c>
      <c r="DN252" s="542">
        <v>0</v>
      </c>
      <c r="DO252" s="542">
        <v>-132387</v>
      </c>
      <c r="DP252" s="542">
        <v>-165347</v>
      </c>
      <c r="DQ252" s="542">
        <v>0</v>
      </c>
      <c r="DR252" s="542">
        <v>-165347</v>
      </c>
      <c r="DS252" s="542">
        <v>0</v>
      </c>
      <c r="DT252" s="542">
        <v>0</v>
      </c>
      <c r="DU252" s="542">
        <v>0</v>
      </c>
      <c r="DV252" s="542">
        <v>-4434</v>
      </c>
      <c r="DW252" s="542">
        <v>0</v>
      </c>
      <c r="DX252" s="542">
        <v>-4434</v>
      </c>
      <c r="DY252" s="542">
        <v>-276722</v>
      </c>
      <c r="DZ252" s="542">
        <v>0</v>
      </c>
      <c r="EA252" s="542">
        <v>-276722</v>
      </c>
      <c r="EB252" s="542">
        <v>0</v>
      </c>
      <c r="EC252" s="542">
        <v>0</v>
      </c>
      <c r="ED252" s="542">
        <v>0</v>
      </c>
      <c r="EE252" s="542">
        <v>0</v>
      </c>
      <c r="EF252" s="542">
        <v>0</v>
      </c>
      <c r="EG252" s="542">
        <v>0</v>
      </c>
      <c r="EH252" s="542">
        <v>-446503</v>
      </c>
      <c r="EI252" s="542">
        <v>0</v>
      </c>
      <c r="EJ252" s="542">
        <v>-446503</v>
      </c>
      <c r="EK252" s="542">
        <v>-26654</v>
      </c>
      <c r="EL252" s="542">
        <v>0</v>
      </c>
      <c r="EM252" s="542">
        <v>-26654</v>
      </c>
      <c r="EN252" s="542">
        <v>0</v>
      </c>
      <c r="EO252" s="542">
        <v>0</v>
      </c>
      <c r="EP252" s="542">
        <v>0</v>
      </c>
      <c r="EQ252" s="542">
        <v>-26654</v>
      </c>
      <c r="ER252" s="542">
        <v>0</v>
      </c>
      <c r="ES252" s="542">
        <v>-26654</v>
      </c>
      <c r="ET252" s="542">
        <v>42390477</v>
      </c>
      <c r="EU252" s="542">
        <v>0</v>
      </c>
      <c r="EV252" s="542">
        <v>42390477</v>
      </c>
      <c r="EW252" s="542">
        <v>182747</v>
      </c>
      <c r="EX252" s="542">
        <v>0</v>
      </c>
      <c r="EY252" s="542">
        <v>182747</v>
      </c>
      <c r="EZ252" s="542">
        <v>-3108231</v>
      </c>
      <c r="FA252" s="542">
        <v>0</v>
      </c>
      <c r="FB252" s="542">
        <v>-3108231</v>
      </c>
      <c r="FC252" s="542">
        <v>-1225238</v>
      </c>
      <c r="FD252" s="542">
        <v>0</v>
      </c>
      <c r="FE252" s="542">
        <v>-1225238</v>
      </c>
      <c r="FF252" s="542">
        <v>-132387</v>
      </c>
      <c r="FG252" s="542">
        <v>0</v>
      </c>
      <c r="FH252" s="542">
        <v>-132387</v>
      </c>
      <c r="FI252" s="542">
        <v>-446503</v>
      </c>
      <c r="FJ252" s="542">
        <v>0</v>
      </c>
      <c r="FK252" s="542">
        <v>-446503</v>
      </c>
      <c r="FL252" s="542">
        <v>-26654</v>
      </c>
      <c r="FM252" s="542">
        <v>0</v>
      </c>
      <c r="FN252" s="542">
        <v>-26654</v>
      </c>
      <c r="FO252" s="542">
        <v>-4756266</v>
      </c>
      <c r="FP252" s="542">
        <v>0</v>
      </c>
      <c r="FQ252" s="542">
        <v>-4756266</v>
      </c>
      <c r="FR252" s="542">
        <v>37634211</v>
      </c>
      <c r="FS252" s="542">
        <v>0</v>
      </c>
      <c r="FT252" s="542">
        <v>37634211</v>
      </c>
    </row>
    <row r="253" spans="1:176" ht="12.75" x14ac:dyDescent="0.2">
      <c r="A253" s="93">
        <v>248</v>
      </c>
      <c r="B253" s="145" t="s">
        <v>374</v>
      </c>
      <c r="C253" s="604" t="s">
        <v>866</v>
      </c>
      <c r="D253" s="142" t="s">
        <v>875</v>
      </c>
      <c r="E253" s="149" t="s">
        <v>373</v>
      </c>
      <c r="F253" s="542">
        <v>-134454</v>
      </c>
      <c r="G253" s="542">
        <v>0</v>
      </c>
      <c r="H253" s="542">
        <v>-134454</v>
      </c>
      <c r="I253" s="542">
        <v>89331</v>
      </c>
      <c r="J253" s="542">
        <v>0</v>
      </c>
      <c r="K253" s="542">
        <v>89331</v>
      </c>
      <c r="L253" s="542">
        <v>3895</v>
      </c>
      <c r="M253" s="542">
        <v>0</v>
      </c>
      <c r="N253" s="542">
        <v>3895</v>
      </c>
      <c r="O253" s="542">
        <v>46085</v>
      </c>
      <c r="P253" s="542">
        <v>0</v>
      </c>
      <c r="Q253" s="542">
        <v>46085</v>
      </c>
      <c r="R253" s="542">
        <v>4857</v>
      </c>
      <c r="S253" s="542">
        <v>0</v>
      </c>
      <c r="T253" s="542">
        <v>4857</v>
      </c>
      <c r="U253" s="542">
        <v>-3668992</v>
      </c>
      <c r="V253" s="542">
        <v>0</v>
      </c>
      <c r="W253" s="542">
        <v>-3668992</v>
      </c>
      <c r="X253" s="542">
        <v>0</v>
      </c>
      <c r="Y253" s="542">
        <v>0</v>
      </c>
      <c r="Z253" s="542">
        <v>0</v>
      </c>
      <c r="AA253" s="542">
        <v>-237354</v>
      </c>
      <c r="AB253" s="542">
        <v>0</v>
      </c>
      <c r="AC253" s="542">
        <v>-237354</v>
      </c>
      <c r="AD253" s="542">
        <v>-107992</v>
      </c>
      <c r="AE253" s="542">
        <v>0</v>
      </c>
      <c r="AF253" s="542">
        <v>-107992</v>
      </c>
      <c r="AG253" s="542">
        <v>979557</v>
      </c>
      <c r="AH253" s="542">
        <v>0</v>
      </c>
      <c r="AI253" s="542">
        <v>979557</v>
      </c>
      <c r="AJ253" s="542">
        <v>-5183</v>
      </c>
      <c r="AK253" s="542">
        <v>0</v>
      </c>
      <c r="AL253" s="542">
        <v>-5183</v>
      </c>
      <c r="AM253" s="542">
        <v>-3275498</v>
      </c>
      <c r="AN253" s="542">
        <v>0</v>
      </c>
      <c r="AO253" s="542">
        <v>-3275498</v>
      </c>
      <c r="AP253" s="542">
        <v>57639</v>
      </c>
      <c r="AQ253" s="542">
        <v>0</v>
      </c>
      <c r="AR253" s="542">
        <v>57639</v>
      </c>
      <c r="AS253" s="542">
        <v>-24630</v>
      </c>
      <c r="AT253" s="542">
        <v>0</v>
      </c>
      <c r="AU253" s="542">
        <v>-24630</v>
      </c>
      <c r="AV253" s="542">
        <v>0</v>
      </c>
      <c r="AW253" s="542">
        <v>0</v>
      </c>
      <c r="AX253" s="542">
        <v>0</v>
      </c>
      <c r="AY253" s="542">
        <v>-95969</v>
      </c>
      <c r="AZ253" s="542">
        <v>0</v>
      </c>
      <c r="BA253" s="542">
        <v>-95969</v>
      </c>
      <c r="BB253" s="542">
        <v>1565</v>
      </c>
      <c r="BC253" s="542">
        <v>0</v>
      </c>
      <c r="BD253" s="542">
        <v>1565</v>
      </c>
      <c r="BE253" s="542">
        <v>-6268865</v>
      </c>
      <c r="BF253" s="542">
        <v>0</v>
      </c>
      <c r="BG253" s="542">
        <v>-6268865</v>
      </c>
      <c r="BH253" s="542">
        <v>-2542</v>
      </c>
      <c r="BI253" s="542">
        <v>0</v>
      </c>
      <c r="BJ253" s="542">
        <v>-2542</v>
      </c>
      <c r="BK253" s="542">
        <v>5936</v>
      </c>
      <c r="BL253" s="542">
        <v>0</v>
      </c>
      <c r="BM253" s="542">
        <v>5936</v>
      </c>
      <c r="BN253" s="542">
        <v>-1382627</v>
      </c>
      <c r="BO253" s="542">
        <v>0</v>
      </c>
      <c r="BP253" s="542">
        <v>-1382627</v>
      </c>
      <c r="BQ253" s="542">
        <v>-48013</v>
      </c>
      <c r="BR253" s="542">
        <v>0</v>
      </c>
      <c r="BS253" s="542">
        <v>-48013</v>
      </c>
      <c r="BT253" s="542">
        <v>-1427246</v>
      </c>
      <c r="BU253" s="542">
        <v>0</v>
      </c>
      <c r="BV253" s="542">
        <v>-1427246</v>
      </c>
      <c r="BW253" s="542">
        <v>-158473</v>
      </c>
      <c r="BX253" s="542">
        <v>0</v>
      </c>
      <c r="BY253" s="542">
        <v>-158473</v>
      </c>
      <c r="BZ253" s="542">
        <v>-2683</v>
      </c>
      <c r="CA253" s="542">
        <v>0</v>
      </c>
      <c r="CB253" s="542">
        <v>-2683</v>
      </c>
      <c r="CC253" s="542">
        <v>-141362</v>
      </c>
      <c r="CD253" s="542">
        <v>0</v>
      </c>
      <c r="CE253" s="542">
        <v>-141362</v>
      </c>
      <c r="CF253" s="542">
        <v>-4649</v>
      </c>
      <c r="CG253" s="542">
        <v>0</v>
      </c>
      <c r="CH253" s="542">
        <v>-4649</v>
      </c>
      <c r="CI253" s="542">
        <v>-3796</v>
      </c>
      <c r="CJ253" s="542">
        <v>0</v>
      </c>
      <c r="CK253" s="542">
        <v>-3796</v>
      </c>
      <c r="CL253" s="542">
        <v>0</v>
      </c>
      <c r="CM253" s="542">
        <v>0</v>
      </c>
      <c r="CN253" s="542">
        <v>0</v>
      </c>
      <c r="CO253" s="542">
        <v>-34230</v>
      </c>
      <c r="CP253" s="542">
        <v>0</v>
      </c>
      <c r="CQ253" s="542">
        <v>-34230</v>
      </c>
      <c r="CR253" s="542">
        <v>1228</v>
      </c>
      <c r="CS253" s="542">
        <v>0</v>
      </c>
      <c r="CT253" s="542">
        <v>1228</v>
      </c>
      <c r="CU253" s="542">
        <v>-39923</v>
      </c>
      <c r="CV253" s="542">
        <v>0</v>
      </c>
      <c r="CW253" s="542">
        <v>-39923</v>
      </c>
      <c r="CX253" s="542">
        <v>-133</v>
      </c>
      <c r="CY253" s="542">
        <v>0</v>
      </c>
      <c r="CZ253" s="542">
        <v>-133</v>
      </c>
      <c r="DA253" s="542">
        <v>0</v>
      </c>
      <c r="DB253" s="542">
        <v>0</v>
      </c>
      <c r="DC253" s="542">
        <v>0</v>
      </c>
      <c r="DD253" s="542">
        <v>0</v>
      </c>
      <c r="DE253" s="542">
        <v>0</v>
      </c>
      <c r="DF253" s="542">
        <v>0</v>
      </c>
      <c r="DG253" s="542"/>
      <c r="DH253" s="542">
        <v>0</v>
      </c>
      <c r="DI253" s="542"/>
      <c r="DJ253" s="542">
        <v>0</v>
      </c>
      <c r="DK253" s="542"/>
      <c r="DL253" s="542"/>
      <c r="DM253" s="542">
        <v>-384021</v>
      </c>
      <c r="DN253" s="542">
        <v>0</v>
      </c>
      <c r="DO253" s="542">
        <v>-384021</v>
      </c>
      <c r="DP253" s="542">
        <v>0</v>
      </c>
      <c r="DQ253" s="542">
        <v>0</v>
      </c>
      <c r="DR253" s="542">
        <v>0</v>
      </c>
      <c r="DS253" s="542">
        <v>0</v>
      </c>
      <c r="DT253" s="542">
        <v>0</v>
      </c>
      <c r="DU253" s="542">
        <v>0</v>
      </c>
      <c r="DV253" s="542">
        <v>-2865</v>
      </c>
      <c r="DW253" s="542">
        <v>0</v>
      </c>
      <c r="DX253" s="542">
        <v>-2865</v>
      </c>
      <c r="DY253" s="542">
        <v>-432003</v>
      </c>
      <c r="DZ253" s="542">
        <v>0</v>
      </c>
      <c r="EA253" s="542">
        <v>-432003</v>
      </c>
      <c r="EB253" s="542">
        <v>-1321</v>
      </c>
      <c r="EC253" s="542">
        <v>0</v>
      </c>
      <c r="ED253" s="542">
        <v>-1321</v>
      </c>
      <c r="EE253" s="542">
        <v>-29654</v>
      </c>
      <c r="EF253" s="542">
        <v>0</v>
      </c>
      <c r="EG253" s="542">
        <v>-29654</v>
      </c>
      <c r="EH253" s="542">
        <v>-465843</v>
      </c>
      <c r="EI253" s="542">
        <v>0</v>
      </c>
      <c r="EJ253" s="542">
        <v>-465843</v>
      </c>
      <c r="EK253" s="542">
        <v>-7576</v>
      </c>
      <c r="EL253" s="542">
        <v>0</v>
      </c>
      <c r="EM253" s="542">
        <v>-7576</v>
      </c>
      <c r="EN253" s="542">
        <v>0</v>
      </c>
      <c r="EO253" s="542">
        <v>0</v>
      </c>
      <c r="EP253" s="542">
        <v>0</v>
      </c>
      <c r="EQ253" s="542">
        <v>-7576</v>
      </c>
      <c r="ER253" s="542">
        <v>0</v>
      </c>
      <c r="ES253" s="542">
        <v>-7576</v>
      </c>
      <c r="ET253" s="542">
        <v>52113283</v>
      </c>
      <c r="EU253" s="542">
        <v>0</v>
      </c>
      <c r="EV253" s="542">
        <v>52113283</v>
      </c>
      <c r="EW253" s="542">
        <v>4857</v>
      </c>
      <c r="EX253" s="542">
        <v>0</v>
      </c>
      <c r="EY253" s="542">
        <v>4857</v>
      </c>
      <c r="EZ253" s="542">
        <v>-6268865</v>
      </c>
      <c r="FA253" s="542">
        <v>0</v>
      </c>
      <c r="FB253" s="542">
        <v>-6268865</v>
      </c>
      <c r="FC253" s="542">
        <v>-1427246</v>
      </c>
      <c r="FD253" s="542">
        <v>0</v>
      </c>
      <c r="FE253" s="542">
        <v>-1427246</v>
      </c>
      <c r="FF253" s="542">
        <v>-384021</v>
      </c>
      <c r="FG253" s="542">
        <v>0</v>
      </c>
      <c r="FH253" s="542">
        <v>-384021</v>
      </c>
      <c r="FI253" s="542">
        <v>-465843</v>
      </c>
      <c r="FJ253" s="542">
        <v>0</v>
      </c>
      <c r="FK253" s="542">
        <v>-465843</v>
      </c>
      <c r="FL253" s="542">
        <v>-7576</v>
      </c>
      <c r="FM253" s="542">
        <v>0</v>
      </c>
      <c r="FN253" s="542">
        <v>-7576</v>
      </c>
      <c r="FO253" s="542">
        <v>-8548694</v>
      </c>
      <c r="FP253" s="542">
        <v>0</v>
      </c>
      <c r="FQ253" s="542">
        <v>-8548694</v>
      </c>
      <c r="FR253" s="542">
        <v>43564589</v>
      </c>
      <c r="FS253" s="542">
        <v>0</v>
      </c>
      <c r="FT253" s="542">
        <v>43564589</v>
      </c>
    </row>
    <row r="254" spans="1:176" ht="12.75" x14ac:dyDescent="0.2">
      <c r="A254" s="93">
        <v>249</v>
      </c>
      <c r="B254" s="145" t="s">
        <v>376</v>
      </c>
      <c r="C254" s="604" t="s">
        <v>866</v>
      </c>
      <c r="D254" s="142" t="s">
        <v>876</v>
      </c>
      <c r="E254" s="149" t="s">
        <v>375</v>
      </c>
      <c r="F254" s="542">
        <v>-81495</v>
      </c>
      <c r="G254" s="542">
        <v>0</v>
      </c>
      <c r="H254" s="542">
        <v>-81495</v>
      </c>
      <c r="I254" s="542">
        <v>59374</v>
      </c>
      <c r="J254" s="542">
        <v>0</v>
      </c>
      <c r="K254" s="542">
        <v>59374</v>
      </c>
      <c r="L254" s="542">
        <v>0</v>
      </c>
      <c r="M254" s="542">
        <v>0</v>
      </c>
      <c r="N254" s="542">
        <v>0</v>
      </c>
      <c r="O254" s="542">
        <v>324767</v>
      </c>
      <c r="P254" s="542">
        <v>0</v>
      </c>
      <c r="Q254" s="542">
        <v>324767</v>
      </c>
      <c r="R254" s="542">
        <v>302646</v>
      </c>
      <c r="S254" s="542">
        <v>0</v>
      </c>
      <c r="T254" s="542">
        <v>302646</v>
      </c>
      <c r="U254" s="542">
        <v>-2001834</v>
      </c>
      <c r="V254" s="542">
        <v>0</v>
      </c>
      <c r="W254" s="542">
        <v>-2001834</v>
      </c>
      <c r="X254" s="542">
        <v>-682</v>
      </c>
      <c r="Y254" s="542">
        <v>0</v>
      </c>
      <c r="Z254" s="542">
        <v>-682</v>
      </c>
      <c r="AA254" s="542">
        <v>-157567</v>
      </c>
      <c r="AB254" s="542">
        <v>0</v>
      </c>
      <c r="AC254" s="542">
        <v>-157567</v>
      </c>
      <c r="AD254" s="542">
        <v>-58643</v>
      </c>
      <c r="AE254" s="542">
        <v>0</v>
      </c>
      <c r="AF254" s="542">
        <v>-58643</v>
      </c>
      <c r="AG254" s="542">
        <v>460786</v>
      </c>
      <c r="AH254" s="542">
        <v>42200</v>
      </c>
      <c r="AI254" s="542">
        <v>502986</v>
      </c>
      <c r="AJ254" s="542">
        <v>-44946</v>
      </c>
      <c r="AK254" s="542">
        <v>0</v>
      </c>
      <c r="AL254" s="542">
        <v>-44946</v>
      </c>
      <c r="AM254" s="542">
        <v>-516164</v>
      </c>
      <c r="AN254" s="542">
        <v>0</v>
      </c>
      <c r="AO254" s="542">
        <v>-516164</v>
      </c>
      <c r="AP254" s="542">
        <v>63699</v>
      </c>
      <c r="AQ254" s="542">
        <v>0</v>
      </c>
      <c r="AR254" s="542">
        <v>63699</v>
      </c>
      <c r="AS254" s="542">
        <v>-20707</v>
      </c>
      <c r="AT254" s="542">
        <v>0</v>
      </c>
      <c r="AU254" s="542">
        <v>-20707</v>
      </c>
      <c r="AV254" s="542">
        <v>0</v>
      </c>
      <c r="AW254" s="542">
        <v>0</v>
      </c>
      <c r="AX254" s="542">
        <v>0</v>
      </c>
      <c r="AY254" s="542">
        <v>-10344</v>
      </c>
      <c r="AZ254" s="542">
        <v>0</v>
      </c>
      <c r="BA254" s="542">
        <v>-10344</v>
      </c>
      <c r="BB254" s="542">
        <v>152</v>
      </c>
      <c r="BC254" s="542">
        <v>0</v>
      </c>
      <c r="BD254" s="542">
        <v>152</v>
      </c>
      <c r="BE254" s="542">
        <v>-2226925</v>
      </c>
      <c r="BF254" s="542">
        <v>42200</v>
      </c>
      <c r="BG254" s="542">
        <v>-2184725</v>
      </c>
      <c r="BH254" s="542">
        <v>-4693</v>
      </c>
      <c r="BI254" s="542">
        <v>-6770</v>
      </c>
      <c r="BJ254" s="542">
        <v>-11463</v>
      </c>
      <c r="BK254" s="542">
        <v>3592</v>
      </c>
      <c r="BL254" s="542">
        <v>0</v>
      </c>
      <c r="BM254" s="542">
        <v>3592</v>
      </c>
      <c r="BN254" s="542">
        <v>-517842</v>
      </c>
      <c r="BO254" s="542">
        <v>-5451</v>
      </c>
      <c r="BP254" s="542">
        <v>-523293</v>
      </c>
      <c r="BQ254" s="542">
        <v>-24318</v>
      </c>
      <c r="BR254" s="542">
        <v>0</v>
      </c>
      <c r="BS254" s="542">
        <v>-24318</v>
      </c>
      <c r="BT254" s="542">
        <v>-543261</v>
      </c>
      <c r="BU254" s="542">
        <v>-12221</v>
      </c>
      <c r="BV254" s="542">
        <v>-555482</v>
      </c>
      <c r="BW254" s="542">
        <v>-37463</v>
      </c>
      <c r="BX254" s="542">
        <v>0</v>
      </c>
      <c r="BY254" s="542">
        <v>-37463</v>
      </c>
      <c r="BZ254" s="542">
        <v>-303</v>
      </c>
      <c r="CA254" s="542">
        <v>0</v>
      </c>
      <c r="CB254" s="542">
        <v>-303</v>
      </c>
      <c r="CC254" s="542">
        <v>-226391</v>
      </c>
      <c r="CD254" s="542">
        <v>0</v>
      </c>
      <c r="CE254" s="542">
        <v>-226391</v>
      </c>
      <c r="CF254" s="542">
        <v>1171</v>
      </c>
      <c r="CG254" s="542">
        <v>0</v>
      </c>
      <c r="CH254" s="542">
        <v>1171</v>
      </c>
      <c r="CI254" s="542">
        <v>-4116</v>
      </c>
      <c r="CJ254" s="542">
        <v>0</v>
      </c>
      <c r="CK254" s="542">
        <v>-4116</v>
      </c>
      <c r="CL254" s="542">
        <v>0</v>
      </c>
      <c r="CM254" s="542">
        <v>0</v>
      </c>
      <c r="CN254" s="542">
        <v>0</v>
      </c>
      <c r="CO254" s="542">
        <v>-5427</v>
      </c>
      <c r="CP254" s="542">
        <v>0</v>
      </c>
      <c r="CQ254" s="542">
        <v>-5427</v>
      </c>
      <c r="CR254" s="542">
        <v>152</v>
      </c>
      <c r="CS254" s="542">
        <v>0</v>
      </c>
      <c r="CT254" s="542">
        <v>152</v>
      </c>
      <c r="CU254" s="542">
        <v>0</v>
      </c>
      <c r="CV254" s="542">
        <v>0</v>
      </c>
      <c r="CW254" s="542">
        <v>0</v>
      </c>
      <c r="CX254" s="542">
        <v>0</v>
      </c>
      <c r="CY254" s="542">
        <v>0</v>
      </c>
      <c r="CZ254" s="542">
        <v>0</v>
      </c>
      <c r="DA254" s="542">
        <v>0</v>
      </c>
      <c r="DB254" s="542">
        <v>-54035</v>
      </c>
      <c r="DC254" s="542">
        <v>-54035</v>
      </c>
      <c r="DD254" s="542">
        <v>0</v>
      </c>
      <c r="DE254" s="542">
        <v>0</v>
      </c>
      <c r="DF254" s="542">
        <v>0</v>
      </c>
      <c r="DG254" s="542"/>
      <c r="DH254" s="542">
        <v>-54035</v>
      </c>
      <c r="DI254" s="542"/>
      <c r="DJ254" s="542">
        <v>0</v>
      </c>
      <c r="DK254" s="542"/>
      <c r="DL254" s="542"/>
      <c r="DM254" s="542">
        <v>-272377</v>
      </c>
      <c r="DN254" s="542">
        <v>-54035</v>
      </c>
      <c r="DO254" s="542">
        <v>-326412</v>
      </c>
      <c r="DP254" s="542">
        <v>0</v>
      </c>
      <c r="DQ254" s="542">
        <v>0</v>
      </c>
      <c r="DR254" s="542">
        <v>0</v>
      </c>
      <c r="DS254" s="542">
        <v>0</v>
      </c>
      <c r="DT254" s="542">
        <v>0</v>
      </c>
      <c r="DU254" s="542">
        <v>0</v>
      </c>
      <c r="DV254" s="542">
        <v>0</v>
      </c>
      <c r="DW254" s="542">
        <v>0</v>
      </c>
      <c r="DX254" s="542">
        <v>0</v>
      </c>
      <c r="DY254" s="542">
        <v>-280279</v>
      </c>
      <c r="DZ254" s="542">
        <v>0</v>
      </c>
      <c r="EA254" s="542">
        <v>-280279</v>
      </c>
      <c r="EB254" s="542">
        <v>0</v>
      </c>
      <c r="EC254" s="542">
        <v>0</v>
      </c>
      <c r="ED254" s="542">
        <v>0</v>
      </c>
      <c r="EE254" s="542">
        <v>0</v>
      </c>
      <c r="EF254" s="542">
        <v>0</v>
      </c>
      <c r="EG254" s="542">
        <v>0</v>
      </c>
      <c r="EH254" s="542">
        <v>-280279</v>
      </c>
      <c r="EI254" s="542">
        <v>0</v>
      </c>
      <c r="EJ254" s="542">
        <v>-280279</v>
      </c>
      <c r="EK254" s="542">
        <v>0</v>
      </c>
      <c r="EL254" s="542">
        <v>0</v>
      </c>
      <c r="EM254" s="542">
        <v>0</v>
      </c>
      <c r="EN254" s="542">
        <v>0</v>
      </c>
      <c r="EO254" s="542">
        <v>0</v>
      </c>
      <c r="EP254" s="542">
        <v>0</v>
      </c>
      <c r="EQ254" s="542">
        <v>0</v>
      </c>
      <c r="ER254" s="542">
        <v>0</v>
      </c>
      <c r="ES254" s="542">
        <v>0</v>
      </c>
      <c r="ET254" s="542">
        <v>22074125</v>
      </c>
      <c r="EU254" s="542">
        <v>1806943</v>
      </c>
      <c r="EV254" s="542">
        <v>23881068</v>
      </c>
      <c r="EW254" s="542">
        <v>302646</v>
      </c>
      <c r="EX254" s="542">
        <v>0</v>
      </c>
      <c r="EY254" s="542">
        <v>302646</v>
      </c>
      <c r="EZ254" s="542">
        <v>-2226925</v>
      </c>
      <c r="FA254" s="542">
        <v>42200</v>
      </c>
      <c r="FB254" s="542">
        <v>-2184725</v>
      </c>
      <c r="FC254" s="542">
        <v>-543261</v>
      </c>
      <c r="FD254" s="542">
        <v>-12221</v>
      </c>
      <c r="FE254" s="542">
        <v>-555482</v>
      </c>
      <c r="FF254" s="542">
        <v>-272377</v>
      </c>
      <c r="FG254" s="542">
        <v>-54035</v>
      </c>
      <c r="FH254" s="542">
        <v>-326412</v>
      </c>
      <c r="FI254" s="542">
        <v>-280279</v>
      </c>
      <c r="FJ254" s="542">
        <v>0</v>
      </c>
      <c r="FK254" s="542">
        <v>-280279</v>
      </c>
      <c r="FL254" s="542">
        <v>0</v>
      </c>
      <c r="FM254" s="542">
        <v>0</v>
      </c>
      <c r="FN254" s="542">
        <v>0</v>
      </c>
      <c r="FO254" s="542">
        <v>-3020196</v>
      </c>
      <c r="FP254" s="542">
        <v>-24056</v>
      </c>
      <c r="FQ254" s="542">
        <v>-3044252</v>
      </c>
      <c r="FR254" s="542">
        <v>19053929</v>
      </c>
      <c r="FS254" s="542">
        <v>1782887</v>
      </c>
      <c r="FT254" s="542">
        <v>20836816</v>
      </c>
    </row>
    <row r="255" spans="1:176" ht="12.75" x14ac:dyDescent="0.2">
      <c r="A255" s="93">
        <v>250</v>
      </c>
      <c r="B255" s="145" t="s">
        <v>378</v>
      </c>
      <c r="C255" s="604" t="s">
        <v>873</v>
      </c>
      <c r="D255" s="142" t="s">
        <v>878</v>
      </c>
      <c r="E255" s="149" t="s">
        <v>377</v>
      </c>
      <c r="F255" s="542">
        <v>-70003</v>
      </c>
      <c r="G255" s="542">
        <v>0</v>
      </c>
      <c r="H255" s="542">
        <v>-70003</v>
      </c>
      <c r="I255" s="542">
        <v>73951</v>
      </c>
      <c r="J255" s="542">
        <v>0</v>
      </c>
      <c r="K255" s="542">
        <v>73951</v>
      </c>
      <c r="L255" s="542">
        <v>4018</v>
      </c>
      <c r="M255" s="542">
        <v>0</v>
      </c>
      <c r="N255" s="542">
        <v>4018</v>
      </c>
      <c r="O255" s="542">
        <v>41994</v>
      </c>
      <c r="P255" s="542">
        <v>0</v>
      </c>
      <c r="Q255" s="542">
        <v>41994</v>
      </c>
      <c r="R255" s="542">
        <v>49960</v>
      </c>
      <c r="S255" s="542">
        <v>0</v>
      </c>
      <c r="T255" s="542">
        <v>49960</v>
      </c>
      <c r="U255" s="542">
        <v>-2605393</v>
      </c>
      <c r="V255" s="542">
        <v>0</v>
      </c>
      <c r="W255" s="542">
        <v>-2605393</v>
      </c>
      <c r="X255" s="542">
        <v>0</v>
      </c>
      <c r="Y255" s="542">
        <v>0</v>
      </c>
      <c r="Z255" s="542">
        <v>0</v>
      </c>
      <c r="AA255" s="542">
        <v>-75525</v>
      </c>
      <c r="AB255" s="542">
        <v>0</v>
      </c>
      <c r="AC255" s="542">
        <v>-75525</v>
      </c>
      <c r="AD255" s="542">
        <v>-53717</v>
      </c>
      <c r="AE255" s="542">
        <v>0</v>
      </c>
      <c r="AF255" s="542">
        <v>-53717</v>
      </c>
      <c r="AG255" s="542">
        <v>734013</v>
      </c>
      <c r="AH255" s="542">
        <v>0</v>
      </c>
      <c r="AI255" s="542">
        <v>734013</v>
      </c>
      <c r="AJ255" s="542">
        <v>53298</v>
      </c>
      <c r="AK255" s="542">
        <v>0</v>
      </c>
      <c r="AL255" s="542">
        <v>53298</v>
      </c>
      <c r="AM255" s="542">
        <v>-1906432</v>
      </c>
      <c r="AN255" s="542">
        <v>0</v>
      </c>
      <c r="AO255" s="542">
        <v>-1906432</v>
      </c>
      <c r="AP255" s="542">
        <v>18075</v>
      </c>
      <c r="AQ255" s="542">
        <v>0</v>
      </c>
      <c r="AR255" s="542">
        <v>18075</v>
      </c>
      <c r="AS255" s="542">
        <v>-46815</v>
      </c>
      <c r="AT255" s="542">
        <v>0</v>
      </c>
      <c r="AU255" s="542">
        <v>-46815</v>
      </c>
      <c r="AV255" s="542">
        <v>218</v>
      </c>
      <c r="AW255" s="542">
        <v>0</v>
      </c>
      <c r="AX255" s="542">
        <v>218</v>
      </c>
      <c r="AY255" s="542">
        <v>0</v>
      </c>
      <c r="AZ255" s="542">
        <v>0</v>
      </c>
      <c r="BA255" s="542">
        <v>0</v>
      </c>
      <c r="BB255" s="542">
        <v>0</v>
      </c>
      <c r="BC255" s="542">
        <v>0</v>
      </c>
      <c r="BD255" s="542">
        <v>0</v>
      </c>
      <c r="BE255" s="542">
        <v>-3828561</v>
      </c>
      <c r="BF255" s="542">
        <v>0</v>
      </c>
      <c r="BG255" s="542">
        <v>-3828561</v>
      </c>
      <c r="BH255" s="542">
        <v>-70121</v>
      </c>
      <c r="BI255" s="542">
        <v>0</v>
      </c>
      <c r="BJ255" s="542">
        <v>-70121</v>
      </c>
      <c r="BK255" s="542">
        <v>0</v>
      </c>
      <c r="BL255" s="542">
        <v>0</v>
      </c>
      <c r="BM255" s="542">
        <v>0</v>
      </c>
      <c r="BN255" s="542">
        <v>-1340646</v>
      </c>
      <c r="BO255" s="542">
        <v>0</v>
      </c>
      <c r="BP255" s="542">
        <v>-1340646</v>
      </c>
      <c r="BQ255" s="542">
        <v>3938</v>
      </c>
      <c r="BR255" s="542">
        <v>0</v>
      </c>
      <c r="BS255" s="542">
        <v>3938</v>
      </c>
      <c r="BT255" s="542">
        <v>-1406829</v>
      </c>
      <c r="BU255" s="542">
        <v>0</v>
      </c>
      <c r="BV255" s="542">
        <v>-1406829</v>
      </c>
      <c r="BW255" s="542">
        <v>-115108</v>
      </c>
      <c r="BX255" s="542">
        <v>0</v>
      </c>
      <c r="BY255" s="542">
        <v>-115108</v>
      </c>
      <c r="BZ255" s="542">
        <v>6377</v>
      </c>
      <c r="CA255" s="542">
        <v>0</v>
      </c>
      <c r="CB255" s="542">
        <v>6377</v>
      </c>
      <c r="CC255" s="542">
        <v>-127574</v>
      </c>
      <c r="CD255" s="542">
        <v>0</v>
      </c>
      <c r="CE255" s="542">
        <v>-127574</v>
      </c>
      <c r="CF255" s="542">
        <v>1829</v>
      </c>
      <c r="CG255" s="542">
        <v>0</v>
      </c>
      <c r="CH255" s="542">
        <v>1829</v>
      </c>
      <c r="CI255" s="542">
        <v>-257</v>
      </c>
      <c r="CJ255" s="542">
        <v>0</v>
      </c>
      <c r="CK255" s="542">
        <v>-257</v>
      </c>
      <c r="CL255" s="542">
        <v>0</v>
      </c>
      <c r="CM255" s="542">
        <v>0</v>
      </c>
      <c r="CN255" s="542">
        <v>0</v>
      </c>
      <c r="CO255" s="542">
        <v>0</v>
      </c>
      <c r="CP255" s="542">
        <v>0</v>
      </c>
      <c r="CQ255" s="542">
        <v>0</v>
      </c>
      <c r="CR255" s="542">
        <v>0</v>
      </c>
      <c r="CS255" s="542">
        <v>0</v>
      </c>
      <c r="CT255" s="542">
        <v>0</v>
      </c>
      <c r="CU255" s="542">
        <v>0</v>
      </c>
      <c r="CV255" s="542">
        <v>0</v>
      </c>
      <c r="CW255" s="542">
        <v>0</v>
      </c>
      <c r="CX255" s="542">
        <v>0</v>
      </c>
      <c r="CY255" s="542">
        <v>0</v>
      </c>
      <c r="CZ255" s="542">
        <v>0</v>
      </c>
      <c r="DA255" s="542">
        <v>0</v>
      </c>
      <c r="DB255" s="542">
        <v>0</v>
      </c>
      <c r="DC255" s="542">
        <v>0</v>
      </c>
      <c r="DD255" s="542">
        <v>0</v>
      </c>
      <c r="DE255" s="542">
        <v>0</v>
      </c>
      <c r="DF255" s="542">
        <v>0</v>
      </c>
      <c r="DG255" s="542"/>
      <c r="DH255" s="542">
        <v>0</v>
      </c>
      <c r="DI255" s="542"/>
      <c r="DJ255" s="542">
        <v>0</v>
      </c>
      <c r="DK255" s="542"/>
      <c r="DL255" s="542"/>
      <c r="DM255" s="542">
        <v>-234733</v>
      </c>
      <c r="DN255" s="542">
        <v>0</v>
      </c>
      <c r="DO255" s="542">
        <v>-234733</v>
      </c>
      <c r="DP255" s="542">
        <v>0</v>
      </c>
      <c r="DQ255" s="542">
        <v>0</v>
      </c>
      <c r="DR255" s="542">
        <v>0</v>
      </c>
      <c r="DS255" s="542">
        <v>0</v>
      </c>
      <c r="DT255" s="542">
        <v>0</v>
      </c>
      <c r="DU255" s="542">
        <v>0</v>
      </c>
      <c r="DV255" s="542">
        <v>-7821</v>
      </c>
      <c r="DW255" s="542">
        <v>0</v>
      </c>
      <c r="DX255" s="542">
        <v>-7821</v>
      </c>
      <c r="DY255" s="542">
        <v>-461265</v>
      </c>
      <c r="DZ255" s="542">
        <v>0</v>
      </c>
      <c r="EA255" s="542">
        <v>-461265</v>
      </c>
      <c r="EB255" s="542">
        <v>0</v>
      </c>
      <c r="EC255" s="542">
        <v>0</v>
      </c>
      <c r="ED255" s="542">
        <v>0</v>
      </c>
      <c r="EE255" s="542">
        <v>0</v>
      </c>
      <c r="EF255" s="542">
        <v>0</v>
      </c>
      <c r="EG255" s="542">
        <v>0</v>
      </c>
      <c r="EH255" s="542">
        <v>-469086</v>
      </c>
      <c r="EI255" s="542">
        <v>0</v>
      </c>
      <c r="EJ255" s="542">
        <v>-469086</v>
      </c>
      <c r="EK255" s="542">
        <v>0</v>
      </c>
      <c r="EL255" s="542">
        <v>0</v>
      </c>
      <c r="EM255" s="542">
        <v>0</v>
      </c>
      <c r="EN255" s="542">
        <v>0</v>
      </c>
      <c r="EO255" s="542">
        <v>0</v>
      </c>
      <c r="EP255" s="542">
        <v>0</v>
      </c>
      <c r="EQ255" s="542">
        <v>0</v>
      </c>
      <c r="ER255" s="542">
        <v>0</v>
      </c>
      <c r="ES255" s="542">
        <v>0</v>
      </c>
      <c r="ET255" s="542">
        <v>37179456</v>
      </c>
      <c r="EU255" s="542">
        <v>0</v>
      </c>
      <c r="EV255" s="542">
        <v>37179456</v>
      </c>
      <c r="EW255" s="542">
        <v>49960</v>
      </c>
      <c r="EX255" s="542">
        <v>0</v>
      </c>
      <c r="EY255" s="542">
        <v>49960</v>
      </c>
      <c r="EZ255" s="542">
        <v>-3828561</v>
      </c>
      <c r="FA255" s="542">
        <v>0</v>
      </c>
      <c r="FB255" s="542">
        <v>-3828561</v>
      </c>
      <c r="FC255" s="542">
        <v>-1406829</v>
      </c>
      <c r="FD255" s="542">
        <v>0</v>
      </c>
      <c r="FE255" s="542">
        <v>-1406829</v>
      </c>
      <c r="FF255" s="542">
        <v>-234733</v>
      </c>
      <c r="FG255" s="542">
        <v>0</v>
      </c>
      <c r="FH255" s="542">
        <v>-234733</v>
      </c>
      <c r="FI255" s="542">
        <v>-469086</v>
      </c>
      <c r="FJ255" s="542">
        <v>0</v>
      </c>
      <c r="FK255" s="542">
        <v>-469086</v>
      </c>
      <c r="FL255" s="542">
        <v>0</v>
      </c>
      <c r="FM255" s="542">
        <v>0</v>
      </c>
      <c r="FN255" s="542">
        <v>0</v>
      </c>
      <c r="FO255" s="542">
        <v>-5889249</v>
      </c>
      <c r="FP255" s="542">
        <v>0</v>
      </c>
      <c r="FQ255" s="542">
        <v>-5889249</v>
      </c>
      <c r="FR255" s="542">
        <v>31290207</v>
      </c>
      <c r="FS255" s="542">
        <v>0</v>
      </c>
      <c r="FT255" s="542">
        <v>31290207</v>
      </c>
    </row>
    <row r="256" spans="1:176" ht="12.75" x14ac:dyDescent="0.2">
      <c r="A256" s="93">
        <v>251</v>
      </c>
      <c r="B256" s="145" t="s">
        <v>380</v>
      </c>
      <c r="C256" s="604" t="s">
        <v>770</v>
      </c>
      <c r="D256" s="142" t="s">
        <v>867</v>
      </c>
      <c r="E256" s="149" t="s">
        <v>725</v>
      </c>
      <c r="F256" s="542">
        <v>-233477</v>
      </c>
      <c r="G256" s="542">
        <v>0</v>
      </c>
      <c r="H256" s="542">
        <v>-233477</v>
      </c>
      <c r="I256" s="542">
        <v>285832</v>
      </c>
      <c r="J256" s="542">
        <v>0</v>
      </c>
      <c r="K256" s="542">
        <v>285832</v>
      </c>
      <c r="L256" s="542">
        <v>137658</v>
      </c>
      <c r="M256" s="542">
        <v>0</v>
      </c>
      <c r="N256" s="542">
        <v>137658</v>
      </c>
      <c r="O256" s="542">
        <v>1303185</v>
      </c>
      <c r="P256" s="542">
        <v>0</v>
      </c>
      <c r="Q256" s="542">
        <v>1303185</v>
      </c>
      <c r="R256" s="542">
        <v>1493198</v>
      </c>
      <c r="S256" s="542">
        <v>0</v>
      </c>
      <c r="T256" s="542">
        <v>1493198</v>
      </c>
      <c r="U256" s="542">
        <v>-3316383</v>
      </c>
      <c r="V256" s="542">
        <v>0</v>
      </c>
      <c r="W256" s="542">
        <v>-3316383</v>
      </c>
      <c r="X256" s="542">
        <v>-20583</v>
      </c>
      <c r="Y256" s="542">
        <v>0</v>
      </c>
      <c r="Z256" s="542">
        <v>-20583</v>
      </c>
      <c r="AA256" s="542">
        <v>-121291</v>
      </c>
      <c r="AB256" s="542">
        <v>0</v>
      </c>
      <c r="AC256" s="542">
        <v>-121291</v>
      </c>
      <c r="AD256" s="542">
        <v>-70618</v>
      </c>
      <c r="AE256" s="542">
        <v>0</v>
      </c>
      <c r="AF256" s="542">
        <v>-70618</v>
      </c>
      <c r="AG256" s="542">
        <v>2509939</v>
      </c>
      <c r="AH256" s="542">
        <v>0</v>
      </c>
      <c r="AI256" s="542">
        <v>2509939</v>
      </c>
      <c r="AJ256" s="542">
        <v>-64725</v>
      </c>
      <c r="AK256" s="542">
        <v>0</v>
      </c>
      <c r="AL256" s="542">
        <v>-64725</v>
      </c>
      <c r="AM256" s="542">
        <v>-8347454</v>
      </c>
      <c r="AN256" s="542">
        <v>0</v>
      </c>
      <c r="AO256" s="542">
        <v>-8347454</v>
      </c>
      <c r="AP256" s="542">
        <v>16279</v>
      </c>
      <c r="AQ256" s="542">
        <v>0</v>
      </c>
      <c r="AR256" s="542">
        <v>16279</v>
      </c>
      <c r="AS256" s="542">
        <v>-51074</v>
      </c>
      <c r="AT256" s="542">
        <v>0</v>
      </c>
      <c r="AU256" s="542">
        <v>-51074</v>
      </c>
      <c r="AV256" s="542">
        <v>0</v>
      </c>
      <c r="AW256" s="542">
        <v>0</v>
      </c>
      <c r="AX256" s="542">
        <v>0</v>
      </c>
      <c r="AY256" s="542">
        <v>0</v>
      </c>
      <c r="AZ256" s="542">
        <v>0</v>
      </c>
      <c r="BA256" s="542">
        <v>0</v>
      </c>
      <c r="BB256" s="542">
        <v>0</v>
      </c>
      <c r="BC256" s="542">
        <v>0</v>
      </c>
      <c r="BD256" s="542">
        <v>0</v>
      </c>
      <c r="BE256" s="542">
        <v>-9374709</v>
      </c>
      <c r="BF256" s="542">
        <v>0</v>
      </c>
      <c r="BG256" s="542">
        <v>-9374709</v>
      </c>
      <c r="BH256" s="542">
        <v>-33646</v>
      </c>
      <c r="BI256" s="542">
        <v>0</v>
      </c>
      <c r="BJ256" s="542">
        <v>-33646</v>
      </c>
      <c r="BK256" s="542">
        <v>37562</v>
      </c>
      <c r="BL256" s="542">
        <v>0</v>
      </c>
      <c r="BM256" s="542">
        <v>37562</v>
      </c>
      <c r="BN256" s="542">
        <v>-3531256</v>
      </c>
      <c r="BO256" s="542">
        <v>0</v>
      </c>
      <c r="BP256" s="542">
        <v>-3531256</v>
      </c>
      <c r="BQ256" s="542">
        <v>171377</v>
      </c>
      <c r="BR256" s="542">
        <v>0</v>
      </c>
      <c r="BS256" s="542">
        <v>171377</v>
      </c>
      <c r="BT256" s="542">
        <v>-3355963</v>
      </c>
      <c r="BU256" s="542">
        <v>0</v>
      </c>
      <c r="BV256" s="542">
        <v>-3355963</v>
      </c>
      <c r="BW256" s="542">
        <v>0</v>
      </c>
      <c r="BX256" s="542">
        <v>0</v>
      </c>
      <c r="BY256" s="542">
        <v>0</v>
      </c>
      <c r="BZ256" s="542">
        <v>0</v>
      </c>
      <c r="CA256" s="542">
        <v>0</v>
      </c>
      <c r="CB256" s="542">
        <v>0</v>
      </c>
      <c r="CC256" s="542">
        <v>-104840</v>
      </c>
      <c r="CD256" s="542">
        <v>0</v>
      </c>
      <c r="CE256" s="542">
        <v>-104840</v>
      </c>
      <c r="CF256" s="542">
        <v>-626</v>
      </c>
      <c r="CG256" s="542">
        <v>0</v>
      </c>
      <c r="CH256" s="542">
        <v>-626</v>
      </c>
      <c r="CI256" s="542">
        <v>0</v>
      </c>
      <c r="CJ256" s="542">
        <v>0</v>
      </c>
      <c r="CK256" s="542">
        <v>0</v>
      </c>
      <c r="CL256" s="542">
        <v>0</v>
      </c>
      <c r="CM256" s="542">
        <v>0</v>
      </c>
      <c r="CN256" s="542">
        <v>0</v>
      </c>
      <c r="CO256" s="542">
        <v>0</v>
      </c>
      <c r="CP256" s="542">
        <v>0</v>
      </c>
      <c r="CQ256" s="542">
        <v>0</v>
      </c>
      <c r="CR256" s="542">
        <v>0</v>
      </c>
      <c r="CS256" s="542">
        <v>0</v>
      </c>
      <c r="CT256" s="542">
        <v>0</v>
      </c>
      <c r="CU256" s="542">
        <v>0</v>
      </c>
      <c r="CV256" s="542">
        <v>0</v>
      </c>
      <c r="CW256" s="542">
        <v>0</v>
      </c>
      <c r="CX256" s="542">
        <v>0</v>
      </c>
      <c r="CY256" s="542">
        <v>0</v>
      </c>
      <c r="CZ256" s="542">
        <v>0</v>
      </c>
      <c r="DA256" s="542">
        <v>0</v>
      </c>
      <c r="DB256" s="542">
        <v>0</v>
      </c>
      <c r="DC256" s="542">
        <v>0</v>
      </c>
      <c r="DD256" s="542">
        <v>0</v>
      </c>
      <c r="DE256" s="542">
        <v>0</v>
      </c>
      <c r="DF256" s="542">
        <v>0</v>
      </c>
      <c r="DG256" s="542"/>
      <c r="DH256" s="542">
        <v>0</v>
      </c>
      <c r="DI256" s="542"/>
      <c r="DJ256" s="542">
        <v>0</v>
      </c>
      <c r="DK256" s="542"/>
      <c r="DL256" s="542"/>
      <c r="DM256" s="542">
        <v>-105466</v>
      </c>
      <c r="DN256" s="542">
        <v>0</v>
      </c>
      <c r="DO256" s="542">
        <v>-105466</v>
      </c>
      <c r="DP256" s="542">
        <v>0</v>
      </c>
      <c r="DQ256" s="542">
        <v>0</v>
      </c>
      <c r="DR256" s="542">
        <v>0</v>
      </c>
      <c r="DS256" s="542">
        <v>0</v>
      </c>
      <c r="DT256" s="542">
        <v>0</v>
      </c>
      <c r="DU256" s="542">
        <v>0</v>
      </c>
      <c r="DV256" s="542">
        <v>-5616</v>
      </c>
      <c r="DW256" s="542">
        <v>0</v>
      </c>
      <c r="DX256" s="542">
        <v>-5616</v>
      </c>
      <c r="DY256" s="542">
        <v>-689279</v>
      </c>
      <c r="DZ256" s="542">
        <v>0</v>
      </c>
      <c r="EA256" s="542">
        <v>-689279</v>
      </c>
      <c r="EB256" s="542">
        <v>-2194</v>
      </c>
      <c r="EC256" s="542">
        <v>0</v>
      </c>
      <c r="ED256" s="542">
        <v>-2194</v>
      </c>
      <c r="EE256" s="542">
        <v>-2022</v>
      </c>
      <c r="EF256" s="542">
        <v>0</v>
      </c>
      <c r="EG256" s="542">
        <v>-2022</v>
      </c>
      <c r="EH256" s="542">
        <v>-699111</v>
      </c>
      <c r="EI256" s="542">
        <v>0</v>
      </c>
      <c r="EJ256" s="542">
        <v>-699111</v>
      </c>
      <c r="EK256" s="542">
        <v>0</v>
      </c>
      <c r="EL256" s="542">
        <v>0</v>
      </c>
      <c r="EM256" s="542">
        <v>0</v>
      </c>
      <c r="EN256" s="542">
        <v>0</v>
      </c>
      <c r="EO256" s="542">
        <v>0</v>
      </c>
      <c r="EP256" s="542">
        <v>0</v>
      </c>
      <c r="EQ256" s="542">
        <v>0</v>
      </c>
      <c r="ER256" s="542">
        <v>0</v>
      </c>
      <c r="ES256" s="542">
        <v>0</v>
      </c>
      <c r="ET256" s="542">
        <v>115503363</v>
      </c>
      <c r="EU256" s="542">
        <v>0</v>
      </c>
      <c r="EV256" s="542">
        <v>115503363</v>
      </c>
      <c r="EW256" s="542">
        <v>1493198</v>
      </c>
      <c r="EX256" s="542">
        <v>0</v>
      </c>
      <c r="EY256" s="542">
        <v>1493198</v>
      </c>
      <c r="EZ256" s="542">
        <v>-9374709</v>
      </c>
      <c r="FA256" s="542">
        <v>0</v>
      </c>
      <c r="FB256" s="542">
        <v>-9374709</v>
      </c>
      <c r="FC256" s="542">
        <v>-3355963</v>
      </c>
      <c r="FD256" s="542">
        <v>0</v>
      </c>
      <c r="FE256" s="542">
        <v>-3355963</v>
      </c>
      <c r="FF256" s="542">
        <v>-105466</v>
      </c>
      <c r="FG256" s="542">
        <v>0</v>
      </c>
      <c r="FH256" s="542">
        <v>-105466</v>
      </c>
      <c r="FI256" s="542">
        <v>-699111</v>
      </c>
      <c r="FJ256" s="542">
        <v>0</v>
      </c>
      <c r="FK256" s="542">
        <v>-699111</v>
      </c>
      <c r="FL256" s="542">
        <v>0</v>
      </c>
      <c r="FM256" s="542">
        <v>0</v>
      </c>
      <c r="FN256" s="542">
        <v>0</v>
      </c>
      <c r="FO256" s="542">
        <v>-12042051</v>
      </c>
      <c r="FP256" s="542">
        <v>0</v>
      </c>
      <c r="FQ256" s="542">
        <v>-12042051</v>
      </c>
      <c r="FR256" s="542">
        <v>103461312</v>
      </c>
      <c r="FS256" s="542">
        <v>0</v>
      </c>
      <c r="FT256" s="542">
        <v>103461312</v>
      </c>
    </row>
    <row r="257" spans="1:176" ht="12.75" x14ac:dyDescent="0.2">
      <c r="A257" s="93">
        <v>252</v>
      </c>
      <c r="B257" s="145" t="s">
        <v>382</v>
      </c>
      <c r="C257" s="604" t="s">
        <v>770</v>
      </c>
      <c r="D257" s="142" t="s">
        <v>870</v>
      </c>
      <c r="E257" s="149" t="s">
        <v>726</v>
      </c>
      <c r="F257" s="542">
        <v>-104510</v>
      </c>
      <c r="G257" s="542">
        <v>0</v>
      </c>
      <c r="H257" s="542">
        <v>-104510</v>
      </c>
      <c r="I257" s="542">
        <v>-291240</v>
      </c>
      <c r="J257" s="542">
        <v>0</v>
      </c>
      <c r="K257" s="542">
        <v>-291240</v>
      </c>
      <c r="L257" s="542">
        <v>6681</v>
      </c>
      <c r="M257" s="542">
        <v>0</v>
      </c>
      <c r="N257" s="542">
        <v>6681</v>
      </c>
      <c r="O257" s="542">
        <v>177974</v>
      </c>
      <c r="P257" s="542">
        <v>0</v>
      </c>
      <c r="Q257" s="542">
        <v>177974</v>
      </c>
      <c r="R257" s="542">
        <v>-211095</v>
      </c>
      <c r="S257" s="542">
        <v>0</v>
      </c>
      <c r="T257" s="542">
        <v>-211095</v>
      </c>
      <c r="U257" s="542">
        <v>-4731722</v>
      </c>
      <c r="V257" s="542">
        <v>0</v>
      </c>
      <c r="W257" s="542">
        <v>-4731722</v>
      </c>
      <c r="X257" s="542">
        <v>-19375</v>
      </c>
      <c r="Y257" s="542">
        <v>0</v>
      </c>
      <c r="Z257" s="542">
        <v>-19375</v>
      </c>
      <c r="AA257" s="542">
        <v>-137587</v>
      </c>
      <c r="AB257" s="542">
        <v>0</v>
      </c>
      <c r="AC257" s="542">
        <v>-137587</v>
      </c>
      <c r="AD257" s="542">
        <v>-268</v>
      </c>
      <c r="AE257" s="542">
        <v>0</v>
      </c>
      <c r="AF257" s="542">
        <v>-268</v>
      </c>
      <c r="AG257" s="542">
        <v>1054389</v>
      </c>
      <c r="AH257" s="542">
        <v>0</v>
      </c>
      <c r="AI257" s="542">
        <v>1054389</v>
      </c>
      <c r="AJ257" s="542">
        <v>49736</v>
      </c>
      <c r="AK257" s="542">
        <v>0</v>
      </c>
      <c r="AL257" s="542">
        <v>49736</v>
      </c>
      <c r="AM257" s="542">
        <v>-3936492</v>
      </c>
      <c r="AN257" s="542">
        <v>0</v>
      </c>
      <c r="AO257" s="542">
        <v>-3936492</v>
      </c>
      <c r="AP257" s="542">
        <v>158891</v>
      </c>
      <c r="AQ257" s="542">
        <v>0</v>
      </c>
      <c r="AR257" s="542">
        <v>158891</v>
      </c>
      <c r="AS257" s="542">
        <v>-42549</v>
      </c>
      <c r="AT257" s="542">
        <v>0</v>
      </c>
      <c r="AU257" s="542">
        <v>-42549</v>
      </c>
      <c r="AV257" s="542">
        <v>-7054</v>
      </c>
      <c r="AW257" s="542">
        <v>0</v>
      </c>
      <c r="AX257" s="542">
        <v>-7054</v>
      </c>
      <c r="AY257" s="542">
        <v>0</v>
      </c>
      <c r="AZ257" s="542">
        <v>0</v>
      </c>
      <c r="BA257" s="542">
        <v>0</v>
      </c>
      <c r="BB257" s="542">
        <v>0</v>
      </c>
      <c r="BC257" s="542">
        <v>0</v>
      </c>
      <c r="BD257" s="542">
        <v>0</v>
      </c>
      <c r="BE257" s="542">
        <v>-7592388</v>
      </c>
      <c r="BF257" s="542">
        <v>0</v>
      </c>
      <c r="BG257" s="542">
        <v>-7592388</v>
      </c>
      <c r="BH257" s="542">
        <v>-5902</v>
      </c>
      <c r="BI257" s="542">
        <v>0</v>
      </c>
      <c r="BJ257" s="542">
        <v>-5902</v>
      </c>
      <c r="BK257" s="542">
        <v>-3549</v>
      </c>
      <c r="BL257" s="542">
        <v>0</v>
      </c>
      <c r="BM257" s="542">
        <v>-3549</v>
      </c>
      <c r="BN257" s="542">
        <v>-1834453</v>
      </c>
      <c r="BO257" s="542">
        <v>0</v>
      </c>
      <c r="BP257" s="542">
        <v>-1834453</v>
      </c>
      <c r="BQ257" s="542">
        <v>-107455</v>
      </c>
      <c r="BR257" s="542">
        <v>0</v>
      </c>
      <c r="BS257" s="542">
        <v>-107455</v>
      </c>
      <c r="BT257" s="542">
        <v>-1951359</v>
      </c>
      <c r="BU257" s="542">
        <v>0</v>
      </c>
      <c r="BV257" s="542">
        <v>-1951359</v>
      </c>
      <c r="BW257" s="542">
        <v>-71699</v>
      </c>
      <c r="BX257" s="542">
        <v>0</v>
      </c>
      <c r="BY257" s="542">
        <v>-71699</v>
      </c>
      <c r="BZ257" s="542">
        <v>-952</v>
      </c>
      <c r="CA257" s="542">
        <v>0</v>
      </c>
      <c r="CB257" s="542">
        <v>-952</v>
      </c>
      <c r="CC257" s="542">
        <v>-5262</v>
      </c>
      <c r="CD257" s="542">
        <v>0</v>
      </c>
      <c r="CE257" s="542">
        <v>-5262</v>
      </c>
      <c r="CF257" s="542">
        <v>0</v>
      </c>
      <c r="CG257" s="542">
        <v>0</v>
      </c>
      <c r="CH257" s="542">
        <v>0</v>
      </c>
      <c r="CI257" s="542">
        <v>-3711</v>
      </c>
      <c r="CJ257" s="542">
        <v>0</v>
      </c>
      <c r="CK257" s="542">
        <v>-3711</v>
      </c>
      <c r="CL257" s="542">
        <v>0</v>
      </c>
      <c r="CM257" s="542">
        <v>0</v>
      </c>
      <c r="CN257" s="542">
        <v>0</v>
      </c>
      <c r="CO257" s="542">
        <v>0</v>
      </c>
      <c r="CP257" s="542">
        <v>0</v>
      </c>
      <c r="CQ257" s="542">
        <v>0</v>
      </c>
      <c r="CR257" s="542">
        <v>0</v>
      </c>
      <c r="CS257" s="542">
        <v>0</v>
      </c>
      <c r="CT257" s="542">
        <v>0</v>
      </c>
      <c r="CU257" s="542">
        <v>0</v>
      </c>
      <c r="CV257" s="542">
        <v>0</v>
      </c>
      <c r="CW257" s="542">
        <v>0</v>
      </c>
      <c r="CX257" s="542">
        <v>0</v>
      </c>
      <c r="CY257" s="542">
        <v>0</v>
      </c>
      <c r="CZ257" s="542">
        <v>0</v>
      </c>
      <c r="DA257" s="542">
        <v>0</v>
      </c>
      <c r="DB257" s="542">
        <v>0</v>
      </c>
      <c r="DC257" s="542">
        <v>0</v>
      </c>
      <c r="DD257" s="542">
        <v>0</v>
      </c>
      <c r="DE257" s="542">
        <v>0</v>
      </c>
      <c r="DF257" s="542">
        <v>0</v>
      </c>
      <c r="DG257" s="542"/>
      <c r="DH257" s="542">
        <v>0</v>
      </c>
      <c r="DI257" s="542"/>
      <c r="DJ257" s="542">
        <v>0</v>
      </c>
      <c r="DK257" s="542"/>
      <c r="DL257" s="542"/>
      <c r="DM257" s="542">
        <v>-81624</v>
      </c>
      <c r="DN257" s="542">
        <v>0</v>
      </c>
      <c r="DO257" s="542">
        <v>-81624</v>
      </c>
      <c r="DP257" s="542">
        <v>-58979</v>
      </c>
      <c r="DQ257" s="542">
        <v>0</v>
      </c>
      <c r="DR257" s="542">
        <v>-58979</v>
      </c>
      <c r="DS257" s="542">
        <v>0</v>
      </c>
      <c r="DT257" s="542">
        <v>0</v>
      </c>
      <c r="DU257" s="542">
        <v>0</v>
      </c>
      <c r="DV257" s="542">
        <v>0</v>
      </c>
      <c r="DW257" s="542">
        <v>0</v>
      </c>
      <c r="DX257" s="542">
        <v>0</v>
      </c>
      <c r="DY257" s="542">
        <v>-582775</v>
      </c>
      <c r="DZ257" s="542">
        <v>0</v>
      </c>
      <c r="EA257" s="542">
        <v>-582775</v>
      </c>
      <c r="EB257" s="542">
        <v>0</v>
      </c>
      <c r="EC257" s="542">
        <v>0</v>
      </c>
      <c r="ED257" s="542">
        <v>0</v>
      </c>
      <c r="EE257" s="542">
        <v>0</v>
      </c>
      <c r="EF257" s="542">
        <v>0</v>
      </c>
      <c r="EG257" s="542">
        <v>0</v>
      </c>
      <c r="EH257" s="542">
        <v>-641754</v>
      </c>
      <c r="EI257" s="542">
        <v>0</v>
      </c>
      <c r="EJ257" s="542">
        <v>-641754</v>
      </c>
      <c r="EK257" s="542">
        <v>0</v>
      </c>
      <c r="EL257" s="542">
        <v>0</v>
      </c>
      <c r="EM257" s="542">
        <v>0</v>
      </c>
      <c r="EN257" s="542">
        <v>0</v>
      </c>
      <c r="EO257" s="542">
        <v>0</v>
      </c>
      <c r="EP257" s="542">
        <v>0</v>
      </c>
      <c r="EQ257" s="542">
        <v>0</v>
      </c>
      <c r="ER257" s="542">
        <v>0</v>
      </c>
      <c r="ES257" s="542">
        <v>0</v>
      </c>
      <c r="ET257" s="542">
        <v>55740883</v>
      </c>
      <c r="EU257" s="542">
        <v>0</v>
      </c>
      <c r="EV257" s="542">
        <v>55740883</v>
      </c>
      <c r="EW257" s="542">
        <v>-211095</v>
      </c>
      <c r="EX257" s="542">
        <v>0</v>
      </c>
      <c r="EY257" s="542">
        <v>-211095</v>
      </c>
      <c r="EZ257" s="542">
        <v>-7592388</v>
      </c>
      <c r="FA257" s="542">
        <v>0</v>
      </c>
      <c r="FB257" s="542">
        <v>-7592388</v>
      </c>
      <c r="FC257" s="542">
        <v>-1951359</v>
      </c>
      <c r="FD257" s="542">
        <v>0</v>
      </c>
      <c r="FE257" s="542">
        <v>-1951359</v>
      </c>
      <c r="FF257" s="542">
        <v>-81624</v>
      </c>
      <c r="FG257" s="542">
        <v>0</v>
      </c>
      <c r="FH257" s="542">
        <v>-81624</v>
      </c>
      <c r="FI257" s="542">
        <v>-641754</v>
      </c>
      <c r="FJ257" s="542">
        <v>0</v>
      </c>
      <c r="FK257" s="542">
        <v>-641754</v>
      </c>
      <c r="FL257" s="542">
        <v>0</v>
      </c>
      <c r="FM257" s="542">
        <v>0</v>
      </c>
      <c r="FN257" s="542">
        <v>0</v>
      </c>
      <c r="FO257" s="542">
        <v>-10478220</v>
      </c>
      <c r="FP257" s="542">
        <v>0</v>
      </c>
      <c r="FQ257" s="542">
        <v>-10478220</v>
      </c>
      <c r="FR257" s="542">
        <v>45262663</v>
      </c>
      <c r="FS257" s="542">
        <v>0</v>
      </c>
      <c r="FT257" s="542">
        <v>45262663</v>
      </c>
    </row>
    <row r="258" spans="1:176" ht="12.75" x14ac:dyDescent="0.2">
      <c r="A258" s="93">
        <v>253</v>
      </c>
      <c r="B258" s="145" t="s">
        <v>384</v>
      </c>
      <c r="C258" s="604" t="s">
        <v>877</v>
      </c>
      <c r="D258" s="142" t="s">
        <v>872</v>
      </c>
      <c r="E258" s="149" t="s">
        <v>383</v>
      </c>
      <c r="F258" s="542">
        <v>-277868</v>
      </c>
      <c r="G258" s="542">
        <v>0</v>
      </c>
      <c r="H258" s="542">
        <v>-277868</v>
      </c>
      <c r="I258" s="542">
        <v>786886</v>
      </c>
      <c r="J258" s="542">
        <v>0</v>
      </c>
      <c r="K258" s="542">
        <v>786886</v>
      </c>
      <c r="L258" s="542">
        <v>20515</v>
      </c>
      <c r="M258" s="542">
        <v>0</v>
      </c>
      <c r="N258" s="542">
        <v>20515</v>
      </c>
      <c r="O258" s="542">
        <v>6261</v>
      </c>
      <c r="P258" s="542">
        <v>0</v>
      </c>
      <c r="Q258" s="542">
        <v>6261</v>
      </c>
      <c r="R258" s="542">
        <v>535794</v>
      </c>
      <c r="S258" s="542">
        <v>0</v>
      </c>
      <c r="T258" s="542">
        <v>535794</v>
      </c>
      <c r="U258" s="542">
        <v>-5492066</v>
      </c>
      <c r="V258" s="542">
        <v>0</v>
      </c>
      <c r="W258" s="542">
        <v>-5492066</v>
      </c>
      <c r="X258" s="542">
        <v>-9511</v>
      </c>
      <c r="Y258" s="542">
        <v>0</v>
      </c>
      <c r="Z258" s="542">
        <v>-9511</v>
      </c>
      <c r="AA258" s="542">
        <v>-374983</v>
      </c>
      <c r="AB258" s="542">
        <v>0</v>
      </c>
      <c r="AC258" s="542">
        <v>-374983</v>
      </c>
      <c r="AD258" s="542">
        <v>-160072.01999999999</v>
      </c>
      <c r="AE258" s="542">
        <v>0</v>
      </c>
      <c r="AF258" s="542">
        <v>-160072.01999999999</v>
      </c>
      <c r="AG258" s="542">
        <v>5090885</v>
      </c>
      <c r="AH258" s="542">
        <v>0</v>
      </c>
      <c r="AI258" s="542">
        <v>5090885</v>
      </c>
      <c r="AJ258" s="542">
        <v>151899</v>
      </c>
      <c r="AK258" s="542">
        <v>0</v>
      </c>
      <c r="AL258" s="542">
        <v>151899</v>
      </c>
      <c r="AM258" s="542">
        <v>-24219947</v>
      </c>
      <c r="AN258" s="542">
        <v>0</v>
      </c>
      <c r="AO258" s="542">
        <v>-24219947</v>
      </c>
      <c r="AP258" s="542">
        <v>-127276</v>
      </c>
      <c r="AQ258" s="542">
        <v>0</v>
      </c>
      <c r="AR258" s="542">
        <v>-127276</v>
      </c>
      <c r="AS258" s="542">
        <v>-44014</v>
      </c>
      <c r="AT258" s="542">
        <v>0</v>
      </c>
      <c r="AU258" s="542">
        <v>-44014</v>
      </c>
      <c r="AV258" s="542">
        <v>32626</v>
      </c>
      <c r="AW258" s="542">
        <v>0</v>
      </c>
      <c r="AX258" s="542">
        <v>32626</v>
      </c>
      <c r="AY258" s="542">
        <v>0</v>
      </c>
      <c r="AZ258" s="542">
        <v>0</v>
      </c>
      <c r="BA258" s="542">
        <v>0</v>
      </c>
      <c r="BB258" s="542">
        <v>0</v>
      </c>
      <c r="BC258" s="542">
        <v>0</v>
      </c>
      <c r="BD258" s="542">
        <v>0</v>
      </c>
      <c r="BE258" s="542">
        <v>-24982876</v>
      </c>
      <c r="BF258" s="542">
        <v>0</v>
      </c>
      <c r="BG258" s="542">
        <v>-24982876</v>
      </c>
      <c r="BH258" s="542">
        <v>-2194337</v>
      </c>
      <c r="BI258" s="542">
        <v>0</v>
      </c>
      <c r="BJ258" s="542">
        <v>-2194337</v>
      </c>
      <c r="BK258" s="542">
        <v>-1382437</v>
      </c>
      <c r="BL258" s="542">
        <v>0</v>
      </c>
      <c r="BM258" s="542">
        <v>-1382437</v>
      </c>
      <c r="BN258" s="542">
        <v>-7168313</v>
      </c>
      <c r="BO258" s="542">
        <v>0</v>
      </c>
      <c r="BP258" s="542">
        <v>-7168313</v>
      </c>
      <c r="BQ258" s="542">
        <v>1146292</v>
      </c>
      <c r="BR258" s="542">
        <v>0</v>
      </c>
      <c r="BS258" s="542">
        <v>1146292</v>
      </c>
      <c r="BT258" s="542">
        <v>-9598795</v>
      </c>
      <c r="BU258" s="542">
        <v>0</v>
      </c>
      <c r="BV258" s="542">
        <v>-9598795</v>
      </c>
      <c r="BW258" s="542">
        <v>-423307</v>
      </c>
      <c r="BX258" s="542">
        <v>0</v>
      </c>
      <c r="BY258" s="542">
        <v>-423307</v>
      </c>
      <c r="BZ258" s="542">
        <v>-15505</v>
      </c>
      <c r="CA258" s="542">
        <v>0</v>
      </c>
      <c r="CB258" s="542">
        <v>-15505</v>
      </c>
      <c r="CC258" s="542">
        <v>-37732</v>
      </c>
      <c r="CD258" s="542">
        <v>0</v>
      </c>
      <c r="CE258" s="542">
        <v>-37732</v>
      </c>
      <c r="CF258" s="542">
        <v>-6921</v>
      </c>
      <c r="CG258" s="542">
        <v>0</v>
      </c>
      <c r="CH258" s="542">
        <v>-6921</v>
      </c>
      <c r="CI258" s="542">
        <v>0</v>
      </c>
      <c r="CJ258" s="542">
        <v>0</v>
      </c>
      <c r="CK258" s="542">
        <v>0</v>
      </c>
      <c r="CL258" s="542">
        <v>0</v>
      </c>
      <c r="CM258" s="542">
        <v>0</v>
      </c>
      <c r="CN258" s="542">
        <v>0</v>
      </c>
      <c r="CO258" s="542">
        <v>0</v>
      </c>
      <c r="CP258" s="542">
        <v>0</v>
      </c>
      <c r="CQ258" s="542">
        <v>0</v>
      </c>
      <c r="CR258" s="542">
        <v>0</v>
      </c>
      <c r="CS258" s="542">
        <v>0</v>
      </c>
      <c r="CT258" s="542">
        <v>0</v>
      </c>
      <c r="CU258" s="542">
        <v>0</v>
      </c>
      <c r="CV258" s="542">
        <v>0</v>
      </c>
      <c r="CW258" s="542">
        <v>0</v>
      </c>
      <c r="CX258" s="542">
        <v>0</v>
      </c>
      <c r="CY258" s="542">
        <v>0</v>
      </c>
      <c r="CZ258" s="542">
        <v>0</v>
      </c>
      <c r="DA258" s="542">
        <v>0</v>
      </c>
      <c r="DB258" s="542">
        <v>0</v>
      </c>
      <c r="DC258" s="542">
        <v>0</v>
      </c>
      <c r="DD258" s="542">
        <v>0</v>
      </c>
      <c r="DE258" s="542">
        <v>0</v>
      </c>
      <c r="DF258" s="542">
        <v>0</v>
      </c>
      <c r="DG258" s="542"/>
      <c r="DH258" s="542">
        <v>0</v>
      </c>
      <c r="DI258" s="542"/>
      <c r="DJ258" s="542">
        <v>0</v>
      </c>
      <c r="DK258" s="542"/>
      <c r="DL258" s="542"/>
      <c r="DM258" s="542">
        <v>-483465</v>
      </c>
      <c r="DN258" s="542">
        <v>0</v>
      </c>
      <c r="DO258" s="542">
        <v>-483465</v>
      </c>
      <c r="DP258" s="542">
        <v>0</v>
      </c>
      <c r="DQ258" s="542">
        <v>0</v>
      </c>
      <c r="DR258" s="542">
        <v>0</v>
      </c>
      <c r="DS258" s="542">
        <v>0</v>
      </c>
      <c r="DT258" s="542">
        <v>0</v>
      </c>
      <c r="DU258" s="542">
        <v>0</v>
      </c>
      <c r="DV258" s="542">
        <v>-9104</v>
      </c>
      <c r="DW258" s="542">
        <v>0</v>
      </c>
      <c r="DX258" s="542">
        <v>-9104</v>
      </c>
      <c r="DY258" s="542">
        <v>-691723</v>
      </c>
      <c r="DZ258" s="542">
        <v>0</v>
      </c>
      <c r="EA258" s="542">
        <v>-691723</v>
      </c>
      <c r="EB258" s="542">
        <v>0</v>
      </c>
      <c r="EC258" s="542">
        <v>0</v>
      </c>
      <c r="ED258" s="542">
        <v>0</v>
      </c>
      <c r="EE258" s="542">
        <v>0</v>
      </c>
      <c r="EF258" s="542">
        <v>0</v>
      </c>
      <c r="EG258" s="542">
        <v>0</v>
      </c>
      <c r="EH258" s="542">
        <v>-700827</v>
      </c>
      <c r="EI258" s="542">
        <v>0</v>
      </c>
      <c r="EJ258" s="542">
        <v>-700827</v>
      </c>
      <c r="EK258" s="542">
        <v>0</v>
      </c>
      <c r="EL258" s="542">
        <v>0</v>
      </c>
      <c r="EM258" s="542">
        <v>0</v>
      </c>
      <c r="EN258" s="542">
        <v>54</v>
      </c>
      <c r="EO258" s="542">
        <v>0</v>
      </c>
      <c r="EP258" s="542">
        <v>54</v>
      </c>
      <c r="EQ258" s="542">
        <v>54</v>
      </c>
      <c r="ER258" s="542">
        <v>0</v>
      </c>
      <c r="ES258" s="542">
        <v>54</v>
      </c>
      <c r="ET258" s="542">
        <v>238208582</v>
      </c>
      <c r="EU258" s="542">
        <v>0</v>
      </c>
      <c r="EV258" s="542">
        <v>238208582</v>
      </c>
      <c r="EW258" s="542">
        <v>535794</v>
      </c>
      <c r="EX258" s="542">
        <v>0</v>
      </c>
      <c r="EY258" s="542">
        <v>535794</v>
      </c>
      <c r="EZ258" s="542">
        <v>-24982876</v>
      </c>
      <c r="FA258" s="542">
        <v>0</v>
      </c>
      <c r="FB258" s="542">
        <v>-24982876</v>
      </c>
      <c r="FC258" s="542">
        <v>-9598795</v>
      </c>
      <c r="FD258" s="542">
        <v>0</v>
      </c>
      <c r="FE258" s="542">
        <v>-9598795</v>
      </c>
      <c r="FF258" s="542">
        <v>-483465</v>
      </c>
      <c r="FG258" s="542">
        <v>0</v>
      </c>
      <c r="FH258" s="542">
        <v>-483465</v>
      </c>
      <c r="FI258" s="542">
        <v>-700827</v>
      </c>
      <c r="FJ258" s="542">
        <v>0</v>
      </c>
      <c r="FK258" s="542">
        <v>-700827</v>
      </c>
      <c r="FL258" s="542">
        <v>54</v>
      </c>
      <c r="FM258" s="542">
        <v>0</v>
      </c>
      <c r="FN258" s="542">
        <v>54</v>
      </c>
      <c r="FO258" s="542">
        <v>-35230115</v>
      </c>
      <c r="FP258" s="542">
        <v>0</v>
      </c>
      <c r="FQ258" s="542">
        <v>-35230115</v>
      </c>
      <c r="FR258" s="542">
        <v>202978467</v>
      </c>
      <c r="FS258" s="542">
        <v>0</v>
      </c>
      <c r="FT258" s="542">
        <v>202978467</v>
      </c>
    </row>
    <row r="259" spans="1:176" ht="12.75" x14ac:dyDescent="0.2">
      <c r="A259" s="93">
        <v>254</v>
      </c>
      <c r="B259" s="145" t="s">
        <v>386</v>
      </c>
      <c r="C259" s="604" t="s">
        <v>866</v>
      </c>
      <c r="D259" s="142" t="s">
        <v>867</v>
      </c>
      <c r="E259" s="149" t="s">
        <v>385</v>
      </c>
      <c r="F259" s="542">
        <v>-16582</v>
      </c>
      <c r="G259" s="542">
        <v>0</v>
      </c>
      <c r="H259" s="542">
        <v>-16582</v>
      </c>
      <c r="I259" s="542">
        <v>-9027</v>
      </c>
      <c r="J259" s="542">
        <v>0</v>
      </c>
      <c r="K259" s="542">
        <v>-9027</v>
      </c>
      <c r="L259" s="542">
        <v>5229</v>
      </c>
      <c r="M259" s="542">
        <v>0</v>
      </c>
      <c r="N259" s="542">
        <v>5229</v>
      </c>
      <c r="O259" s="542">
        <v>-30391</v>
      </c>
      <c r="P259" s="542">
        <v>0</v>
      </c>
      <c r="Q259" s="542">
        <v>-30391</v>
      </c>
      <c r="R259" s="542">
        <v>-50771</v>
      </c>
      <c r="S259" s="542">
        <v>0</v>
      </c>
      <c r="T259" s="542">
        <v>-50771</v>
      </c>
      <c r="U259" s="542">
        <v>-1231097</v>
      </c>
      <c r="V259" s="542">
        <v>0</v>
      </c>
      <c r="W259" s="542">
        <v>-1231097</v>
      </c>
      <c r="X259" s="542">
        <v>0</v>
      </c>
      <c r="Y259" s="542">
        <v>0</v>
      </c>
      <c r="Z259" s="542">
        <v>0</v>
      </c>
      <c r="AA259" s="542">
        <v>-152723</v>
      </c>
      <c r="AB259" s="542">
        <v>0</v>
      </c>
      <c r="AC259" s="542">
        <v>-152723</v>
      </c>
      <c r="AD259" s="542">
        <v>0</v>
      </c>
      <c r="AE259" s="542">
        <v>0</v>
      </c>
      <c r="AF259" s="542">
        <v>0</v>
      </c>
      <c r="AG259" s="542">
        <v>1017081</v>
      </c>
      <c r="AH259" s="542">
        <v>0</v>
      </c>
      <c r="AI259" s="542">
        <v>1017081</v>
      </c>
      <c r="AJ259" s="542">
        <v>-4505</v>
      </c>
      <c r="AK259" s="542">
        <v>0</v>
      </c>
      <c r="AL259" s="542">
        <v>-4505</v>
      </c>
      <c r="AM259" s="542">
        <v>-1709531</v>
      </c>
      <c r="AN259" s="542">
        <v>0</v>
      </c>
      <c r="AO259" s="542">
        <v>-1709531</v>
      </c>
      <c r="AP259" s="542">
        <v>27905</v>
      </c>
      <c r="AQ259" s="542">
        <v>0</v>
      </c>
      <c r="AR259" s="542">
        <v>27905</v>
      </c>
      <c r="AS259" s="542">
        <v>-28920</v>
      </c>
      <c r="AT259" s="542">
        <v>0</v>
      </c>
      <c r="AU259" s="542">
        <v>-28920</v>
      </c>
      <c r="AV259" s="542">
        <v>0</v>
      </c>
      <c r="AW259" s="542">
        <v>0</v>
      </c>
      <c r="AX259" s="542">
        <v>0</v>
      </c>
      <c r="AY259" s="542">
        <v>0</v>
      </c>
      <c r="AZ259" s="542">
        <v>0</v>
      </c>
      <c r="BA259" s="542">
        <v>0</v>
      </c>
      <c r="BB259" s="542">
        <v>0</v>
      </c>
      <c r="BC259" s="542">
        <v>0</v>
      </c>
      <c r="BD259" s="542">
        <v>0</v>
      </c>
      <c r="BE259" s="542">
        <v>-2081790</v>
      </c>
      <c r="BF259" s="542">
        <v>0</v>
      </c>
      <c r="BG259" s="542">
        <v>-2081790</v>
      </c>
      <c r="BH259" s="542">
        <v>-84996</v>
      </c>
      <c r="BI259" s="542">
        <v>0</v>
      </c>
      <c r="BJ259" s="542">
        <v>-84996</v>
      </c>
      <c r="BK259" s="542">
        <v>-39168</v>
      </c>
      <c r="BL259" s="542">
        <v>0</v>
      </c>
      <c r="BM259" s="542">
        <v>-39168</v>
      </c>
      <c r="BN259" s="542">
        <v>-2010700</v>
      </c>
      <c r="BO259" s="542">
        <v>0</v>
      </c>
      <c r="BP259" s="542">
        <v>-2010700</v>
      </c>
      <c r="BQ259" s="542">
        <v>-270655</v>
      </c>
      <c r="BR259" s="542">
        <v>0</v>
      </c>
      <c r="BS259" s="542">
        <v>-270655</v>
      </c>
      <c r="BT259" s="542">
        <v>-2405519</v>
      </c>
      <c r="BU259" s="542">
        <v>0</v>
      </c>
      <c r="BV259" s="542">
        <v>-2405519</v>
      </c>
      <c r="BW259" s="542">
        <v>-48345</v>
      </c>
      <c r="BX259" s="542">
        <v>0</v>
      </c>
      <c r="BY259" s="542">
        <v>-48345</v>
      </c>
      <c r="BZ259" s="542">
        <v>2436</v>
      </c>
      <c r="CA259" s="542">
        <v>0</v>
      </c>
      <c r="CB259" s="542">
        <v>2436</v>
      </c>
      <c r="CC259" s="542">
        <v>-44879</v>
      </c>
      <c r="CD259" s="542">
        <v>0</v>
      </c>
      <c r="CE259" s="542">
        <v>-44879</v>
      </c>
      <c r="CF259" s="542">
        <v>0</v>
      </c>
      <c r="CG259" s="542">
        <v>0</v>
      </c>
      <c r="CH259" s="542">
        <v>0</v>
      </c>
      <c r="CI259" s="542">
        <v>-6603</v>
      </c>
      <c r="CJ259" s="542">
        <v>0</v>
      </c>
      <c r="CK259" s="542">
        <v>-6603</v>
      </c>
      <c r="CL259" s="542">
        <v>0</v>
      </c>
      <c r="CM259" s="542">
        <v>0</v>
      </c>
      <c r="CN259" s="542">
        <v>0</v>
      </c>
      <c r="CO259" s="542">
        <v>0</v>
      </c>
      <c r="CP259" s="542">
        <v>0</v>
      </c>
      <c r="CQ259" s="542">
        <v>0</v>
      </c>
      <c r="CR259" s="542">
        <v>0</v>
      </c>
      <c r="CS259" s="542">
        <v>0</v>
      </c>
      <c r="CT259" s="542">
        <v>0</v>
      </c>
      <c r="CU259" s="542">
        <v>0</v>
      </c>
      <c r="CV259" s="542">
        <v>0</v>
      </c>
      <c r="CW259" s="542">
        <v>0</v>
      </c>
      <c r="CX259" s="542">
        <v>0</v>
      </c>
      <c r="CY259" s="542">
        <v>0</v>
      </c>
      <c r="CZ259" s="542">
        <v>0</v>
      </c>
      <c r="DA259" s="542">
        <v>0</v>
      </c>
      <c r="DB259" s="542">
        <v>0</v>
      </c>
      <c r="DC259" s="542">
        <v>0</v>
      </c>
      <c r="DD259" s="542">
        <v>0</v>
      </c>
      <c r="DE259" s="542">
        <v>0</v>
      </c>
      <c r="DF259" s="542">
        <v>0</v>
      </c>
      <c r="DG259" s="542"/>
      <c r="DH259" s="542">
        <v>0</v>
      </c>
      <c r="DI259" s="542"/>
      <c r="DJ259" s="542">
        <v>0</v>
      </c>
      <c r="DK259" s="542"/>
      <c r="DL259" s="542"/>
      <c r="DM259" s="542">
        <v>-97391</v>
      </c>
      <c r="DN259" s="542">
        <v>0</v>
      </c>
      <c r="DO259" s="542">
        <v>-97391</v>
      </c>
      <c r="DP259" s="542">
        <v>0</v>
      </c>
      <c r="DQ259" s="542">
        <v>0</v>
      </c>
      <c r="DR259" s="542">
        <v>0</v>
      </c>
      <c r="DS259" s="542">
        <v>0</v>
      </c>
      <c r="DT259" s="542">
        <v>0</v>
      </c>
      <c r="DU259" s="542">
        <v>0</v>
      </c>
      <c r="DV259" s="542">
        <v>0</v>
      </c>
      <c r="DW259" s="542">
        <v>0</v>
      </c>
      <c r="DX259" s="542">
        <v>0</v>
      </c>
      <c r="DY259" s="542">
        <v>-280703</v>
      </c>
      <c r="DZ259" s="542">
        <v>0</v>
      </c>
      <c r="EA259" s="542">
        <v>-280703</v>
      </c>
      <c r="EB259" s="542">
        <v>-57274</v>
      </c>
      <c r="EC259" s="542">
        <v>0</v>
      </c>
      <c r="ED259" s="542">
        <v>-57274</v>
      </c>
      <c r="EE259" s="542">
        <v>-103385</v>
      </c>
      <c r="EF259" s="542">
        <v>0</v>
      </c>
      <c r="EG259" s="542">
        <v>-103385</v>
      </c>
      <c r="EH259" s="542">
        <v>-441362</v>
      </c>
      <c r="EI259" s="542">
        <v>0</v>
      </c>
      <c r="EJ259" s="542">
        <v>-441362</v>
      </c>
      <c r="EK259" s="542">
        <v>0</v>
      </c>
      <c r="EL259" s="542">
        <v>0</v>
      </c>
      <c r="EM259" s="542">
        <v>0</v>
      </c>
      <c r="EN259" s="542">
        <v>0</v>
      </c>
      <c r="EO259" s="542">
        <v>0</v>
      </c>
      <c r="EP259" s="542">
        <v>0</v>
      </c>
      <c r="EQ259" s="542">
        <v>0</v>
      </c>
      <c r="ER259" s="542">
        <v>0</v>
      </c>
      <c r="ES259" s="542">
        <v>0</v>
      </c>
      <c r="ET259" s="542">
        <v>47656456</v>
      </c>
      <c r="EU259" s="542">
        <v>0</v>
      </c>
      <c r="EV259" s="542">
        <v>47656456</v>
      </c>
      <c r="EW259" s="542">
        <v>-50771</v>
      </c>
      <c r="EX259" s="542">
        <v>0</v>
      </c>
      <c r="EY259" s="542">
        <v>-50771</v>
      </c>
      <c r="EZ259" s="542">
        <v>-2081790</v>
      </c>
      <c r="FA259" s="542">
        <v>0</v>
      </c>
      <c r="FB259" s="542">
        <v>-2081790</v>
      </c>
      <c r="FC259" s="542">
        <v>-2405519</v>
      </c>
      <c r="FD259" s="542">
        <v>0</v>
      </c>
      <c r="FE259" s="542">
        <v>-2405519</v>
      </c>
      <c r="FF259" s="542">
        <v>-97391</v>
      </c>
      <c r="FG259" s="542">
        <v>0</v>
      </c>
      <c r="FH259" s="542">
        <v>-97391</v>
      </c>
      <c r="FI259" s="542">
        <v>-441362</v>
      </c>
      <c r="FJ259" s="542">
        <v>0</v>
      </c>
      <c r="FK259" s="542">
        <v>-441362</v>
      </c>
      <c r="FL259" s="542">
        <v>0</v>
      </c>
      <c r="FM259" s="542">
        <v>0</v>
      </c>
      <c r="FN259" s="542">
        <v>0</v>
      </c>
      <c r="FO259" s="542">
        <v>-5076833</v>
      </c>
      <c r="FP259" s="542">
        <v>0</v>
      </c>
      <c r="FQ259" s="542">
        <v>-5076833</v>
      </c>
      <c r="FR259" s="542">
        <v>42579623</v>
      </c>
      <c r="FS259" s="542">
        <v>0</v>
      </c>
      <c r="FT259" s="542">
        <v>42579623</v>
      </c>
    </row>
    <row r="260" spans="1:176" ht="12.75" x14ac:dyDescent="0.2">
      <c r="A260" s="93">
        <v>255</v>
      </c>
      <c r="B260" s="145" t="s">
        <v>388</v>
      </c>
      <c r="C260" s="604" t="s">
        <v>866</v>
      </c>
      <c r="D260" s="142" t="s">
        <v>870</v>
      </c>
      <c r="E260" s="149" t="s">
        <v>387</v>
      </c>
      <c r="F260" s="542">
        <v>-97250</v>
      </c>
      <c r="G260" s="542">
        <v>0</v>
      </c>
      <c r="H260" s="542">
        <v>-97250</v>
      </c>
      <c r="I260" s="542">
        <v>131171.29</v>
      </c>
      <c r="J260" s="542">
        <v>0</v>
      </c>
      <c r="K260" s="542">
        <v>131171.29</v>
      </c>
      <c r="L260" s="542">
        <v>5222</v>
      </c>
      <c r="M260" s="542">
        <v>0</v>
      </c>
      <c r="N260" s="542">
        <v>5222</v>
      </c>
      <c r="O260" s="542">
        <v>262335</v>
      </c>
      <c r="P260" s="542">
        <v>0</v>
      </c>
      <c r="Q260" s="542">
        <v>262335</v>
      </c>
      <c r="R260" s="542">
        <v>301478</v>
      </c>
      <c r="S260" s="542">
        <v>0</v>
      </c>
      <c r="T260" s="542">
        <v>301478</v>
      </c>
      <c r="U260" s="542">
        <v>-1806521</v>
      </c>
      <c r="V260" s="542">
        <v>0</v>
      </c>
      <c r="W260" s="542">
        <v>-1806521</v>
      </c>
      <c r="X260" s="542">
        <v>0</v>
      </c>
      <c r="Y260" s="542">
        <v>0</v>
      </c>
      <c r="Z260" s="542">
        <v>0</v>
      </c>
      <c r="AA260" s="542">
        <v>-158619</v>
      </c>
      <c r="AB260" s="542">
        <v>0</v>
      </c>
      <c r="AC260" s="542">
        <v>-158619</v>
      </c>
      <c r="AD260" s="542">
        <v>0</v>
      </c>
      <c r="AE260" s="542">
        <v>0</v>
      </c>
      <c r="AF260" s="542">
        <v>0</v>
      </c>
      <c r="AG260" s="542">
        <v>1506022</v>
      </c>
      <c r="AH260" s="542">
        <v>0</v>
      </c>
      <c r="AI260" s="542">
        <v>1506022</v>
      </c>
      <c r="AJ260" s="542">
        <v>-18058.05</v>
      </c>
      <c r="AK260" s="542">
        <v>0</v>
      </c>
      <c r="AL260" s="542">
        <v>-18058.05</v>
      </c>
      <c r="AM260" s="542">
        <v>-5336061</v>
      </c>
      <c r="AN260" s="542">
        <v>0</v>
      </c>
      <c r="AO260" s="542">
        <v>-5336061</v>
      </c>
      <c r="AP260" s="542">
        <v>174916</v>
      </c>
      <c r="AQ260" s="542">
        <v>0</v>
      </c>
      <c r="AR260" s="542">
        <v>174916</v>
      </c>
      <c r="AS260" s="542">
        <v>-130227</v>
      </c>
      <c r="AT260" s="542">
        <v>0</v>
      </c>
      <c r="AU260" s="542">
        <v>-130227</v>
      </c>
      <c r="AV260" s="542">
        <v>0</v>
      </c>
      <c r="AW260" s="542">
        <v>0</v>
      </c>
      <c r="AX260" s="542">
        <v>0</v>
      </c>
      <c r="AY260" s="542">
        <v>0</v>
      </c>
      <c r="AZ260" s="542">
        <v>0</v>
      </c>
      <c r="BA260" s="542">
        <v>0</v>
      </c>
      <c r="BB260" s="542">
        <v>0</v>
      </c>
      <c r="BC260" s="542">
        <v>0</v>
      </c>
      <c r="BD260" s="542">
        <v>0</v>
      </c>
      <c r="BE260" s="542">
        <v>-5768548</v>
      </c>
      <c r="BF260" s="542">
        <v>0</v>
      </c>
      <c r="BG260" s="542">
        <v>-5768548</v>
      </c>
      <c r="BH260" s="542">
        <v>-120882</v>
      </c>
      <c r="BI260" s="542">
        <v>0</v>
      </c>
      <c r="BJ260" s="542">
        <v>-120882</v>
      </c>
      <c r="BK260" s="542">
        <v>-68186</v>
      </c>
      <c r="BL260" s="542">
        <v>0</v>
      </c>
      <c r="BM260" s="542">
        <v>-68186</v>
      </c>
      <c r="BN260" s="542">
        <v>-837529</v>
      </c>
      <c r="BO260" s="542">
        <v>0</v>
      </c>
      <c r="BP260" s="542">
        <v>-837529</v>
      </c>
      <c r="BQ260" s="542">
        <v>1435644.73</v>
      </c>
      <c r="BR260" s="542">
        <v>0</v>
      </c>
      <c r="BS260" s="542">
        <v>1435644.73</v>
      </c>
      <c r="BT260" s="542">
        <v>409048</v>
      </c>
      <c r="BU260" s="542">
        <v>0</v>
      </c>
      <c r="BV260" s="542">
        <v>409048</v>
      </c>
      <c r="BW260" s="542">
        <v>-125920</v>
      </c>
      <c r="BX260" s="542">
        <v>0</v>
      </c>
      <c r="BY260" s="542">
        <v>-125920</v>
      </c>
      <c r="BZ260" s="542">
        <v>-39076.17</v>
      </c>
      <c r="CA260" s="542">
        <v>0</v>
      </c>
      <c r="CB260" s="542">
        <v>-39076.17</v>
      </c>
      <c r="CC260" s="542">
        <v>-20993</v>
      </c>
      <c r="CD260" s="542">
        <v>0</v>
      </c>
      <c r="CE260" s="542">
        <v>-20993</v>
      </c>
      <c r="CF260" s="542">
        <v>-394</v>
      </c>
      <c r="CG260" s="542">
        <v>0</v>
      </c>
      <c r="CH260" s="542">
        <v>-394</v>
      </c>
      <c r="CI260" s="542">
        <v>-1133</v>
      </c>
      <c r="CJ260" s="542">
        <v>0</v>
      </c>
      <c r="CK260" s="542">
        <v>-1133</v>
      </c>
      <c r="CL260" s="542">
        <v>0</v>
      </c>
      <c r="CM260" s="542">
        <v>0</v>
      </c>
      <c r="CN260" s="542">
        <v>0</v>
      </c>
      <c r="CO260" s="542">
        <v>0</v>
      </c>
      <c r="CP260" s="542">
        <v>0</v>
      </c>
      <c r="CQ260" s="542">
        <v>0</v>
      </c>
      <c r="CR260" s="542">
        <v>0</v>
      </c>
      <c r="CS260" s="542">
        <v>0</v>
      </c>
      <c r="CT260" s="542">
        <v>0</v>
      </c>
      <c r="CU260" s="542">
        <v>0</v>
      </c>
      <c r="CV260" s="542">
        <v>0</v>
      </c>
      <c r="CW260" s="542">
        <v>0</v>
      </c>
      <c r="CX260" s="542">
        <v>0</v>
      </c>
      <c r="CY260" s="542">
        <v>0</v>
      </c>
      <c r="CZ260" s="542">
        <v>0</v>
      </c>
      <c r="DA260" s="542">
        <v>0</v>
      </c>
      <c r="DB260" s="542">
        <v>0</v>
      </c>
      <c r="DC260" s="542">
        <v>0</v>
      </c>
      <c r="DD260" s="542">
        <v>0</v>
      </c>
      <c r="DE260" s="542">
        <v>0</v>
      </c>
      <c r="DF260" s="542">
        <v>0</v>
      </c>
      <c r="DG260" s="542"/>
      <c r="DH260" s="542">
        <v>0</v>
      </c>
      <c r="DI260" s="542"/>
      <c r="DJ260" s="542">
        <v>0</v>
      </c>
      <c r="DK260" s="542"/>
      <c r="DL260" s="542"/>
      <c r="DM260" s="542">
        <v>-187516</v>
      </c>
      <c r="DN260" s="542">
        <v>0</v>
      </c>
      <c r="DO260" s="542">
        <v>-187516</v>
      </c>
      <c r="DP260" s="542">
        <v>0</v>
      </c>
      <c r="DQ260" s="542">
        <v>0</v>
      </c>
      <c r="DR260" s="542">
        <v>0</v>
      </c>
      <c r="DS260" s="542">
        <v>0</v>
      </c>
      <c r="DT260" s="542">
        <v>0</v>
      </c>
      <c r="DU260" s="542">
        <v>0</v>
      </c>
      <c r="DV260" s="542">
        <v>-8794</v>
      </c>
      <c r="DW260" s="542">
        <v>0</v>
      </c>
      <c r="DX260" s="542">
        <v>-8794</v>
      </c>
      <c r="DY260" s="542">
        <v>-761741</v>
      </c>
      <c r="DZ260" s="542">
        <v>0</v>
      </c>
      <c r="EA260" s="542">
        <v>-761741</v>
      </c>
      <c r="EB260" s="542">
        <v>0</v>
      </c>
      <c r="EC260" s="542">
        <v>0</v>
      </c>
      <c r="ED260" s="542">
        <v>0</v>
      </c>
      <c r="EE260" s="542">
        <v>0</v>
      </c>
      <c r="EF260" s="542">
        <v>0</v>
      </c>
      <c r="EG260" s="542">
        <v>0</v>
      </c>
      <c r="EH260" s="542">
        <v>-770535</v>
      </c>
      <c r="EI260" s="542">
        <v>0</v>
      </c>
      <c r="EJ260" s="542">
        <v>-770535</v>
      </c>
      <c r="EK260" s="542">
        <v>0</v>
      </c>
      <c r="EL260" s="542">
        <v>0</v>
      </c>
      <c r="EM260" s="542">
        <v>0</v>
      </c>
      <c r="EN260" s="542">
        <v>-3503</v>
      </c>
      <c r="EO260" s="542">
        <v>0</v>
      </c>
      <c r="EP260" s="542">
        <v>-3503</v>
      </c>
      <c r="EQ260" s="542">
        <v>-3503</v>
      </c>
      <c r="ER260" s="542">
        <v>0</v>
      </c>
      <c r="ES260" s="542">
        <v>-3503</v>
      </c>
      <c r="ET260" s="542">
        <v>67641795</v>
      </c>
      <c r="EU260" s="542">
        <v>0</v>
      </c>
      <c r="EV260" s="542">
        <v>67641795</v>
      </c>
      <c r="EW260" s="542">
        <v>301478</v>
      </c>
      <c r="EX260" s="542">
        <v>0</v>
      </c>
      <c r="EY260" s="542">
        <v>301478</v>
      </c>
      <c r="EZ260" s="542">
        <v>-5768548</v>
      </c>
      <c r="FA260" s="542">
        <v>0</v>
      </c>
      <c r="FB260" s="542">
        <v>-5768548</v>
      </c>
      <c r="FC260" s="542">
        <v>409048</v>
      </c>
      <c r="FD260" s="542">
        <v>0</v>
      </c>
      <c r="FE260" s="542">
        <v>409048</v>
      </c>
      <c r="FF260" s="542">
        <v>-187516</v>
      </c>
      <c r="FG260" s="542">
        <v>0</v>
      </c>
      <c r="FH260" s="542">
        <v>-187516</v>
      </c>
      <c r="FI260" s="542">
        <v>-770535</v>
      </c>
      <c r="FJ260" s="542">
        <v>0</v>
      </c>
      <c r="FK260" s="542">
        <v>-770535</v>
      </c>
      <c r="FL260" s="542">
        <v>-3503</v>
      </c>
      <c r="FM260" s="542">
        <v>0</v>
      </c>
      <c r="FN260" s="542">
        <v>-3503</v>
      </c>
      <c r="FO260" s="542">
        <v>-6019576</v>
      </c>
      <c r="FP260" s="542">
        <v>0</v>
      </c>
      <c r="FQ260" s="542">
        <v>-6019576</v>
      </c>
      <c r="FR260" s="542">
        <v>61622219</v>
      </c>
      <c r="FS260" s="542">
        <v>0</v>
      </c>
      <c r="FT260" s="542">
        <v>61622219</v>
      </c>
    </row>
    <row r="261" spans="1:176" ht="12.75" x14ac:dyDescent="0.2">
      <c r="A261" s="93">
        <v>256</v>
      </c>
      <c r="B261" s="145" t="s">
        <v>390</v>
      </c>
      <c r="C261" s="604" t="s">
        <v>866</v>
      </c>
      <c r="D261" s="142" t="s">
        <v>870</v>
      </c>
      <c r="E261" s="149" t="s">
        <v>389</v>
      </c>
      <c r="F261" s="542">
        <v>-35056</v>
      </c>
      <c r="G261" s="542">
        <v>0</v>
      </c>
      <c r="H261" s="542">
        <v>-35056</v>
      </c>
      <c r="I261" s="542">
        <v>34202</v>
      </c>
      <c r="J261" s="542">
        <v>0</v>
      </c>
      <c r="K261" s="542">
        <v>34202</v>
      </c>
      <c r="L261" s="542">
        <v>5020</v>
      </c>
      <c r="M261" s="542">
        <v>0</v>
      </c>
      <c r="N261" s="542">
        <v>5020</v>
      </c>
      <c r="O261" s="542">
        <v>26293</v>
      </c>
      <c r="P261" s="542">
        <v>0</v>
      </c>
      <c r="Q261" s="542">
        <v>26293</v>
      </c>
      <c r="R261" s="542">
        <v>30459</v>
      </c>
      <c r="S261" s="542">
        <v>0</v>
      </c>
      <c r="T261" s="542">
        <v>30459</v>
      </c>
      <c r="U261" s="542">
        <v>-1958520</v>
      </c>
      <c r="V261" s="542">
        <v>0</v>
      </c>
      <c r="W261" s="542">
        <v>-1958520</v>
      </c>
      <c r="X261" s="542">
        <v>-5112</v>
      </c>
      <c r="Y261" s="542">
        <v>0</v>
      </c>
      <c r="Z261" s="542">
        <v>-5112</v>
      </c>
      <c r="AA261" s="542">
        <v>-58109</v>
      </c>
      <c r="AB261" s="542">
        <v>0</v>
      </c>
      <c r="AC261" s="542">
        <v>-58109</v>
      </c>
      <c r="AD261" s="542">
        <v>-24475</v>
      </c>
      <c r="AE261" s="542">
        <v>0</v>
      </c>
      <c r="AF261" s="542">
        <v>-24475</v>
      </c>
      <c r="AG261" s="542">
        <v>1074640</v>
      </c>
      <c r="AH261" s="542">
        <v>0</v>
      </c>
      <c r="AI261" s="542">
        <v>1074640</v>
      </c>
      <c r="AJ261" s="542">
        <v>-552</v>
      </c>
      <c r="AK261" s="542">
        <v>0</v>
      </c>
      <c r="AL261" s="542">
        <v>-552</v>
      </c>
      <c r="AM261" s="542">
        <v>-2612639</v>
      </c>
      <c r="AN261" s="542">
        <v>0</v>
      </c>
      <c r="AO261" s="542">
        <v>-2612639</v>
      </c>
      <c r="AP261" s="542">
        <v>7989</v>
      </c>
      <c r="AQ261" s="542">
        <v>0</v>
      </c>
      <c r="AR261" s="542">
        <v>7989</v>
      </c>
      <c r="AS261" s="542">
        <v>-34000</v>
      </c>
      <c r="AT261" s="542">
        <v>0</v>
      </c>
      <c r="AU261" s="542">
        <v>-34000</v>
      </c>
      <c r="AV261" s="542">
        <v>0</v>
      </c>
      <c r="AW261" s="542">
        <v>0</v>
      </c>
      <c r="AX261" s="542">
        <v>0</v>
      </c>
      <c r="AY261" s="542">
        <v>-52742</v>
      </c>
      <c r="AZ261" s="542">
        <v>0</v>
      </c>
      <c r="BA261" s="542">
        <v>-52742</v>
      </c>
      <c r="BB261" s="542">
        <v>791</v>
      </c>
      <c r="BC261" s="542">
        <v>0</v>
      </c>
      <c r="BD261" s="542">
        <v>791</v>
      </c>
      <c r="BE261" s="542">
        <v>-3633142</v>
      </c>
      <c r="BF261" s="542">
        <v>0</v>
      </c>
      <c r="BG261" s="542">
        <v>-3633142</v>
      </c>
      <c r="BH261" s="542">
        <v>-18996</v>
      </c>
      <c r="BI261" s="542">
        <v>0</v>
      </c>
      <c r="BJ261" s="542">
        <v>-18996</v>
      </c>
      <c r="BK261" s="542">
        <v>-10884</v>
      </c>
      <c r="BL261" s="542">
        <v>0</v>
      </c>
      <c r="BM261" s="542">
        <v>-10884</v>
      </c>
      <c r="BN261" s="542">
        <v>-1008121</v>
      </c>
      <c r="BO261" s="542">
        <v>0</v>
      </c>
      <c r="BP261" s="542">
        <v>-1008121</v>
      </c>
      <c r="BQ261" s="542">
        <v>10664</v>
      </c>
      <c r="BR261" s="542">
        <v>0</v>
      </c>
      <c r="BS261" s="542">
        <v>10664</v>
      </c>
      <c r="BT261" s="542">
        <v>-1027337</v>
      </c>
      <c r="BU261" s="542">
        <v>0</v>
      </c>
      <c r="BV261" s="542">
        <v>-1027337</v>
      </c>
      <c r="BW261" s="542">
        <v>-103562</v>
      </c>
      <c r="BX261" s="542">
        <v>0</v>
      </c>
      <c r="BY261" s="542">
        <v>-103562</v>
      </c>
      <c r="BZ261" s="542">
        <v>-7958</v>
      </c>
      <c r="CA261" s="542">
        <v>0</v>
      </c>
      <c r="CB261" s="542">
        <v>-7958</v>
      </c>
      <c r="CC261" s="542">
        <v>-77349</v>
      </c>
      <c r="CD261" s="542">
        <v>0</v>
      </c>
      <c r="CE261" s="542">
        <v>-77349</v>
      </c>
      <c r="CF261" s="542">
        <v>177</v>
      </c>
      <c r="CG261" s="542">
        <v>0</v>
      </c>
      <c r="CH261" s="542">
        <v>177</v>
      </c>
      <c r="CI261" s="542">
        <v>-4185</v>
      </c>
      <c r="CJ261" s="542">
        <v>0</v>
      </c>
      <c r="CK261" s="542">
        <v>-4185</v>
      </c>
      <c r="CL261" s="542">
        <v>0</v>
      </c>
      <c r="CM261" s="542">
        <v>0</v>
      </c>
      <c r="CN261" s="542">
        <v>0</v>
      </c>
      <c r="CO261" s="542">
        <v>-21030</v>
      </c>
      <c r="CP261" s="542">
        <v>0</v>
      </c>
      <c r="CQ261" s="542">
        <v>-21030</v>
      </c>
      <c r="CR261" s="542">
        <v>28</v>
      </c>
      <c r="CS261" s="542">
        <v>0</v>
      </c>
      <c r="CT261" s="542">
        <v>28</v>
      </c>
      <c r="CU261" s="542">
        <v>-7898</v>
      </c>
      <c r="CV261" s="542">
        <v>0</v>
      </c>
      <c r="CW261" s="542">
        <v>-7898</v>
      </c>
      <c r="CX261" s="542">
        <v>0</v>
      </c>
      <c r="CY261" s="542">
        <v>0</v>
      </c>
      <c r="CZ261" s="542">
        <v>0</v>
      </c>
      <c r="DA261" s="542">
        <v>0</v>
      </c>
      <c r="DB261" s="542">
        <v>0</v>
      </c>
      <c r="DC261" s="542">
        <v>0</v>
      </c>
      <c r="DD261" s="542">
        <v>0</v>
      </c>
      <c r="DE261" s="542">
        <v>0</v>
      </c>
      <c r="DF261" s="542">
        <v>0</v>
      </c>
      <c r="DG261" s="542"/>
      <c r="DH261" s="542">
        <v>0</v>
      </c>
      <c r="DI261" s="542"/>
      <c r="DJ261" s="542">
        <v>0</v>
      </c>
      <c r="DK261" s="542"/>
      <c r="DL261" s="542"/>
      <c r="DM261" s="542">
        <v>-221777</v>
      </c>
      <c r="DN261" s="542">
        <v>0</v>
      </c>
      <c r="DO261" s="542">
        <v>-221777</v>
      </c>
      <c r="DP261" s="542">
        <v>-11488</v>
      </c>
      <c r="DQ261" s="542">
        <v>0</v>
      </c>
      <c r="DR261" s="542">
        <v>-11488</v>
      </c>
      <c r="DS261" s="542">
        <v>0</v>
      </c>
      <c r="DT261" s="542">
        <v>0</v>
      </c>
      <c r="DU261" s="542">
        <v>0</v>
      </c>
      <c r="DV261" s="542">
        <v>-2399</v>
      </c>
      <c r="DW261" s="542">
        <v>0</v>
      </c>
      <c r="DX261" s="542">
        <v>-2399</v>
      </c>
      <c r="DY261" s="542">
        <v>-502299</v>
      </c>
      <c r="DZ261" s="542">
        <v>0</v>
      </c>
      <c r="EA261" s="542">
        <v>-502299</v>
      </c>
      <c r="EB261" s="542">
        <v>0</v>
      </c>
      <c r="EC261" s="542">
        <v>0</v>
      </c>
      <c r="ED261" s="542">
        <v>0</v>
      </c>
      <c r="EE261" s="542">
        <v>0</v>
      </c>
      <c r="EF261" s="542">
        <v>0</v>
      </c>
      <c r="EG261" s="542">
        <v>0</v>
      </c>
      <c r="EH261" s="542">
        <v>-516186</v>
      </c>
      <c r="EI261" s="542">
        <v>0</v>
      </c>
      <c r="EJ261" s="542">
        <v>-516186</v>
      </c>
      <c r="EK261" s="542">
        <v>0</v>
      </c>
      <c r="EL261" s="542">
        <v>0</v>
      </c>
      <c r="EM261" s="542">
        <v>0</v>
      </c>
      <c r="EN261" s="542">
        <v>0</v>
      </c>
      <c r="EO261" s="542">
        <v>0</v>
      </c>
      <c r="EP261" s="542">
        <v>0</v>
      </c>
      <c r="EQ261" s="542">
        <v>0</v>
      </c>
      <c r="ER261" s="542">
        <v>0</v>
      </c>
      <c r="ES261" s="542">
        <v>0</v>
      </c>
      <c r="ET261" s="542">
        <v>52092016</v>
      </c>
      <c r="EU261" s="542">
        <v>0</v>
      </c>
      <c r="EV261" s="542">
        <v>52092016</v>
      </c>
      <c r="EW261" s="542">
        <v>30459</v>
      </c>
      <c r="EX261" s="542">
        <v>0</v>
      </c>
      <c r="EY261" s="542">
        <v>30459</v>
      </c>
      <c r="EZ261" s="542">
        <v>-3633142</v>
      </c>
      <c r="FA261" s="542">
        <v>0</v>
      </c>
      <c r="FB261" s="542">
        <v>-3633142</v>
      </c>
      <c r="FC261" s="542">
        <v>-1027337</v>
      </c>
      <c r="FD261" s="542">
        <v>0</v>
      </c>
      <c r="FE261" s="542">
        <v>-1027337</v>
      </c>
      <c r="FF261" s="542">
        <v>-221777</v>
      </c>
      <c r="FG261" s="542">
        <v>0</v>
      </c>
      <c r="FH261" s="542">
        <v>-221777</v>
      </c>
      <c r="FI261" s="542">
        <v>-516186</v>
      </c>
      <c r="FJ261" s="542">
        <v>0</v>
      </c>
      <c r="FK261" s="542">
        <v>-516186</v>
      </c>
      <c r="FL261" s="542">
        <v>0</v>
      </c>
      <c r="FM261" s="542">
        <v>0</v>
      </c>
      <c r="FN261" s="542">
        <v>0</v>
      </c>
      <c r="FO261" s="542">
        <v>-5367983</v>
      </c>
      <c r="FP261" s="542">
        <v>0</v>
      </c>
      <c r="FQ261" s="542">
        <v>-5367983</v>
      </c>
      <c r="FR261" s="542">
        <v>46724033</v>
      </c>
      <c r="FS261" s="542">
        <v>0</v>
      </c>
      <c r="FT261" s="542">
        <v>46724033</v>
      </c>
    </row>
    <row r="262" spans="1:176" ht="12.75" x14ac:dyDescent="0.2">
      <c r="A262" s="93">
        <v>257</v>
      </c>
      <c r="B262" s="145" t="s">
        <v>392</v>
      </c>
      <c r="C262" s="604" t="s">
        <v>873</v>
      </c>
      <c r="D262" s="142" t="s">
        <v>868</v>
      </c>
      <c r="E262" s="149" t="s">
        <v>391</v>
      </c>
      <c r="F262" s="542">
        <v>-14325</v>
      </c>
      <c r="G262" s="542">
        <v>0</v>
      </c>
      <c r="H262" s="542">
        <v>-14325</v>
      </c>
      <c r="I262" s="542">
        <v>12633</v>
      </c>
      <c r="J262" s="542">
        <v>0</v>
      </c>
      <c r="K262" s="542">
        <v>12633</v>
      </c>
      <c r="L262" s="542">
        <v>17868</v>
      </c>
      <c r="M262" s="542">
        <v>0</v>
      </c>
      <c r="N262" s="542">
        <v>17868</v>
      </c>
      <c r="O262" s="542">
        <v>106133</v>
      </c>
      <c r="P262" s="542">
        <v>0</v>
      </c>
      <c r="Q262" s="542">
        <v>106133</v>
      </c>
      <c r="R262" s="542">
        <v>122309</v>
      </c>
      <c r="S262" s="542">
        <v>0</v>
      </c>
      <c r="T262" s="542">
        <v>122309</v>
      </c>
      <c r="U262" s="542">
        <v>-3141025</v>
      </c>
      <c r="V262" s="542">
        <v>0</v>
      </c>
      <c r="W262" s="542">
        <v>-3141025</v>
      </c>
      <c r="X262" s="542">
        <v>-2428</v>
      </c>
      <c r="Y262" s="542">
        <v>0</v>
      </c>
      <c r="Z262" s="542">
        <v>-2428</v>
      </c>
      <c r="AA262" s="542">
        <v>-126872</v>
      </c>
      <c r="AB262" s="542">
        <v>0</v>
      </c>
      <c r="AC262" s="542">
        <v>-126872</v>
      </c>
      <c r="AD262" s="542">
        <v>-62000</v>
      </c>
      <c r="AE262" s="542">
        <v>0</v>
      </c>
      <c r="AF262" s="542">
        <v>-62000</v>
      </c>
      <c r="AG262" s="542">
        <v>1252176</v>
      </c>
      <c r="AH262" s="542">
        <v>0</v>
      </c>
      <c r="AI262" s="542">
        <v>1252176</v>
      </c>
      <c r="AJ262" s="542">
        <v>-21155</v>
      </c>
      <c r="AK262" s="542">
        <v>0</v>
      </c>
      <c r="AL262" s="542">
        <v>-21155</v>
      </c>
      <c r="AM262" s="542">
        <v>-3257315</v>
      </c>
      <c r="AN262" s="542">
        <v>0</v>
      </c>
      <c r="AO262" s="542">
        <v>-3257315</v>
      </c>
      <c r="AP262" s="542">
        <v>-44400</v>
      </c>
      <c r="AQ262" s="542">
        <v>0</v>
      </c>
      <c r="AR262" s="542">
        <v>-44400</v>
      </c>
      <c r="AS262" s="542">
        <v>-95690</v>
      </c>
      <c r="AT262" s="542">
        <v>0</v>
      </c>
      <c r="AU262" s="542">
        <v>-95690</v>
      </c>
      <c r="AV262" s="542">
        <v>0</v>
      </c>
      <c r="AW262" s="542">
        <v>0</v>
      </c>
      <c r="AX262" s="542">
        <v>0</v>
      </c>
      <c r="AY262" s="542">
        <v>0</v>
      </c>
      <c r="AZ262" s="542">
        <v>0</v>
      </c>
      <c r="BA262" s="542">
        <v>0</v>
      </c>
      <c r="BB262" s="542">
        <v>0</v>
      </c>
      <c r="BC262" s="542">
        <v>0</v>
      </c>
      <c r="BD262" s="542">
        <v>0</v>
      </c>
      <c r="BE262" s="542">
        <v>-5434281</v>
      </c>
      <c r="BF262" s="542">
        <v>0</v>
      </c>
      <c r="BG262" s="542">
        <v>-5434281</v>
      </c>
      <c r="BH262" s="542">
        <v>-39706</v>
      </c>
      <c r="BI262" s="542">
        <v>0</v>
      </c>
      <c r="BJ262" s="542">
        <v>-39706</v>
      </c>
      <c r="BK262" s="542">
        <v>-75096</v>
      </c>
      <c r="BL262" s="542">
        <v>0</v>
      </c>
      <c r="BM262" s="542">
        <v>-75096</v>
      </c>
      <c r="BN262" s="542">
        <v>-2178438</v>
      </c>
      <c r="BO262" s="542">
        <v>0</v>
      </c>
      <c r="BP262" s="542">
        <v>-2178438</v>
      </c>
      <c r="BQ262" s="542">
        <v>-148054</v>
      </c>
      <c r="BR262" s="542">
        <v>0</v>
      </c>
      <c r="BS262" s="542">
        <v>-148054</v>
      </c>
      <c r="BT262" s="542">
        <v>-2441294</v>
      </c>
      <c r="BU262" s="542">
        <v>0</v>
      </c>
      <c r="BV262" s="542">
        <v>-2441294</v>
      </c>
      <c r="BW262" s="542">
        <v>-241500</v>
      </c>
      <c r="BX262" s="542">
        <v>0</v>
      </c>
      <c r="BY262" s="542">
        <v>-241500</v>
      </c>
      <c r="BZ262" s="542">
        <v>-22071</v>
      </c>
      <c r="CA262" s="542">
        <v>0</v>
      </c>
      <c r="CB262" s="542">
        <v>-22071</v>
      </c>
      <c r="CC262" s="542">
        <v>-34250</v>
      </c>
      <c r="CD262" s="542">
        <v>0</v>
      </c>
      <c r="CE262" s="542">
        <v>-34250</v>
      </c>
      <c r="CF262" s="542">
        <v>-32740</v>
      </c>
      <c r="CG262" s="542">
        <v>0</v>
      </c>
      <c r="CH262" s="542">
        <v>-32740</v>
      </c>
      <c r="CI262" s="542">
        <v>-13960</v>
      </c>
      <c r="CJ262" s="542">
        <v>0</v>
      </c>
      <c r="CK262" s="542">
        <v>-13960</v>
      </c>
      <c r="CL262" s="542">
        <v>0</v>
      </c>
      <c r="CM262" s="542">
        <v>0</v>
      </c>
      <c r="CN262" s="542">
        <v>0</v>
      </c>
      <c r="CO262" s="542">
        <v>0</v>
      </c>
      <c r="CP262" s="542">
        <v>0</v>
      </c>
      <c r="CQ262" s="542">
        <v>0</v>
      </c>
      <c r="CR262" s="542">
        <v>0</v>
      </c>
      <c r="CS262" s="542">
        <v>0</v>
      </c>
      <c r="CT262" s="542">
        <v>0</v>
      </c>
      <c r="CU262" s="542">
        <v>0</v>
      </c>
      <c r="CV262" s="542">
        <v>0</v>
      </c>
      <c r="CW262" s="542">
        <v>0</v>
      </c>
      <c r="CX262" s="542">
        <v>0</v>
      </c>
      <c r="CY262" s="542">
        <v>0</v>
      </c>
      <c r="CZ262" s="542">
        <v>0</v>
      </c>
      <c r="DA262" s="542">
        <v>0</v>
      </c>
      <c r="DB262" s="542">
        <v>0</v>
      </c>
      <c r="DC262" s="542">
        <v>0</v>
      </c>
      <c r="DD262" s="542">
        <v>0</v>
      </c>
      <c r="DE262" s="542">
        <v>0</v>
      </c>
      <c r="DF262" s="542">
        <v>0</v>
      </c>
      <c r="DG262" s="542"/>
      <c r="DH262" s="542">
        <v>0</v>
      </c>
      <c r="DI262" s="542"/>
      <c r="DJ262" s="542">
        <v>0</v>
      </c>
      <c r="DK262" s="542"/>
      <c r="DL262" s="542"/>
      <c r="DM262" s="542">
        <v>-344521</v>
      </c>
      <c r="DN262" s="542">
        <v>0</v>
      </c>
      <c r="DO262" s="542">
        <v>-344521</v>
      </c>
      <c r="DP262" s="542">
        <v>0</v>
      </c>
      <c r="DQ262" s="542">
        <v>0</v>
      </c>
      <c r="DR262" s="542">
        <v>0</v>
      </c>
      <c r="DS262" s="542">
        <v>0</v>
      </c>
      <c r="DT262" s="542">
        <v>0</v>
      </c>
      <c r="DU262" s="542">
        <v>0</v>
      </c>
      <c r="DV262" s="542">
        <v>0</v>
      </c>
      <c r="DW262" s="542">
        <v>0</v>
      </c>
      <c r="DX262" s="542">
        <v>0</v>
      </c>
      <c r="DY262" s="542">
        <v>-507175</v>
      </c>
      <c r="DZ262" s="542">
        <v>0</v>
      </c>
      <c r="EA262" s="542">
        <v>-507175</v>
      </c>
      <c r="EB262" s="542">
        <v>0</v>
      </c>
      <c r="EC262" s="542">
        <v>0</v>
      </c>
      <c r="ED262" s="542">
        <v>0</v>
      </c>
      <c r="EE262" s="542">
        <v>0</v>
      </c>
      <c r="EF262" s="542">
        <v>0</v>
      </c>
      <c r="EG262" s="542">
        <v>0</v>
      </c>
      <c r="EH262" s="542">
        <v>-507175</v>
      </c>
      <c r="EI262" s="542">
        <v>0</v>
      </c>
      <c r="EJ262" s="542">
        <v>-507175</v>
      </c>
      <c r="EK262" s="542">
        <v>0</v>
      </c>
      <c r="EL262" s="542">
        <v>0</v>
      </c>
      <c r="EM262" s="542">
        <v>0</v>
      </c>
      <c r="EN262" s="542">
        <v>0</v>
      </c>
      <c r="EO262" s="542">
        <v>0</v>
      </c>
      <c r="EP262" s="542">
        <v>0</v>
      </c>
      <c r="EQ262" s="542">
        <v>0</v>
      </c>
      <c r="ER262" s="542">
        <v>0</v>
      </c>
      <c r="ES262" s="542">
        <v>0</v>
      </c>
      <c r="ET262" s="542">
        <v>60167950</v>
      </c>
      <c r="EU262" s="542">
        <v>0</v>
      </c>
      <c r="EV262" s="542">
        <v>60167950</v>
      </c>
      <c r="EW262" s="542">
        <v>122309</v>
      </c>
      <c r="EX262" s="542">
        <v>0</v>
      </c>
      <c r="EY262" s="542">
        <v>122309</v>
      </c>
      <c r="EZ262" s="542">
        <v>-5434281</v>
      </c>
      <c r="FA262" s="542">
        <v>0</v>
      </c>
      <c r="FB262" s="542">
        <v>-5434281</v>
      </c>
      <c r="FC262" s="542">
        <v>-2441294</v>
      </c>
      <c r="FD262" s="542">
        <v>0</v>
      </c>
      <c r="FE262" s="542">
        <v>-2441294</v>
      </c>
      <c r="FF262" s="542">
        <v>-344521</v>
      </c>
      <c r="FG262" s="542">
        <v>0</v>
      </c>
      <c r="FH262" s="542">
        <v>-344521</v>
      </c>
      <c r="FI262" s="542">
        <v>-507175</v>
      </c>
      <c r="FJ262" s="542">
        <v>0</v>
      </c>
      <c r="FK262" s="542">
        <v>-507175</v>
      </c>
      <c r="FL262" s="542">
        <v>0</v>
      </c>
      <c r="FM262" s="542">
        <v>0</v>
      </c>
      <c r="FN262" s="542">
        <v>0</v>
      </c>
      <c r="FO262" s="542">
        <v>-8604962</v>
      </c>
      <c r="FP262" s="542">
        <v>0</v>
      </c>
      <c r="FQ262" s="542">
        <v>-8604962</v>
      </c>
      <c r="FR262" s="542">
        <v>51562988</v>
      </c>
      <c r="FS262" s="542">
        <v>0</v>
      </c>
      <c r="FT262" s="542">
        <v>51562988</v>
      </c>
    </row>
    <row r="263" spans="1:176" ht="12.75" x14ac:dyDescent="0.2">
      <c r="A263" s="93">
        <v>258</v>
      </c>
      <c r="B263" s="145" t="s">
        <v>394</v>
      </c>
      <c r="C263" s="604" t="s">
        <v>866</v>
      </c>
      <c r="D263" s="142" t="s">
        <v>876</v>
      </c>
      <c r="E263" s="149" t="s">
        <v>393</v>
      </c>
      <c r="F263" s="542">
        <v>-68050</v>
      </c>
      <c r="G263" s="542">
        <v>0</v>
      </c>
      <c r="H263" s="542">
        <v>-68050</v>
      </c>
      <c r="I263" s="542">
        <v>77446</v>
      </c>
      <c r="J263" s="542">
        <v>0</v>
      </c>
      <c r="K263" s="542">
        <v>77446</v>
      </c>
      <c r="L263" s="542">
        <v>9784</v>
      </c>
      <c r="M263" s="542">
        <v>0</v>
      </c>
      <c r="N263" s="542">
        <v>9784</v>
      </c>
      <c r="O263" s="542">
        <v>-15759</v>
      </c>
      <c r="P263" s="542">
        <v>0</v>
      </c>
      <c r="Q263" s="542">
        <v>-15759</v>
      </c>
      <c r="R263" s="542">
        <v>3421</v>
      </c>
      <c r="S263" s="542">
        <v>0</v>
      </c>
      <c r="T263" s="542">
        <v>3421</v>
      </c>
      <c r="U263" s="542">
        <v>-2362860</v>
      </c>
      <c r="V263" s="542">
        <v>0</v>
      </c>
      <c r="W263" s="542">
        <v>-2362860</v>
      </c>
      <c r="X263" s="542">
        <v>0</v>
      </c>
      <c r="Y263" s="542">
        <v>0</v>
      </c>
      <c r="Z263" s="542">
        <v>0</v>
      </c>
      <c r="AA263" s="542">
        <v>-96379</v>
      </c>
      <c r="AB263" s="542">
        <v>0</v>
      </c>
      <c r="AC263" s="542">
        <v>-96379</v>
      </c>
      <c r="AD263" s="542">
        <v>0</v>
      </c>
      <c r="AE263" s="542">
        <v>0</v>
      </c>
      <c r="AF263" s="542">
        <v>0</v>
      </c>
      <c r="AG263" s="542">
        <v>1042323</v>
      </c>
      <c r="AH263" s="542">
        <v>0</v>
      </c>
      <c r="AI263" s="542">
        <v>1042323</v>
      </c>
      <c r="AJ263" s="542">
        <v>-27246</v>
      </c>
      <c r="AK263" s="542">
        <v>0</v>
      </c>
      <c r="AL263" s="542">
        <v>-27246</v>
      </c>
      <c r="AM263" s="542">
        <v>-2461140</v>
      </c>
      <c r="AN263" s="542">
        <v>0</v>
      </c>
      <c r="AO263" s="542">
        <v>-2461140</v>
      </c>
      <c r="AP263" s="542">
        <v>1665</v>
      </c>
      <c r="AQ263" s="542">
        <v>0</v>
      </c>
      <c r="AR263" s="542">
        <v>1665</v>
      </c>
      <c r="AS263" s="542">
        <v>-21748</v>
      </c>
      <c r="AT263" s="542">
        <v>0</v>
      </c>
      <c r="AU263" s="542">
        <v>-21748</v>
      </c>
      <c r="AV263" s="542">
        <v>-2027</v>
      </c>
      <c r="AW263" s="542">
        <v>0</v>
      </c>
      <c r="AX263" s="542">
        <v>-2027</v>
      </c>
      <c r="AY263" s="542">
        <v>-19607</v>
      </c>
      <c r="AZ263" s="542">
        <v>0</v>
      </c>
      <c r="BA263" s="542">
        <v>-19607</v>
      </c>
      <c r="BB263" s="542">
        <v>723</v>
      </c>
      <c r="BC263" s="542">
        <v>0</v>
      </c>
      <c r="BD263" s="542">
        <v>723</v>
      </c>
      <c r="BE263" s="542">
        <v>-3946296</v>
      </c>
      <c r="BF263" s="542">
        <v>0</v>
      </c>
      <c r="BG263" s="542">
        <v>-3946296</v>
      </c>
      <c r="BH263" s="542">
        <v>0</v>
      </c>
      <c r="BI263" s="542">
        <v>0</v>
      </c>
      <c r="BJ263" s="542">
        <v>0</v>
      </c>
      <c r="BK263" s="542">
        <v>-3194</v>
      </c>
      <c r="BL263" s="542">
        <v>0</v>
      </c>
      <c r="BM263" s="542">
        <v>-3194</v>
      </c>
      <c r="BN263" s="542">
        <v>-2023873</v>
      </c>
      <c r="BO263" s="542">
        <v>0</v>
      </c>
      <c r="BP263" s="542">
        <v>-2023873</v>
      </c>
      <c r="BQ263" s="542">
        <v>100149</v>
      </c>
      <c r="BR263" s="542">
        <v>0</v>
      </c>
      <c r="BS263" s="542">
        <v>100149</v>
      </c>
      <c r="BT263" s="542">
        <v>-1926918</v>
      </c>
      <c r="BU263" s="542">
        <v>0</v>
      </c>
      <c r="BV263" s="542">
        <v>-1926918</v>
      </c>
      <c r="BW263" s="542">
        <v>-211362</v>
      </c>
      <c r="BX263" s="542">
        <v>0</v>
      </c>
      <c r="BY263" s="542">
        <v>-211362</v>
      </c>
      <c r="BZ263" s="542">
        <v>-7372</v>
      </c>
      <c r="CA263" s="542">
        <v>0</v>
      </c>
      <c r="CB263" s="542">
        <v>-7372</v>
      </c>
      <c r="CC263" s="542">
        <v>-78599</v>
      </c>
      <c r="CD263" s="542">
        <v>0</v>
      </c>
      <c r="CE263" s="542">
        <v>-78599</v>
      </c>
      <c r="CF263" s="542">
        <v>802</v>
      </c>
      <c r="CG263" s="542">
        <v>0</v>
      </c>
      <c r="CH263" s="542">
        <v>802</v>
      </c>
      <c r="CI263" s="542">
        <v>-3914</v>
      </c>
      <c r="CJ263" s="542">
        <v>0</v>
      </c>
      <c r="CK263" s="542">
        <v>-3914</v>
      </c>
      <c r="CL263" s="542">
        <v>0</v>
      </c>
      <c r="CM263" s="542">
        <v>0</v>
      </c>
      <c r="CN263" s="542">
        <v>0</v>
      </c>
      <c r="CO263" s="542">
        <v>-16089</v>
      </c>
      <c r="CP263" s="542">
        <v>0</v>
      </c>
      <c r="CQ263" s="542">
        <v>-16089</v>
      </c>
      <c r="CR263" s="542">
        <v>723</v>
      </c>
      <c r="CS263" s="542">
        <v>0</v>
      </c>
      <c r="CT263" s="542">
        <v>723</v>
      </c>
      <c r="CU263" s="542">
        <v>-4799</v>
      </c>
      <c r="CV263" s="542">
        <v>0</v>
      </c>
      <c r="CW263" s="542">
        <v>-4799</v>
      </c>
      <c r="CX263" s="542">
        <v>0</v>
      </c>
      <c r="CY263" s="542">
        <v>0</v>
      </c>
      <c r="CZ263" s="542">
        <v>0</v>
      </c>
      <c r="DA263" s="542">
        <v>0</v>
      </c>
      <c r="DB263" s="542">
        <v>0</v>
      </c>
      <c r="DC263" s="542">
        <v>0</v>
      </c>
      <c r="DD263" s="542">
        <v>0</v>
      </c>
      <c r="DE263" s="542">
        <v>0</v>
      </c>
      <c r="DF263" s="542">
        <v>0</v>
      </c>
      <c r="DG263" s="542"/>
      <c r="DH263" s="542">
        <v>0</v>
      </c>
      <c r="DI263" s="542"/>
      <c r="DJ263" s="542">
        <v>0</v>
      </c>
      <c r="DK263" s="542"/>
      <c r="DL263" s="542"/>
      <c r="DM263" s="542">
        <v>-320610</v>
      </c>
      <c r="DN263" s="542">
        <v>0</v>
      </c>
      <c r="DO263" s="542">
        <v>-320610</v>
      </c>
      <c r="DP263" s="542">
        <v>0</v>
      </c>
      <c r="DQ263" s="542">
        <v>0</v>
      </c>
      <c r="DR263" s="542">
        <v>0</v>
      </c>
      <c r="DS263" s="542">
        <v>0</v>
      </c>
      <c r="DT263" s="542">
        <v>0</v>
      </c>
      <c r="DU263" s="542">
        <v>0</v>
      </c>
      <c r="DV263" s="542">
        <v>0</v>
      </c>
      <c r="DW263" s="542">
        <v>0</v>
      </c>
      <c r="DX263" s="542">
        <v>0</v>
      </c>
      <c r="DY263" s="542">
        <v>-315338</v>
      </c>
      <c r="DZ263" s="542">
        <v>0</v>
      </c>
      <c r="EA263" s="542">
        <v>-315338</v>
      </c>
      <c r="EB263" s="542">
        <v>0</v>
      </c>
      <c r="EC263" s="542">
        <v>0</v>
      </c>
      <c r="ED263" s="542">
        <v>0</v>
      </c>
      <c r="EE263" s="542">
        <v>0</v>
      </c>
      <c r="EF263" s="542">
        <v>0</v>
      </c>
      <c r="EG263" s="542">
        <v>0</v>
      </c>
      <c r="EH263" s="542">
        <v>-315338</v>
      </c>
      <c r="EI263" s="542">
        <v>0</v>
      </c>
      <c r="EJ263" s="542">
        <v>-315338</v>
      </c>
      <c r="EK263" s="542">
        <v>0</v>
      </c>
      <c r="EL263" s="542">
        <v>0</v>
      </c>
      <c r="EM263" s="542">
        <v>0</v>
      </c>
      <c r="EN263" s="542">
        <v>0</v>
      </c>
      <c r="EO263" s="542">
        <v>0</v>
      </c>
      <c r="EP263" s="542">
        <v>0</v>
      </c>
      <c r="EQ263" s="542">
        <v>0</v>
      </c>
      <c r="ER263" s="542">
        <v>0</v>
      </c>
      <c r="ES263" s="542">
        <v>0</v>
      </c>
      <c r="ET263" s="542">
        <v>50637621</v>
      </c>
      <c r="EU263" s="542">
        <v>0</v>
      </c>
      <c r="EV263" s="542">
        <v>50637621</v>
      </c>
      <c r="EW263" s="542">
        <v>3421</v>
      </c>
      <c r="EX263" s="542">
        <v>0</v>
      </c>
      <c r="EY263" s="542">
        <v>3421</v>
      </c>
      <c r="EZ263" s="542">
        <v>-3946296</v>
      </c>
      <c r="FA263" s="542">
        <v>0</v>
      </c>
      <c r="FB263" s="542">
        <v>-3946296</v>
      </c>
      <c r="FC263" s="542">
        <v>-1926918</v>
      </c>
      <c r="FD263" s="542">
        <v>0</v>
      </c>
      <c r="FE263" s="542">
        <v>-1926918</v>
      </c>
      <c r="FF263" s="542">
        <v>-320610</v>
      </c>
      <c r="FG263" s="542">
        <v>0</v>
      </c>
      <c r="FH263" s="542">
        <v>-320610</v>
      </c>
      <c r="FI263" s="542">
        <v>-315338</v>
      </c>
      <c r="FJ263" s="542">
        <v>0</v>
      </c>
      <c r="FK263" s="542">
        <v>-315338</v>
      </c>
      <c r="FL263" s="542">
        <v>0</v>
      </c>
      <c r="FM263" s="542">
        <v>0</v>
      </c>
      <c r="FN263" s="542">
        <v>0</v>
      </c>
      <c r="FO263" s="542">
        <v>-6505741</v>
      </c>
      <c r="FP263" s="542">
        <v>0</v>
      </c>
      <c r="FQ263" s="542">
        <v>-6505741</v>
      </c>
      <c r="FR263" s="542">
        <v>44131880</v>
      </c>
      <c r="FS263" s="542">
        <v>0</v>
      </c>
      <c r="FT263" s="542">
        <v>44131880</v>
      </c>
    </row>
    <row r="264" spans="1:176" ht="12.75" x14ac:dyDescent="0.2">
      <c r="A264" s="93">
        <v>259</v>
      </c>
      <c r="B264" s="145" t="s">
        <v>396</v>
      </c>
      <c r="C264" s="604" t="s">
        <v>866</v>
      </c>
      <c r="D264" s="142" t="s">
        <v>876</v>
      </c>
      <c r="E264" s="149" t="s">
        <v>395</v>
      </c>
      <c r="F264" s="542">
        <v>-75432</v>
      </c>
      <c r="G264" s="542">
        <v>0</v>
      </c>
      <c r="H264" s="542">
        <v>-75432</v>
      </c>
      <c r="I264" s="542">
        <v>3727</v>
      </c>
      <c r="J264" s="542">
        <v>0</v>
      </c>
      <c r="K264" s="542">
        <v>3727</v>
      </c>
      <c r="L264" s="542">
        <v>95</v>
      </c>
      <c r="M264" s="542">
        <v>0</v>
      </c>
      <c r="N264" s="542">
        <v>95</v>
      </c>
      <c r="O264" s="542">
        <v>5508</v>
      </c>
      <c r="P264" s="542">
        <v>0</v>
      </c>
      <c r="Q264" s="542">
        <v>5508</v>
      </c>
      <c r="R264" s="542">
        <v>-66102</v>
      </c>
      <c r="S264" s="542">
        <v>0</v>
      </c>
      <c r="T264" s="542">
        <v>-66102</v>
      </c>
      <c r="U264" s="542">
        <v>-2220780</v>
      </c>
      <c r="V264" s="542">
        <v>0</v>
      </c>
      <c r="W264" s="542">
        <v>-2220780</v>
      </c>
      <c r="X264" s="542">
        <v>-1815</v>
      </c>
      <c r="Y264" s="542">
        <v>0</v>
      </c>
      <c r="Z264" s="542">
        <v>-1815</v>
      </c>
      <c r="AA264" s="542">
        <v>-117937</v>
      </c>
      <c r="AB264" s="542">
        <v>0</v>
      </c>
      <c r="AC264" s="542">
        <v>-117937</v>
      </c>
      <c r="AD264" s="542">
        <v>-42276</v>
      </c>
      <c r="AE264" s="542">
        <v>0</v>
      </c>
      <c r="AF264" s="542">
        <v>-42276</v>
      </c>
      <c r="AG264" s="542">
        <v>402255</v>
      </c>
      <c r="AH264" s="542">
        <v>0</v>
      </c>
      <c r="AI264" s="542">
        <v>402255</v>
      </c>
      <c r="AJ264" s="542">
        <v>-3502</v>
      </c>
      <c r="AK264" s="542">
        <v>0</v>
      </c>
      <c r="AL264" s="542">
        <v>-3502</v>
      </c>
      <c r="AM264" s="542">
        <v>-1142768</v>
      </c>
      <c r="AN264" s="542">
        <v>0</v>
      </c>
      <c r="AO264" s="542">
        <v>-1142768</v>
      </c>
      <c r="AP264" s="542">
        <v>9726</v>
      </c>
      <c r="AQ264" s="542">
        <v>0</v>
      </c>
      <c r="AR264" s="542">
        <v>9726</v>
      </c>
      <c r="AS264" s="542">
        <v>-48296</v>
      </c>
      <c r="AT264" s="542">
        <v>0</v>
      </c>
      <c r="AU264" s="542">
        <v>-48296</v>
      </c>
      <c r="AV264" s="542">
        <v>0</v>
      </c>
      <c r="AW264" s="542">
        <v>0</v>
      </c>
      <c r="AX264" s="542">
        <v>0</v>
      </c>
      <c r="AY264" s="542">
        <v>-18509</v>
      </c>
      <c r="AZ264" s="542">
        <v>0</v>
      </c>
      <c r="BA264" s="542">
        <v>-18509</v>
      </c>
      <c r="BB264" s="542">
        <v>0</v>
      </c>
      <c r="BC264" s="542">
        <v>0</v>
      </c>
      <c r="BD264" s="542">
        <v>0</v>
      </c>
      <c r="BE264" s="542">
        <v>-3139811</v>
      </c>
      <c r="BF264" s="542">
        <v>0</v>
      </c>
      <c r="BG264" s="542">
        <v>-3139811</v>
      </c>
      <c r="BH264" s="542">
        <v>0</v>
      </c>
      <c r="BI264" s="542">
        <v>0</v>
      </c>
      <c r="BJ264" s="542">
        <v>0</v>
      </c>
      <c r="BK264" s="542">
        <v>0</v>
      </c>
      <c r="BL264" s="542">
        <v>0</v>
      </c>
      <c r="BM264" s="542">
        <v>0</v>
      </c>
      <c r="BN264" s="542">
        <v>-521146</v>
      </c>
      <c r="BO264" s="542">
        <v>0</v>
      </c>
      <c r="BP264" s="542">
        <v>-521146</v>
      </c>
      <c r="BQ264" s="542">
        <v>-15693</v>
      </c>
      <c r="BR264" s="542">
        <v>0</v>
      </c>
      <c r="BS264" s="542">
        <v>-15693</v>
      </c>
      <c r="BT264" s="542">
        <v>-536839</v>
      </c>
      <c r="BU264" s="542">
        <v>0</v>
      </c>
      <c r="BV264" s="542">
        <v>-536839</v>
      </c>
      <c r="BW264" s="542">
        <v>-83379</v>
      </c>
      <c r="BX264" s="542">
        <v>0</v>
      </c>
      <c r="BY264" s="542">
        <v>-83379</v>
      </c>
      <c r="BZ264" s="542">
        <v>-1348</v>
      </c>
      <c r="CA264" s="542">
        <v>0</v>
      </c>
      <c r="CB264" s="542">
        <v>-1348</v>
      </c>
      <c r="CC264" s="542">
        <v>-83864</v>
      </c>
      <c r="CD264" s="542">
        <v>0</v>
      </c>
      <c r="CE264" s="542">
        <v>-83864</v>
      </c>
      <c r="CF264" s="542">
        <v>195</v>
      </c>
      <c r="CG264" s="542">
        <v>0</v>
      </c>
      <c r="CH264" s="542">
        <v>195</v>
      </c>
      <c r="CI264" s="542">
        <v>-3157</v>
      </c>
      <c r="CJ264" s="542">
        <v>0</v>
      </c>
      <c r="CK264" s="542">
        <v>-3157</v>
      </c>
      <c r="CL264" s="542">
        <v>0</v>
      </c>
      <c r="CM264" s="542">
        <v>0</v>
      </c>
      <c r="CN264" s="542">
        <v>0</v>
      </c>
      <c r="CO264" s="542">
        <v>-6994</v>
      </c>
      <c r="CP264" s="542">
        <v>0</v>
      </c>
      <c r="CQ264" s="542">
        <v>-6994</v>
      </c>
      <c r="CR264" s="542">
        <v>-219</v>
      </c>
      <c r="CS264" s="542">
        <v>0</v>
      </c>
      <c r="CT264" s="542">
        <v>-219</v>
      </c>
      <c r="CU264" s="542">
        <v>0</v>
      </c>
      <c r="CV264" s="542">
        <v>0</v>
      </c>
      <c r="CW264" s="542">
        <v>0</v>
      </c>
      <c r="CX264" s="542">
        <v>0</v>
      </c>
      <c r="CY264" s="542">
        <v>0</v>
      </c>
      <c r="CZ264" s="542">
        <v>0</v>
      </c>
      <c r="DA264" s="542">
        <v>0</v>
      </c>
      <c r="DB264" s="542">
        <v>0</v>
      </c>
      <c r="DC264" s="542">
        <v>0</v>
      </c>
      <c r="DD264" s="542">
        <v>0</v>
      </c>
      <c r="DE264" s="542">
        <v>0</v>
      </c>
      <c r="DF264" s="542">
        <v>0</v>
      </c>
      <c r="DG264" s="542"/>
      <c r="DH264" s="542">
        <v>0</v>
      </c>
      <c r="DI264" s="542"/>
      <c r="DJ264" s="542">
        <v>0</v>
      </c>
      <c r="DK264" s="542"/>
      <c r="DL264" s="542"/>
      <c r="DM264" s="542">
        <v>-178766</v>
      </c>
      <c r="DN264" s="542">
        <v>0</v>
      </c>
      <c r="DO264" s="542">
        <v>-178766</v>
      </c>
      <c r="DP264" s="542">
        <v>-10327</v>
      </c>
      <c r="DQ264" s="542">
        <v>0</v>
      </c>
      <c r="DR264" s="542">
        <v>-10327</v>
      </c>
      <c r="DS264" s="542">
        <v>0</v>
      </c>
      <c r="DT264" s="542">
        <v>0</v>
      </c>
      <c r="DU264" s="542">
        <v>0</v>
      </c>
      <c r="DV264" s="542">
        <v>-4878</v>
      </c>
      <c r="DW264" s="542">
        <v>0</v>
      </c>
      <c r="DX264" s="542">
        <v>-4878</v>
      </c>
      <c r="DY264" s="542">
        <v>-367095</v>
      </c>
      <c r="DZ264" s="542">
        <v>0</v>
      </c>
      <c r="EA264" s="542">
        <v>-367095</v>
      </c>
      <c r="EB264" s="542">
        <v>0</v>
      </c>
      <c r="EC264" s="542">
        <v>0</v>
      </c>
      <c r="ED264" s="542">
        <v>0</v>
      </c>
      <c r="EE264" s="542">
        <v>0</v>
      </c>
      <c r="EF264" s="542">
        <v>0</v>
      </c>
      <c r="EG264" s="542">
        <v>0</v>
      </c>
      <c r="EH264" s="542">
        <v>-382300</v>
      </c>
      <c r="EI264" s="542">
        <v>0</v>
      </c>
      <c r="EJ264" s="542">
        <v>-382300</v>
      </c>
      <c r="EK264" s="542">
        <v>-11219</v>
      </c>
      <c r="EL264" s="542">
        <v>0</v>
      </c>
      <c r="EM264" s="542">
        <v>-11219</v>
      </c>
      <c r="EN264" s="542">
        <v>0</v>
      </c>
      <c r="EO264" s="542">
        <v>0</v>
      </c>
      <c r="EP264" s="542">
        <v>0</v>
      </c>
      <c r="EQ264" s="542">
        <v>-11219</v>
      </c>
      <c r="ER264" s="542">
        <v>0</v>
      </c>
      <c r="ES264" s="542">
        <v>-11219</v>
      </c>
      <c r="ET264" s="542">
        <v>22302039</v>
      </c>
      <c r="EU264" s="542">
        <v>0</v>
      </c>
      <c r="EV264" s="542">
        <v>22302039</v>
      </c>
      <c r="EW264" s="542">
        <v>-66102</v>
      </c>
      <c r="EX264" s="542">
        <v>0</v>
      </c>
      <c r="EY264" s="542">
        <v>-66102</v>
      </c>
      <c r="EZ264" s="542">
        <v>-3139811</v>
      </c>
      <c r="FA264" s="542">
        <v>0</v>
      </c>
      <c r="FB264" s="542">
        <v>-3139811</v>
      </c>
      <c r="FC264" s="542">
        <v>-536839</v>
      </c>
      <c r="FD264" s="542">
        <v>0</v>
      </c>
      <c r="FE264" s="542">
        <v>-536839</v>
      </c>
      <c r="FF264" s="542">
        <v>-178766</v>
      </c>
      <c r="FG264" s="542">
        <v>0</v>
      </c>
      <c r="FH264" s="542">
        <v>-178766</v>
      </c>
      <c r="FI264" s="542">
        <v>-382300</v>
      </c>
      <c r="FJ264" s="542">
        <v>0</v>
      </c>
      <c r="FK264" s="542">
        <v>-382300</v>
      </c>
      <c r="FL264" s="542">
        <v>-11219</v>
      </c>
      <c r="FM264" s="542">
        <v>0</v>
      </c>
      <c r="FN264" s="542">
        <v>-11219</v>
      </c>
      <c r="FO264" s="542">
        <v>-4315037</v>
      </c>
      <c r="FP264" s="542">
        <v>0</v>
      </c>
      <c r="FQ264" s="542">
        <v>-4315037</v>
      </c>
      <c r="FR264" s="542">
        <v>17987002</v>
      </c>
      <c r="FS264" s="542">
        <v>0</v>
      </c>
      <c r="FT264" s="542">
        <v>17987002</v>
      </c>
    </row>
    <row r="265" spans="1:176" ht="12.75" x14ac:dyDescent="0.2">
      <c r="A265" s="93">
        <v>260</v>
      </c>
      <c r="B265" s="145" t="s">
        <v>398</v>
      </c>
      <c r="C265" s="604" t="s">
        <v>866</v>
      </c>
      <c r="D265" s="142" t="s">
        <v>870</v>
      </c>
      <c r="E265" s="149" t="s">
        <v>397</v>
      </c>
      <c r="F265" s="542">
        <v>-26810</v>
      </c>
      <c r="G265" s="542">
        <v>0</v>
      </c>
      <c r="H265" s="542">
        <v>-26810</v>
      </c>
      <c r="I265" s="542">
        <v>3147</v>
      </c>
      <c r="J265" s="542">
        <v>0</v>
      </c>
      <c r="K265" s="542">
        <v>3147</v>
      </c>
      <c r="L265" s="542">
        <v>27898</v>
      </c>
      <c r="M265" s="542">
        <v>0</v>
      </c>
      <c r="N265" s="542">
        <v>27898</v>
      </c>
      <c r="O265" s="542">
        <v>242618</v>
      </c>
      <c r="P265" s="542">
        <v>0</v>
      </c>
      <c r="Q265" s="542">
        <v>242618</v>
      </c>
      <c r="R265" s="542">
        <v>246853</v>
      </c>
      <c r="S265" s="542">
        <v>0</v>
      </c>
      <c r="T265" s="542">
        <v>246853</v>
      </c>
      <c r="U265" s="542">
        <v>-876960</v>
      </c>
      <c r="V265" s="542">
        <v>0</v>
      </c>
      <c r="W265" s="542">
        <v>-876960</v>
      </c>
      <c r="X265" s="542">
        <v>0</v>
      </c>
      <c r="Y265" s="542">
        <v>0</v>
      </c>
      <c r="Z265" s="542">
        <v>0</v>
      </c>
      <c r="AA265" s="542">
        <v>-96013</v>
      </c>
      <c r="AB265" s="542">
        <v>0</v>
      </c>
      <c r="AC265" s="542">
        <v>-96013</v>
      </c>
      <c r="AD265" s="542">
        <v>0</v>
      </c>
      <c r="AE265" s="542">
        <v>0</v>
      </c>
      <c r="AF265" s="542">
        <v>0</v>
      </c>
      <c r="AG265" s="542">
        <v>1144870</v>
      </c>
      <c r="AH265" s="542">
        <v>0</v>
      </c>
      <c r="AI265" s="542">
        <v>1144870</v>
      </c>
      <c r="AJ265" s="542">
        <v>-15664</v>
      </c>
      <c r="AK265" s="542">
        <v>0</v>
      </c>
      <c r="AL265" s="542">
        <v>-15664</v>
      </c>
      <c r="AM265" s="542">
        <v>-1595748</v>
      </c>
      <c r="AN265" s="542">
        <v>0</v>
      </c>
      <c r="AO265" s="542">
        <v>-1595748</v>
      </c>
      <c r="AP265" s="542">
        <v>-22652</v>
      </c>
      <c r="AQ265" s="542">
        <v>0</v>
      </c>
      <c r="AR265" s="542">
        <v>-22652</v>
      </c>
      <c r="AS265" s="542">
        <v>-3952</v>
      </c>
      <c r="AT265" s="542">
        <v>0</v>
      </c>
      <c r="AU265" s="542">
        <v>-3952</v>
      </c>
      <c r="AV265" s="542">
        <v>0</v>
      </c>
      <c r="AW265" s="542">
        <v>0</v>
      </c>
      <c r="AX265" s="542">
        <v>0</v>
      </c>
      <c r="AY265" s="542">
        <v>0</v>
      </c>
      <c r="AZ265" s="542">
        <v>0</v>
      </c>
      <c r="BA265" s="542">
        <v>0</v>
      </c>
      <c r="BB265" s="542">
        <v>0</v>
      </c>
      <c r="BC265" s="542">
        <v>0</v>
      </c>
      <c r="BD265" s="542">
        <v>0</v>
      </c>
      <c r="BE265" s="542">
        <v>-1466119</v>
      </c>
      <c r="BF265" s="542">
        <v>0</v>
      </c>
      <c r="BG265" s="542">
        <v>-1466119</v>
      </c>
      <c r="BH265" s="542">
        <v>-155569</v>
      </c>
      <c r="BI265" s="542">
        <v>0</v>
      </c>
      <c r="BJ265" s="542">
        <v>-155569</v>
      </c>
      <c r="BK265" s="542">
        <v>-11473</v>
      </c>
      <c r="BL265" s="542">
        <v>0</v>
      </c>
      <c r="BM265" s="542">
        <v>-11473</v>
      </c>
      <c r="BN265" s="542">
        <v>-1755634</v>
      </c>
      <c r="BO265" s="542">
        <v>0</v>
      </c>
      <c r="BP265" s="542">
        <v>-1755634</v>
      </c>
      <c r="BQ265" s="542">
        <v>-109830</v>
      </c>
      <c r="BR265" s="542">
        <v>0</v>
      </c>
      <c r="BS265" s="542">
        <v>-109830</v>
      </c>
      <c r="BT265" s="542">
        <v>-2032506</v>
      </c>
      <c r="BU265" s="542">
        <v>0</v>
      </c>
      <c r="BV265" s="542">
        <v>-2032506</v>
      </c>
      <c r="BW265" s="542">
        <v>-133079</v>
      </c>
      <c r="BX265" s="542">
        <v>0</v>
      </c>
      <c r="BY265" s="542">
        <v>-133079</v>
      </c>
      <c r="BZ265" s="542">
        <v>-438</v>
      </c>
      <c r="CA265" s="542">
        <v>0</v>
      </c>
      <c r="CB265" s="542">
        <v>-438</v>
      </c>
      <c r="CC265" s="542">
        <v>-16226</v>
      </c>
      <c r="CD265" s="542">
        <v>0</v>
      </c>
      <c r="CE265" s="542">
        <v>-16226</v>
      </c>
      <c r="CF265" s="542">
        <v>0</v>
      </c>
      <c r="CG265" s="542">
        <v>0</v>
      </c>
      <c r="CH265" s="542">
        <v>0</v>
      </c>
      <c r="CI265" s="542">
        <v>-988</v>
      </c>
      <c r="CJ265" s="542">
        <v>0</v>
      </c>
      <c r="CK265" s="542">
        <v>-988</v>
      </c>
      <c r="CL265" s="542">
        <v>0</v>
      </c>
      <c r="CM265" s="542">
        <v>0</v>
      </c>
      <c r="CN265" s="542">
        <v>0</v>
      </c>
      <c r="CO265" s="542">
        <v>0</v>
      </c>
      <c r="CP265" s="542">
        <v>0</v>
      </c>
      <c r="CQ265" s="542">
        <v>0</v>
      </c>
      <c r="CR265" s="542">
        <v>0</v>
      </c>
      <c r="CS265" s="542">
        <v>0</v>
      </c>
      <c r="CT265" s="542">
        <v>0</v>
      </c>
      <c r="CU265" s="542">
        <v>0</v>
      </c>
      <c r="CV265" s="542">
        <v>0</v>
      </c>
      <c r="CW265" s="542">
        <v>0</v>
      </c>
      <c r="CX265" s="542">
        <v>0</v>
      </c>
      <c r="CY265" s="542">
        <v>0</v>
      </c>
      <c r="CZ265" s="542">
        <v>0</v>
      </c>
      <c r="DA265" s="542">
        <v>0</v>
      </c>
      <c r="DB265" s="542">
        <v>0</v>
      </c>
      <c r="DC265" s="542">
        <v>0</v>
      </c>
      <c r="DD265" s="542">
        <v>0</v>
      </c>
      <c r="DE265" s="542">
        <v>0</v>
      </c>
      <c r="DF265" s="542">
        <v>0</v>
      </c>
      <c r="DG265" s="542"/>
      <c r="DH265" s="542">
        <v>0</v>
      </c>
      <c r="DI265" s="542"/>
      <c r="DJ265" s="542">
        <v>0</v>
      </c>
      <c r="DK265" s="542"/>
      <c r="DL265" s="542"/>
      <c r="DM265" s="542">
        <v>-150731</v>
      </c>
      <c r="DN265" s="542">
        <v>0</v>
      </c>
      <c r="DO265" s="542">
        <v>-150731</v>
      </c>
      <c r="DP265" s="542">
        <v>-45073</v>
      </c>
      <c r="DQ265" s="542">
        <v>0</v>
      </c>
      <c r="DR265" s="542">
        <v>-45073</v>
      </c>
      <c r="DS265" s="542">
        <v>0</v>
      </c>
      <c r="DT265" s="542">
        <v>0</v>
      </c>
      <c r="DU265" s="542">
        <v>0</v>
      </c>
      <c r="DV265" s="542">
        <v>-2271</v>
      </c>
      <c r="DW265" s="542">
        <v>0</v>
      </c>
      <c r="DX265" s="542">
        <v>-2271</v>
      </c>
      <c r="DY265" s="542">
        <v>-175381</v>
      </c>
      <c r="DZ265" s="542">
        <v>0</v>
      </c>
      <c r="EA265" s="542">
        <v>-175381</v>
      </c>
      <c r="EB265" s="542">
        <v>0</v>
      </c>
      <c r="EC265" s="542">
        <v>0</v>
      </c>
      <c r="ED265" s="542">
        <v>0</v>
      </c>
      <c r="EE265" s="542">
        <v>0</v>
      </c>
      <c r="EF265" s="542">
        <v>0</v>
      </c>
      <c r="EG265" s="542">
        <v>0</v>
      </c>
      <c r="EH265" s="542">
        <v>-222725</v>
      </c>
      <c r="EI265" s="542">
        <v>0</v>
      </c>
      <c r="EJ265" s="542">
        <v>-222725</v>
      </c>
      <c r="EK265" s="542">
        <v>0</v>
      </c>
      <c r="EL265" s="542">
        <v>0</v>
      </c>
      <c r="EM265" s="542">
        <v>0</v>
      </c>
      <c r="EN265" s="542">
        <v>0</v>
      </c>
      <c r="EO265" s="542">
        <v>0</v>
      </c>
      <c r="EP265" s="542">
        <v>0</v>
      </c>
      <c r="EQ265" s="542">
        <v>0</v>
      </c>
      <c r="ER265" s="542">
        <v>0</v>
      </c>
      <c r="ES265" s="542">
        <v>0</v>
      </c>
      <c r="ET265" s="542">
        <v>51847145</v>
      </c>
      <c r="EU265" s="542">
        <v>0</v>
      </c>
      <c r="EV265" s="542">
        <v>51847145</v>
      </c>
      <c r="EW265" s="542">
        <v>246853</v>
      </c>
      <c r="EX265" s="542">
        <v>0</v>
      </c>
      <c r="EY265" s="542">
        <v>246853</v>
      </c>
      <c r="EZ265" s="542">
        <v>-1466119</v>
      </c>
      <c r="FA265" s="542">
        <v>0</v>
      </c>
      <c r="FB265" s="542">
        <v>-1466119</v>
      </c>
      <c r="FC265" s="542">
        <v>-2032506</v>
      </c>
      <c r="FD265" s="542">
        <v>0</v>
      </c>
      <c r="FE265" s="542">
        <v>-2032506</v>
      </c>
      <c r="FF265" s="542">
        <v>-150731</v>
      </c>
      <c r="FG265" s="542">
        <v>0</v>
      </c>
      <c r="FH265" s="542">
        <v>-150731</v>
      </c>
      <c r="FI265" s="542">
        <v>-222725</v>
      </c>
      <c r="FJ265" s="542">
        <v>0</v>
      </c>
      <c r="FK265" s="542">
        <v>-222725</v>
      </c>
      <c r="FL265" s="542">
        <v>0</v>
      </c>
      <c r="FM265" s="542">
        <v>0</v>
      </c>
      <c r="FN265" s="542">
        <v>0</v>
      </c>
      <c r="FO265" s="542">
        <v>-3625228</v>
      </c>
      <c r="FP265" s="542">
        <v>0</v>
      </c>
      <c r="FQ265" s="542">
        <v>-3625228</v>
      </c>
      <c r="FR265" s="542">
        <v>48221917</v>
      </c>
      <c r="FS265" s="542">
        <v>0</v>
      </c>
      <c r="FT265" s="542">
        <v>48221917</v>
      </c>
    </row>
    <row r="266" spans="1:176" ht="12.75" x14ac:dyDescent="0.2">
      <c r="A266" s="93">
        <v>261</v>
      </c>
      <c r="B266" s="145" t="s">
        <v>400</v>
      </c>
      <c r="C266" s="604" t="s">
        <v>873</v>
      </c>
      <c r="D266" s="142" t="s">
        <v>868</v>
      </c>
      <c r="E266" s="149" t="s">
        <v>399</v>
      </c>
      <c r="F266" s="542">
        <v>-69561</v>
      </c>
      <c r="G266" s="542">
        <v>0</v>
      </c>
      <c r="H266" s="542">
        <v>-69561</v>
      </c>
      <c r="I266" s="542">
        <v>155322</v>
      </c>
      <c r="J266" s="542">
        <v>0</v>
      </c>
      <c r="K266" s="542">
        <v>155322</v>
      </c>
      <c r="L266" s="542">
        <v>28097</v>
      </c>
      <c r="M266" s="542">
        <v>0</v>
      </c>
      <c r="N266" s="542">
        <v>28097</v>
      </c>
      <c r="O266" s="542">
        <v>463938</v>
      </c>
      <c r="P266" s="542">
        <v>0</v>
      </c>
      <c r="Q266" s="542">
        <v>463938</v>
      </c>
      <c r="R266" s="542">
        <v>577796</v>
      </c>
      <c r="S266" s="542">
        <v>0</v>
      </c>
      <c r="T266" s="542">
        <v>577796</v>
      </c>
      <c r="U266" s="542">
        <v>-6824117</v>
      </c>
      <c r="V266" s="542">
        <v>0</v>
      </c>
      <c r="W266" s="542">
        <v>-6824117</v>
      </c>
      <c r="X266" s="542">
        <v>-22012</v>
      </c>
      <c r="Y266" s="542">
        <v>0</v>
      </c>
      <c r="Z266" s="542">
        <v>-22012</v>
      </c>
      <c r="AA266" s="542">
        <v>-233143</v>
      </c>
      <c r="AB266" s="542">
        <v>0</v>
      </c>
      <c r="AC266" s="542">
        <v>-233143</v>
      </c>
      <c r="AD266" s="542">
        <v>-101209</v>
      </c>
      <c r="AE266" s="542">
        <v>0</v>
      </c>
      <c r="AF266" s="542">
        <v>-101209</v>
      </c>
      <c r="AG266" s="542">
        <v>2150926</v>
      </c>
      <c r="AH266" s="542">
        <v>0</v>
      </c>
      <c r="AI266" s="542">
        <v>2150926</v>
      </c>
      <c r="AJ266" s="542">
        <v>-51299</v>
      </c>
      <c r="AK266" s="542">
        <v>0</v>
      </c>
      <c r="AL266" s="542">
        <v>-51299</v>
      </c>
      <c r="AM266" s="542">
        <v>-4132385</v>
      </c>
      <c r="AN266" s="542">
        <v>0</v>
      </c>
      <c r="AO266" s="542">
        <v>-4132385</v>
      </c>
      <c r="AP266" s="542">
        <v>9846</v>
      </c>
      <c r="AQ266" s="542">
        <v>0</v>
      </c>
      <c r="AR266" s="542">
        <v>9846</v>
      </c>
      <c r="AS266" s="542">
        <v>-244596</v>
      </c>
      <c r="AT266" s="542">
        <v>0</v>
      </c>
      <c r="AU266" s="542">
        <v>-244596</v>
      </c>
      <c r="AV266" s="542">
        <v>0</v>
      </c>
      <c r="AW266" s="542">
        <v>0</v>
      </c>
      <c r="AX266" s="542">
        <v>0</v>
      </c>
      <c r="AY266" s="542">
        <v>0</v>
      </c>
      <c r="AZ266" s="542">
        <v>0</v>
      </c>
      <c r="BA266" s="542">
        <v>0</v>
      </c>
      <c r="BB266" s="542">
        <v>0</v>
      </c>
      <c r="BC266" s="542">
        <v>0</v>
      </c>
      <c r="BD266" s="542">
        <v>0</v>
      </c>
      <c r="BE266" s="542">
        <v>-9324768</v>
      </c>
      <c r="BF266" s="542">
        <v>0</v>
      </c>
      <c r="BG266" s="542">
        <v>-9324768</v>
      </c>
      <c r="BH266" s="542">
        <v>-131462</v>
      </c>
      <c r="BI266" s="542">
        <v>0</v>
      </c>
      <c r="BJ266" s="542">
        <v>-131462</v>
      </c>
      <c r="BK266" s="542">
        <v>-69374</v>
      </c>
      <c r="BL266" s="542">
        <v>0</v>
      </c>
      <c r="BM266" s="542">
        <v>-69374</v>
      </c>
      <c r="BN266" s="542">
        <v>-5640210</v>
      </c>
      <c r="BO266" s="542">
        <v>0</v>
      </c>
      <c r="BP266" s="542">
        <v>-5640210</v>
      </c>
      <c r="BQ266" s="542">
        <v>608834</v>
      </c>
      <c r="BR266" s="542">
        <v>0</v>
      </c>
      <c r="BS266" s="542">
        <v>608834</v>
      </c>
      <c r="BT266" s="542">
        <v>-5232212</v>
      </c>
      <c r="BU266" s="542">
        <v>0</v>
      </c>
      <c r="BV266" s="542">
        <v>-5232212</v>
      </c>
      <c r="BW266" s="542">
        <v>0</v>
      </c>
      <c r="BX266" s="542">
        <v>0</v>
      </c>
      <c r="BY266" s="542">
        <v>0</v>
      </c>
      <c r="BZ266" s="542">
        <v>0</v>
      </c>
      <c r="CA266" s="542">
        <v>0</v>
      </c>
      <c r="CB266" s="542">
        <v>0</v>
      </c>
      <c r="CC266" s="542">
        <v>-66865</v>
      </c>
      <c r="CD266" s="542">
        <v>0</v>
      </c>
      <c r="CE266" s="542">
        <v>-66865</v>
      </c>
      <c r="CF266" s="542">
        <v>-19982</v>
      </c>
      <c r="CG266" s="542">
        <v>0</v>
      </c>
      <c r="CH266" s="542">
        <v>-19982</v>
      </c>
      <c r="CI266" s="542">
        <v>-20828</v>
      </c>
      <c r="CJ266" s="542">
        <v>0</v>
      </c>
      <c r="CK266" s="542">
        <v>-20828</v>
      </c>
      <c r="CL266" s="542">
        <v>-147</v>
      </c>
      <c r="CM266" s="542">
        <v>0</v>
      </c>
      <c r="CN266" s="542">
        <v>-147</v>
      </c>
      <c r="CO266" s="542">
        <v>0</v>
      </c>
      <c r="CP266" s="542">
        <v>0</v>
      </c>
      <c r="CQ266" s="542">
        <v>0</v>
      </c>
      <c r="CR266" s="542">
        <v>0</v>
      </c>
      <c r="CS266" s="542">
        <v>0</v>
      </c>
      <c r="CT266" s="542">
        <v>0</v>
      </c>
      <c r="CU266" s="542">
        <v>0</v>
      </c>
      <c r="CV266" s="542">
        <v>0</v>
      </c>
      <c r="CW266" s="542">
        <v>0</v>
      </c>
      <c r="CX266" s="542">
        <v>0</v>
      </c>
      <c r="CY266" s="542">
        <v>0</v>
      </c>
      <c r="CZ266" s="542">
        <v>0</v>
      </c>
      <c r="DA266" s="542">
        <v>-5805</v>
      </c>
      <c r="DB266" s="542">
        <v>0</v>
      </c>
      <c r="DC266" s="542">
        <v>-5805</v>
      </c>
      <c r="DD266" s="542">
        <v>0</v>
      </c>
      <c r="DE266" s="542">
        <v>0</v>
      </c>
      <c r="DF266" s="542">
        <v>0</v>
      </c>
      <c r="DG266" s="542"/>
      <c r="DH266" s="542">
        <v>0</v>
      </c>
      <c r="DI266" s="542"/>
      <c r="DJ266" s="542">
        <v>0</v>
      </c>
      <c r="DK266" s="542"/>
      <c r="DL266" s="542"/>
      <c r="DM266" s="542">
        <v>-113627</v>
      </c>
      <c r="DN266" s="542">
        <v>0</v>
      </c>
      <c r="DO266" s="542">
        <v>-113627</v>
      </c>
      <c r="DP266" s="542">
        <v>-36018</v>
      </c>
      <c r="DQ266" s="542">
        <v>0</v>
      </c>
      <c r="DR266" s="542">
        <v>-36018</v>
      </c>
      <c r="DS266" s="542">
        <v>0</v>
      </c>
      <c r="DT266" s="542">
        <v>0</v>
      </c>
      <c r="DU266" s="542">
        <v>0</v>
      </c>
      <c r="DV266" s="542">
        <v>-8562</v>
      </c>
      <c r="DW266" s="542">
        <v>0</v>
      </c>
      <c r="DX266" s="542">
        <v>-8562</v>
      </c>
      <c r="DY266" s="542">
        <v>-1126625</v>
      </c>
      <c r="DZ266" s="542">
        <v>0</v>
      </c>
      <c r="EA266" s="542">
        <v>-1126625</v>
      </c>
      <c r="EB266" s="542">
        <v>0</v>
      </c>
      <c r="EC266" s="542">
        <v>0</v>
      </c>
      <c r="ED266" s="542">
        <v>0</v>
      </c>
      <c r="EE266" s="542">
        <v>0</v>
      </c>
      <c r="EF266" s="542">
        <v>0</v>
      </c>
      <c r="EG266" s="542">
        <v>0</v>
      </c>
      <c r="EH266" s="542">
        <v>-1171205</v>
      </c>
      <c r="EI266" s="542">
        <v>0</v>
      </c>
      <c r="EJ266" s="542">
        <v>-1171205</v>
      </c>
      <c r="EK266" s="542">
        <v>0</v>
      </c>
      <c r="EL266" s="542">
        <v>0</v>
      </c>
      <c r="EM266" s="542">
        <v>0</v>
      </c>
      <c r="EN266" s="542">
        <v>0</v>
      </c>
      <c r="EO266" s="542">
        <v>0</v>
      </c>
      <c r="EP266" s="542">
        <v>0</v>
      </c>
      <c r="EQ266" s="542">
        <v>0</v>
      </c>
      <c r="ER266" s="542">
        <v>0</v>
      </c>
      <c r="ES266" s="542">
        <v>0</v>
      </c>
      <c r="ET266" s="542">
        <v>107771578</v>
      </c>
      <c r="EU266" s="542">
        <v>0</v>
      </c>
      <c r="EV266" s="542">
        <v>107771578</v>
      </c>
      <c r="EW266" s="542">
        <v>577796</v>
      </c>
      <c r="EX266" s="542">
        <v>0</v>
      </c>
      <c r="EY266" s="542">
        <v>577796</v>
      </c>
      <c r="EZ266" s="542">
        <v>-9324768</v>
      </c>
      <c r="FA266" s="542">
        <v>0</v>
      </c>
      <c r="FB266" s="542">
        <v>-9324768</v>
      </c>
      <c r="FC266" s="542">
        <v>-5232212</v>
      </c>
      <c r="FD266" s="542">
        <v>0</v>
      </c>
      <c r="FE266" s="542">
        <v>-5232212</v>
      </c>
      <c r="FF266" s="542">
        <v>-113627</v>
      </c>
      <c r="FG266" s="542">
        <v>0</v>
      </c>
      <c r="FH266" s="542">
        <v>-113627</v>
      </c>
      <c r="FI266" s="542">
        <v>-1171205</v>
      </c>
      <c r="FJ266" s="542">
        <v>0</v>
      </c>
      <c r="FK266" s="542">
        <v>-1171205</v>
      </c>
      <c r="FL266" s="542">
        <v>0</v>
      </c>
      <c r="FM266" s="542">
        <v>0</v>
      </c>
      <c r="FN266" s="542">
        <v>0</v>
      </c>
      <c r="FO266" s="542">
        <v>-15264016</v>
      </c>
      <c r="FP266" s="542">
        <v>0</v>
      </c>
      <c r="FQ266" s="542">
        <v>-15264016</v>
      </c>
      <c r="FR266" s="542">
        <v>92507562</v>
      </c>
      <c r="FS266" s="542">
        <v>0</v>
      </c>
      <c r="FT266" s="542">
        <v>92507562</v>
      </c>
    </row>
    <row r="267" spans="1:176" ht="12.75" x14ac:dyDescent="0.2">
      <c r="A267" s="93">
        <v>262</v>
      </c>
      <c r="B267" s="145" t="s">
        <v>402</v>
      </c>
      <c r="C267" s="604" t="s">
        <v>770</v>
      </c>
      <c r="D267" s="142" t="s">
        <v>878</v>
      </c>
      <c r="E267" s="149" t="s">
        <v>727</v>
      </c>
      <c r="F267" s="542">
        <v>-78224</v>
      </c>
      <c r="G267" s="542">
        <v>0</v>
      </c>
      <c r="H267" s="542">
        <v>-78224</v>
      </c>
      <c r="I267" s="542">
        <v>296306</v>
      </c>
      <c r="J267" s="542">
        <v>0</v>
      </c>
      <c r="K267" s="542">
        <v>296306</v>
      </c>
      <c r="L267" s="542">
        <v>78356</v>
      </c>
      <c r="M267" s="542">
        <v>0</v>
      </c>
      <c r="N267" s="542">
        <v>78356</v>
      </c>
      <c r="O267" s="542">
        <v>611200</v>
      </c>
      <c r="P267" s="542">
        <v>0</v>
      </c>
      <c r="Q267" s="542">
        <v>611200</v>
      </c>
      <c r="R267" s="542">
        <v>907638</v>
      </c>
      <c r="S267" s="542">
        <v>0</v>
      </c>
      <c r="T267" s="542">
        <v>907638</v>
      </c>
      <c r="U267" s="542">
        <v>-2850859</v>
      </c>
      <c r="V267" s="542">
        <v>0</v>
      </c>
      <c r="W267" s="542">
        <v>-2850859</v>
      </c>
      <c r="X267" s="542">
        <v>0</v>
      </c>
      <c r="Y267" s="542">
        <v>0</v>
      </c>
      <c r="Z267" s="542">
        <v>0</v>
      </c>
      <c r="AA267" s="542">
        <v>-99693</v>
      </c>
      <c r="AB267" s="542">
        <v>0</v>
      </c>
      <c r="AC267" s="542">
        <v>-99693</v>
      </c>
      <c r="AD267" s="542">
        <v>-62921</v>
      </c>
      <c r="AE267" s="542">
        <v>0</v>
      </c>
      <c r="AF267" s="542">
        <v>-62921</v>
      </c>
      <c r="AG267" s="542">
        <v>1936254</v>
      </c>
      <c r="AH267" s="542">
        <v>0</v>
      </c>
      <c r="AI267" s="542">
        <v>1936254</v>
      </c>
      <c r="AJ267" s="542">
        <v>-62228</v>
      </c>
      <c r="AK267" s="542">
        <v>0</v>
      </c>
      <c r="AL267" s="542">
        <v>-62228</v>
      </c>
      <c r="AM267" s="542">
        <v>-3913136</v>
      </c>
      <c r="AN267" s="542">
        <v>0</v>
      </c>
      <c r="AO267" s="542">
        <v>-3913136</v>
      </c>
      <c r="AP267" s="542">
        <v>97031</v>
      </c>
      <c r="AQ267" s="542">
        <v>0</v>
      </c>
      <c r="AR267" s="542">
        <v>97031</v>
      </c>
      <c r="AS267" s="542">
        <v>-35938</v>
      </c>
      <c r="AT267" s="542">
        <v>0</v>
      </c>
      <c r="AU267" s="542">
        <v>-35938</v>
      </c>
      <c r="AV267" s="542">
        <v>0</v>
      </c>
      <c r="AW267" s="542">
        <v>0</v>
      </c>
      <c r="AX267" s="542">
        <v>0</v>
      </c>
      <c r="AY267" s="542">
        <v>-9761</v>
      </c>
      <c r="AZ267" s="542">
        <v>0</v>
      </c>
      <c r="BA267" s="542">
        <v>-9761</v>
      </c>
      <c r="BB267" s="542">
        <v>0</v>
      </c>
      <c r="BC267" s="542">
        <v>0</v>
      </c>
      <c r="BD267" s="542">
        <v>0</v>
      </c>
      <c r="BE267" s="542">
        <v>-4938330</v>
      </c>
      <c r="BF267" s="542">
        <v>0</v>
      </c>
      <c r="BG267" s="542">
        <v>-4938330</v>
      </c>
      <c r="BH267" s="542">
        <v>-7944</v>
      </c>
      <c r="BI267" s="542">
        <v>0</v>
      </c>
      <c r="BJ267" s="542">
        <v>-7944</v>
      </c>
      <c r="BK267" s="542">
        <v>4502</v>
      </c>
      <c r="BL267" s="542">
        <v>0</v>
      </c>
      <c r="BM267" s="542">
        <v>4502</v>
      </c>
      <c r="BN267" s="542">
        <v>-2147774</v>
      </c>
      <c r="BO267" s="542">
        <v>0</v>
      </c>
      <c r="BP267" s="542">
        <v>-2147774</v>
      </c>
      <c r="BQ267" s="542">
        <v>77839</v>
      </c>
      <c r="BR267" s="542">
        <v>0</v>
      </c>
      <c r="BS267" s="542">
        <v>77839</v>
      </c>
      <c r="BT267" s="542">
        <v>-2073377</v>
      </c>
      <c r="BU267" s="542">
        <v>0</v>
      </c>
      <c r="BV267" s="542">
        <v>-2073377</v>
      </c>
      <c r="BW267" s="542">
        <v>-185105</v>
      </c>
      <c r="BX267" s="542">
        <v>0</v>
      </c>
      <c r="BY267" s="542">
        <v>-185105</v>
      </c>
      <c r="BZ267" s="542">
        <v>3039</v>
      </c>
      <c r="CA267" s="542">
        <v>0</v>
      </c>
      <c r="CB267" s="542">
        <v>3039</v>
      </c>
      <c r="CC267" s="542">
        <v>-84517</v>
      </c>
      <c r="CD267" s="542">
        <v>0</v>
      </c>
      <c r="CE267" s="542">
        <v>-84517</v>
      </c>
      <c r="CF267" s="542">
        <v>8455</v>
      </c>
      <c r="CG267" s="542">
        <v>0</v>
      </c>
      <c r="CH267" s="542">
        <v>8455</v>
      </c>
      <c r="CI267" s="542">
        <v>-9279</v>
      </c>
      <c r="CJ267" s="542">
        <v>0</v>
      </c>
      <c r="CK267" s="542">
        <v>-9279</v>
      </c>
      <c r="CL267" s="542">
        <v>0</v>
      </c>
      <c r="CM267" s="542">
        <v>0</v>
      </c>
      <c r="CN267" s="542">
        <v>0</v>
      </c>
      <c r="CO267" s="542">
        <v>-9761</v>
      </c>
      <c r="CP267" s="542">
        <v>0</v>
      </c>
      <c r="CQ267" s="542">
        <v>-9761</v>
      </c>
      <c r="CR267" s="542">
        <v>0</v>
      </c>
      <c r="CS267" s="542">
        <v>0</v>
      </c>
      <c r="CT267" s="542">
        <v>0</v>
      </c>
      <c r="CU267" s="542">
        <v>0</v>
      </c>
      <c r="CV267" s="542">
        <v>0</v>
      </c>
      <c r="CW267" s="542">
        <v>0</v>
      </c>
      <c r="CX267" s="542">
        <v>0</v>
      </c>
      <c r="CY267" s="542">
        <v>0</v>
      </c>
      <c r="CZ267" s="542">
        <v>0</v>
      </c>
      <c r="DA267" s="542">
        <v>-92946</v>
      </c>
      <c r="DB267" s="542">
        <v>-115815</v>
      </c>
      <c r="DC267" s="542">
        <v>-208761</v>
      </c>
      <c r="DD267" s="542">
        <v>-1733</v>
      </c>
      <c r="DE267" s="542">
        <v>0</v>
      </c>
      <c r="DF267" s="542">
        <v>-1733</v>
      </c>
      <c r="DG267" s="542"/>
      <c r="DH267" s="542">
        <v>-43756</v>
      </c>
      <c r="DI267" s="542"/>
      <c r="DJ267" s="542">
        <v>-72059</v>
      </c>
      <c r="DK267" s="542"/>
      <c r="DL267" s="542"/>
      <c r="DM267" s="542">
        <v>-371847</v>
      </c>
      <c r="DN267" s="542">
        <v>-115815</v>
      </c>
      <c r="DO267" s="542">
        <v>-487662</v>
      </c>
      <c r="DP267" s="542">
        <v>0</v>
      </c>
      <c r="DQ267" s="542">
        <v>0</v>
      </c>
      <c r="DR267" s="542">
        <v>0</v>
      </c>
      <c r="DS267" s="542">
        <v>0</v>
      </c>
      <c r="DT267" s="542">
        <v>0</v>
      </c>
      <c r="DU267" s="542">
        <v>0</v>
      </c>
      <c r="DV267" s="542">
        <v>-11880</v>
      </c>
      <c r="DW267" s="542">
        <v>0</v>
      </c>
      <c r="DX267" s="542">
        <v>-11880</v>
      </c>
      <c r="DY267" s="542">
        <v>-572716</v>
      </c>
      <c r="DZ267" s="542">
        <v>0</v>
      </c>
      <c r="EA267" s="542">
        <v>-572716</v>
      </c>
      <c r="EB267" s="542">
        <v>0</v>
      </c>
      <c r="EC267" s="542">
        <v>0</v>
      </c>
      <c r="ED267" s="542">
        <v>0</v>
      </c>
      <c r="EE267" s="542">
        <v>-323301</v>
      </c>
      <c r="EF267" s="542">
        <v>0</v>
      </c>
      <c r="EG267" s="542">
        <v>-323301</v>
      </c>
      <c r="EH267" s="542">
        <v>-907897</v>
      </c>
      <c r="EI267" s="542">
        <v>0</v>
      </c>
      <c r="EJ267" s="542">
        <v>-907897</v>
      </c>
      <c r="EK267" s="542">
        <v>0</v>
      </c>
      <c r="EL267" s="542">
        <v>0</v>
      </c>
      <c r="EM267" s="542">
        <v>0</v>
      </c>
      <c r="EN267" s="542">
        <v>0</v>
      </c>
      <c r="EO267" s="542">
        <v>0</v>
      </c>
      <c r="EP267" s="542">
        <v>0</v>
      </c>
      <c r="EQ267" s="542">
        <v>0</v>
      </c>
      <c r="ER267" s="542">
        <v>0</v>
      </c>
      <c r="ES267" s="542">
        <v>0</v>
      </c>
      <c r="ET267" s="542">
        <v>87794881</v>
      </c>
      <c r="EU267" s="542">
        <v>227845</v>
      </c>
      <c r="EV267" s="542">
        <v>88022726</v>
      </c>
      <c r="EW267" s="542">
        <v>907638</v>
      </c>
      <c r="EX267" s="542">
        <v>0</v>
      </c>
      <c r="EY267" s="542">
        <v>907638</v>
      </c>
      <c r="EZ267" s="542">
        <v>-4938330</v>
      </c>
      <c r="FA267" s="542">
        <v>0</v>
      </c>
      <c r="FB267" s="542">
        <v>-4938330</v>
      </c>
      <c r="FC267" s="542">
        <v>-2073377</v>
      </c>
      <c r="FD267" s="542">
        <v>0</v>
      </c>
      <c r="FE267" s="542">
        <v>-2073377</v>
      </c>
      <c r="FF267" s="542">
        <v>-371847</v>
      </c>
      <c r="FG267" s="542">
        <v>-115815</v>
      </c>
      <c r="FH267" s="542">
        <v>-487662</v>
      </c>
      <c r="FI267" s="542">
        <v>-907897</v>
      </c>
      <c r="FJ267" s="542">
        <v>0</v>
      </c>
      <c r="FK267" s="542">
        <v>-907897</v>
      </c>
      <c r="FL267" s="542">
        <v>0</v>
      </c>
      <c r="FM267" s="542">
        <v>0</v>
      </c>
      <c r="FN267" s="542">
        <v>0</v>
      </c>
      <c r="FO267" s="542">
        <v>-7383813</v>
      </c>
      <c r="FP267" s="542">
        <v>-115815</v>
      </c>
      <c r="FQ267" s="542">
        <v>-7499628</v>
      </c>
      <c r="FR267" s="542">
        <v>80411068</v>
      </c>
      <c r="FS267" s="542">
        <v>112030</v>
      </c>
      <c r="FT267" s="542">
        <v>80523098</v>
      </c>
    </row>
    <row r="268" spans="1:176" ht="12.75" x14ac:dyDescent="0.2">
      <c r="A268" s="93">
        <v>263</v>
      </c>
      <c r="B268" s="145" t="s">
        <v>404</v>
      </c>
      <c r="C268" s="604" t="s">
        <v>770</v>
      </c>
      <c r="D268" s="142" t="s">
        <v>876</v>
      </c>
      <c r="E268" s="149" t="s">
        <v>728</v>
      </c>
      <c r="F268" s="542">
        <v>-95780</v>
      </c>
      <c r="G268" s="542">
        <v>0</v>
      </c>
      <c r="H268" s="542">
        <v>-95780</v>
      </c>
      <c r="I268" s="542">
        <v>955631</v>
      </c>
      <c r="J268" s="542">
        <v>0</v>
      </c>
      <c r="K268" s="542">
        <v>955631</v>
      </c>
      <c r="L268" s="542">
        <v>121188</v>
      </c>
      <c r="M268" s="542">
        <v>0</v>
      </c>
      <c r="N268" s="542">
        <v>121188</v>
      </c>
      <c r="O268" s="542">
        <v>892905</v>
      </c>
      <c r="P268" s="542">
        <v>0</v>
      </c>
      <c r="Q268" s="542">
        <v>892905</v>
      </c>
      <c r="R268" s="542">
        <v>1873944</v>
      </c>
      <c r="S268" s="542">
        <v>0</v>
      </c>
      <c r="T268" s="542">
        <v>1873944</v>
      </c>
      <c r="U268" s="542">
        <v>-6085720</v>
      </c>
      <c r="V268" s="542">
        <v>0</v>
      </c>
      <c r="W268" s="542">
        <v>-6085720</v>
      </c>
      <c r="X268" s="542">
        <v>-9225</v>
      </c>
      <c r="Y268" s="542">
        <v>0</v>
      </c>
      <c r="Z268" s="542">
        <v>-9225</v>
      </c>
      <c r="AA268" s="542">
        <v>-214739</v>
      </c>
      <c r="AB268" s="542">
        <v>0</v>
      </c>
      <c r="AC268" s="542">
        <v>-214739</v>
      </c>
      <c r="AD268" s="542">
        <v>-142021</v>
      </c>
      <c r="AE268" s="542">
        <v>0</v>
      </c>
      <c r="AF268" s="542">
        <v>-142021</v>
      </c>
      <c r="AG268" s="542">
        <v>1997745</v>
      </c>
      <c r="AH268" s="542">
        <v>0</v>
      </c>
      <c r="AI268" s="542">
        <v>1997745</v>
      </c>
      <c r="AJ268" s="542">
        <v>29502</v>
      </c>
      <c r="AK268" s="542">
        <v>0</v>
      </c>
      <c r="AL268" s="542">
        <v>29502</v>
      </c>
      <c r="AM268" s="542">
        <v>-5328555</v>
      </c>
      <c r="AN268" s="542">
        <v>0</v>
      </c>
      <c r="AO268" s="542">
        <v>-5328555</v>
      </c>
      <c r="AP268" s="542">
        <v>-613802</v>
      </c>
      <c r="AQ268" s="542">
        <v>0</v>
      </c>
      <c r="AR268" s="542">
        <v>-613802</v>
      </c>
      <c r="AS268" s="542">
        <v>-56086</v>
      </c>
      <c r="AT268" s="542">
        <v>0</v>
      </c>
      <c r="AU268" s="542">
        <v>-56086</v>
      </c>
      <c r="AV268" s="542">
        <v>0</v>
      </c>
      <c r="AW268" s="542">
        <v>0</v>
      </c>
      <c r="AX268" s="542">
        <v>0</v>
      </c>
      <c r="AY268" s="542">
        <v>0</v>
      </c>
      <c r="AZ268" s="542">
        <v>0</v>
      </c>
      <c r="BA268" s="542">
        <v>0</v>
      </c>
      <c r="BB268" s="542">
        <v>0</v>
      </c>
      <c r="BC268" s="542">
        <v>0</v>
      </c>
      <c r="BD268" s="542">
        <v>0</v>
      </c>
      <c r="BE268" s="542">
        <v>-10271655</v>
      </c>
      <c r="BF268" s="542">
        <v>0</v>
      </c>
      <c r="BG268" s="542">
        <v>-10271655</v>
      </c>
      <c r="BH268" s="542">
        <v>-175522</v>
      </c>
      <c r="BI268" s="542">
        <v>0</v>
      </c>
      <c r="BJ268" s="542">
        <v>-175522</v>
      </c>
      <c r="BK268" s="542">
        <v>-6947</v>
      </c>
      <c r="BL268" s="542">
        <v>0</v>
      </c>
      <c r="BM268" s="542">
        <v>-6947</v>
      </c>
      <c r="BN268" s="542">
        <v>0</v>
      </c>
      <c r="BO268" s="542">
        <v>0</v>
      </c>
      <c r="BP268" s="542">
        <v>0</v>
      </c>
      <c r="BQ268" s="542">
        <v>-18893</v>
      </c>
      <c r="BR268" s="542">
        <v>0</v>
      </c>
      <c r="BS268" s="542">
        <v>-18893</v>
      </c>
      <c r="BT268" s="542">
        <v>-201362</v>
      </c>
      <c r="BU268" s="542">
        <v>0</v>
      </c>
      <c r="BV268" s="542">
        <v>-201362</v>
      </c>
      <c r="BW268" s="542">
        <v>-102593</v>
      </c>
      <c r="BX268" s="542">
        <v>0</v>
      </c>
      <c r="BY268" s="542">
        <v>-102593</v>
      </c>
      <c r="BZ268" s="542">
        <v>-7136</v>
      </c>
      <c r="CA268" s="542">
        <v>0</v>
      </c>
      <c r="CB268" s="542">
        <v>-7136</v>
      </c>
      <c r="CC268" s="542">
        <v>-208339</v>
      </c>
      <c r="CD268" s="542">
        <v>0</v>
      </c>
      <c r="CE268" s="542">
        <v>-208339</v>
      </c>
      <c r="CF268" s="542">
        <v>-19865</v>
      </c>
      <c r="CG268" s="542">
        <v>0</v>
      </c>
      <c r="CH268" s="542">
        <v>-19865</v>
      </c>
      <c r="CI268" s="542">
        <v>-7272</v>
      </c>
      <c r="CJ268" s="542">
        <v>0</v>
      </c>
      <c r="CK268" s="542">
        <v>-7272</v>
      </c>
      <c r="CL268" s="542">
        <v>0</v>
      </c>
      <c r="CM268" s="542">
        <v>0</v>
      </c>
      <c r="CN268" s="542">
        <v>0</v>
      </c>
      <c r="CO268" s="542">
        <v>0</v>
      </c>
      <c r="CP268" s="542">
        <v>0</v>
      </c>
      <c r="CQ268" s="542">
        <v>0</v>
      </c>
      <c r="CR268" s="542">
        <v>0</v>
      </c>
      <c r="CS268" s="542">
        <v>0</v>
      </c>
      <c r="CT268" s="542">
        <v>0</v>
      </c>
      <c r="CU268" s="542">
        <v>0</v>
      </c>
      <c r="CV268" s="542">
        <v>0</v>
      </c>
      <c r="CW268" s="542">
        <v>0</v>
      </c>
      <c r="CX268" s="542">
        <v>0</v>
      </c>
      <c r="CY268" s="542">
        <v>0</v>
      </c>
      <c r="CZ268" s="542">
        <v>0</v>
      </c>
      <c r="DA268" s="542">
        <v>0</v>
      </c>
      <c r="DB268" s="542">
        <v>0</v>
      </c>
      <c r="DC268" s="542">
        <v>0</v>
      </c>
      <c r="DD268" s="542">
        <v>0</v>
      </c>
      <c r="DE268" s="542">
        <v>0</v>
      </c>
      <c r="DF268" s="542">
        <v>0</v>
      </c>
      <c r="DG268" s="542"/>
      <c r="DH268" s="542">
        <v>0</v>
      </c>
      <c r="DI268" s="542"/>
      <c r="DJ268" s="542">
        <v>0</v>
      </c>
      <c r="DK268" s="542"/>
      <c r="DL268" s="542"/>
      <c r="DM268" s="542">
        <v>-345205</v>
      </c>
      <c r="DN268" s="542">
        <v>0</v>
      </c>
      <c r="DO268" s="542">
        <v>-345205</v>
      </c>
      <c r="DP268" s="542">
        <v>0</v>
      </c>
      <c r="DQ268" s="542">
        <v>0</v>
      </c>
      <c r="DR268" s="542">
        <v>0</v>
      </c>
      <c r="DS268" s="542">
        <v>0</v>
      </c>
      <c r="DT268" s="542">
        <v>0</v>
      </c>
      <c r="DU268" s="542">
        <v>0</v>
      </c>
      <c r="DV268" s="542">
        <v>-18310</v>
      </c>
      <c r="DW268" s="542">
        <v>0</v>
      </c>
      <c r="DX268" s="542">
        <v>-18310</v>
      </c>
      <c r="DY268" s="542">
        <v>-764920</v>
      </c>
      <c r="DZ268" s="542">
        <v>0</v>
      </c>
      <c r="EA268" s="542">
        <v>-764920</v>
      </c>
      <c r="EB268" s="542">
        <v>0</v>
      </c>
      <c r="EC268" s="542">
        <v>0</v>
      </c>
      <c r="ED268" s="542">
        <v>0</v>
      </c>
      <c r="EE268" s="542">
        <v>0</v>
      </c>
      <c r="EF268" s="542">
        <v>0</v>
      </c>
      <c r="EG268" s="542">
        <v>0</v>
      </c>
      <c r="EH268" s="542">
        <v>-783230</v>
      </c>
      <c r="EI268" s="542">
        <v>0</v>
      </c>
      <c r="EJ268" s="542">
        <v>-783230</v>
      </c>
      <c r="EK268" s="542">
        <v>0</v>
      </c>
      <c r="EL268" s="542">
        <v>0</v>
      </c>
      <c r="EM268" s="542">
        <v>0</v>
      </c>
      <c r="EN268" s="542">
        <v>0</v>
      </c>
      <c r="EO268" s="542">
        <v>0</v>
      </c>
      <c r="EP268" s="542">
        <v>0</v>
      </c>
      <c r="EQ268" s="542">
        <v>0</v>
      </c>
      <c r="ER268" s="542">
        <v>0</v>
      </c>
      <c r="ES268" s="542">
        <v>0</v>
      </c>
      <c r="ET268" s="542">
        <v>94232838</v>
      </c>
      <c r="EU268" s="542">
        <v>0</v>
      </c>
      <c r="EV268" s="542">
        <v>94232838</v>
      </c>
      <c r="EW268" s="542">
        <v>1873944</v>
      </c>
      <c r="EX268" s="542">
        <v>0</v>
      </c>
      <c r="EY268" s="542">
        <v>1873944</v>
      </c>
      <c r="EZ268" s="542">
        <v>-10271655</v>
      </c>
      <c r="FA268" s="542">
        <v>0</v>
      </c>
      <c r="FB268" s="542">
        <v>-10271655</v>
      </c>
      <c r="FC268" s="542">
        <v>-201362</v>
      </c>
      <c r="FD268" s="542">
        <v>0</v>
      </c>
      <c r="FE268" s="542">
        <v>-201362</v>
      </c>
      <c r="FF268" s="542">
        <v>-345205</v>
      </c>
      <c r="FG268" s="542">
        <v>0</v>
      </c>
      <c r="FH268" s="542">
        <v>-345205</v>
      </c>
      <c r="FI268" s="542">
        <v>-783230</v>
      </c>
      <c r="FJ268" s="542">
        <v>0</v>
      </c>
      <c r="FK268" s="542">
        <v>-783230</v>
      </c>
      <c r="FL268" s="542">
        <v>0</v>
      </c>
      <c r="FM268" s="542">
        <v>0</v>
      </c>
      <c r="FN268" s="542">
        <v>0</v>
      </c>
      <c r="FO268" s="542">
        <v>-9727508</v>
      </c>
      <c r="FP268" s="542">
        <v>0</v>
      </c>
      <c r="FQ268" s="542">
        <v>-9727508</v>
      </c>
      <c r="FR268" s="542">
        <v>84505330</v>
      </c>
      <c r="FS268" s="542">
        <v>0</v>
      </c>
      <c r="FT268" s="542">
        <v>84505330</v>
      </c>
    </row>
    <row r="269" spans="1:176" ht="12.75" x14ac:dyDescent="0.2">
      <c r="A269" s="93">
        <v>264</v>
      </c>
      <c r="B269" s="145" t="s">
        <v>406</v>
      </c>
      <c r="C269" s="604" t="s">
        <v>866</v>
      </c>
      <c r="D269" s="142" t="s">
        <v>876</v>
      </c>
      <c r="E269" s="149" t="s">
        <v>405</v>
      </c>
      <c r="F269" s="542">
        <v>-60237</v>
      </c>
      <c r="G269" s="542">
        <v>0</v>
      </c>
      <c r="H269" s="542">
        <v>-60237</v>
      </c>
      <c r="I269" s="542">
        <v>115231</v>
      </c>
      <c r="J269" s="542">
        <v>0</v>
      </c>
      <c r="K269" s="542">
        <v>115231</v>
      </c>
      <c r="L269" s="542">
        <v>531</v>
      </c>
      <c r="M269" s="542">
        <v>0</v>
      </c>
      <c r="N269" s="542">
        <v>531</v>
      </c>
      <c r="O269" s="542">
        <v>152796</v>
      </c>
      <c r="P269" s="542">
        <v>0</v>
      </c>
      <c r="Q269" s="542">
        <v>152796</v>
      </c>
      <c r="R269" s="542">
        <v>208321</v>
      </c>
      <c r="S269" s="542">
        <v>0</v>
      </c>
      <c r="T269" s="542">
        <v>208321</v>
      </c>
      <c r="U269" s="542">
        <v>-3312357</v>
      </c>
      <c r="V269" s="542">
        <v>0</v>
      </c>
      <c r="W269" s="542">
        <v>-3312357</v>
      </c>
      <c r="X269" s="542">
        <v>0</v>
      </c>
      <c r="Y269" s="542">
        <v>0</v>
      </c>
      <c r="Z269" s="542">
        <v>0</v>
      </c>
      <c r="AA269" s="542">
        <v>-144630</v>
      </c>
      <c r="AB269" s="542">
        <v>0</v>
      </c>
      <c r="AC269" s="542">
        <v>-144630</v>
      </c>
      <c r="AD269" s="542">
        <v>-63454</v>
      </c>
      <c r="AE269" s="542">
        <v>0</v>
      </c>
      <c r="AF269" s="542">
        <v>-63454</v>
      </c>
      <c r="AG269" s="542">
        <v>1221210</v>
      </c>
      <c r="AH269" s="542">
        <v>0</v>
      </c>
      <c r="AI269" s="542">
        <v>1221210</v>
      </c>
      <c r="AJ269" s="542">
        <v>-10753</v>
      </c>
      <c r="AK269" s="542">
        <v>0</v>
      </c>
      <c r="AL269" s="542">
        <v>-10753</v>
      </c>
      <c r="AM269" s="542">
        <v>-4058429</v>
      </c>
      <c r="AN269" s="542">
        <v>0</v>
      </c>
      <c r="AO269" s="542">
        <v>-4058429</v>
      </c>
      <c r="AP269" s="542">
        <v>-511303</v>
      </c>
      <c r="AQ269" s="542">
        <v>0</v>
      </c>
      <c r="AR269" s="542">
        <v>-511303</v>
      </c>
      <c r="AS269" s="542">
        <v>-96596</v>
      </c>
      <c r="AT269" s="542">
        <v>0</v>
      </c>
      <c r="AU269" s="542">
        <v>-96596</v>
      </c>
      <c r="AV269" s="542">
        <v>-104</v>
      </c>
      <c r="AW269" s="542">
        <v>0</v>
      </c>
      <c r="AX269" s="542">
        <v>-104</v>
      </c>
      <c r="AY269" s="542">
        <v>-37469</v>
      </c>
      <c r="AZ269" s="542">
        <v>0</v>
      </c>
      <c r="BA269" s="542">
        <v>-37469</v>
      </c>
      <c r="BB269" s="542">
        <v>0</v>
      </c>
      <c r="BC269" s="542">
        <v>0</v>
      </c>
      <c r="BD269" s="542">
        <v>0</v>
      </c>
      <c r="BE269" s="542">
        <v>-6950431</v>
      </c>
      <c r="BF269" s="542">
        <v>0</v>
      </c>
      <c r="BG269" s="542">
        <v>-6950431</v>
      </c>
      <c r="BH269" s="542">
        <v>-6391</v>
      </c>
      <c r="BI269" s="542">
        <v>0</v>
      </c>
      <c r="BJ269" s="542">
        <v>-6391</v>
      </c>
      <c r="BK269" s="542">
        <v>-2840</v>
      </c>
      <c r="BL269" s="542">
        <v>0</v>
      </c>
      <c r="BM269" s="542">
        <v>-2840</v>
      </c>
      <c r="BN269" s="542">
        <v>-2167043</v>
      </c>
      <c r="BO269" s="542">
        <v>0</v>
      </c>
      <c r="BP269" s="542">
        <v>-2167043</v>
      </c>
      <c r="BQ269" s="542">
        <v>35726</v>
      </c>
      <c r="BR269" s="542">
        <v>0</v>
      </c>
      <c r="BS269" s="542">
        <v>35726</v>
      </c>
      <c r="BT269" s="542">
        <v>-2140548</v>
      </c>
      <c r="BU269" s="542">
        <v>0</v>
      </c>
      <c r="BV269" s="542">
        <v>-2140548</v>
      </c>
      <c r="BW269" s="542">
        <v>-8196</v>
      </c>
      <c r="BX269" s="542">
        <v>0</v>
      </c>
      <c r="BY269" s="542">
        <v>-8196</v>
      </c>
      <c r="BZ269" s="542">
        <v>5843</v>
      </c>
      <c r="CA269" s="542">
        <v>0</v>
      </c>
      <c r="CB269" s="542">
        <v>5843</v>
      </c>
      <c r="CC269" s="542">
        <v>-20477</v>
      </c>
      <c r="CD269" s="542">
        <v>0</v>
      </c>
      <c r="CE269" s="542">
        <v>-20477</v>
      </c>
      <c r="CF269" s="542">
        <v>-4704</v>
      </c>
      <c r="CG269" s="542">
        <v>0</v>
      </c>
      <c r="CH269" s="542">
        <v>-4704</v>
      </c>
      <c r="CI269" s="542">
        <v>0</v>
      </c>
      <c r="CJ269" s="542">
        <v>0</v>
      </c>
      <c r="CK269" s="542">
        <v>0</v>
      </c>
      <c r="CL269" s="542">
        <v>0</v>
      </c>
      <c r="CM269" s="542">
        <v>0</v>
      </c>
      <c r="CN269" s="542">
        <v>0</v>
      </c>
      <c r="CO269" s="542">
        <v>-4614</v>
      </c>
      <c r="CP269" s="542">
        <v>0</v>
      </c>
      <c r="CQ269" s="542">
        <v>-4614</v>
      </c>
      <c r="CR269" s="542">
        <v>3130</v>
      </c>
      <c r="CS269" s="542">
        <v>0</v>
      </c>
      <c r="CT269" s="542">
        <v>3130</v>
      </c>
      <c r="CU269" s="542">
        <v>0</v>
      </c>
      <c r="CV269" s="542">
        <v>0</v>
      </c>
      <c r="CW269" s="542">
        <v>0</v>
      </c>
      <c r="CX269" s="542">
        <v>0</v>
      </c>
      <c r="CY269" s="542">
        <v>0</v>
      </c>
      <c r="CZ269" s="542">
        <v>0</v>
      </c>
      <c r="DA269" s="542">
        <v>0</v>
      </c>
      <c r="DB269" s="542">
        <v>0</v>
      </c>
      <c r="DC269" s="542">
        <v>0</v>
      </c>
      <c r="DD269" s="542">
        <v>0</v>
      </c>
      <c r="DE269" s="542">
        <v>0</v>
      </c>
      <c r="DF269" s="542">
        <v>0</v>
      </c>
      <c r="DG269" s="542"/>
      <c r="DH269" s="542">
        <v>0</v>
      </c>
      <c r="DI269" s="542"/>
      <c r="DJ269" s="542">
        <v>0</v>
      </c>
      <c r="DK269" s="542"/>
      <c r="DL269" s="542"/>
      <c r="DM269" s="542">
        <v>-29018</v>
      </c>
      <c r="DN269" s="542">
        <v>0</v>
      </c>
      <c r="DO269" s="542">
        <v>-29018</v>
      </c>
      <c r="DP269" s="542">
        <v>-1849</v>
      </c>
      <c r="DQ269" s="542">
        <v>0</v>
      </c>
      <c r="DR269" s="542">
        <v>-1849</v>
      </c>
      <c r="DS269" s="542">
        <v>0</v>
      </c>
      <c r="DT269" s="542">
        <v>0</v>
      </c>
      <c r="DU269" s="542">
        <v>0</v>
      </c>
      <c r="DV269" s="542">
        <v>0</v>
      </c>
      <c r="DW269" s="542">
        <v>0</v>
      </c>
      <c r="DX269" s="542">
        <v>0</v>
      </c>
      <c r="DY269" s="542">
        <v>-215376</v>
      </c>
      <c r="DZ269" s="542">
        <v>0</v>
      </c>
      <c r="EA269" s="542">
        <v>-215376</v>
      </c>
      <c r="EB269" s="542">
        <v>0</v>
      </c>
      <c r="EC269" s="542">
        <v>0</v>
      </c>
      <c r="ED269" s="542">
        <v>0</v>
      </c>
      <c r="EE269" s="542">
        <v>0</v>
      </c>
      <c r="EF269" s="542">
        <v>0</v>
      </c>
      <c r="EG269" s="542">
        <v>0</v>
      </c>
      <c r="EH269" s="542">
        <v>-217225</v>
      </c>
      <c r="EI269" s="542">
        <v>0</v>
      </c>
      <c r="EJ269" s="542">
        <v>-217225</v>
      </c>
      <c r="EK269" s="542">
        <v>-36466</v>
      </c>
      <c r="EL269" s="542">
        <v>0</v>
      </c>
      <c r="EM269" s="542">
        <v>-36466</v>
      </c>
      <c r="EN269" s="542">
        <v>-1428</v>
      </c>
      <c r="EO269" s="542">
        <v>0</v>
      </c>
      <c r="EP269" s="542">
        <v>-1428</v>
      </c>
      <c r="EQ269" s="542">
        <v>-37894</v>
      </c>
      <c r="ER269" s="542">
        <v>0</v>
      </c>
      <c r="ES269" s="542">
        <v>-37894</v>
      </c>
      <c r="ET269" s="542">
        <v>61769885</v>
      </c>
      <c r="EU269" s="542">
        <v>0</v>
      </c>
      <c r="EV269" s="542">
        <v>61769885</v>
      </c>
      <c r="EW269" s="542">
        <v>208321</v>
      </c>
      <c r="EX269" s="542">
        <v>0</v>
      </c>
      <c r="EY269" s="542">
        <v>208321</v>
      </c>
      <c r="EZ269" s="542">
        <v>-6950431</v>
      </c>
      <c r="FA269" s="542">
        <v>0</v>
      </c>
      <c r="FB269" s="542">
        <v>-6950431</v>
      </c>
      <c r="FC269" s="542">
        <v>-2140548</v>
      </c>
      <c r="FD269" s="542">
        <v>0</v>
      </c>
      <c r="FE269" s="542">
        <v>-2140548</v>
      </c>
      <c r="FF269" s="542">
        <v>-29018</v>
      </c>
      <c r="FG269" s="542">
        <v>0</v>
      </c>
      <c r="FH269" s="542">
        <v>-29018</v>
      </c>
      <c r="FI269" s="542">
        <v>-217225</v>
      </c>
      <c r="FJ269" s="542">
        <v>0</v>
      </c>
      <c r="FK269" s="542">
        <v>-217225</v>
      </c>
      <c r="FL269" s="542">
        <v>-37894</v>
      </c>
      <c r="FM269" s="542">
        <v>0</v>
      </c>
      <c r="FN269" s="542">
        <v>-37894</v>
      </c>
      <c r="FO269" s="542">
        <v>-9166795</v>
      </c>
      <c r="FP269" s="542">
        <v>0</v>
      </c>
      <c r="FQ269" s="542">
        <v>-9166795</v>
      </c>
      <c r="FR269" s="542">
        <v>52603090</v>
      </c>
      <c r="FS269" s="542">
        <v>0</v>
      </c>
      <c r="FT269" s="542">
        <v>52603090</v>
      </c>
    </row>
    <row r="270" spans="1:176" ht="12.75" x14ac:dyDescent="0.2">
      <c r="A270" s="93">
        <v>265</v>
      </c>
      <c r="B270" s="145" t="s">
        <v>408</v>
      </c>
      <c r="C270" s="604" t="s">
        <v>866</v>
      </c>
      <c r="D270" s="142" t="s">
        <v>875</v>
      </c>
      <c r="E270" s="149" t="s">
        <v>407</v>
      </c>
      <c r="F270" s="542">
        <v>-36971</v>
      </c>
      <c r="G270" s="542">
        <v>0</v>
      </c>
      <c r="H270" s="542">
        <v>-36971</v>
      </c>
      <c r="I270" s="542">
        <v>66380</v>
      </c>
      <c r="J270" s="542">
        <v>0</v>
      </c>
      <c r="K270" s="542">
        <v>66380</v>
      </c>
      <c r="L270" s="542">
        <v>2614</v>
      </c>
      <c r="M270" s="542">
        <v>0</v>
      </c>
      <c r="N270" s="542">
        <v>2614</v>
      </c>
      <c r="O270" s="542">
        <v>105633</v>
      </c>
      <c r="P270" s="542">
        <v>0</v>
      </c>
      <c r="Q270" s="542">
        <v>105633</v>
      </c>
      <c r="R270" s="542">
        <v>137656</v>
      </c>
      <c r="S270" s="542">
        <v>0</v>
      </c>
      <c r="T270" s="542">
        <v>137656</v>
      </c>
      <c r="U270" s="542">
        <v>-2484513</v>
      </c>
      <c r="V270" s="542">
        <v>0</v>
      </c>
      <c r="W270" s="542">
        <v>-2484513</v>
      </c>
      <c r="X270" s="542">
        <v>0</v>
      </c>
      <c r="Y270" s="542">
        <v>0</v>
      </c>
      <c r="Z270" s="542">
        <v>0</v>
      </c>
      <c r="AA270" s="542">
        <v>-40780</v>
      </c>
      <c r="AB270" s="542">
        <v>0</v>
      </c>
      <c r="AC270" s="542">
        <v>-40780</v>
      </c>
      <c r="AD270" s="542">
        <v>-15897</v>
      </c>
      <c r="AE270" s="542">
        <v>0</v>
      </c>
      <c r="AF270" s="542">
        <v>-15897</v>
      </c>
      <c r="AG270" s="542">
        <v>567310</v>
      </c>
      <c r="AH270" s="542">
        <v>0</v>
      </c>
      <c r="AI270" s="542">
        <v>567310</v>
      </c>
      <c r="AJ270" s="542">
        <v>13166</v>
      </c>
      <c r="AK270" s="542">
        <v>0</v>
      </c>
      <c r="AL270" s="542">
        <v>13166</v>
      </c>
      <c r="AM270" s="542">
        <v>-2009148</v>
      </c>
      <c r="AN270" s="542">
        <v>0</v>
      </c>
      <c r="AO270" s="542">
        <v>-2009148</v>
      </c>
      <c r="AP270" s="542">
        <v>29428</v>
      </c>
      <c r="AQ270" s="542">
        <v>0</v>
      </c>
      <c r="AR270" s="542">
        <v>29428</v>
      </c>
      <c r="AS270" s="542">
        <v>-58902</v>
      </c>
      <c r="AT270" s="542">
        <v>0</v>
      </c>
      <c r="AU270" s="542">
        <v>-58902</v>
      </c>
      <c r="AV270" s="542">
        <v>0</v>
      </c>
      <c r="AW270" s="542">
        <v>0</v>
      </c>
      <c r="AX270" s="542">
        <v>0</v>
      </c>
      <c r="AY270" s="542">
        <v>-46939</v>
      </c>
      <c r="AZ270" s="542">
        <v>0</v>
      </c>
      <c r="BA270" s="542">
        <v>-46939</v>
      </c>
      <c r="BB270" s="542">
        <v>-9044</v>
      </c>
      <c r="BC270" s="542">
        <v>0</v>
      </c>
      <c r="BD270" s="542">
        <v>-9044</v>
      </c>
      <c r="BE270" s="542">
        <v>-4039422</v>
      </c>
      <c r="BF270" s="542">
        <v>0</v>
      </c>
      <c r="BG270" s="542">
        <v>-4039422</v>
      </c>
      <c r="BH270" s="542">
        <v>-204826</v>
      </c>
      <c r="BI270" s="542">
        <v>0</v>
      </c>
      <c r="BJ270" s="542">
        <v>-204826</v>
      </c>
      <c r="BK270" s="542">
        <v>-96416</v>
      </c>
      <c r="BL270" s="542">
        <v>0</v>
      </c>
      <c r="BM270" s="542">
        <v>-96416</v>
      </c>
      <c r="BN270" s="542">
        <v>-1181696</v>
      </c>
      <c r="BO270" s="542">
        <v>0</v>
      </c>
      <c r="BP270" s="542">
        <v>-1181696</v>
      </c>
      <c r="BQ270" s="542">
        <v>-47978</v>
      </c>
      <c r="BR270" s="542">
        <v>0</v>
      </c>
      <c r="BS270" s="542">
        <v>-47978</v>
      </c>
      <c r="BT270" s="542">
        <v>-1530916</v>
      </c>
      <c r="BU270" s="542">
        <v>0</v>
      </c>
      <c r="BV270" s="542">
        <v>-1530916</v>
      </c>
      <c r="BW270" s="542">
        <v>-87532</v>
      </c>
      <c r="BX270" s="542">
        <v>0</v>
      </c>
      <c r="BY270" s="542">
        <v>-87532</v>
      </c>
      <c r="BZ270" s="542">
        <v>-1677</v>
      </c>
      <c r="CA270" s="542">
        <v>0</v>
      </c>
      <c r="CB270" s="542">
        <v>-1677</v>
      </c>
      <c r="CC270" s="542">
        <v>-42058</v>
      </c>
      <c r="CD270" s="542">
        <v>0</v>
      </c>
      <c r="CE270" s="542">
        <v>-42058</v>
      </c>
      <c r="CF270" s="542">
        <v>0</v>
      </c>
      <c r="CG270" s="542">
        <v>0</v>
      </c>
      <c r="CH270" s="542">
        <v>0</v>
      </c>
      <c r="CI270" s="542">
        <v>0</v>
      </c>
      <c r="CJ270" s="542">
        <v>0</v>
      </c>
      <c r="CK270" s="542">
        <v>0</v>
      </c>
      <c r="CL270" s="542">
        <v>0</v>
      </c>
      <c r="CM270" s="542">
        <v>0</v>
      </c>
      <c r="CN270" s="542">
        <v>0</v>
      </c>
      <c r="CO270" s="542">
        <v>-3157</v>
      </c>
      <c r="CP270" s="542">
        <v>0</v>
      </c>
      <c r="CQ270" s="542">
        <v>-3157</v>
      </c>
      <c r="CR270" s="542">
        <v>0</v>
      </c>
      <c r="CS270" s="542">
        <v>0</v>
      </c>
      <c r="CT270" s="542">
        <v>0</v>
      </c>
      <c r="CU270" s="542">
        <v>0</v>
      </c>
      <c r="CV270" s="542">
        <v>0</v>
      </c>
      <c r="CW270" s="542">
        <v>0</v>
      </c>
      <c r="CX270" s="542">
        <v>0</v>
      </c>
      <c r="CY270" s="542">
        <v>0</v>
      </c>
      <c r="CZ270" s="542">
        <v>0</v>
      </c>
      <c r="DA270" s="542">
        <v>0</v>
      </c>
      <c r="DB270" s="542">
        <v>0</v>
      </c>
      <c r="DC270" s="542">
        <v>0</v>
      </c>
      <c r="DD270" s="542">
        <v>-57827</v>
      </c>
      <c r="DE270" s="542">
        <v>0</v>
      </c>
      <c r="DF270" s="542">
        <v>-57827</v>
      </c>
      <c r="DG270" s="542"/>
      <c r="DH270" s="542">
        <v>0</v>
      </c>
      <c r="DI270" s="542"/>
      <c r="DJ270" s="542">
        <v>0</v>
      </c>
      <c r="DK270" s="542"/>
      <c r="DL270" s="542"/>
      <c r="DM270" s="542">
        <v>-192251</v>
      </c>
      <c r="DN270" s="542">
        <v>0</v>
      </c>
      <c r="DO270" s="542">
        <v>-192251</v>
      </c>
      <c r="DP270" s="542">
        <v>0</v>
      </c>
      <c r="DQ270" s="542">
        <v>0</v>
      </c>
      <c r="DR270" s="542">
        <v>0</v>
      </c>
      <c r="DS270" s="542">
        <v>0</v>
      </c>
      <c r="DT270" s="542">
        <v>0</v>
      </c>
      <c r="DU270" s="542">
        <v>0</v>
      </c>
      <c r="DV270" s="542">
        <v>0</v>
      </c>
      <c r="DW270" s="542">
        <v>0</v>
      </c>
      <c r="DX270" s="542">
        <v>0</v>
      </c>
      <c r="DY270" s="542">
        <v>-394870</v>
      </c>
      <c r="DZ270" s="542">
        <v>0</v>
      </c>
      <c r="EA270" s="542">
        <v>-394870</v>
      </c>
      <c r="EB270" s="542">
        <v>0</v>
      </c>
      <c r="EC270" s="542">
        <v>0</v>
      </c>
      <c r="ED270" s="542">
        <v>0</v>
      </c>
      <c r="EE270" s="542">
        <v>0</v>
      </c>
      <c r="EF270" s="542">
        <v>0</v>
      </c>
      <c r="EG270" s="542">
        <v>0</v>
      </c>
      <c r="EH270" s="542">
        <v>-394870</v>
      </c>
      <c r="EI270" s="542">
        <v>0</v>
      </c>
      <c r="EJ270" s="542">
        <v>-394870</v>
      </c>
      <c r="EK270" s="542">
        <v>0</v>
      </c>
      <c r="EL270" s="542">
        <v>0</v>
      </c>
      <c r="EM270" s="542">
        <v>0</v>
      </c>
      <c r="EN270" s="542">
        <v>584</v>
      </c>
      <c r="EO270" s="542">
        <v>0</v>
      </c>
      <c r="EP270" s="542">
        <v>584</v>
      </c>
      <c r="EQ270" s="542">
        <v>584</v>
      </c>
      <c r="ER270" s="542">
        <v>0</v>
      </c>
      <c r="ES270" s="542">
        <v>584</v>
      </c>
      <c r="ET270" s="542">
        <v>30718773</v>
      </c>
      <c r="EU270" s="542">
        <v>0</v>
      </c>
      <c r="EV270" s="542">
        <v>30718773</v>
      </c>
      <c r="EW270" s="542">
        <v>137656</v>
      </c>
      <c r="EX270" s="542">
        <v>0</v>
      </c>
      <c r="EY270" s="542">
        <v>137656</v>
      </c>
      <c r="EZ270" s="542">
        <v>-4039422</v>
      </c>
      <c r="FA270" s="542">
        <v>0</v>
      </c>
      <c r="FB270" s="542">
        <v>-4039422</v>
      </c>
      <c r="FC270" s="542">
        <v>-1530916</v>
      </c>
      <c r="FD270" s="542">
        <v>0</v>
      </c>
      <c r="FE270" s="542">
        <v>-1530916</v>
      </c>
      <c r="FF270" s="542">
        <v>-192251</v>
      </c>
      <c r="FG270" s="542">
        <v>0</v>
      </c>
      <c r="FH270" s="542">
        <v>-192251</v>
      </c>
      <c r="FI270" s="542">
        <v>-394870</v>
      </c>
      <c r="FJ270" s="542">
        <v>0</v>
      </c>
      <c r="FK270" s="542">
        <v>-394870</v>
      </c>
      <c r="FL270" s="542">
        <v>584</v>
      </c>
      <c r="FM270" s="542">
        <v>0</v>
      </c>
      <c r="FN270" s="542">
        <v>584</v>
      </c>
      <c r="FO270" s="542">
        <v>-6019219</v>
      </c>
      <c r="FP270" s="542">
        <v>0</v>
      </c>
      <c r="FQ270" s="542">
        <v>-6019219</v>
      </c>
      <c r="FR270" s="542">
        <v>24699554</v>
      </c>
      <c r="FS270" s="542">
        <v>0</v>
      </c>
      <c r="FT270" s="542">
        <v>24699554</v>
      </c>
    </row>
    <row r="271" spans="1:176" ht="12.75" x14ac:dyDescent="0.2">
      <c r="A271" s="93">
        <v>266</v>
      </c>
      <c r="B271" s="145" t="s">
        <v>410</v>
      </c>
      <c r="C271" s="604" t="s">
        <v>866</v>
      </c>
      <c r="D271" s="142" t="s">
        <v>870</v>
      </c>
      <c r="E271" s="149" t="s">
        <v>409</v>
      </c>
      <c r="F271" s="542">
        <v>-14695238</v>
      </c>
      <c r="G271" s="542">
        <v>0</v>
      </c>
      <c r="H271" s="542">
        <v>-14695238</v>
      </c>
      <c r="I271" s="542">
        <v>10565020</v>
      </c>
      <c r="J271" s="542">
        <v>0</v>
      </c>
      <c r="K271" s="542">
        <v>10565020</v>
      </c>
      <c r="L271" s="542">
        <v>5576</v>
      </c>
      <c r="M271" s="542">
        <v>0</v>
      </c>
      <c r="N271" s="542">
        <v>5576</v>
      </c>
      <c r="O271" s="542">
        <v>-1060</v>
      </c>
      <c r="P271" s="542">
        <v>0</v>
      </c>
      <c r="Q271" s="542">
        <v>-1060</v>
      </c>
      <c r="R271" s="542">
        <v>-4125702</v>
      </c>
      <c r="S271" s="542">
        <v>0</v>
      </c>
      <c r="T271" s="542">
        <v>-4125702</v>
      </c>
      <c r="U271" s="542">
        <v>-3601964</v>
      </c>
      <c r="V271" s="542">
        <v>0</v>
      </c>
      <c r="W271" s="542">
        <v>-3601964</v>
      </c>
      <c r="X271" s="542">
        <v>-10010</v>
      </c>
      <c r="Y271" s="542">
        <v>0</v>
      </c>
      <c r="Z271" s="542">
        <v>-10010</v>
      </c>
      <c r="AA271" s="542">
        <v>-164473</v>
      </c>
      <c r="AB271" s="542">
        <v>0</v>
      </c>
      <c r="AC271" s="542">
        <v>-164473</v>
      </c>
      <c r="AD271" s="542">
        <v>-78979</v>
      </c>
      <c r="AE271" s="542">
        <v>0</v>
      </c>
      <c r="AF271" s="542">
        <v>-78979</v>
      </c>
      <c r="AG271" s="542">
        <v>1493079</v>
      </c>
      <c r="AH271" s="542">
        <v>0</v>
      </c>
      <c r="AI271" s="542">
        <v>1493079</v>
      </c>
      <c r="AJ271" s="542">
        <v>-372178</v>
      </c>
      <c r="AK271" s="542">
        <v>0</v>
      </c>
      <c r="AL271" s="542">
        <v>-372178</v>
      </c>
      <c r="AM271" s="542">
        <v>-2449410</v>
      </c>
      <c r="AN271" s="542">
        <v>0</v>
      </c>
      <c r="AO271" s="542">
        <v>-2449410</v>
      </c>
      <c r="AP271" s="542">
        <v>-64540</v>
      </c>
      <c r="AQ271" s="542">
        <v>0</v>
      </c>
      <c r="AR271" s="542">
        <v>-64540</v>
      </c>
      <c r="AS271" s="542">
        <v>-39175</v>
      </c>
      <c r="AT271" s="542">
        <v>0</v>
      </c>
      <c r="AU271" s="542">
        <v>-39175</v>
      </c>
      <c r="AV271" s="542">
        <v>-35</v>
      </c>
      <c r="AW271" s="542">
        <v>0</v>
      </c>
      <c r="AX271" s="542">
        <v>-35</v>
      </c>
      <c r="AY271" s="542">
        <v>-75483</v>
      </c>
      <c r="AZ271" s="542">
        <v>0</v>
      </c>
      <c r="BA271" s="542">
        <v>-75483</v>
      </c>
      <c r="BB271" s="542">
        <v>-11347</v>
      </c>
      <c r="BC271" s="542">
        <v>0</v>
      </c>
      <c r="BD271" s="542">
        <v>-11347</v>
      </c>
      <c r="BE271" s="542">
        <v>-5285526</v>
      </c>
      <c r="BF271" s="542">
        <v>0</v>
      </c>
      <c r="BG271" s="542">
        <v>-5285526</v>
      </c>
      <c r="BH271" s="542">
        <v>0</v>
      </c>
      <c r="BI271" s="542">
        <v>0</v>
      </c>
      <c r="BJ271" s="542">
        <v>0</v>
      </c>
      <c r="BK271" s="542">
        <v>14626</v>
      </c>
      <c r="BL271" s="542">
        <v>0</v>
      </c>
      <c r="BM271" s="542">
        <v>14626</v>
      </c>
      <c r="BN271" s="542">
        <v>-843592</v>
      </c>
      <c r="BO271" s="542">
        <v>0</v>
      </c>
      <c r="BP271" s="542">
        <v>-843592</v>
      </c>
      <c r="BQ271" s="542">
        <v>10369105</v>
      </c>
      <c r="BR271" s="542">
        <v>0</v>
      </c>
      <c r="BS271" s="542">
        <v>10369105</v>
      </c>
      <c r="BT271" s="542">
        <v>9540139</v>
      </c>
      <c r="BU271" s="542">
        <v>0</v>
      </c>
      <c r="BV271" s="542">
        <v>9540139</v>
      </c>
      <c r="BW271" s="542">
        <v>-53726</v>
      </c>
      <c r="BX271" s="542">
        <v>0</v>
      </c>
      <c r="BY271" s="542">
        <v>-53726</v>
      </c>
      <c r="BZ271" s="542">
        <v>-1454</v>
      </c>
      <c r="CA271" s="542">
        <v>0</v>
      </c>
      <c r="CB271" s="542">
        <v>-1454</v>
      </c>
      <c r="CC271" s="542">
        <v>-301363</v>
      </c>
      <c r="CD271" s="542">
        <v>0</v>
      </c>
      <c r="CE271" s="542">
        <v>-301363</v>
      </c>
      <c r="CF271" s="542">
        <v>3733</v>
      </c>
      <c r="CG271" s="542">
        <v>0</v>
      </c>
      <c r="CH271" s="542">
        <v>3733</v>
      </c>
      <c r="CI271" s="542">
        <v>-481</v>
      </c>
      <c r="CJ271" s="542">
        <v>0</v>
      </c>
      <c r="CK271" s="542">
        <v>-481</v>
      </c>
      <c r="CL271" s="542">
        <v>0</v>
      </c>
      <c r="CM271" s="542">
        <v>0</v>
      </c>
      <c r="CN271" s="542">
        <v>0</v>
      </c>
      <c r="CO271" s="542">
        <v>-17184</v>
      </c>
      <c r="CP271" s="542">
        <v>0</v>
      </c>
      <c r="CQ271" s="542">
        <v>-17184</v>
      </c>
      <c r="CR271" s="542">
        <v>-7538</v>
      </c>
      <c r="CS271" s="542">
        <v>0</v>
      </c>
      <c r="CT271" s="542">
        <v>-7538</v>
      </c>
      <c r="CU271" s="542">
        <v>-11423</v>
      </c>
      <c r="CV271" s="542">
        <v>0</v>
      </c>
      <c r="CW271" s="542">
        <v>-11423</v>
      </c>
      <c r="CX271" s="542">
        <v>0</v>
      </c>
      <c r="CY271" s="542">
        <v>0</v>
      </c>
      <c r="CZ271" s="542">
        <v>0</v>
      </c>
      <c r="DA271" s="542">
        <v>0</v>
      </c>
      <c r="DB271" s="542">
        <v>0</v>
      </c>
      <c r="DC271" s="542">
        <v>0</v>
      </c>
      <c r="DD271" s="542">
        <v>0</v>
      </c>
      <c r="DE271" s="542">
        <v>0</v>
      </c>
      <c r="DF271" s="542">
        <v>0</v>
      </c>
      <c r="DG271" s="542"/>
      <c r="DH271" s="542">
        <v>0</v>
      </c>
      <c r="DI271" s="542"/>
      <c r="DJ271" s="542">
        <v>0</v>
      </c>
      <c r="DK271" s="542"/>
      <c r="DL271" s="542"/>
      <c r="DM271" s="542">
        <v>-389436</v>
      </c>
      <c r="DN271" s="542">
        <v>0</v>
      </c>
      <c r="DO271" s="542">
        <v>-389436</v>
      </c>
      <c r="DP271" s="542">
        <v>0</v>
      </c>
      <c r="DQ271" s="542">
        <v>0</v>
      </c>
      <c r="DR271" s="542">
        <v>0</v>
      </c>
      <c r="DS271" s="542">
        <v>0</v>
      </c>
      <c r="DT271" s="542">
        <v>0</v>
      </c>
      <c r="DU271" s="542">
        <v>0</v>
      </c>
      <c r="DV271" s="542">
        <v>-822</v>
      </c>
      <c r="DW271" s="542">
        <v>0</v>
      </c>
      <c r="DX271" s="542">
        <v>-822</v>
      </c>
      <c r="DY271" s="542">
        <v>-548266</v>
      </c>
      <c r="DZ271" s="542">
        <v>0</v>
      </c>
      <c r="EA271" s="542">
        <v>-548266</v>
      </c>
      <c r="EB271" s="542">
        <v>0</v>
      </c>
      <c r="EC271" s="542">
        <v>0</v>
      </c>
      <c r="ED271" s="542">
        <v>0</v>
      </c>
      <c r="EE271" s="542">
        <v>-4070</v>
      </c>
      <c r="EF271" s="542">
        <v>0</v>
      </c>
      <c r="EG271" s="542">
        <v>-4070</v>
      </c>
      <c r="EH271" s="542">
        <v>-553158</v>
      </c>
      <c r="EI271" s="542">
        <v>0</v>
      </c>
      <c r="EJ271" s="542">
        <v>-553158</v>
      </c>
      <c r="EK271" s="542">
        <v>0</v>
      </c>
      <c r="EL271" s="542">
        <v>0</v>
      </c>
      <c r="EM271" s="542">
        <v>0</v>
      </c>
      <c r="EN271" s="542">
        <v>0</v>
      </c>
      <c r="EO271" s="542">
        <v>0</v>
      </c>
      <c r="EP271" s="542">
        <v>0</v>
      </c>
      <c r="EQ271" s="542">
        <v>0</v>
      </c>
      <c r="ER271" s="542">
        <v>0</v>
      </c>
      <c r="ES271" s="542">
        <v>0</v>
      </c>
      <c r="ET271" s="542">
        <v>51482753</v>
      </c>
      <c r="EU271" s="542">
        <v>0</v>
      </c>
      <c r="EV271" s="542">
        <v>51482753</v>
      </c>
      <c r="EW271" s="542">
        <v>-4125702</v>
      </c>
      <c r="EX271" s="542">
        <v>0</v>
      </c>
      <c r="EY271" s="542">
        <v>-4125702</v>
      </c>
      <c r="EZ271" s="542">
        <v>-5285526</v>
      </c>
      <c r="FA271" s="542">
        <v>0</v>
      </c>
      <c r="FB271" s="542">
        <v>-5285526</v>
      </c>
      <c r="FC271" s="542">
        <v>9540139</v>
      </c>
      <c r="FD271" s="542">
        <v>0</v>
      </c>
      <c r="FE271" s="542">
        <v>9540139</v>
      </c>
      <c r="FF271" s="542">
        <v>-389436</v>
      </c>
      <c r="FG271" s="542">
        <v>0</v>
      </c>
      <c r="FH271" s="542">
        <v>-389436</v>
      </c>
      <c r="FI271" s="542">
        <v>-553158</v>
      </c>
      <c r="FJ271" s="542">
        <v>0</v>
      </c>
      <c r="FK271" s="542">
        <v>-553158</v>
      </c>
      <c r="FL271" s="542">
        <v>0</v>
      </c>
      <c r="FM271" s="542">
        <v>0</v>
      </c>
      <c r="FN271" s="542">
        <v>0</v>
      </c>
      <c r="FO271" s="542">
        <v>-813683</v>
      </c>
      <c r="FP271" s="542">
        <v>0</v>
      </c>
      <c r="FQ271" s="542">
        <v>-813683</v>
      </c>
      <c r="FR271" s="542">
        <v>50669070</v>
      </c>
      <c r="FS271" s="542">
        <v>0</v>
      </c>
      <c r="FT271" s="542">
        <v>50669070</v>
      </c>
    </row>
    <row r="272" spans="1:176" ht="12.75" x14ac:dyDescent="0.2">
      <c r="A272" s="93">
        <v>267</v>
      </c>
      <c r="B272" s="145" t="s">
        <v>412</v>
      </c>
      <c r="C272" s="604" t="s">
        <v>873</v>
      </c>
      <c r="D272" s="142" t="s">
        <v>878</v>
      </c>
      <c r="E272" s="149" t="s">
        <v>411</v>
      </c>
      <c r="F272" s="542">
        <v>-91358</v>
      </c>
      <c r="G272" s="542">
        <v>0</v>
      </c>
      <c r="H272" s="542">
        <v>-91358</v>
      </c>
      <c r="I272" s="542">
        <v>196770</v>
      </c>
      <c r="J272" s="542">
        <v>0</v>
      </c>
      <c r="K272" s="542">
        <v>196770</v>
      </c>
      <c r="L272" s="542">
        <v>15036</v>
      </c>
      <c r="M272" s="542">
        <v>0</v>
      </c>
      <c r="N272" s="542">
        <v>15036</v>
      </c>
      <c r="O272" s="542">
        <v>955468</v>
      </c>
      <c r="P272" s="542">
        <v>0</v>
      </c>
      <c r="Q272" s="542">
        <v>955468</v>
      </c>
      <c r="R272" s="542">
        <v>1075916</v>
      </c>
      <c r="S272" s="542">
        <v>0</v>
      </c>
      <c r="T272" s="542">
        <v>1075916</v>
      </c>
      <c r="U272" s="542">
        <v>-4452300</v>
      </c>
      <c r="V272" s="542">
        <v>0</v>
      </c>
      <c r="W272" s="542">
        <v>-4452300</v>
      </c>
      <c r="X272" s="542">
        <v>-12928</v>
      </c>
      <c r="Y272" s="542">
        <v>0</v>
      </c>
      <c r="Z272" s="542">
        <v>-12928</v>
      </c>
      <c r="AA272" s="542">
        <v>-128151</v>
      </c>
      <c r="AB272" s="542">
        <v>0</v>
      </c>
      <c r="AC272" s="542">
        <v>-128151</v>
      </c>
      <c r="AD272" s="542">
        <v>0</v>
      </c>
      <c r="AE272" s="542">
        <v>0</v>
      </c>
      <c r="AF272" s="542">
        <v>0</v>
      </c>
      <c r="AG272" s="542">
        <v>2131118</v>
      </c>
      <c r="AH272" s="542">
        <v>20317</v>
      </c>
      <c r="AI272" s="542">
        <v>2151435</v>
      </c>
      <c r="AJ272" s="542">
        <v>-67229</v>
      </c>
      <c r="AK272" s="542">
        <v>0</v>
      </c>
      <c r="AL272" s="542">
        <v>-67229</v>
      </c>
      <c r="AM272" s="542">
        <v>-5285617</v>
      </c>
      <c r="AN272" s="542">
        <v>0</v>
      </c>
      <c r="AO272" s="542">
        <v>-5285617</v>
      </c>
      <c r="AP272" s="542">
        <v>31665</v>
      </c>
      <c r="AQ272" s="542">
        <v>0</v>
      </c>
      <c r="AR272" s="542">
        <v>31665</v>
      </c>
      <c r="AS272" s="542">
        <v>-33123</v>
      </c>
      <c r="AT272" s="542">
        <v>0</v>
      </c>
      <c r="AU272" s="542">
        <v>-33123</v>
      </c>
      <c r="AV272" s="542">
        <v>0</v>
      </c>
      <c r="AW272" s="542">
        <v>0</v>
      </c>
      <c r="AX272" s="542">
        <v>0</v>
      </c>
      <c r="AY272" s="542">
        <v>-1850</v>
      </c>
      <c r="AZ272" s="542">
        <v>0</v>
      </c>
      <c r="BA272" s="542">
        <v>-1850</v>
      </c>
      <c r="BB272" s="542">
        <v>-181</v>
      </c>
      <c r="BC272" s="542">
        <v>0</v>
      </c>
      <c r="BD272" s="542">
        <v>-181</v>
      </c>
      <c r="BE272" s="542">
        <v>-7805668</v>
      </c>
      <c r="BF272" s="542">
        <v>20317</v>
      </c>
      <c r="BG272" s="542">
        <v>-7785351</v>
      </c>
      <c r="BH272" s="542">
        <v>-84759</v>
      </c>
      <c r="BI272" s="542">
        <v>0</v>
      </c>
      <c r="BJ272" s="542">
        <v>-84759</v>
      </c>
      <c r="BK272" s="542">
        <v>5328</v>
      </c>
      <c r="BL272" s="542">
        <v>0</v>
      </c>
      <c r="BM272" s="542">
        <v>5328</v>
      </c>
      <c r="BN272" s="542">
        <v>-2721204</v>
      </c>
      <c r="BO272" s="542">
        <v>-63624</v>
      </c>
      <c r="BP272" s="542">
        <v>-2784828</v>
      </c>
      <c r="BQ272" s="542">
        <v>-69076</v>
      </c>
      <c r="BR272" s="542">
        <v>0</v>
      </c>
      <c r="BS272" s="542">
        <v>-69076</v>
      </c>
      <c r="BT272" s="542">
        <v>-2869711</v>
      </c>
      <c r="BU272" s="542">
        <v>-63624</v>
      </c>
      <c r="BV272" s="542">
        <v>-2933335</v>
      </c>
      <c r="BW272" s="542">
        <v>-59689</v>
      </c>
      <c r="BX272" s="542">
        <v>0</v>
      </c>
      <c r="BY272" s="542">
        <v>-59689</v>
      </c>
      <c r="BZ272" s="542">
        <v>5018</v>
      </c>
      <c r="CA272" s="542">
        <v>0</v>
      </c>
      <c r="CB272" s="542">
        <v>5018</v>
      </c>
      <c r="CC272" s="542">
        <v>-116782</v>
      </c>
      <c r="CD272" s="542">
        <v>0</v>
      </c>
      <c r="CE272" s="542">
        <v>-116782</v>
      </c>
      <c r="CF272" s="542">
        <v>-573</v>
      </c>
      <c r="CG272" s="542">
        <v>0</v>
      </c>
      <c r="CH272" s="542">
        <v>-573</v>
      </c>
      <c r="CI272" s="542">
        <v>-578</v>
      </c>
      <c r="CJ272" s="542">
        <v>0</v>
      </c>
      <c r="CK272" s="542">
        <v>-578</v>
      </c>
      <c r="CL272" s="542">
        <v>0</v>
      </c>
      <c r="CM272" s="542">
        <v>0</v>
      </c>
      <c r="CN272" s="542">
        <v>0</v>
      </c>
      <c r="CO272" s="542">
        <v>0</v>
      </c>
      <c r="CP272" s="542">
        <v>0</v>
      </c>
      <c r="CQ272" s="542">
        <v>0</v>
      </c>
      <c r="CR272" s="542">
        <v>0</v>
      </c>
      <c r="CS272" s="542">
        <v>0</v>
      </c>
      <c r="CT272" s="542">
        <v>0</v>
      </c>
      <c r="CU272" s="542">
        <v>0</v>
      </c>
      <c r="CV272" s="542">
        <v>0</v>
      </c>
      <c r="CW272" s="542">
        <v>0</v>
      </c>
      <c r="CX272" s="542">
        <v>0</v>
      </c>
      <c r="CY272" s="542">
        <v>0</v>
      </c>
      <c r="CZ272" s="542">
        <v>0</v>
      </c>
      <c r="DA272" s="542">
        <v>0</v>
      </c>
      <c r="DB272" s="542">
        <v>-33740</v>
      </c>
      <c r="DC272" s="542">
        <v>-33740</v>
      </c>
      <c r="DD272" s="542">
        <v>0</v>
      </c>
      <c r="DE272" s="542">
        <v>0</v>
      </c>
      <c r="DF272" s="542">
        <v>0</v>
      </c>
      <c r="DG272" s="542"/>
      <c r="DH272" s="542">
        <v>-33740</v>
      </c>
      <c r="DI272" s="542"/>
      <c r="DJ272" s="542">
        <v>0</v>
      </c>
      <c r="DK272" s="542"/>
      <c r="DL272" s="542"/>
      <c r="DM272" s="542">
        <v>-172604</v>
      </c>
      <c r="DN272" s="542">
        <v>-33740</v>
      </c>
      <c r="DO272" s="542">
        <v>-206344</v>
      </c>
      <c r="DP272" s="542">
        <v>0</v>
      </c>
      <c r="DQ272" s="542">
        <v>0</v>
      </c>
      <c r="DR272" s="542">
        <v>0</v>
      </c>
      <c r="DS272" s="542">
        <v>0</v>
      </c>
      <c r="DT272" s="542">
        <v>0</v>
      </c>
      <c r="DU272" s="542">
        <v>0</v>
      </c>
      <c r="DV272" s="542">
        <v>-53919</v>
      </c>
      <c r="DW272" s="542">
        <v>0</v>
      </c>
      <c r="DX272" s="542">
        <v>-53919</v>
      </c>
      <c r="DY272" s="542">
        <v>-817673</v>
      </c>
      <c r="DZ272" s="542">
        <v>0</v>
      </c>
      <c r="EA272" s="542">
        <v>-817673</v>
      </c>
      <c r="EB272" s="542">
        <v>0</v>
      </c>
      <c r="EC272" s="542">
        <v>0</v>
      </c>
      <c r="ED272" s="542">
        <v>0</v>
      </c>
      <c r="EE272" s="542">
        <v>0</v>
      </c>
      <c r="EF272" s="542">
        <v>0</v>
      </c>
      <c r="EG272" s="542">
        <v>0</v>
      </c>
      <c r="EH272" s="542">
        <v>-871592</v>
      </c>
      <c r="EI272" s="542">
        <v>0</v>
      </c>
      <c r="EJ272" s="542">
        <v>-871592</v>
      </c>
      <c r="EK272" s="542">
        <v>0</v>
      </c>
      <c r="EL272" s="542">
        <v>0</v>
      </c>
      <c r="EM272" s="542">
        <v>0</v>
      </c>
      <c r="EN272" s="542">
        <v>0</v>
      </c>
      <c r="EO272" s="542">
        <v>0</v>
      </c>
      <c r="EP272" s="542">
        <v>0</v>
      </c>
      <c r="EQ272" s="542">
        <v>0</v>
      </c>
      <c r="ER272" s="542">
        <v>0</v>
      </c>
      <c r="ES272" s="542">
        <v>0</v>
      </c>
      <c r="ET272" s="542">
        <v>99983655</v>
      </c>
      <c r="EU272" s="542">
        <v>869937</v>
      </c>
      <c r="EV272" s="542">
        <v>100853592</v>
      </c>
      <c r="EW272" s="542">
        <v>1075916</v>
      </c>
      <c r="EX272" s="542">
        <v>0</v>
      </c>
      <c r="EY272" s="542">
        <v>1075916</v>
      </c>
      <c r="EZ272" s="542">
        <v>-7805668</v>
      </c>
      <c r="FA272" s="542">
        <v>20317</v>
      </c>
      <c r="FB272" s="542">
        <v>-7785351</v>
      </c>
      <c r="FC272" s="542">
        <v>-2869711</v>
      </c>
      <c r="FD272" s="542">
        <v>-63624</v>
      </c>
      <c r="FE272" s="542">
        <v>-2933335</v>
      </c>
      <c r="FF272" s="542">
        <v>-172604</v>
      </c>
      <c r="FG272" s="542">
        <v>-33740</v>
      </c>
      <c r="FH272" s="542">
        <v>-206344</v>
      </c>
      <c r="FI272" s="542">
        <v>-871592</v>
      </c>
      <c r="FJ272" s="542">
        <v>0</v>
      </c>
      <c r="FK272" s="542">
        <v>-871592</v>
      </c>
      <c r="FL272" s="542">
        <v>0</v>
      </c>
      <c r="FM272" s="542">
        <v>0</v>
      </c>
      <c r="FN272" s="542">
        <v>0</v>
      </c>
      <c r="FO272" s="542">
        <v>-10643659</v>
      </c>
      <c r="FP272" s="542">
        <v>-77047</v>
      </c>
      <c r="FQ272" s="542">
        <v>-10720706</v>
      </c>
      <c r="FR272" s="542">
        <v>89339996</v>
      </c>
      <c r="FS272" s="542">
        <v>792890</v>
      </c>
      <c r="FT272" s="542">
        <v>90132886</v>
      </c>
    </row>
    <row r="273" spans="1:176" ht="12.75" x14ac:dyDescent="0.2">
      <c r="A273" s="93">
        <v>268</v>
      </c>
      <c r="B273" s="145" t="s">
        <v>414</v>
      </c>
      <c r="C273" s="604" t="s">
        <v>866</v>
      </c>
      <c r="D273" s="142" t="s">
        <v>867</v>
      </c>
      <c r="E273" s="149" t="s">
        <v>413</v>
      </c>
      <c r="F273" s="542">
        <v>-20095</v>
      </c>
      <c r="G273" s="542">
        <v>0</v>
      </c>
      <c r="H273" s="542">
        <v>-20095</v>
      </c>
      <c r="I273" s="542">
        <v>22067</v>
      </c>
      <c r="J273" s="542">
        <v>0</v>
      </c>
      <c r="K273" s="542">
        <v>22067</v>
      </c>
      <c r="L273" s="542">
        <v>421272</v>
      </c>
      <c r="M273" s="542">
        <v>0</v>
      </c>
      <c r="N273" s="542">
        <v>421272</v>
      </c>
      <c r="O273" s="542">
        <v>-422855</v>
      </c>
      <c r="P273" s="542">
        <v>0</v>
      </c>
      <c r="Q273" s="542">
        <v>-422855</v>
      </c>
      <c r="R273" s="542">
        <v>389</v>
      </c>
      <c r="S273" s="542">
        <v>0</v>
      </c>
      <c r="T273" s="542">
        <v>389</v>
      </c>
      <c r="U273" s="542">
        <v>-1241476</v>
      </c>
      <c r="V273" s="542">
        <v>0</v>
      </c>
      <c r="W273" s="542">
        <v>-1241476</v>
      </c>
      <c r="X273" s="542">
        <v>0</v>
      </c>
      <c r="Y273" s="542">
        <v>0</v>
      </c>
      <c r="Z273" s="542">
        <v>0</v>
      </c>
      <c r="AA273" s="542">
        <v>-61295</v>
      </c>
      <c r="AB273" s="542">
        <v>0</v>
      </c>
      <c r="AC273" s="542">
        <v>-61295</v>
      </c>
      <c r="AD273" s="542">
        <v>-25616</v>
      </c>
      <c r="AE273" s="542">
        <v>0</v>
      </c>
      <c r="AF273" s="542">
        <v>-25616</v>
      </c>
      <c r="AG273" s="542">
        <v>827113</v>
      </c>
      <c r="AH273" s="542">
        <v>0</v>
      </c>
      <c r="AI273" s="542">
        <v>827113</v>
      </c>
      <c r="AJ273" s="542">
        <v>-4895</v>
      </c>
      <c r="AK273" s="542">
        <v>0</v>
      </c>
      <c r="AL273" s="542">
        <v>-4895</v>
      </c>
      <c r="AM273" s="542">
        <v>-1343235</v>
      </c>
      <c r="AN273" s="542">
        <v>0</v>
      </c>
      <c r="AO273" s="542">
        <v>-1343235</v>
      </c>
      <c r="AP273" s="542">
        <v>-24075</v>
      </c>
      <c r="AQ273" s="542">
        <v>0</v>
      </c>
      <c r="AR273" s="542">
        <v>-24075</v>
      </c>
      <c r="AS273" s="542">
        <v>-5639</v>
      </c>
      <c r="AT273" s="542">
        <v>0</v>
      </c>
      <c r="AU273" s="542">
        <v>-5639</v>
      </c>
      <c r="AV273" s="542">
        <v>0</v>
      </c>
      <c r="AW273" s="542">
        <v>0</v>
      </c>
      <c r="AX273" s="542">
        <v>0</v>
      </c>
      <c r="AY273" s="542">
        <v>0</v>
      </c>
      <c r="AZ273" s="542">
        <v>0</v>
      </c>
      <c r="BA273" s="542">
        <v>0</v>
      </c>
      <c r="BB273" s="542">
        <v>0</v>
      </c>
      <c r="BC273" s="542">
        <v>0</v>
      </c>
      <c r="BD273" s="542">
        <v>0</v>
      </c>
      <c r="BE273" s="542">
        <v>-1853502</v>
      </c>
      <c r="BF273" s="542">
        <v>0</v>
      </c>
      <c r="BG273" s="542">
        <v>-1853502</v>
      </c>
      <c r="BH273" s="542">
        <v>-229063</v>
      </c>
      <c r="BI273" s="542">
        <v>0</v>
      </c>
      <c r="BJ273" s="542">
        <v>-229063</v>
      </c>
      <c r="BK273" s="542">
        <v>-594758</v>
      </c>
      <c r="BL273" s="542">
        <v>0</v>
      </c>
      <c r="BM273" s="542">
        <v>-594758</v>
      </c>
      <c r="BN273" s="542">
        <v>-1523767</v>
      </c>
      <c r="BO273" s="542">
        <v>0</v>
      </c>
      <c r="BP273" s="542">
        <v>-1523767</v>
      </c>
      <c r="BQ273" s="542">
        <v>-81097</v>
      </c>
      <c r="BR273" s="542">
        <v>0</v>
      </c>
      <c r="BS273" s="542">
        <v>-81097</v>
      </c>
      <c r="BT273" s="542">
        <v>-2428685</v>
      </c>
      <c r="BU273" s="542">
        <v>0</v>
      </c>
      <c r="BV273" s="542">
        <v>-2428685</v>
      </c>
      <c r="BW273" s="542">
        <v>-80985</v>
      </c>
      <c r="BX273" s="542">
        <v>0</v>
      </c>
      <c r="BY273" s="542">
        <v>-80985</v>
      </c>
      <c r="BZ273" s="542">
        <v>-53</v>
      </c>
      <c r="CA273" s="542">
        <v>0</v>
      </c>
      <c r="CB273" s="542">
        <v>-53</v>
      </c>
      <c r="CC273" s="542">
        <v>-208916</v>
      </c>
      <c r="CD273" s="542">
        <v>0</v>
      </c>
      <c r="CE273" s="542">
        <v>-208916</v>
      </c>
      <c r="CF273" s="542">
        <v>0</v>
      </c>
      <c r="CG273" s="542">
        <v>0</v>
      </c>
      <c r="CH273" s="542">
        <v>0</v>
      </c>
      <c r="CI273" s="542">
        <v>-1410</v>
      </c>
      <c r="CJ273" s="542">
        <v>0</v>
      </c>
      <c r="CK273" s="542">
        <v>-1410</v>
      </c>
      <c r="CL273" s="542">
        <v>0</v>
      </c>
      <c r="CM273" s="542">
        <v>0</v>
      </c>
      <c r="CN273" s="542">
        <v>0</v>
      </c>
      <c r="CO273" s="542">
        <v>0</v>
      </c>
      <c r="CP273" s="542">
        <v>0</v>
      </c>
      <c r="CQ273" s="542">
        <v>0</v>
      </c>
      <c r="CR273" s="542">
        <v>0</v>
      </c>
      <c r="CS273" s="542">
        <v>0</v>
      </c>
      <c r="CT273" s="542">
        <v>0</v>
      </c>
      <c r="CU273" s="542">
        <v>0</v>
      </c>
      <c r="CV273" s="542">
        <v>0</v>
      </c>
      <c r="CW273" s="542">
        <v>0</v>
      </c>
      <c r="CX273" s="542">
        <v>0</v>
      </c>
      <c r="CY273" s="542">
        <v>0</v>
      </c>
      <c r="CZ273" s="542">
        <v>0</v>
      </c>
      <c r="DA273" s="542">
        <v>0</v>
      </c>
      <c r="DB273" s="542">
        <v>0</v>
      </c>
      <c r="DC273" s="542">
        <v>0</v>
      </c>
      <c r="DD273" s="542">
        <v>0</v>
      </c>
      <c r="DE273" s="542">
        <v>0</v>
      </c>
      <c r="DF273" s="542">
        <v>0</v>
      </c>
      <c r="DG273" s="542"/>
      <c r="DH273" s="542">
        <v>0</v>
      </c>
      <c r="DI273" s="542"/>
      <c r="DJ273" s="542">
        <v>0</v>
      </c>
      <c r="DK273" s="542"/>
      <c r="DL273" s="542"/>
      <c r="DM273" s="542">
        <v>-291364</v>
      </c>
      <c r="DN273" s="542">
        <v>0</v>
      </c>
      <c r="DO273" s="542">
        <v>-291364</v>
      </c>
      <c r="DP273" s="542">
        <v>-103</v>
      </c>
      <c r="DQ273" s="542">
        <v>0</v>
      </c>
      <c r="DR273" s="542">
        <v>-103</v>
      </c>
      <c r="DS273" s="542">
        <v>0</v>
      </c>
      <c r="DT273" s="542">
        <v>0</v>
      </c>
      <c r="DU273" s="542">
        <v>0</v>
      </c>
      <c r="DV273" s="542">
        <v>-6314</v>
      </c>
      <c r="DW273" s="542">
        <v>0</v>
      </c>
      <c r="DX273" s="542">
        <v>-6314</v>
      </c>
      <c r="DY273" s="542">
        <v>-290813</v>
      </c>
      <c r="DZ273" s="542">
        <v>0</v>
      </c>
      <c r="EA273" s="542">
        <v>-290813</v>
      </c>
      <c r="EB273" s="542">
        <v>0</v>
      </c>
      <c r="EC273" s="542">
        <v>0</v>
      </c>
      <c r="ED273" s="542">
        <v>0</v>
      </c>
      <c r="EE273" s="542">
        <v>0</v>
      </c>
      <c r="EF273" s="542">
        <v>0</v>
      </c>
      <c r="EG273" s="542">
        <v>0</v>
      </c>
      <c r="EH273" s="542">
        <v>-297230</v>
      </c>
      <c r="EI273" s="542">
        <v>0</v>
      </c>
      <c r="EJ273" s="542">
        <v>-297230</v>
      </c>
      <c r="EK273" s="542">
        <v>0</v>
      </c>
      <c r="EL273" s="542">
        <v>0</v>
      </c>
      <c r="EM273" s="542">
        <v>0</v>
      </c>
      <c r="EN273" s="542">
        <v>0</v>
      </c>
      <c r="EO273" s="542">
        <v>0</v>
      </c>
      <c r="EP273" s="542">
        <v>0</v>
      </c>
      <c r="EQ273" s="542">
        <v>0</v>
      </c>
      <c r="ER273" s="542">
        <v>0</v>
      </c>
      <c r="ES273" s="542">
        <v>0</v>
      </c>
      <c r="ET273" s="542">
        <v>39764234</v>
      </c>
      <c r="EU273" s="542">
        <v>0</v>
      </c>
      <c r="EV273" s="542">
        <v>39764234</v>
      </c>
      <c r="EW273" s="542">
        <v>389</v>
      </c>
      <c r="EX273" s="542">
        <v>0</v>
      </c>
      <c r="EY273" s="542">
        <v>389</v>
      </c>
      <c r="EZ273" s="542">
        <v>-1853502</v>
      </c>
      <c r="FA273" s="542">
        <v>0</v>
      </c>
      <c r="FB273" s="542">
        <v>-1853502</v>
      </c>
      <c r="FC273" s="542">
        <v>-2428685</v>
      </c>
      <c r="FD273" s="542">
        <v>0</v>
      </c>
      <c r="FE273" s="542">
        <v>-2428685</v>
      </c>
      <c r="FF273" s="542">
        <v>-291364</v>
      </c>
      <c r="FG273" s="542">
        <v>0</v>
      </c>
      <c r="FH273" s="542">
        <v>-291364</v>
      </c>
      <c r="FI273" s="542">
        <v>-297230</v>
      </c>
      <c r="FJ273" s="542">
        <v>0</v>
      </c>
      <c r="FK273" s="542">
        <v>-297230</v>
      </c>
      <c r="FL273" s="542">
        <v>0</v>
      </c>
      <c r="FM273" s="542">
        <v>0</v>
      </c>
      <c r="FN273" s="542">
        <v>0</v>
      </c>
      <c r="FO273" s="542">
        <v>-4870392</v>
      </c>
      <c r="FP273" s="542">
        <v>0</v>
      </c>
      <c r="FQ273" s="542">
        <v>-4870392</v>
      </c>
      <c r="FR273" s="542">
        <v>34893842</v>
      </c>
      <c r="FS273" s="542">
        <v>0</v>
      </c>
      <c r="FT273" s="542">
        <v>34893842</v>
      </c>
    </row>
    <row r="274" spans="1:176" ht="12.75" x14ac:dyDescent="0.2">
      <c r="A274" s="93">
        <v>269</v>
      </c>
      <c r="B274" s="145" t="s">
        <v>416</v>
      </c>
      <c r="C274" s="604" t="s">
        <v>871</v>
      </c>
      <c r="D274" s="142" t="s">
        <v>872</v>
      </c>
      <c r="E274" s="149" t="s">
        <v>415</v>
      </c>
      <c r="F274" s="542">
        <v>-29326</v>
      </c>
      <c r="G274" s="542">
        <v>0</v>
      </c>
      <c r="H274" s="542">
        <v>-29326</v>
      </c>
      <c r="I274" s="542">
        <v>195983</v>
      </c>
      <c r="J274" s="542">
        <v>0</v>
      </c>
      <c r="K274" s="542">
        <v>195983</v>
      </c>
      <c r="L274" s="542">
        <v>61196</v>
      </c>
      <c r="M274" s="542">
        <v>0</v>
      </c>
      <c r="N274" s="542">
        <v>61196</v>
      </c>
      <c r="O274" s="542">
        <v>39030</v>
      </c>
      <c r="P274" s="542">
        <v>0</v>
      </c>
      <c r="Q274" s="542">
        <v>39030</v>
      </c>
      <c r="R274" s="542">
        <v>266883</v>
      </c>
      <c r="S274" s="542">
        <v>0</v>
      </c>
      <c r="T274" s="542">
        <v>266883</v>
      </c>
      <c r="U274" s="542">
        <v>-2703943</v>
      </c>
      <c r="V274" s="542">
        <v>0</v>
      </c>
      <c r="W274" s="542">
        <v>-2703943</v>
      </c>
      <c r="X274" s="542">
        <v>-3639</v>
      </c>
      <c r="Y274" s="542">
        <v>0</v>
      </c>
      <c r="Z274" s="542">
        <v>-3639</v>
      </c>
      <c r="AA274" s="542">
        <v>-94210</v>
      </c>
      <c r="AB274" s="542">
        <v>0</v>
      </c>
      <c r="AC274" s="542">
        <v>-94210</v>
      </c>
      <c r="AD274" s="542">
        <v>-31467</v>
      </c>
      <c r="AE274" s="542">
        <v>0</v>
      </c>
      <c r="AF274" s="542">
        <v>-31467</v>
      </c>
      <c r="AG274" s="542">
        <v>1140167</v>
      </c>
      <c r="AH274" s="542">
        <v>0</v>
      </c>
      <c r="AI274" s="542">
        <v>1140167</v>
      </c>
      <c r="AJ274" s="542">
        <v>21226</v>
      </c>
      <c r="AK274" s="542">
        <v>0</v>
      </c>
      <c r="AL274" s="542">
        <v>21226</v>
      </c>
      <c r="AM274" s="542">
        <v>-4269732</v>
      </c>
      <c r="AN274" s="542">
        <v>0</v>
      </c>
      <c r="AO274" s="542">
        <v>-4269732</v>
      </c>
      <c r="AP274" s="542">
        <v>435783</v>
      </c>
      <c r="AQ274" s="542">
        <v>0</v>
      </c>
      <c r="AR274" s="542">
        <v>435783</v>
      </c>
      <c r="AS274" s="542">
        <v>-36246</v>
      </c>
      <c r="AT274" s="542">
        <v>0</v>
      </c>
      <c r="AU274" s="542">
        <v>-36246</v>
      </c>
      <c r="AV274" s="542">
        <v>0</v>
      </c>
      <c r="AW274" s="542">
        <v>0</v>
      </c>
      <c r="AX274" s="542">
        <v>0</v>
      </c>
      <c r="AY274" s="542">
        <v>0</v>
      </c>
      <c r="AZ274" s="542">
        <v>0</v>
      </c>
      <c r="BA274" s="542">
        <v>0</v>
      </c>
      <c r="BB274" s="542">
        <v>0</v>
      </c>
      <c r="BC274" s="542">
        <v>0</v>
      </c>
      <c r="BD274" s="542">
        <v>0</v>
      </c>
      <c r="BE274" s="542">
        <v>-5506955</v>
      </c>
      <c r="BF274" s="542">
        <v>0</v>
      </c>
      <c r="BG274" s="542">
        <v>-5506955</v>
      </c>
      <c r="BH274" s="542">
        <v>-4316</v>
      </c>
      <c r="BI274" s="542">
        <v>0</v>
      </c>
      <c r="BJ274" s="542">
        <v>-4316</v>
      </c>
      <c r="BK274" s="542">
        <v>-19503</v>
      </c>
      <c r="BL274" s="542">
        <v>0</v>
      </c>
      <c r="BM274" s="542">
        <v>-19503</v>
      </c>
      <c r="BN274" s="542">
        <v>-1408209</v>
      </c>
      <c r="BO274" s="542">
        <v>0</v>
      </c>
      <c r="BP274" s="542">
        <v>-1408209</v>
      </c>
      <c r="BQ274" s="542">
        <v>44710</v>
      </c>
      <c r="BR274" s="542">
        <v>0</v>
      </c>
      <c r="BS274" s="542">
        <v>44710</v>
      </c>
      <c r="BT274" s="542">
        <v>-1387318</v>
      </c>
      <c r="BU274" s="542">
        <v>0</v>
      </c>
      <c r="BV274" s="542">
        <v>-1387318</v>
      </c>
      <c r="BW274" s="542">
        <v>0</v>
      </c>
      <c r="BX274" s="542">
        <v>0</v>
      </c>
      <c r="BY274" s="542">
        <v>0</v>
      </c>
      <c r="BZ274" s="542">
        <v>0</v>
      </c>
      <c r="CA274" s="542">
        <v>0</v>
      </c>
      <c r="CB274" s="542">
        <v>0</v>
      </c>
      <c r="CC274" s="542">
        <v>-108068</v>
      </c>
      <c r="CD274" s="542">
        <v>0</v>
      </c>
      <c r="CE274" s="542">
        <v>-108068</v>
      </c>
      <c r="CF274" s="542">
        <v>-82769</v>
      </c>
      <c r="CG274" s="542">
        <v>0</v>
      </c>
      <c r="CH274" s="542">
        <v>-82769</v>
      </c>
      <c r="CI274" s="542">
        <v>0</v>
      </c>
      <c r="CJ274" s="542">
        <v>0</v>
      </c>
      <c r="CK274" s="542">
        <v>0</v>
      </c>
      <c r="CL274" s="542">
        <v>0</v>
      </c>
      <c r="CM274" s="542">
        <v>0</v>
      </c>
      <c r="CN274" s="542">
        <v>0</v>
      </c>
      <c r="CO274" s="542">
        <v>0</v>
      </c>
      <c r="CP274" s="542">
        <v>0</v>
      </c>
      <c r="CQ274" s="542">
        <v>0</v>
      </c>
      <c r="CR274" s="542">
        <v>0</v>
      </c>
      <c r="CS274" s="542">
        <v>0</v>
      </c>
      <c r="CT274" s="542">
        <v>0</v>
      </c>
      <c r="CU274" s="542">
        <v>0</v>
      </c>
      <c r="CV274" s="542">
        <v>0</v>
      </c>
      <c r="CW274" s="542">
        <v>0</v>
      </c>
      <c r="CX274" s="542">
        <v>0</v>
      </c>
      <c r="CY274" s="542">
        <v>0</v>
      </c>
      <c r="CZ274" s="542">
        <v>0</v>
      </c>
      <c r="DA274" s="542">
        <v>-11448</v>
      </c>
      <c r="DB274" s="542">
        <v>0</v>
      </c>
      <c r="DC274" s="542">
        <v>-11448</v>
      </c>
      <c r="DD274" s="542">
        <v>0</v>
      </c>
      <c r="DE274" s="542">
        <v>0</v>
      </c>
      <c r="DF274" s="542">
        <v>0</v>
      </c>
      <c r="DG274" s="542"/>
      <c r="DH274" s="542">
        <v>0</v>
      </c>
      <c r="DI274" s="542"/>
      <c r="DJ274" s="542">
        <v>0</v>
      </c>
      <c r="DK274" s="542"/>
      <c r="DL274" s="542"/>
      <c r="DM274" s="542">
        <v>-202285</v>
      </c>
      <c r="DN274" s="542">
        <v>0</v>
      </c>
      <c r="DO274" s="542">
        <v>-202285</v>
      </c>
      <c r="DP274" s="542">
        <v>-30589</v>
      </c>
      <c r="DQ274" s="542">
        <v>0</v>
      </c>
      <c r="DR274" s="542">
        <v>-30589</v>
      </c>
      <c r="DS274" s="542">
        <v>0</v>
      </c>
      <c r="DT274" s="542">
        <v>0</v>
      </c>
      <c r="DU274" s="542">
        <v>0</v>
      </c>
      <c r="DV274" s="542">
        <v>-2089</v>
      </c>
      <c r="DW274" s="542">
        <v>0</v>
      </c>
      <c r="DX274" s="542">
        <v>-2089</v>
      </c>
      <c r="DY274" s="542">
        <v>-529867</v>
      </c>
      <c r="DZ274" s="542">
        <v>0</v>
      </c>
      <c r="EA274" s="542">
        <v>-529867</v>
      </c>
      <c r="EB274" s="542">
        <v>0</v>
      </c>
      <c r="EC274" s="542">
        <v>0</v>
      </c>
      <c r="ED274" s="542">
        <v>0</v>
      </c>
      <c r="EE274" s="542">
        <v>0</v>
      </c>
      <c r="EF274" s="542">
        <v>0</v>
      </c>
      <c r="EG274" s="542">
        <v>0</v>
      </c>
      <c r="EH274" s="542">
        <v>-562545</v>
      </c>
      <c r="EI274" s="542">
        <v>0</v>
      </c>
      <c r="EJ274" s="542">
        <v>-562545</v>
      </c>
      <c r="EK274" s="542">
        <v>0</v>
      </c>
      <c r="EL274" s="542">
        <v>0</v>
      </c>
      <c r="EM274" s="542">
        <v>0</v>
      </c>
      <c r="EN274" s="542">
        <v>0</v>
      </c>
      <c r="EO274" s="542">
        <v>0</v>
      </c>
      <c r="EP274" s="542">
        <v>0</v>
      </c>
      <c r="EQ274" s="542">
        <v>0</v>
      </c>
      <c r="ER274" s="542">
        <v>0</v>
      </c>
      <c r="ES274" s="542">
        <v>0</v>
      </c>
      <c r="ET274" s="542">
        <v>58139848</v>
      </c>
      <c r="EU274" s="542">
        <v>0</v>
      </c>
      <c r="EV274" s="542">
        <v>58139848</v>
      </c>
      <c r="EW274" s="542">
        <v>266883</v>
      </c>
      <c r="EX274" s="542">
        <v>0</v>
      </c>
      <c r="EY274" s="542">
        <v>266883</v>
      </c>
      <c r="EZ274" s="542">
        <v>-5506955</v>
      </c>
      <c r="FA274" s="542">
        <v>0</v>
      </c>
      <c r="FB274" s="542">
        <v>-5506955</v>
      </c>
      <c r="FC274" s="542">
        <v>-1387318</v>
      </c>
      <c r="FD274" s="542">
        <v>0</v>
      </c>
      <c r="FE274" s="542">
        <v>-1387318</v>
      </c>
      <c r="FF274" s="542">
        <v>-202285</v>
      </c>
      <c r="FG274" s="542">
        <v>0</v>
      </c>
      <c r="FH274" s="542">
        <v>-202285</v>
      </c>
      <c r="FI274" s="542">
        <v>-562545</v>
      </c>
      <c r="FJ274" s="542">
        <v>0</v>
      </c>
      <c r="FK274" s="542">
        <v>-562545</v>
      </c>
      <c r="FL274" s="542">
        <v>0</v>
      </c>
      <c r="FM274" s="542">
        <v>0</v>
      </c>
      <c r="FN274" s="542">
        <v>0</v>
      </c>
      <c r="FO274" s="542">
        <v>-7392220</v>
      </c>
      <c r="FP274" s="542">
        <v>0</v>
      </c>
      <c r="FQ274" s="542">
        <v>-7392220</v>
      </c>
      <c r="FR274" s="542">
        <v>50747628</v>
      </c>
      <c r="FS274" s="542">
        <v>0</v>
      </c>
      <c r="FT274" s="542">
        <v>50747628</v>
      </c>
    </row>
    <row r="275" spans="1:176" ht="12.75" x14ac:dyDescent="0.2">
      <c r="A275" s="93">
        <v>270</v>
      </c>
      <c r="B275" s="145" t="s">
        <v>418</v>
      </c>
      <c r="C275" s="604" t="s">
        <v>866</v>
      </c>
      <c r="D275" s="142" t="s">
        <v>867</v>
      </c>
      <c r="E275" s="149" t="s">
        <v>417</v>
      </c>
      <c r="F275" s="542">
        <v>-49594</v>
      </c>
      <c r="G275" s="542">
        <v>0</v>
      </c>
      <c r="H275" s="542">
        <v>-49594</v>
      </c>
      <c r="I275" s="542">
        <v>15697</v>
      </c>
      <c r="J275" s="542">
        <v>0</v>
      </c>
      <c r="K275" s="542">
        <v>15697</v>
      </c>
      <c r="L275" s="542">
        <v>0</v>
      </c>
      <c r="M275" s="542">
        <v>0</v>
      </c>
      <c r="N275" s="542">
        <v>0</v>
      </c>
      <c r="O275" s="542">
        <v>28152</v>
      </c>
      <c r="P275" s="542">
        <v>0</v>
      </c>
      <c r="Q275" s="542">
        <v>28152</v>
      </c>
      <c r="R275" s="542">
        <v>-5745</v>
      </c>
      <c r="S275" s="542">
        <v>0</v>
      </c>
      <c r="T275" s="542">
        <v>-5745</v>
      </c>
      <c r="U275" s="542">
        <v>-3173152</v>
      </c>
      <c r="V275" s="542">
        <v>0</v>
      </c>
      <c r="W275" s="542">
        <v>-3173152</v>
      </c>
      <c r="X275" s="542">
        <v>-1001</v>
      </c>
      <c r="Y275" s="542">
        <v>0</v>
      </c>
      <c r="Z275" s="542">
        <v>-1001</v>
      </c>
      <c r="AA275" s="542">
        <v>-208243</v>
      </c>
      <c r="AB275" s="542">
        <v>0</v>
      </c>
      <c r="AC275" s="542">
        <v>-208243</v>
      </c>
      <c r="AD275" s="542">
        <v>0</v>
      </c>
      <c r="AE275" s="542">
        <v>0</v>
      </c>
      <c r="AF275" s="542">
        <v>0</v>
      </c>
      <c r="AG275" s="542">
        <v>1040275</v>
      </c>
      <c r="AH275" s="542">
        <v>0</v>
      </c>
      <c r="AI275" s="542">
        <v>1040275</v>
      </c>
      <c r="AJ275" s="542">
        <v>-2881</v>
      </c>
      <c r="AK275" s="542">
        <v>0</v>
      </c>
      <c r="AL275" s="542">
        <v>-2881</v>
      </c>
      <c r="AM275" s="542">
        <v>-2713149</v>
      </c>
      <c r="AN275" s="542">
        <v>0</v>
      </c>
      <c r="AO275" s="542">
        <v>-2713149</v>
      </c>
      <c r="AP275" s="542">
        <v>23432</v>
      </c>
      <c r="AQ275" s="542">
        <v>0</v>
      </c>
      <c r="AR275" s="542">
        <v>23432</v>
      </c>
      <c r="AS275" s="542">
        <v>-89645</v>
      </c>
      <c r="AT275" s="542">
        <v>0</v>
      </c>
      <c r="AU275" s="542">
        <v>-89645</v>
      </c>
      <c r="AV275" s="542">
        <v>0</v>
      </c>
      <c r="AW275" s="542">
        <v>0</v>
      </c>
      <c r="AX275" s="542">
        <v>0</v>
      </c>
      <c r="AY275" s="542">
        <v>-34073</v>
      </c>
      <c r="AZ275" s="542">
        <v>0</v>
      </c>
      <c r="BA275" s="542">
        <v>-34073</v>
      </c>
      <c r="BB275" s="542">
        <v>123</v>
      </c>
      <c r="BC275" s="542">
        <v>0</v>
      </c>
      <c r="BD275" s="542">
        <v>123</v>
      </c>
      <c r="BE275" s="542">
        <v>-5157313</v>
      </c>
      <c r="BF275" s="542">
        <v>0</v>
      </c>
      <c r="BG275" s="542">
        <v>-5157313</v>
      </c>
      <c r="BH275" s="542">
        <v>-3515</v>
      </c>
      <c r="BI275" s="542">
        <v>0</v>
      </c>
      <c r="BJ275" s="542">
        <v>-3515</v>
      </c>
      <c r="BK275" s="542">
        <v>523</v>
      </c>
      <c r="BL275" s="542">
        <v>0</v>
      </c>
      <c r="BM275" s="542">
        <v>523</v>
      </c>
      <c r="BN275" s="542">
        <v>-1638339</v>
      </c>
      <c r="BO275" s="542">
        <v>0</v>
      </c>
      <c r="BP275" s="542">
        <v>-1638339</v>
      </c>
      <c r="BQ275" s="542">
        <v>24469</v>
      </c>
      <c r="BR275" s="542">
        <v>0</v>
      </c>
      <c r="BS275" s="542">
        <v>24469</v>
      </c>
      <c r="BT275" s="542">
        <v>-1616862</v>
      </c>
      <c r="BU275" s="542">
        <v>0</v>
      </c>
      <c r="BV275" s="542">
        <v>-1616862</v>
      </c>
      <c r="BW275" s="542">
        <v>-236383</v>
      </c>
      <c r="BX275" s="542">
        <v>0</v>
      </c>
      <c r="BY275" s="542">
        <v>-236383</v>
      </c>
      <c r="BZ275" s="542">
        <v>-540</v>
      </c>
      <c r="CA275" s="542">
        <v>0</v>
      </c>
      <c r="CB275" s="542">
        <v>-540</v>
      </c>
      <c r="CC275" s="542">
        <v>-140689</v>
      </c>
      <c r="CD275" s="542">
        <v>0</v>
      </c>
      <c r="CE275" s="542">
        <v>-140689</v>
      </c>
      <c r="CF275" s="542">
        <v>438</v>
      </c>
      <c r="CG275" s="542">
        <v>0</v>
      </c>
      <c r="CH275" s="542">
        <v>438</v>
      </c>
      <c r="CI275" s="542">
        <v>-22411</v>
      </c>
      <c r="CJ275" s="542">
        <v>0</v>
      </c>
      <c r="CK275" s="542">
        <v>-22411</v>
      </c>
      <c r="CL275" s="542">
        <v>0</v>
      </c>
      <c r="CM275" s="542">
        <v>0</v>
      </c>
      <c r="CN275" s="542">
        <v>0</v>
      </c>
      <c r="CO275" s="542">
        <v>-34073</v>
      </c>
      <c r="CP275" s="542">
        <v>0</v>
      </c>
      <c r="CQ275" s="542">
        <v>-34073</v>
      </c>
      <c r="CR275" s="542">
        <v>123</v>
      </c>
      <c r="CS275" s="542">
        <v>0</v>
      </c>
      <c r="CT275" s="542">
        <v>123</v>
      </c>
      <c r="CU275" s="542">
        <v>-9243</v>
      </c>
      <c r="CV275" s="542">
        <v>0</v>
      </c>
      <c r="CW275" s="542">
        <v>-9243</v>
      </c>
      <c r="CX275" s="542">
        <v>0</v>
      </c>
      <c r="CY275" s="542">
        <v>0</v>
      </c>
      <c r="CZ275" s="542">
        <v>0</v>
      </c>
      <c r="DA275" s="542">
        <v>0</v>
      </c>
      <c r="DB275" s="542">
        <v>0</v>
      </c>
      <c r="DC275" s="542">
        <v>0</v>
      </c>
      <c r="DD275" s="542">
        <v>-19062</v>
      </c>
      <c r="DE275" s="542">
        <v>0</v>
      </c>
      <c r="DF275" s="542">
        <v>-19062</v>
      </c>
      <c r="DG275" s="542"/>
      <c r="DH275" s="542">
        <v>0</v>
      </c>
      <c r="DI275" s="542"/>
      <c r="DJ275" s="542">
        <v>0</v>
      </c>
      <c r="DK275" s="542"/>
      <c r="DL275" s="542"/>
      <c r="DM275" s="542">
        <v>-461840</v>
      </c>
      <c r="DN275" s="542">
        <v>0</v>
      </c>
      <c r="DO275" s="542">
        <v>-461840</v>
      </c>
      <c r="DP275" s="542">
        <v>-19046</v>
      </c>
      <c r="DQ275" s="542">
        <v>0</v>
      </c>
      <c r="DR275" s="542">
        <v>-19046</v>
      </c>
      <c r="DS275" s="542">
        <v>0</v>
      </c>
      <c r="DT275" s="542">
        <v>0</v>
      </c>
      <c r="DU275" s="542">
        <v>0</v>
      </c>
      <c r="DV275" s="542">
        <v>-894</v>
      </c>
      <c r="DW275" s="542">
        <v>0</v>
      </c>
      <c r="DX275" s="542">
        <v>-894</v>
      </c>
      <c r="DY275" s="542">
        <v>-460293</v>
      </c>
      <c r="DZ275" s="542">
        <v>0</v>
      </c>
      <c r="EA275" s="542">
        <v>-460293</v>
      </c>
      <c r="EB275" s="542">
        <v>0</v>
      </c>
      <c r="EC275" s="542">
        <v>0</v>
      </c>
      <c r="ED275" s="542">
        <v>0</v>
      </c>
      <c r="EE275" s="542">
        <v>-26093</v>
      </c>
      <c r="EF275" s="542">
        <v>0</v>
      </c>
      <c r="EG275" s="542">
        <v>-26093</v>
      </c>
      <c r="EH275" s="542">
        <v>-506326</v>
      </c>
      <c r="EI275" s="542">
        <v>0</v>
      </c>
      <c r="EJ275" s="542">
        <v>-506326</v>
      </c>
      <c r="EK275" s="542">
        <v>0</v>
      </c>
      <c r="EL275" s="542">
        <v>0</v>
      </c>
      <c r="EM275" s="542">
        <v>0</v>
      </c>
      <c r="EN275" s="542">
        <v>0</v>
      </c>
      <c r="EO275" s="542">
        <v>0</v>
      </c>
      <c r="EP275" s="542">
        <v>0</v>
      </c>
      <c r="EQ275" s="542">
        <v>0</v>
      </c>
      <c r="ER275" s="542">
        <v>0</v>
      </c>
      <c r="ES275" s="542">
        <v>0</v>
      </c>
      <c r="ET275" s="542">
        <v>52579334</v>
      </c>
      <c r="EU275" s="542">
        <v>0</v>
      </c>
      <c r="EV275" s="542">
        <v>52579334</v>
      </c>
      <c r="EW275" s="542">
        <v>-5745</v>
      </c>
      <c r="EX275" s="542">
        <v>0</v>
      </c>
      <c r="EY275" s="542">
        <v>-5745</v>
      </c>
      <c r="EZ275" s="542">
        <v>-5157313</v>
      </c>
      <c r="FA275" s="542">
        <v>0</v>
      </c>
      <c r="FB275" s="542">
        <v>-5157313</v>
      </c>
      <c r="FC275" s="542">
        <v>-1616862</v>
      </c>
      <c r="FD275" s="542">
        <v>0</v>
      </c>
      <c r="FE275" s="542">
        <v>-1616862</v>
      </c>
      <c r="FF275" s="542">
        <v>-461840</v>
      </c>
      <c r="FG275" s="542">
        <v>0</v>
      </c>
      <c r="FH275" s="542">
        <v>-461840</v>
      </c>
      <c r="FI275" s="542">
        <v>-506326</v>
      </c>
      <c r="FJ275" s="542">
        <v>0</v>
      </c>
      <c r="FK275" s="542">
        <v>-506326</v>
      </c>
      <c r="FL275" s="542">
        <v>0</v>
      </c>
      <c r="FM275" s="542">
        <v>0</v>
      </c>
      <c r="FN275" s="542">
        <v>0</v>
      </c>
      <c r="FO275" s="542">
        <v>-7748086</v>
      </c>
      <c r="FP275" s="542">
        <v>0</v>
      </c>
      <c r="FQ275" s="542">
        <v>-7748086</v>
      </c>
      <c r="FR275" s="542">
        <v>44831248</v>
      </c>
      <c r="FS275" s="542">
        <v>0</v>
      </c>
      <c r="FT275" s="542">
        <v>44831248</v>
      </c>
    </row>
    <row r="276" spans="1:176" ht="12.75" x14ac:dyDescent="0.2">
      <c r="A276" s="93">
        <v>271</v>
      </c>
      <c r="B276" s="145" t="s">
        <v>420</v>
      </c>
      <c r="C276" s="604" t="s">
        <v>770</v>
      </c>
      <c r="D276" s="142" t="s">
        <v>875</v>
      </c>
      <c r="E276" s="149" t="s">
        <v>729</v>
      </c>
      <c r="F276" s="542">
        <v>-31988</v>
      </c>
      <c r="G276" s="542">
        <v>0</v>
      </c>
      <c r="H276" s="542">
        <v>-31988</v>
      </c>
      <c r="I276" s="542">
        <v>124762</v>
      </c>
      <c r="J276" s="542">
        <v>0</v>
      </c>
      <c r="K276" s="542">
        <v>124762</v>
      </c>
      <c r="L276" s="542">
        <v>171554</v>
      </c>
      <c r="M276" s="542">
        <v>0</v>
      </c>
      <c r="N276" s="542">
        <v>171554</v>
      </c>
      <c r="O276" s="542">
        <v>739890</v>
      </c>
      <c r="P276" s="542">
        <v>0</v>
      </c>
      <c r="Q276" s="542">
        <v>739890</v>
      </c>
      <c r="R276" s="542">
        <v>1004218</v>
      </c>
      <c r="S276" s="542">
        <v>0</v>
      </c>
      <c r="T276" s="542">
        <v>1004218</v>
      </c>
      <c r="U276" s="542">
        <v>-2650697</v>
      </c>
      <c r="V276" s="542">
        <v>0</v>
      </c>
      <c r="W276" s="542">
        <v>-2650697</v>
      </c>
      <c r="X276" s="542">
        <v>-5070</v>
      </c>
      <c r="Y276" s="542">
        <v>0</v>
      </c>
      <c r="Z276" s="542">
        <v>-5070</v>
      </c>
      <c r="AA276" s="542">
        <v>-180754</v>
      </c>
      <c r="AB276" s="542">
        <v>0</v>
      </c>
      <c r="AC276" s="542">
        <v>-180754</v>
      </c>
      <c r="AD276" s="542">
        <v>-65735</v>
      </c>
      <c r="AE276" s="542">
        <v>0</v>
      </c>
      <c r="AF276" s="542">
        <v>-65735</v>
      </c>
      <c r="AG276" s="542">
        <v>2616059</v>
      </c>
      <c r="AH276" s="542">
        <v>0</v>
      </c>
      <c r="AI276" s="542">
        <v>2616059</v>
      </c>
      <c r="AJ276" s="542">
        <v>79078</v>
      </c>
      <c r="AK276" s="542">
        <v>0</v>
      </c>
      <c r="AL276" s="542">
        <v>79078</v>
      </c>
      <c r="AM276" s="542">
        <v>-5980571</v>
      </c>
      <c r="AN276" s="542">
        <v>0</v>
      </c>
      <c r="AO276" s="542">
        <v>-5980571</v>
      </c>
      <c r="AP276" s="542">
        <v>204270</v>
      </c>
      <c r="AQ276" s="542">
        <v>0</v>
      </c>
      <c r="AR276" s="542">
        <v>204270</v>
      </c>
      <c r="AS276" s="542">
        <v>-73860</v>
      </c>
      <c r="AT276" s="542">
        <v>0</v>
      </c>
      <c r="AU276" s="542">
        <v>-73860</v>
      </c>
      <c r="AV276" s="542">
        <v>0</v>
      </c>
      <c r="AW276" s="542">
        <v>0</v>
      </c>
      <c r="AX276" s="542">
        <v>0</v>
      </c>
      <c r="AY276" s="542">
        <v>-6671</v>
      </c>
      <c r="AZ276" s="542">
        <v>0</v>
      </c>
      <c r="BA276" s="542">
        <v>-6671</v>
      </c>
      <c r="BB276" s="542">
        <v>0</v>
      </c>
      <c r="BC276" s="542">
        <v>0</v>
      </c>
      <c r="BD276" s="542">
        <v>0</v>
      </c>
      <c r="BE276" s="542">
        <v>-5993146</v>
      </c>
      <c r="BF276" s="542">
        <v>0</v>
      </c>
      <c r="BG276" s="542">
        <v>-5993146</v>
      </c>
      <c r="BH276" s="542">
        <v>-119776</v>
      </c>
      <c r="BI276" s="542">
        <v>0</v>
      </c>
      <c r="BJ276" s="542">
        <v>-119776</v>
      </c>
      <c r="BK276" s="542">
        <v>-38773</v>
      </c>
      <c r="BL276" s="542">
        <v>0</v>
      </c>
      <c r="BM276" s="542">
        <v>-38773</v>
      </c>
      <c r="BN276" s="542">
        <v>-4413920</v>
      </c>
      <c r="BO276" s="542">
        <v>0</v>
      </c>
      <c r="BP276" s="542">
        <v>-4413920</v>
      </c>
      <c r="BQ276" s="542">
        <v>-33584</v>
      </c>
      <c r="BR276" s="542">
        <v>0</v>
      </c>
      <c r="BS276" s="542">
        <v>-33584</v>
      </c>
      <c r="BT276" s="542">
        <v>-4606053</v>
      </c>
      <c r="BU276" s="542">
        <v>0</v>
      </c>
      <c r="BV276" s="542">
        <v>-4606053</v>
      </c>
      <c r="BW276" s="542">
        <v>-189491</v>
      </c>
      <c r="BX276" s="542">
        <v>0</v>
      </c>
      <c r="BY276" s="542">
        <v>-189491</v>
      </c>
      <c r="BZ276" s="542">
        <v>-569</v>
      </c>
      <c r="CA276" s="542">
        <v>0</v>
      </c>
      <c r="CB276" s="542">
        <v>-569</v>
      </c>
      <c r="CC276" s="542">
        <v>-77505</v>
      </c>
      <c r="CD276" s="542">
        <v>0</v>
      </c>
      <c r="CE276" s="542">
        <v>-77505</v>
      </c>
      <c r="CF276" s="542">
        <v>-11391</v>
      </c>
      <c r="CG276" s="542">
        <v>0</v>
      </c>
      <c r="CH276" s="542">
        <v>-11391</v>
      </c>
      <c r="CI276" s="542">
        <v>-18465</v>
      </c>
      <c r="CJ276" s="542">
        <v>0</v>
      </c>
      <c r="CK276" s="542">
        <v>-18465</v>
      </c>
      <c r="CL276" s="542">
        <v>0</v>
      </c>
      <c r="CM276" s="542">
        <v>0</v>
      </c>
      <c r="CN276" s="542">
        <v>0</v>
      </c>
      <c r="CO276" s="542">
        <v>-4808</v>
      </c>
      <c r="CP276" s="542">
        <v>0</v>
      </c>
      <c r="CQ276" s="542">
        <v>-4808</v>
      </c>
      <c r="CR276" s="542">
        <v>0</v>
      </c>
      <c r="CS276" s="542">
        <v>0</v>
      </c>
      <c r="CT276" s="542">
        <v>0</v>
      </c>
      <c r="CU276" s="542">
        <v>0</v>
      </c>
      <c r="CV276" s="542">
        <v>0</v>
      </c>
      <c r="CW276" s="542">
        <v>0</v>
      </c>
      <c r="CX276" s="542">
        <v>0</v>
      </c>
      <c r="CY276" s="542">
        <v>0</v>
      </c>
      <c r="CZ276" s="542">
        <v>0</v>
      </c>
      <c r="DA276" s="542">
        <v>0</v>
      </c>
      <c r="DB276" s="542">
        <v>0</v>
      </c>
      <c r="DC276" s="542">
        <v>0</v>
      </c>
      <c r="DD276" s="542">
        <v>0</v>
      </c>
      <c r="DE276" s="542">
        <v>0</v>
      </c>
      <c r="DF276" s="542">
        <v>0</v>
      </c>
      <c r="DG276" s="542"/>
      <c r="DH276" s="542">
        <v>0</v>
      </c>
      <c r="DI276" s="542"/>
      <c r="DJ276" s="542">
        <v>0</v>
      </c>
      <c r="DK276" s="542"/>
      <c r="DL276" s="542"/>
      <c r="DM276" s="542">
        <v>-302229</v>
      </c>
      <c r="DN276" s="542">
        <v>0</v>
      </c>
      <c r="DO276" s="542">
        <v>-302229</v>
      </c>
      <c r="DP276" s="542">
        <v>0</v>
      </c>
      <c r="DQ276" s="542">
        <v>0</v>
      </c>
      <c r="DR276" s="542">
        <v>0</v>
      </c>
      <c r="DS276" s="542">
        <v>0</v>
      </c>
      <c r="DT276" s="542">
        <v>0</v>
      </c>
      <c r="DU276" s="542">
        <v>0</v>
      </c>
      <c r="DV276" s="542">
        <v>0</v>
      </c>
      <c r="DW276" s="542">
        <v>0</v>
      </c>
      <c r="DX276" s="542">
        <v>0</v>
      </c>
      <c r="DY276" s="542">
        <v>-472660</v>
      </c>
      <c r="DZ276" s="542">
        <v>0</v>
      </c>
      <c r="EA276" s="542">
        <v>-472660</v>
      </c>
      <c r="EB276" s="542">
        <v>0</v>
      </c>
      <c r="EC276" s="542">
        <v>0</v>
      </c>
      <c r="ED276" s="542">
        <v>0</v>
      </c>
      <c r="EE276" s="542">
        <v>0</v>
      </c>
      <c r="EF276" s="542">
        <v>0</v>
      </c>
      <c r="EG276" s="542">
        <v>0</v>
      </c>
      <c r="EH276" s="542">
        <v>-472660</v>
      </c>
      <c r="EI276" s="542">
        <v>0</v>
      </c>
      <c r="EJ276" s="542">
        <v>-472660</v>
      </c>
      <c r="EK276" s="542">
        <v>0</v>
      </c>
      <c r="EL276" s="542">
        <v>0</v>
      </c>
      <c r="EM276" s="542">
        <v>0</v>
      </c>
      <c r="EN276" s="542">
        <v>0</v>
      </c>
      <c r="EO276" s="542">
        <v>0</v>
      </c>
      <c r="EP276" s="542">
        <v>0</v>
      </c>
      <c r="EQ276" s="542">
        <v>0</v>
      </c>
      <c r="ER276" s="542">
        <v>0</v>
      </c>
      <c r="ES276" s="542">
        <v>0</v>
      </c>
      <c r="ET276" s="542">
        <v>118816123</v>
      </c>
      <c r="EU276" s="542">
        <v>0</v>
      </c>
      <c r="EV276" s="542">
        <v>118816123</v>
      </c>
      <c r="EW276" s="542">
        <v>1004218</v>
      </c>
      <c r="EX276" s="542">
        <v>0</v>
      </c>
      <c r="EY276" s="542">
        <v>1004218</v>
      </c>
      <c r="EZ276" s="542">
        <v>-5993146</v>
      </c>
      <c r="FA276" s="542">
        <v>0</v>
      </c>
      <c r="FB276" s="542">
        <v>-5993146</v>
      </c>
      <c r="FC276" s="542">
        <v>-4606053</v>
      </c>
      <c r="FD276" s="542">
        <v>0</v>
      </c>
      <c r="FE276" s="542">
        <v>-4606053</v>
      </c>
      <c r="FF276" s="542">
        <v>-302229</v>
      </c>
      <c r="FG276" s="542">
        <v>0</v>
      </c>
      <c r="FH276" s="542">
        <v>-302229</v>
      </c>
      <c r="FI276" s="542">
        <v>-472660</v>
      </c>
      <c r="FJ276" s="542">
        <v>0</v>
      </c>
      <c r="FK276" s="542">
        <v>-472660</v>
      </c>
      <c r="FL276" s="542">
        <v>0</v>
      </c>
      <c r="FM276" s="542">
        <v>0</v>
      </c>
      <c r="FN276" s="542">
        <v>0</v>
      </c>
      <c r="FO276" s="542">
        <v>-10369870</v>
      </c>
      <c r="FP276" s="542">
        <v>0</v>
      </c>
      <c r="FQ276" s="542">
        <v>-10369870</v>
      </c>
      <c r="FR276" s="542">
        <v>108446253</v>
      </c>
      <c r="FS276" s="542">
        <v>0</v>
      </c>
      <c r="FT276" s="542">
        <v>108446253</v>
      </c>
    </row>
    <row r="277" spans="1:176" ht="12.75" x14ac:dyDescent="0.2">
      <c r="A277" s="93">
        <v>272</v>
      </c>
      <c r="B277" s="145" t="s">
        <v>422</v>
      </c>
      <c r="C277" s="604" t="s">
        <v>873</v>
      </c>
      <c r="D277" s="142" t="s">
        <v>868</v>
      </c>
      <c r="E277" s="149" t="s">
        <v>421</v>
      </c>
      <c r="F277" s="542">
        <v>-98408</v>
      </c>
      <c r="G277" s="542">
        <v>0</v>
      </c>
      <c r="H277" s="542">
        <v>-98408</v>
      </c>
      <c r="I277" s="542">
        <v>-76890</v>
      </c>
      <c r="J277" s="542">
        <v>0</v>
      </c>
      <c r="K277" s="542">
        <v>-76890</v>
      </c>
      <c r="L277" s="542">
        <v>8732</v>
      </c>
      <c r="M277" s="542">
        <v>0</v>
      </c>
      <c r="N277" s="542">
        <v>8732</v>
      </c>
      <c r="O277" s="542">
        <v>100079</v>
      </c>
      <c r="P277" s="542">
        <v>0</v>
      </c>
      <c r="Q277" s="542">
        <v>100079</v>
      </c>
      <c r="R277" s="542">
        <v>-66487</v>
      </c>
      <c r="S277" s="542">
        <v>0</v>
      </c>
      <c r="T277" s="542">
        <v>-66487</v>
      </c>
      <c r="U277" s="542">
        <v>-5810917</v>
      </c>
      <c r="V277" s="542">
        <v>0</v>
      </c>
      <c r="W277" s="542">
        <v>-5810917</v>
      </c>
      <c r="X277" s="542">
        <v>-1057</v>
      </c>
      <c r="Y277" s="542">
        <v>0</v>
      </c>
      <c r="Z277" s="542">
        <v>-1057</v>
      </c>
      <c r="AA277" s="542">
        <v>-184308</v>
      </c>
      <c r="AB277" s="542">
        <v>0</v>
      </c>
      <c r="AC277" s="542">
        <v>-184308</v>
      </c>
      <c r="AD277" s="542">
        <v>-109838</v>
      </c>
      <c r="AE277" s="542">
        <v>0</v>
      </c>
      <c r="AF277" s="542">
        <v>-109838</v>
      </c>
      <c r="AG277" s="542">
        <v>1346773</v>
      </c>
      <c r="AH277" s="542">
        <v>0</v>
      </c>
      <c r="AI277" s="542">
        <v>1346773</v>
      </c>
      <c r="AJ277" s="542">
        <v>-26124</v>
      </c>
      <c r="AK277" s="542">
        <v>0</v>
      </c>
      <c r="AL277" s="542">
        <v>-26124</v>
      </c>
      <c r="AM277" s="542">
        <v>-2962480</v>
      </c>
      <c r="AN277" s="542">
        <v>0</v>
      </c>
      <c r="AO277" s="542">
        <v>-2962480</v>
      </c>
      <c r="AP277" s="542">
        <v>47033</v>
      </c>
      <c r="AQ277" s="542">
        <v>0</v>
      </c>
      <c r="AR277" s="542">
        <v>47033</v>
      </c>
      <c r="AS277" s="542">
        <v>-129000</v>
      </c>
      <c r="AT277" s="542">
        <v>0</v>
      </c>
      <c r="AU277" s="542">
        <v>-129000</v>
      </c>
      <c r="AV277" s="542">
        <v>0</v>
      </c>
      <c r="AW277" s="542">
        <v>0</v>
      </c>
      <c r="AX277" s="542">
        <v>0</v>
      </c>
      <c r="AY277" s="542">
        <v>0</v>
      </c>
      <c r="AZ277" s="542">
        <v>0</v>
      </c>
      <c r="BA277" s="542">
        <v>0</v>
      </c>
      <c r="BB277" s="542">
        <v>0</v>
      </c>
      <c r="BC277" s="542">
        <v>0</v>
      </c>
      <c r="BD277" s="542">
        <v>0</v>
      </c>
      <c r="BE277" s="542">
        <v>-7719023</v>
      </c>
      <c r="BF277" s="542">
        <v>0</v>
      </c>
      <c r="BG277" s="542">
        <v>-7719023</v>
      </c>
      <c r="BH277" s="542">
        <v>0</v>
      </c>
      <c r="BI277" s="542">
        <v>0</v>
      </c>
      <c r="BJ277" s="542">
        <v>0</v>
      </c>
      <c r="BK277" s="542">
        <v>-661</v>
      </c>
      <c r="BL277" s="542">
        <v>0</v>
      </c>
      <c r="BM277" s="542">
        <v>-661</v>
      </c>
      <c r="BN277" s="542">
        <v>-2342502</v>
      </c>
      <c r="BO277" s="542">
        <v>0</v>
      </c>
      <c r="BP277" s="542">
        <v>-2342502</v>
      </c>
      <c r="BQ277" s="542">
        <v>253508</v>
      </c>
      <c r="BR277" s="542">
        <v>0</v>
      </c>
      <c r="BS277" s="542">
        <v>253508</v>
      </c>
      <c r="BT277" s="542">
        <v>-2089655</v>
      </c>
      <c r="BU277" s="542">
        <v>0</v>
      </c>
      <c r="BV277" s="542">
        <v>-2089655</v>
      </c>
      <c r="BW277" s="542">
        <v>-26216</v>
      </c>
      <c r="BX277" s="542">
        <v>0</v>
      </c>
      <c r="BY277" s="542">
        <v>-26216</v>
      </c>
      <c r="BZ277" s="542">
        <v>3426</v>
      </c>
      <c r="CA277" s="542">
        <v>0</v>
      </c>
      <c r="CB277" s="542">
        <v>3426</v>
      </c>
      <c r="CC277" s="542">
        <v>-35672</v>
      </c>
      <c r="CD277" s="542">
        <v>0</v>
      </c>
      <c r="CE277" s="542">
        <v>-35672</v>
      </c>
      <c r="CF277" s="542">
        <v>-1366</v>
      </c>
      <c r="CG277" s="542">
        <v>0</v>
      </c>
      <c r="CH277" s="542">
        <v>-1366</v>
      </c>
      <c r="CI277" s="542">
        <v>-2515</v>
      </c>
      <c r="CJ277" s="542">
        <v>0</v>
      </c>
      <c r="CK277" s="542">
        <v>-2515</v>
      </c>
      <c r="CL277" s="542">
        <v>0</v>
      </c>
      <c r="CM277" s="542">
        <v>0</v>
      </c>
      <c r="CN277" s="542">
        <v>0</v>
      </c>
      <c r="CO277" s="542">
        <v>0</v>
      </c>
      <c r="CP277" s="542">
        <v>0</v>
      </c>
      <c r="CQ277" s="542">
        <v>0</v>
      </c>
      <c r="CR277" s="542">
        <v>0</v>
      </c>
      <c r="CS277" s="542">
        <v>0</v>
      </c>
      <c r="CT277" s="542">
        <v>0</v>
      </c>
      <c r="CU277" s="542">
        <v>0</v>
      </c>
      <c r="CV277" s="542">
        <v>0</v>
      </c>
      <c r="CW277" s="542">
        <v>0</v>
      </c>
      <c r="CX277" s="542">
        <v>0</v>
      </c>
      <c r="CY277" s="542">
        <v>0</v>
      </c>
      <c r="CZ277" s="542">
        <v>0</v>
      </c>
      <c r="DA277" s="542">
        <v>0</v>
      </c>
      <c r="DB277" s="542">
        <v>0</v>
      </c>
      <c r="DC277" s="542">
        <v>0</v>
      </c>
      <c r="DD277" s="542">
        <v>0</v>
      </c>
      <c r="DE277" s="542">
        <v>0</v>
      </c>
      <c r="DF277" s="542">
        <v>0</v>
      </c>
      <c r="DG277" s="542"/>
      <c r="DH277" s="542">
        <v>0</v>
      </c>
      <c r="DI277" s="542"/>
      <c r="DJ277" s="542">
        <v>0</v>
      </c>
      <c r="DK277" s="542"/>
      <c r="DL277" s="542"/>
      <c r="DM277" s="542">
        <v>-62343</v>
      </c>
      <c r="DN277" s="542">
        <v>0</v>
      </c>
      <c r="DO277" s="542">
        <v>-62343</v>
      </c>
      <c r="DP277" s="542">
        <v>0</v>
      </c>
      <c r="DQ277" s="542">
        <v>0</v>
      </c>
      <c r="DR277" s="542">
        <v>0</v>
      </c>
      <c r="DS277" s="542">
        <v>0</v>
      </c>
      <c r="DT277" s="542">
        <v>0</v>
      </c>
      <c r="DU277" s="542">
        <v>0</v>
      </c>
      <c r="DV277" s="542">
        <v>-30581</v>
      </c>
      <c r="DW277" s="542">
        <v>0</v>
      </c>
      <c r="DX277" s="542">
        <v>-30581</v>
      </c>
      <c r="DY277" s="542">
        <v>-633887</v>
      </c>
      <c r="DZ277" s="542">
        <v>0</v>
      </c>
      <c r="EA277" s="542">
        <v>-633887</v>
      </c>
      <c r="EB277" s="542">
        <v>0</v>
      </c>
      <c r="EC277" s="542">
        <v>0</v>
      </c>
      <c r="ED277" s="542">
        <v>0</v>
      </c>
      <c r="EE277" s="542">
        <v>0</v>
      </c>
      <c r="EF277" s="542">
        <v>0</v>
      </c>
      <c r="EG277" s="542">
        <v>0</v>
      </c>
      <c r="EH277" s="542">
        <v>-664468</v>
      </c>
      <c r="EI277" s="542">
        <v>0</v>
      </c>
      <c r="EJ277" s="542">
        <v>-664468</v>
      </c>
      <c r="EK277" s="542">
        <v>0</v>
      </c>
      <c r="EL277" s="542">
        <v>0</v>
      </c>
      <c r="EM277" s="542">
        <v>0</v>
      </c>
      <c r="EN277" s="542">
        <v>0</v>
      </c>
      <c r="EO277" s="542">
        <v>0</v>
      </c>
      <c r="EP277" s="542">
        <v>0</v>
      </c>
      <c r="EQ277" s="542">
        <v>0</v>
      </c>
      <c r="ER277" s="542">
        <v>0</v>
      </c>
      <c r="ES277" s="542">
        <v>0</v>
      </c>
      <c r="ET277" s="542">
        <v>69048168</v>
      </c>
      <c r="EU277" s="542">
        <v>0</v>
      </c>
      <c r="EV277" s="542">
        <v>69048168</v>
      </c>
      <c r="EW277" s="542">
        <v>-66487</v>
      </c>
      <c r="EX277" s="542">
        <v>0</v>
      </c>
      <c r="EY277" s="542">
        <v>-66487</v>
      </c>
      <c r="EZ277" s="542">
        <v>-7719023</v>
      </c>
      <c r="FA277" s="542">
        <v>0</v>
      </c>
      <c r="FB277" s="542">
        <v>-7719023</v>
      </c>
      <c r="FC277" s="542">
        <v>-2089655</v>
      </c>
      <c r="FD277" s="542">
        <v>0</v>
      </c>
      <c r="FE277" s="542">
        <v>-2089655</v>
      </c>
      <c r="FF277" s="542">
        <v>-62343</v>
      </c>
      <c r="FG277" s="542">
        <v>0</v>
      </c>
      <c r="FH277" s="542">
        <v>-62343</v>
      </c>
      <c r="FI277" s="542">
        <v>-664468</v>
      </c>
      <c r="FJ277" s="542">
        <v>0</v>
      </c>
      <c r="FK277" s="542">
        <v>-664468</v>
      </c>
      <c r="FL277" s="542">
        <v>0</v>
      </c>
      <c r="FM277" s="542">
        <v>0</v>
      </c>
      <c r="FN277" s="542">
        <v>0</v>
      </c>
      <c r="FO277" s="542">
        <v>-10601976</v>
      </c>
      <c r="FP277" s="542">
        <v>0</v>
      </c>
      <c r="FQ277" s="542">
        <v>-10601976</v>
      </c>
      <c r="FR277" s="542">
        <v>58446192</v>
      </c>
      <c r="FS277" s="542">
        <v>0</v>
      </c>
      <c r="FT277" s="542">
        <v>58446192</v>
      </c>
    </row>
    <row r="278" spans="1:176" ht="12.75" x14ac:dyDescent="0.2">
      <c r="A278" s="93">
        <v>273</v>
      </c>
      <c r="B278" s="145" t="s">
        <v>424</v>
      </c>
      <c r="C278" s="604" t="s">
        <v>866</v>
      </c>
      <c r="D278" s="142" t="s">
        <v>876</v>
      </c>
      <c r="E278" s="149" t="s">
        <v>423</v>
      </c>
      <c r="F278" s="542">
        <v>-11177</v>
      </c>
      <c r="G278" s="542">
        <v>0</v>
      </c>
      <c r="H278" s="542">
        <v>-11177</v>
      </c>
      <c r="I278" s="542">
        <v>34194</v>
      </c>
      <c r="J278" s="542">
        <v>0</v>
      </c>
      <c r="K278" s="542">
        <v>34194</v>
      </c>
      <c r="L278" s="542">
        <v>4977</v>
      </c>
      <c r="M278" s="542">
        <v>0</v>
      </c>
      <c r="N278" s="542">
        <v>4977</v>
      </c>
      <c r="O278" s="542">
        <v>212424</v>
      </c>
      <c r="P278" s="542">
        <v>0</v>
      </c>
      <c r="Q278" s="542">
        <v>212424</v>
      </c>
      <c r="R278" s="542">
        <v>240418</v>
      </c>
      <c r="S278" s="542">
        <v>0</v>
      </c>
      <c r="T278" s="542">
        <v>240418</v>
      </c>
      <c r="U278" s="542">
        <v>-1158985</v>
      </c>
      <c r="V278" s="542">
        <v>0</v>
      </c>
      <c r="W278" s="542">
        <v>-1158985</v>
      </c>
      <c r="X278" s="542">
        <v>0</v>
      </c>
      <c r="Y278" s="542">
        <v>0</v>
      </c>
      <c r="Z278" s="542">
        <v>0</v>
      </c>
      <c r="AA278" s="542">
        <v>-117565</v>
      </c>
      <c r="AB278" s="542">
        <v>0</v>
      </c>
      <c r="AC278" s="542">
        <v>-117565</v>
      </c>
      <c r="AD278" s="542">
        <v>-40146</v>
      </c>
      <c r="AE278" s="542">
        <v>0</v>
      </c>
      <c r="AF278" s="542">
        <v>-40146</v>
      </c>
      <c r="AG278" s="542">
        <v>780560</v>
      </c>
      <c r="AH278" s="542">
        <v>0</v>
      </c>
      <c r="AI278" s="542">
        <v>780560</v>
      </c>
      <c r="AJ278" s="542">
        <v>-15027</v>
      </c>
      <c r="AK278" s="542">
        <v>0</v>
      </c>
      <c r="AL278" s="542">
        <v>-15027</v>
      </c>
      <c r="AM278" s="542">
        <v>-1141666</v>
      </c>
      <c r="AN278" s="542">
        <v>0</v>
      </c>
      <c r="AO278" s="542">
        <v>-1141666</v>
      </c>
      <c r="AP278" s="542">
        <v>-29890</v>
      </c>
      <c r="AQ278" s="542">
        <v>0</v>
      </c>
      <c r="AR278" s="542">
        <v>-29890</v>
      </c>
      <c r="AS278" s="542">
        <v>-28130</v>
      </c>
      <c r="AT278" s="542">
        <v>0</v>
      </c>
      <c r="AU278" s="542">
        <v>-28130</v>
      </c>
      <c r="AV278" s="542">
        <v>0</v>
      </c>
      <c r="AW278" s="542">
        <v>0</v>
      </c>
      <c r="AX278" s="542">
        <v>0</v>
      </c>
      <c r="AY278" s="542">
        <v>0</v>
      </c>
      <c r="AZ278" s="542">
        <v>0</v>
      </c>
      <c r="BA278" s="542">
        <v>0</v>
      </c>
      <c r="BB278" s="542">
        <v>0</v>
      </c>
      <c r="BC278" s="542">
        <v>0</v>
      </c>
      <c r="BD278" s="542">
        <v>0</v>
      </c>
      <c r="BE278" s="542">
        <v>-1710703</v>
      </c>
      <c r="BF278" s="542">
        <v>0</v>
      </c>
      <c r="BG278" s="542">
        <v>-1710703</v>
      </c>
      <c r="BH278" s="542">
        <v>-48302</v>
      </c>
      <c r="BI278" s="542">
        <v>0</v>
      </c>
      <c r="BJ278" s="542">
        <v>-48302</v>
      </c>
      <c r="BK278" s="542">
        <v>141006</v>
      </c>
      <c r="BL278" s="542">
        <v>0</v>
      </c>
      <c r="BM278" s="542">
        <v>141006</v>
      </c>
      <c r="BN278" s="542">
        <v>-1431230</v>
      </c>
      <c r="BO278" s="542">
        <v>0</v>
      </c>
      <c r="BP278" s="542">
        <v>-1431230</v>
      </c>
      <c r="BQ278" s="542">
        <v>146084</v>
      </c>
      <c r="BR278" s="542">
        <v>0</v>
      </c>
      <c r="BS278" s="542">
        <v>146084</v>
      </c>
      <c r="BT278" s="542">
        <v>-1192442</v>
      </c>
      <c r="BU278" s="542">
        <v>0</v>
      </c>
      <c r="BV278" s="542">
        <v>-1192442</v>
      </c>
      <c r="BW278" s="542">
        <v>-18973</v>
      </c>
      <c r="BX278" s="542">
        <v>0</v>
      </c>
      <c r="BY278" s="542">
        <v>-18973</v>
      </c>
      <c r="BZ278" s="542">
        <v>-5209</v>
      </c>
      <c r="CA278" s="542">
        <v>0</v>
      </c>
      <c r="CB278" s="542">
        <v>-5209</v>
      </c>
      <c r="CC278" s="542">
        <v>-2002</v>
      </c>
      <c r="CD278" s="542">
        <v>0</v>
      </c>
      <c r="CE278" s="542">
        <v>-2002</v>
      </c>
      <c r="CF278" s="542">
        <v>2281</v>
      </c>
      <c r="CG278" s="542">
        <v>0</v>
      </c>
      <c r="CH278" s="542">
        <v>2281</v>
      </c>
      <c r="CI278" s="542">
        <v>-2362</v>
      </c>
      <c r="CJ278" s="542">
        <v>0</v>
      </c>
      <c r="CK278" s="542">
        <v>-2362</v>
      </c>
      <c r="CL278" s="542">
        <v>0</v>
      </c>
      <c r="CM278" s="542">
        <v>0</v>
      </c>
      <c r="CN278" s="542">
        <v>0</v>
      </c>
      <c r="CO278" s="542">
        <v>0</v>
      </c>
      <c r="CP278" s="542">
        <v>0</v>
      </c>
      <c r="CQ278" s="542">
        <v>0</v>
      </c>
      <c r="CR278" s="542">
        <v>0</v>
      </c>
      <c r="CS278" s="542">
        <v>0</v>
      </c>
      <c r="CT278" s="542">
        <v>0</v>
      </c>
      <c r="CU278" s="542">
        <v>0</v>
      </c>
      <c r="CV278" s="542">
        <v>0</v>
      </c>
      <c r="CW278" s="542">
        <v>0</v>
      </c>
      <c r="CX278" s="542">
        <v>0</v>
      </c>
      <c r="CY278" s="542">
        <v>0</v>
      </c>
      <c r="CZ278" s="542">
        <v>0</v>
      </c>
      <c r="DA278" s="542">
        <v>0</v>
      </c>
      <c r="DB278" s="542">
        <v>0</v>
      </c>
      <c r="DC278" s="542">
        <v>0</v>
      </c>
      <c r="DD278" s="542">
        <v>0</v>
      </c>
      <c r="DE278" s="542">
        <v>0</v>
      </c>
      <c r="DF278" s="542">
        <v>0</v>
      </c>
      <c r="DG278" s="542"/>
      <c r="DH278" s="542">
        <v>0</v>
      </c>
      <c r="DI278" s="542"/>
      <c r="DJ278" s="542">
        <v>0</v>
      </c>
      <c r="DK278" s="542"/>
      <c r="DL278" s="542"/>
      <c r="DM278" s="542">
        <v>-26265</v>
      </c>
      <c r="DN278" s="542">
        <v>0</v>
      </c>
      <c r="DO278" s="542">
        <v>-26265</v>
      </c>
      <c r="DP278" s="542">
        <v>0</v>
      </c>
      <c r="DQ278" s="542">
        <v>0</v>
      </c>
      <c r="DR278" s="542">
        <v>0</v>
      </c>
      <c r="DS278" s="542">
        <v>0</v>
      </c>
      <c r="DT278" s="542">
        <v>0</v>
      </c>
      <c r="DU278" s="542">
        <v>0</v>
      </c>
      <c r="DV278" s="542">
        <v>-31578</v>
      </c>
      <c r="DW278" s="542">
        <v>0</v>
      </c>
      <c r="DX278" s="542">
        <v>-31578</v>
      </c>
      <c r="DY278" s="542">
        <v>-160802</v>
      </c>
      <c r="DZ278" s="542">
        <v>0</v>
      </c>
      <c r="EA278" s="542">
        <v>-160802</v>
      </c>
      <c r="EB278" s="542">
        <v>0</v>
      </c>
      <c r="EC278" s="542">
        <v>0</v>
      </c>
      <c r="ED278" s="542">
        <v>0</v>
      </c>
      <c r="EE278" s="542">
        <v>0</v>
      </c>
      <c r="EF278" s="542">
        <v>0</v>
      </c>
      <c r="EG278" s="542">
        <v>0</v>
      </c>
      <c r="EH278" s="542">
        <v>-192380</v>
      </c>
      <c r="EI278" s="542">
        <v>0</v>
      </c>
      <c r="EJ278" s="542">
        <v>-192380</v>
      </c>
      <c r="EK278" s="542">
        <v>0</v>
      </c>
      <c r="EL278" s="542">
        <v>0</v>
      </c>
      <c r="EM278" s="542">
        <v>0</v>
      </c>
      <c r="EN278" s="542">
        <v>0</v>
      </c>
      <c r="EO278" s="542">
        <v>0</v>
      </c>
      <c r="EP278" s="542">
        <v>0</v>
      </c>
      <c r="EQ278" s="542">
        <v>0</v>
      </c>
      <c r="ER278" s="542">
        <v>0</v>
      </c>
      <c r="ES278" s="542">
        <v>0</v>
      </c>
      <c r="ET278" s="542">
        <v>36325115</v>
      </c>
      <c r="EU278" s="542">
        <v>0</v>
      </c>
      <c r="EV278" s="542">
        <v>36325115</v>
      </c>
      <c r="EW278" s="542">
        <v>240418</v>
      </c>
      <c r="EX278" s="542">
        <v>0</v>
      </c>
      <c r="EY278" s="542">
        <v>240418</v>
      </c>
      <c r="EZ278" s="542">
        <v>-1710703</v>
      </c>
      <c r="FA278" s="542">
        <v>0</v>
      </c>
      <c r="FB278" s="542">
        <v>-1710703</v>
      </c>
      <c r="FC278" s="542">
        <v>-1192442</v>
      </c>
      <c r="FD278" s="542">
        <v>0</v>
      </c>
      <c r="FE278" s="542">
        <v>-1192442</v>
      </c>
      <c r="FF278" s="542">
        <v>-26265</v>
      </c>
      <c r="FG278" s="542">
        <v>0</v>
      </c>
      <c r="FH278" s="542">
        <v>-26265</v>
      </c>
      <c r="FI278" s="542">
        <v>-192380</v>
      </c>
      <c r="FJ278" s="542">
        <v>0</v>
      </c>
      <c r="FK278" s="542">
        <v>-192380</v>
      </c>
      <c r="FL278" s="542">
        <v>0</v>
      </c>
      <c r="FM278" s="542">
        <v>0</v>
      </c>
      <c r="FN278" s="542">
        <v>0</v>
      </c>
      <c r="FO278" s="542">
        <v>-2881372</v>
      </c>
      <c r="FP278" s="542">
        <v>0</v>
      </c>
      <c r="FQ278" s="542">
        <v>-2881372</v>
      </c>
      <c r="FR278" s="542">
        <v>33443743</v>
      </c>
      <c r="FS278" s="542">
        <v>0</v>
      </c>
      <c r="FT278" s="542">
        <v>33443743</v>
      </c>
    </row>
    <row r="279" spans="1:176" ht="12.75" x14ac:dyDescent="0.2">
      <c r="A279" s="93">
        <v>274</v>
      </c>
      <c r="B279" s="145" t="s">
        <v>426</v>
      </c>
      <c r="C279" s="604" t="s">
        <v>866</v>
      </c>
      <c r="D279" s="142" t="s">
        <v>867</v>
      </c>
      <c r="E279" s="149" t="s">
        <v>425</v>
      </c>
      <c r="F279" s="542">
        <v>-81228</v>
      </c>
      <c r="G279" s="542">
        <v>0</v>
      </c>
      <c r="H279" s="542">
        <v>-81228</v>
      </c>
      <c r="I279" s="542">
        <v>48873</v>
      </c>
      <c r="J279" s="542">
        <v>0</v>
      </c>
      <c r="K279" s="542">
        <v>48873</v>
      </c>
      <c r="L279" s="542">
        <v>288</v>
      </c>
      <c r="M279" s="542">
        <v>0</v>
      </c>
      <c r="N279" s="542">
        <v>288</v>
      </c>
      <c r="O279" s="542">
        <v>25763</v>
      </c>
      <c r="P279" s="542">
        <v>0</v>
      </c>
      <c r="Q279" s="542">
        <v>25763</v>
      </c>
      <c r="R279" s="542">
        <v>-6304</v>
      </c>
      <c r="S279" s="542">
        <v>0</v>
      </c>
      <c r="T279" s="542">
        <v>-6304</v>
      </c>
      <c r="U279" s="542">
        <v>-1997806</v>
      </c>
      <c r="V279" s="542">
        <v>0</v>
      </c>
      <c r="W279" s="542">
        <v>-1997806</v>
      </c>
      <c r="X279" s="542">
        <v>-647</v>
      </c>
      <c r="Y279" s="542">
        <v>0</v>
      </c>
      <c r="Z279" s="542">
        <v>-647</v>
      </c>
      <c r="AA279" s="542">
        <v>-47967</v>
      </c>
      <c r="AB279" s="542">
        <v>0</v>
      </c>
      <c r="AC279" s="542">
        <v>-47967</v>
      </c>
      <c r="AD279" s="542">
        <v>-22428</v>
      </c>
      <c r="AE279" s="542">
        <v>0</v>
      </c>
      <c r="AF279" s="542">
        <v>-22428</v>
      </c>
      <c r="AG279" s="542">
        <v>452969</v>
      </c>
      <c r="AH279" s="542">
        <v>0</v>
      </c>
      <c r="AI279" s="542">
        <v>452969</v>
      </c>
      <c r="AJ279" s="542">
        <v>-6899</v>
      </c>
      <c r="AK279" s="542">
        <v>0</v>
      </c>
      <c r="AL279" s="542">
        <v>-6899</v>
      </c>
      <c r="AM279" s="542">
        <v>-2434392</v>
      </c>
      <c r="AN279" s="542">
        <v>0</v>
      </c>
      <c r="AO279" s="542">
        <v>-2434392</v>
      </c>
      <c r="AP279" s="542">
        <v>24576</v>
      </c>
      <c r="AQ279" s="542">
        <v>0</v>
      </c>
      <c r="AR279" s="542">
        <v>24576</v>
      </c>
      <c r="AS279" s="542">
        <v>-31602</v>
      </c>
      <c r="AT279" s="542">
        <v>0</v>
      </c>
      <c r="AU279" s="542">
        <v>-31602</v>
      </c>
      <c r="AV279" s="542">
        <v>0</v>
      </c>
      <c r="AW279" s="542">
        <v>0</v>
      </c>
      <c r="AX279" s="542">
        <v>0</v>
      </c>
      <c r="AY279" s="542">
        <v>-14413</v>
      </c>
      <c r="AZ279" s="542">
        <v>0</v>
      </c>
      <c r="BA279" s="542">
        <v>-14413</v>
      </c>
      <c r="BB279" s="542">
        <v>0</v>
      </c>
      <c r="BC279" s="542">
        <v>0</v>
      </c>
      <c r="BD279" s="542">
        <v>0</v>
      </c>
      <c r="BE279" s="542">
        <v>-4055534</v>
      </c>
      <c r="BF279" s="542">
        <v>0</v>
      </c>
      <c r="BG279" s="542">
        <v>-4055534</v>
      </c>
      <c r="BH279" s="542">
        <v>-21160</v>
      </c>
      <c r="BI279" s="542">
        <v>0</v>
      </c>
      <c r="BJ279" s="542">
        <v>-21160</v>
      </c>
      <c r="BK279" s="542">
        <v>0</v>
      </c>
      <c r="BL279" s="542">
        <v>0</v>
      </c>
      <c r="BM279" s="542">
        <v>0</v>
      </c>
      <c r="BN279" s="542">
        <v>-616706</v>
      </c>
      <c r="BO279" s="542">
        <v>0</v>
      </c>
      <c r="BP279" s="542">
        <v>-616706</v>
      </c>
      <c r="BQ279" s="542">
        <v>-41685</v>
      </c>
      <c r="BR279" s="542">
        <v>0</v>
      </c>
      <c r="BS279" s="542">
        <v>-41685</v>
      </c>
      <c r="BT279" s="542">
        <v>-679551</v>
      </c>
      <c r="BU279" s="542">
        <v>0</v>
      </c>
      <c r="BV279" s="542">
        <v>-679551</v>
      </c>
      <c r="BW279" s="542">
        <v>-51836</v>
      </c>
      <c r="BX279" s="542">
        <v>0</v>
      </c>
      <c r="BY279" s="542">
        <v>-51836</v>
      </c>
      <c r="BZ279" s="542">
        <v>0</v>
      </c>
      <c r="CA279" s="542">
        <v>0</v>
      </c>
      <c r="CB279" s="542">
        <v>0</v>
      </c>
      <c r="CC279" s="542">
        <v>-13247</v>
      </c>
      <c r="CD279" s="542">
        <v>0</v>
      </c>
      <c r="CE279" s="542">
        <v>-13247</v>
      </c>
      <c r="CF279" s="542">
        <v>21</v>
      </c>
      <c r="CG279" s="542">
        <v>0</v>
      </c>
      <c r="CH279" s="542">
        <v>21</v>
      </c>
      <c r="CI279" s="542">
        <v>-37</v>
      </c>
      <c r="CJ279" s="542">
        <v>0</v>
      </c>
      <c r="CK279" s="542">
        <v>-37</v>
      </c>
      <c r="CL279" s="542">
        <v>0</v>
      </c>
      <c r="CM279" s="542">
        <v>0</v>
      </c>
      <c r="CN279" s="542">
        <v>0</v>
      </c>
      <c r="CO279" s="542">
        <v>-14413</v>
      </c>
      <c r="CP279" s="542">
        <v>0</v>
      </c>
      <c r="CQ279" s="542">
        <v>-14413</v>
      </c>
      <c r="CR279" s="542">
        <v>0</v>
      </c>
      <c r="CS279" s="542">
        <v>0</v>
      </c>
      <c r="CT279" s="542">
        <v>0</v>
      </c>
      <c r="CU279" s="542">
        <v>-5181</v>
      </c>
      <c r="CV279" s="542">
        <v>0</v>
      </c>
      <c r="CW279" s="542">
        <v>-5181</v>
      </c>
      <c r="CX279" s="542">
        <v>0</v>
      </c>
      <c r="CY279" s="542">
        <v>0</v>
      </c>
      <c r="CZ279" s="542">
        <v>0</v>
      </c>
      <c r="DA279" s="542">
        <v>0</v>
      </c>
      <c r="DB279" s="542">
        <v>0</v>
      </c>
      <c r="DC279" s="542">
        <v>0</v>
      </c>
      <c r="DD279" s="542">
        <v>0</v>
      </c>
      <c r="DE279" s="542">
        <v>0</v>
      </c>
      <c r="DF279" s="542">
        <v>0</v>
      </c>
      <c r="DG279" s="542"/>
      <c r="DH279" s="542">
        <v>0</v>
      </c>
      <c r="DI279" s="542"/>
      <c r="DJ279" s="542">
        <v>0</v>
      </c>
      <c r="DK279" s="542"/>
      <c r="DL279" s="542"/>
      <c r="DM279" s="542">
        <v>-84693</v>
      </c>
      <c r="DN279" s="542">
        <v>0</v>
      </c>
      <c r="DO279" s="542">
        <v>-84693</v>
      </c>
      <c r="DP279" s="542">
        <v>0</v>
      </c>
      <c r="DQ279" s="542">
        <v>0</v>
      </c>
      <c r="DR279" s="542">
        <v>0</v>
      </c>
      <c r="DS279" s="542">
        <v>0</v>
      </c>
      <c r="DT279" s="542">
        <v>0</v>
      </c>
      <c r="DU279" s="542">
        <v>0</v>
      </c>
      <c r="DV279" s="542">
        <v>0</v>
      </c>
      <c r="DW279" s="542">
        <v>0</v>
      </c>
      <c r="DX279" s="542">
        <v>0</v>
      </c>
      <c r="DY279" s="542">
        <v>-308143</v>
      </c>
      <c r="DZ279" s="542">
        <v>0</v>
      </c>
      <c r="EA279" s="542">
        <v>-308143</v>
      </c>
      <c r="EB279" s="542">
        <v>0</v>
      </c>
      <c r="EC279" s="542">
        <v>0</v>
      </c>
      <c r="ED279" s="542">
        <v>0</v>
      </c>
      <c r="EE279" s="542">
        <v>-15114</v>
      </c>
      <c r="EF279" s="542">
        <v>0</v>
      </c>
      <c r="EG279" s="542">
        <v>-15114</v>
      </c>
      <c r="EH279" s="542">
        <v>-323257</v>
      </c>
      <c r="EI279" s="542">
        <v>0</v>
      </c>
      <c r="EJ279" s="542">
        <v>-323257</v>
      </c>
      <c r="EK279" s="542">
        <v>-498</v>
      </c>
      <c r="EL279" s="542">
        <v>0</v>
      </c>
      <c r="EM279" s="542">
        <v>-498</v>
      </c>
      <c r="EN279" s="542">
        <v>0</v>
      </c>
      <c r="EO279" s="542">
        <v>0</v>
      </c>
      <c r="EP279" s="542">
        <v>0</v>
      </c>
      <c r="EQ279" s="542">
        <v>-498</v>
      </c>
      <c r="ER279" s="542">
        <v>0</v>
      </c>
      <c r="ES279" s="542">
        <v>-498</v>
      </c>
      <c r="ET279" s="542">
        <v>25099239</v>
      </c>
      <c r="EU279" s="542">
        <v>0</v>
      </c>
      <c r="EV279" s="542">
        <v>25099239</v>
      </c>
      <c r="EW279" s="542">
        <v>-6304</v>
      </c>
      <c r="EX279" s="542">
        <v>0</v>
      </c>
      <c r="EY279" s="542">
        <v>-6304</v>
      </c>
      <c r="EZ279" s="542">
        <v>-4055534</v>
      </c>
      <c r="FA279" s="542">
        <v>0</v>
      </c>
      <c r="FB279" s="542">
        <v>-4055534</v>
      </c>
      <c r="FC279" s="542">
        <v>-679551</v>
      </c>
      <c r="FD279" s="542">
        <v>0</v>
      </c>
      <c r="FE279" s="542">
        <v>-679551</v>
      </c>
      <c r="FF279" s="542">
        <v>-84693</v>
      </c>
      <c r="FG279" s="542">
        <v>0</v>
      </c>
      <c r="FH279" s="542">
        <v>-84693</v>
      </c>
      <c r="FI279" s="542">
        <v>-323257</v>
      </c>
      <c r="FJ279" s="542">
        <v>0</v>
      </c>
      <c r="FK279" s="542">
        <v>-323257</v>
      </c>
      <c r="FL279" s="542">
        <v>-498</v>
      </c>
      <c r="FM279" s="542">
        <v>0</v>
      </c>
      <c r="FN279" s="542">
        <v>-498</v>
      </c>
      <c r="FO279" s="542">
        <v>-5149837</v>
      </c>
      <c r="FP279" s="542">
        <v>0</v>
      </c>
      <c r="FQ279" s="542">
        <v>-5149837</v>
      </c>
      <c r="FR279" s="542">
        <v>19949402</v>
      </c>
      <c r="FS279" s="542">
        <v>0</v>
      </c>
      <c r="FT279" s="542">
        <v>19949402</v>
      </c>
    </row>
    <row r="280" spans="1:176" ht="12.75" x14ac:dyDescent="0.2">
      <c r="A280" s="93">
        <v>275</v>
      </c>
      <c r="B280" s="145" t="s">
        <v>428</v>
      </c>
      <c r="C280" s="604" t="s">
        <v>866</v>
      </c>
      <c r="D280" s="142" t="s">
        <v>875</v>
      </c>
      <c r="E280" s="149" t="s">
        <v>427</v>
      </c>
      <c r="F280" s="542">
        <v>-73618</v>
      </c>
      <c r="G280" s="542">
        <v>0</v>
      </c>
      <c r="H280" s="542">
        <v>-73618</v>
      </c>
      <c r="I280" s="542">
        <v>-134613</v>
      </c>
      <c r="J280" s="542">
        <v>0</v>
      </c>
      <c r="K280" s="542">
        <v>-134613</v>
      </c>
      <c r="L280" s="542">
        <v>15321</v>
      </c>
      <c r="M280" s="542">
        <v>0</v>
      </c>
      <c r="N280" s="542">
        <v>15321</v>
      </c>
      <c r="O280" s="542">
        <v>52461</v>
      </c>
      <c r="P280" s="542">
        <v>0</v>
      </c>
      <c r="Q280" s="542">
        <v>52461</v>
      </c>
      <c r="R280" s="542">
        <v>-140449</v>
      </c>
      <c r="S280" s="542">
        <v>0</v>
      </c>
      <c r="T280" s="542">
        <v>-140449</v>
      </c>
      <c r="U280" s="542">
        <v>-2428658</v>
      </c>
      <c r="V280" s="542">
        <v>0</v>
      </c>
      <c r="W280" s="542">
        <v>-2428658</v>
      </c>
      <c r="X280" s="542">
        <v>-4702</v>
      </c>
      <c r="Y280" s="542">
        <v>0</v>
      </c>
      <c r="Z280" s="542">
        <v>-4702</v>
      </c>
      <c r="AA280" s="542">
        <v>-114251</v>
      </c>
      <c r="AB280" s="542">
        <v>0</v>
      </c>
      <c r="AC280" s="542">
        <v>-114251</v>
      </c>
      <c r="AD280" s="542">
        <v>-61225</v>
      </c>
      <c r="AE280" s="542">
        <v>0</v>
      </c>
      <c r="AF280" s="542">
        <v>-61225</v>
      </c>
      <c r="AG280" s="542">
        <v>949610</v>
      </c>
      <c r="AH280" s="542">
        <v>0</v>
      </c>
      <c r="AI280" s="542">
        <v>949610</v>
      </c>
      <c r="AJ280" s="542">
        <v>-23735</v>
      </c>
      <c r="AK280" s="542">
        <v>0</v>
      </c>
      <c r="AL280" s="542">
        <v>-23735</v>
      </c>
      <c r="AM280" s="542">
        <v>-3400533</v>
      </c>
      <c r="AN280" s="542">
        <v>0</v>
      </c>
      <c r="AO280" s="542">
        <v>-3400533</v>
      </c>
      <c r="AP280" s="542">
        <v>-180619</v>
      </c>
      <c r="AQ280" s="542">
        <v>0</v>
      </c>
      <c r="AR280" s="542">
        <v>-180619</v>
      </c>
      <c r="AS280" s="542">
        <v>-47438</v>
      </c>
      <c r="AT280" s="542">
        <v>0</v>
      </c>
      <c r="AU280" s="542">
        <v>-47438</v>
      </c>
      <c r="AV280" s="542">
        <v>-66</v>
      </c>
      <c r="AW280" s="542">
        <v>0</v>
      </c>
      <c r="AX280" s="542">
        <v>-66</v>
      </c>
      <c r="AY280" s="542">
        <v>-32961</v>
      </c>
      <c r="AZ280" s="542">
        <v>0</v>
      </c>
      <c r="BA280" s="542">
        <v>-32961</v>
      </c>
      <c r="BB280" s="542">
        <v>-82</v>
      </c>
      <c r="BC280" s="542">
        <v>0</v>
      </c>
      <c r="BD280" s="542">
        <v>-82</v>
      </c>
      <c r="BE280" s="542">
        <v>-5278733</v>
      </c>
      <c r="BF280" s="542">
        <v>0</v>
      </c>
      <c r="BG280" s="542">
        <v>-5278733</v>
      </c>
      <c r="BH280" s="542">
        <v>-2720</v>
      </c>
      <c r="BI280" s="542">
        <v>0</v>
      </c>
      <c r="BJ280" s="542">
        <v>-2720</v>
      </c>
      <c r="BK280" s="542">
        <v>-80009</v>
      </c>
      <c r="BL280" s="542">
        <v>0</v>
      </c>
      <c r="BM280" s="542">
        <v>-80009</v>
      </c>
      <c r="BN280" s="542">
        <v>-1279706</v>
      </c>
      <c r="BO280" s="542">
        <v>0</v>
      </c>
      <c r="BP280" s="542">
        <v>-1279706</v>
      </c>
      <c r="BQ280" s="542">
        <v>-43583</v>
      </c>
      <c r="BR280" s="542">
        <v>0</v>
      </c>
      <c r="BS280" s="542">
        <v>-43583</v>
      </c>
      <c r="BT280" s="542">
        <v>-1406018</v>
      </c>
      <c r="BU280" s="542">
        <v>0</v>
      </c>
      <c r="BV280" s="542">
        <v>-1406018</v>
      </c>
      <c r="BW280" s="542">
        <v>-131272</v>
      </c>
      <c r="BX280" s="542">
        <v>0</v>
      </c>
      <c r="BY280" s="542">
        <v>-131272</v>
      </c>
      <c r="BZ280" s="542">
        <v>-235</v>
      </c>
      <c r="CA280" s="542">
        <v>0</v>
      </c>
      <c r="CB280" s="542">
        <v>-235</v>
      </c>
      <c r="CC280" s="542">
        <v>-52683</v>
      </c>
      <c r="CD280" s="542">
        <v>0</v>
      </c>
      <c r="CE280" s="542">
        <v>-52683</v>
      </c>
      <c r="CF280" s="542">
        <v>-6813</v>
      </c>
      <c r="CG280" s="542">
        <v>0</v>
      </c>
      <c r="CH280" s="542">
        <v>-6813</v>
      </c>
      <c r="CI280" s="542">
        <v>-2338</v>
      </c>
      <c r="CJ280" s="542">
        <v>0</v>
      </c>
      <c r="CK280" s="542">
        <v>-2338</v>
      </c>
      <c r="CL280" s="542">
        <v>0</v>
      </c>
      <c r="CM280" s="542">
        <v>0</v>
      </c>
      <c r="CN280" s="542">
        <v>0</v>
      </c>
      <c r="CO280" s="542">
        <v>-13170</v>
      </c>
      <c r="CP280" s="542">
        <v>0</v>
      </c>
      <c r="CQ280" s="542">
        <v>-13170</v>
      </c>
      <c r="CR280" s="542">
        <v>0</v>
      </c>
      <c r="CS280" s="542">
        <v>0</v>
      </c>
      <c r="CT280" s="542">
        <v>0</v>
      </c>
      <c r="CU280" s="542">
        <v>-6814</v>
      </c>
      <c r="CV280" s="542">
        <v>0</v>
      </c>
      <c r="CW280" s="542">
        <v>-6814</v>
      </c>
      <c r="CX280" s="542">
        <v>-253</v>
      </c>
      <c r="CY280" s="542">
        <v>0</v>
      </c>
      <c r="CZ280" s="542">
        <v>-253</v>
      </c>
      <c r="DA280" s="542">
        <v>0</v>
      </c>
      <c r="DB280" s="542">
        <v>0</v>
      </c>
      <c r="DC280" s="542">
        <v>0</v>
      </c>
      <c r="DD280" s="542">
        <v>0</v>
      </c>
      <c r="DE280" s="542">
        <v>0</v>
      </c>
      <c r="DF280" s="542">
        <v>0</v>
      </c>
      <c r="DG280" s="542"/>
      <c r="DH280" s="542">
        <v>0</v>
      </c>
      <c r="DI280" s="542"/>
      <c r="DJ280" s="542">
        <v>0</v>
      </c>
      <c r="DK280" s="542"/>
      <c r="DL280" s="542"/>
      <c r="DM280" s="542">
        <v>-213578</v>
      </c>
      <c r="DN280" s="542">
        <v>0</v>
      </c>
      <c r="DO280" s="542">
        <v>-213578</v>
      </c>
      <c r="DP280" s="542">
        <v>-14687</v>
      </c>
      <c r="DQ280" s="542">
        <v>0</v>
      </c>
      <c r="DR280" s="542">
        <v>-14687</v>
      </c>
      <c r="DS280" s="542">
        <v>0</v>
      </c>
      <c r="DT280" s="542">
        <v>0</v>
      </c>
      <c r="DU280" s="542">
        <v>0</v>
      </c>
      <c r="DV280" s="542">
        <v>-14205</v>
      </c>
      <c r="DW280" s="542">
        <v>0</v>
      </c>
      <c r="DX280" s="542">
        <v>-14205</v>
      </c>
      <c r="DY280" s="542">
        <v>-414817</v>
      </c>
      <c r="DZ280" s="542">
        <v>0</v>
      </c>
      <c r="EA280" s="542">
        <v>-414817</v>
      </c>
      <c r="EB280" s="542">
        <v>0</v>
      </c>
      <c r="EC280" s="542">
        <v>0</v>
      </c>
      <c r="ED280" s="542">
        <v>0</v>
      </c>
      <c r="EE280" s="542">
        <v>-2343</v>
      </c>
      <c r="EF280" s="542">
        <v>0</v>
      </c>
      <c r="EG280" s="542">
        <v>-2343</v>
      </c>
      <c r="EH280" s="542">
        <v>-446052</v>
      </c>
      <c r="EI280" s="542">
        <v>0</v>
      </c>
      <c r="EJ280" s="542">
        <v>-446052</v>
      </c>
      <c r="EK280" s="542">
        <v>0</v>
      </c>
      <c r="EL280" s="542">
        <v>0</v>
      </c>
      <c r="EM280" s="542">
        <v>0</v>
      </c>
      <c r="EN280" s="542">
        <v>0</v>
      </c>
      <c r="EO280" s="542">
        <v>0</v>
      </c>
      <c r="EP280" s="542">
        <v>0</v>
      </c>
      <c r="EQ280" s="542">
        <v>0</v>
      </c>
      <c r="ER280" s="542">
        <v>0</v>
      </c>
      <c r="ES280" s="542">
        <v>0</v>
      </c>
      <c r="ET280" s="542">
        <v>48288893</v>
      </c>
      <c r="EU280" s="542">
        <v>0</v>
      </c>
      <c r="EV280" s="542">
        <v>48288893</v>
      </c>
      <c r="EW280" s="542">
        <v>-140449</v>
      </c>
      <c r="EX280" s="542">
        <v>0</v>
      </c>
      <c r="EY280" s="542">
        <v>-140449</v>
      </c>
      <c r="EZ280" s="542">
        <v>-5278733</v>
      </c>
      <c r="FA280" s="542">
        <v>0</v>
      </c>
      <c r="FB280" s="542">
        <v>-5278733</v>
      </c>
      <c r="FC280" s="542">
        <v>-1406018</v>
      </c>
      <c r="FD280" s="542">
        <v>0</v>
      </c>
      <c r="FE280" s="542">
        <v>-1406018</v>
      </c>
      <c r="FF280" s="542">
        <v>-213578</v>
      </c>
      <c r="FG280" s="542">
        <v>0</v>
      </c>
      <c r="FH280" s="542">
        <v>-213578</v>
      </c>
      <c r="FI280" s="542">
        <v>-446052</v>
      </c>
      <c r="FJ280" s="542">
        <v>0</v>
      </c>
      <c r="FK280" s="542">
        <v>-446052</v>
      </c>
      <c r="FL280" s="542">
        <v>0</v>
      </c>
      <c r="FM280" s="542">
        <v>0</v>
      </c>
      <c r="FN280" s="542">
        <v>0</v>
      </c>
      <c r="FO280" s="542">
        <v>-7484830</v>
      </c>
      <c r="FP280" s="542">
        <v>0</v>
      </c>
      <c r="FQ280" s="542">
        <v>-7484830</v>
      </c>
      <c r="FR280" s="542">
        <v>40804063</v>
      </c>
      <c r="FS280" s="542">
        <v>0</v>
      </c>
      <c r="FT280" s="542">
        <v>40804063</v>
      </c>
    </row>
    <row r="281" spans="1:176" ht="12.75" x14ac:dyDescent="0.2">
      <c r="A281" s="93">
        <v>276</v>
      </c>
      <c r="B281" s="145" t="s">
        <v>430</v>
      </c>
      <c r="C281" s="604" t="s">
        <v>866</v>
      </c>
      <c r="D281" s="142" t="s">
        <v>875</v>
      </c>
      <c r="E281" s="149" t="s">
        <v>429</v>
      </c>
      <c r="F281" s="542">
        <v>-243173</v>
      </c>
      <c r="G281" s="542">
        <v>0</v>
      </c>
      <c r="H281" s="542">
        <v>-243173</v>
      </c>
      <c r="I281" s="542">
        <v>19345</v>
      </c>
      <c r="J281" s="542">
        <v>0</v>
      </c>
      <c r="K281" s="542">
        <v>19345</v>
      </c>
      <c r="L281" s="542">
        <v>76749</v>
      </c>
      <c r="M281" s="542">
        <v>0</v>
      </c>
      <c r="N281" s="542">
        <v>76749</v>
      </c>
      <c r="O281" s="542">
        <v>5993</v>
      </c>
      <c r="P281" s="542">
        <v>0</v>
      </c>
      <c r="Q281" s="542">
        <v>5993</v>
      </c>
      <c r="R281" s="542">
        <v>-141086</v>
      </c>
      <c r="S281" s="542">
        <v>0</v>
      </c>
      <c r="T281" s="542">
        <v>-141086</v>
      </c>
      <c r="U281" s="542">
        <v>-3662893</v>
      </c>
      <c r="V281" s="542">
        <v>0</v>
      </c>
      <c r="W281" s="542">
        <v>-3662893</v>
      </c>
      <c r="X281" s="542">
        <v>-4805</v>
      </c>
      <c r="Y281" s="542">
        <v>0</v>
      </c>
      <c r="Z281" s="542">
        <v>-4805</v>
      </c>
      <c r="AA281" s="542">
        <v>-78316</v>
      </c>
      <c r="AB281" s="542">
        <v>0</v>
      </c>
      <c r="AC281" s="542">
        <v>-78316</v>
      </c>
      <c r="AD281" s="542">
        <v>0</v>
      </c>
      <c r="AE281" s="542">
        <v>0</v>
      </c>
      <c r="AF281" s="542">
        <v>0</v>
      </c>
      <c r="AG281" s="542">
        <v>685883</v>
      </c>
      <c r="AH281" s="542">
        <v>0</v>
      </c>
      <c r="AI281" s="542">
        <v>685883</v>
      </c>
      <c r="AJ281" s="542">
        <v>-1397</v>
      </c>
      <c r="AK281" s="542">
        <v>0</v>
      </c>
      <c r="AL281" s="542">
        <v>-1397</v>
      </c>
      <c r="AM281" s="542">
        <v>-2119211</v>
      </c>
      <c r="AN281" s="542">
        <v>0</v>
      </c>
      <c r="AO281" s="542">
        <v>-2119211</v>
      </c>
      <c r="AP281" s="542">
        <v>79200</v>
      </c>
      <c r="AQ281" s="542">
        <v>0</v>
      </c>
      <c r="AR281" s="542">
        <v>79200</v>
      </c>
      <c r="AS281" s="542">
        <v>-74281</v>
      </c>
      <c r="AT281" s="542">
        <v>0</v>
      </c>
      <c r="AU281" s="542">
        <v>-74281</v>
      </c>
      <c r="AV281" s="542">
        <v>0</v>
      </c>
      <c r="AW281" s="542">
        <v>0</v>
      </c>
      <c r="AX281" s="542">
        <v>0</v>
      </c>
      <c r="AY281" s="542">
        <v>-48883</v>
      </c>
      <c r="AZ281" s="542">
        <v>0</v>
      </c>
      <c r="BA281" s="542">
        <v>-48883</v>
      </c>
      <c r="BB281" s="542">
        <v>0</v>
      </c>
      <c r="BC281" s="542">
        <v>0</v>
      </c>
      <c r="BD281" s="542">
        <v>0</v>
      </c>
      <c r="BE281" s="542">
        <v>-5219898</v>
      </c>
      <c r="BF281" s="542">
        <v>0</v>
      </c>
      <c r="BG281" s="542">
        <v>-5219898</v>
      </c>
      <c r="BH281" s="542">
        <v>0</v>
      </c>
      <c r="BI281" s="542">
        <v>0</v>
      </c>
      <c r="BJ281" s="542">
        <v>0</v>
      </c>
      <c r="BK281" s="542">
        <v>0</v>
      </c>
      <c r="BL281" s="542">
        <v>0</v>
      </c>
      <c r="BM281" s="542">
        <v>0</v>
      </c>
      <c r="BN281" s="542">
        <v>-859748</v>
      </c>
      <c r="BO281" s="542">
        <v>0</v>
      </c>
      <c r="BP281" s="542">
        <v>-859748</v>
      </c>
      <c r="BQ281" s="542">
        <v>31655</v>
      </c>
      <c r="BR281" s="542">
        <v>0</v>
      </c>
      <c r="BS281" s="542">
        <v>31655</v>
      </c>
      <c r="BT281" s="542">
        <v>-828093</v>
      </c>
      <c r="BU281" s="542">
        <v>0</v>
      </c>
      <c r="BV281" s="542">
        <v>-828093</v>
      </c>
      <c r="BW281" s="542">
        <v>-87467</v>
      </c>
      <c r="BX281" s="542">
        <v>0</v>
      </c>
      <c r="BY281" s="542">
        <v>-87467</v>
      </c>
      <c r="BZ281" s="542">
        <v>-1172</v>
      </c>
      <c r="CA281" s="542">
        <v>0</v>
      </c>
      <c r="CB281" s="542">
        <v>-1172</v>
      </c>
      <c r="CC281" s="542">
        <v>-40284</v>
      </c>
      <c r="CD281" s="542">
        <v>0</v>
      </c>
      <c r="CE281" s="542">
        <v>-40284</v>
      </c>
      <c r="CF281" s="542">
        <v>-513</v>
      </c>
      <c r="CG281" s="542">
        <v>0</v>
      </c>
      <c r="CH281" s="542">
        <v>-513</v>
      </c>
      <c r="CI281" s="542">
        <v>-6675</v>
      </c>
      <c r="CJ281" s="542">
        <v>0</v>
      </c>
      <c r="CK281" s="542">
        <v>-6675</v>
      </c>
      <c r="CL281" s="542">
        <v>0</v>
      </c>
      <c r="CM281" s="542">
        <v>0</v>
      </c>
      <c r="CN281" s="542">
        <v>0</v>
      </c>
      <c r="CO281" s="542">
        <v>-20407</v>
      </c>
      <c r="CP281" s="542">
        <v>0</v>
      </c>
      <c r="CQ281" s="542">
        <v>-20407</v>
      </c>
      <c r="CR281" s="542">
        <v>0</v>
      </c>
      <c r="CS281" s="542">
        <v>0</v>
      </c>
      <c r="CT281" s="542">
        <v>0</v>
      </c>
      <c r="CU281" s="542">
        <v>-2004</v>
      </c>
      <c r="CV281" s="542">
        <v>0</v>
      </c>
      <c r="CW281" s="542">
        <v>-2004</v>
      </c>
      <c r="CX281" s="542">
        <v>0</v>
      </c>
      <c r="CY281" s="542">
        <v>0</v>
      </c>
      <c r="CZ281" s="542">
        <v>0</v>
      </c>
      <c r="DA281" s="542">
        <v>0</v>
      </c>
      <c r="DB281" s="542">
        <v>0</v>
      </c>
      <c r="DC281" s="542">
        <v>0</v>
      </c>
      <c r="DD281" s="542">
        <v>0</v>
      </c>
      <c r="DE281" s="542">
        <v>0</v>
      </c>
      <c r="DF281" s="542">
        <v>0</v>
      </c>
      <c r="DG281" s="542"/>
      <c r="DH281" s="542">
        <v>0</v>
      </c>
      <c r="DI281" s="542"/>
      <c r="DJ281" s="542">
        <v>0</v>
      </c>
      <c r="DK281" s="542"/>
      <c r="DL281" s="542"/>
      <c r="DM281" s="542">
        <v>-158522</v>
      </c>
      <c r="DN281" s="542">
        <v>0</v>
      </c>
      <c r="DO281" s="542">
        <v>-158522</v>
      </c>
      <c r="DP281" s="542">
        <v>0</v>
      </c>
      <c r="DQ281" s="542">
        <v>0</v>
      </c>
      <c r="DR281" s="542">
        <v>0</v>
      </c>
      <c r="DS281" s="542">
        <v>0</v>
      </c>
      <c r="DT281" s="542">
        <v>0</v>
      </c>
      <c r="DU281" s="542">
        <v>0</v>
      </c>
      <c r="DV281" s="542">
        <v>-2826</v>
      </c>
      <c r="DW281" s="542">
        <v>0</v>
      </c>
      <c r="DX281" s="542">
        <v>-2826</v>
      </c>
      <c r="DY281" s="542">
        <v>-587898</v>
      </c>
      <c r="DZ281" s="542">
        <v>0</v>
      </c>
      <c r="EA281" s="542">
        <v>-587898</v>
      </c>
      <c r="EB281" s="542">
        <v>-2390</v>
      </c>
      <c r="EC281" s="542">
        <v>0</v>
      </c>
      <c r="ED281" s="542">
        <v>-2390</v>
      </c>
      <c r="EE281" s="542">
        <v>-9323</v>
      </c>
      <c r="EF281" s="542">
        <v>0</v>
      </c>
      <c r="EG281" s="542">
        <v>-9323</v>
      </c>
      <c r="EH281" s="542">
        <v>-602437</v>
      </c>
      <c r="EI281" s="542">
        <v>0</v>
      </c>
      <c r="EJ281" s="542">
        <v>-602437</v>
      </c>
      <c r="EK281" s="542">
        <v>0</v>
      </c>
      <c r="EL281" s="542">
        <v>0</v>
      </c>
      <c r="EM281" s="542">
        <v>0</v>
      </c>
      <c r="EN281" s="542">
        <v>0</v>
      </c>
      <c r="EO281" s="542">
        <v>0</v>
      </c>
      <c r="EP281" s="542">
        <v>0</v>
      </c>
      <c r="EQ281" s="542">
        <v>0</v>
      </c>
      <c r="ER281" s="542">
        <v>0</v>
      </c>
      <c r="ES281" s="542">
        <v>0</v>
      </c>
      <c r="ET281" s="542">
        <v>38614665</v>
      </c>
      <c r="EU281" s="542">
        <v>0</v>
      </c>
      <c r="EV281" s="542">
        <v>38614665</v>
      </c>
      <c r="EW281" s="542">
        <v>-141086</v>
      </c>
      <c r="EX281" s="542">
        <v>0</v>
      </c>
      <c r="EY281" s="542">
        <v>-141086</v>
      </c>
      <c r="EZ281" s="542">
        <v>-5219898</v>
      </c>
      <c r="FA281" s="542">
        <v>0</v>
      </c>
      <c r="FB281" s="542">
        <v>-5219898</v>
      </c>
      <c r="FC281" s="542">
        <v>-828093</v>
      </c>
      <c r="FD281" s="542">
        <v>0</v>
      </c>
      <c r="FE281" s="542">
        <v>-828093</v>
      </c>
      <c r="FF281" s="542">
        <v>-158522</v>
      </c>
      <c r="FG281" s="542">
        <v>0</v>
      </c>
      <c r="FH281" s="542">
        <v>-158522</v>
      </c>
      <c r="FI281" s="542">
        <v>-602437</v>
      </c>
      <c r="FJ281" s="542">
        <v>0</v>
      </c>
      <c r="FK281" s="542">
        <v>-602437</v>
      </c>
      <c r="FL281" s="542">
        <v>0</v>
      </c>
      <c r="FM281" s="542">
        <v>0</v>
      </c>
      <c r="FN281" s="542">
        <v>0</v>
      </c>
      <c r="FO281" s="542">
        <v>-6950036</v>
      </c>
      <c r="FP281" s="542">
        <v>0</v>
      </c>
      <c r="FQ281" s="542">
        <v>-6950036</v>
      </c>
      <c r="FR281" s="542">
        <v>31664629</v>
      </c>
      <c r="FS281" s="542">
        <v>0</v>
      </c>
      <c r="FT281" s="542">
        <v>31664629</v>
      </c>
    </row>
    <row r="282" spans="1:176" ht="12.75" x14ac:dyDescent="0.2">
      <c r="A282" s="93">
        <v>277</v>
      </c>
      <c r="B282" s="145" t="s">
        <v>432</v>
      </c>
      <c r="C282" s="604" t="s">
        <v>770</v>
      </c>
      <c r="D282" s="142" t="s">
        <v>876</v>
      </c>
      <c r="E282" s="149" t="s">
        <v>730</v>
      </c>
      <c r="F282" s="542">
        <v>-55086</v>
      </c>
      <c r="G282" s="542">
        <v>0</v>
      </c>
      <c r="H282" s="542">
        <v>-55086</v>
      </c>
      <c r="I282" s="542">
        <v>94329</v>
      </c>
      <c r="J282" s="542">
        <v>0</v>
      </c>
      <c r="K282" s="542">
        <v>94329</v>
      </c>
      <c r="L282" s="542">
        <v>29807</v>
      </c>
      <c r="M282" s="542">
        <v>0</v>
      </c>
      <c r="N282" s="542">
        <v>29807</v>
      </c>
      <c r="O282" s="542">
        <v>264099</v>
      </c>
      <c r="P282" s="542">
        <v>0</v>
      </c>
      <c r="Q282" s="542">
        <v>264099</v>
      </c>
      <c r="R282" s="542">
        <v>333149</v>
      </c>
      <c r="S282" s="542">
        <v>0</v>
      </c>
      <c r="T282" s="542">
        <v>333149</v>
      </c>
      <c r="U282" s="542">
        <v>-2686038</v>
      </c>
      <c r="V282" s="542">
        <v>0</v>
      </c>
      <c r="W282" s="542">
        <v>-2686038</v>
      </c>
      <c r="X282" s="542">
        <v>-8638</v>
      </c>
      <c r="Y282" s="542">
        <v>0</v>
      </c>
      <c r="Z282" s="542">
        <v>-8638</v>
      </c>
      <c r="AA282" s="542">
        <v>-236246</v>
      </c>
      <c r="AB282" s="542">
        <v>0</v>
      </c>
      <c r="AC282" s="542">
        <v>-236246</v>
      </c>
      <c r="AD282" s="542">
        <v>-106771</v>
      </c>
      <c r="AE282" s="542">
        <v>0</v>
      </c>
      <c r="AF282" s="542">
        <v>-106771</v>
      </c>
      <c r="AG282" s="542">
        <v>1674715</v>
      </c>
      <c r="AH282" s="542">
        <v>0</v>
      </c>
      <c r="AI282" s="542">
        <v>1674715</v>
      </c>
      <c r="AJ282" s="542">
        <v>63254</v>
      </c>
      <c r="AK282" s="542">
        <v>0</v>
      </c>
      <c r="AL282" s="542">
        <v>63254</v>
      </c>
      <c r="AM282" s="542">
        <v>-4279504</v>
      </c>
      <c r="AN282" s="542">
        <v>0</v>
      </c>
      <c r="AO282" s="542">
        <v>-4279504</v>
      </c>
      <c r="AP282" s="542">
        <v>-252172</v>
      </c>
      <c r="AQ282" s="542">
        <v>0</v>
      </c>
      <c r="AR282" s="542">
        <v>-252172</v>
      </c>
      <c r="AS282" s="542">
        <v>-36238</v>
      </c>
      <c r="AT282" s="542">
        <v>0</v>
      </c>
      <c r="AU282" s="542">
        <v>-36238</v>
      </c>
      <c r="AV282" s="542">
        <v>0</v>
      </c>
      <c r="AW282" s="542">
        <v>0</v>
      </c>
      <c r="AX282" s="542">
        <v>0</v>
      </c>
      <c r="AY282" s="542">
        <v>-8582</v>
      </c>
      <c r="AZ282" s="542">
        <v>0</v>
      </c>
      <c r="BA282" s="542">
        <v>-8582</v>
      </c>
      <c r="BB282" s="542">
        <v>0</v>
      </c>
      <c r="BC282" s="542">
        <v>0</v>
      </c>
      <c r="BD282" s="542">
        <v>0</v>
      </c>
      <c r="BE282" s="542">
        <v>-5760811</v>
      </c>
      <c r="BF282" s="542">
        <v>0</v>
      </c>
      <c r="BG282" s="542">
        <v>-5760811</v>
      </c>
      <c r="BH282" s="542">
        <v>-136000</v>
      </c>
      <c r="BI282" s="542">
        <v>0</v>
      </c>
      <c r="BJ282" s="542">
        <v>-136000</v>
      </c>
      <c r="BK282" s="542">
        <v>-29353</v>
      </c>
      <c r="BL282" s="542">
        <v>0</v>
      </c>
      <c r="BM282" s="542">
        <v>-29353</v>
      </c>
      <c r="BN282" s="542">
        <v>-2155580</v>
      </c>
      <c r="BO282" s="542">
        <v>0</v>
      </c>
      <c r="BP282" s="542">
        <v>-2155580</v>
      </c>
      <c r="BQ282" s="542">
        <v>-134043</v>
      </c>
      <c r="BR282" s="542">
        <v>0</v>
      </c>
      <c r="BS282" s="542">
        <v>-134043</v>
      </c>
      <c r="BT282" s="542">
        <v>-2454976</v>
      </c>
      <c r="BU282" s="542">
        <v>0</v>
      </c>
      <c r="BV282" s="542">
        <v>-2454976</v>
      </c>
      <c r="BW282" s="542">
        <v>-279750</v>
      </c>
      <c r="BX282" s="542">
        <v>0</v>
      </c>
      <c r="BY282" s="542">
        <v>-279750</v>
      </c>
      <c r="BZ282" s="542">
        <v>-5141</v>
      </c>
      <c r="CA282" s="542">
        <v>0</v>
      </c>
      <c r="CB282" s="542">
        <v>-5141</v>
      </c>
      <c r="CC282" s="542">
        <v>-44085</v>
      </c>
      <c r="CD282" s="542">
        <v>0</v>
      </c>
      <c r="CE282" s="542">
        <v>-44085</v>
      </c>
      <c r="CF282" s="542">
        <v>1624</v>
      </c>
      <c r="CG282" s="542">
        <v>0</v>
      </c>
      <c r="CH282" s="542">
        <v>1624</v>
      </c>
      <c r="CI282" s="542">
        <v>-3372</v>
      </c>
      <c r="CJ282" s="542">
        <v>0</v>
      </c>
      <c r="CK282" s="542">
        <v>-3372</v>
      </c>
      <c r="CL282" s="542">
        <v>0</v>
      </c>
      <c r="CM282" s="542">
        <v>0</v>
      </c>
      <c r="CN282" s="542">
        <v>0</v>
      </c>
      <c r="CO282" s="542">
        <v>-8582</v>
      </c>
      <c r="CP282" s="542">
        <v>0</v>
      </c>
      <c r="CQ282" s="542">
        <v>-8582</v>
      </c>
      <c r="CR282" s="542">
        <v>0</v>
      </c>
      <c r="CS282" s="542">
        <v>0</v>
      </c>
      <c r="CT282" s="542">
        <v>0</v>
      </c>
      <c r="CU282" s="542">
        <v>0</v>
      </c>
      <c r="CV282" s="542">
        <v>0</v>
      </c>
      <c r="CW282" s="542">
        <v>0</v>
      </c>
      <c r="CX282" s="542">
        <v>0</v>
      </c>
      <c r="CY282" s="542">
        <v>0</v>
      </c>
      <c r="CZ282" s="542">
        <v>0</v>
      </c>
      <c r="DA282" s="542">
        <v>-11820</v>
      </c>
      <c r="DB282" s="542">
        <v>0</v>
      </c>
      <c r="DC282" s="542">
        <v>-11820</v>
      </c>
      <c r="DD282" s="542">
        <v>0</v>
      </c>
      <c r="DE282" s="542">
        <v>0</v>
      </c>
      <c r="DF282" s="542">
        <v>0</v>
      </c>
      <c r="DG282" s="542"/>
      <c r="DH282" s="542">
        <v>0</v>
      </c>
      <c r="DI282" s="542"/>
      <c r="DJ282" s="542">
        <v>0</v>
      </c>
      <c r="DK282" s="542"/>
      <c r="DL282" s="542"/>
      <c r="DM282" s="542">
        <v>-351126</v>
      </c>
      <c r="DN282" s="542">
        <v>0</v>
      </c>
      <c r="DO282" s="542">
        <v>-351126</v>
      </c>
      <c r="DP282" s="542">
        <v>-15040</v>
      </c>
      <c r="DQ282" s="542">
        <v>0</v>
      </c>
      <c r="DR282" s="542">
        <v>-15040</v>
      </c>
      <c r="DS282" s="542">
        <v>-4588</v>
      </c>
      <c r="DT282" s="542">
        <v>0</v>
      </c>
      <c r="DU282" s="542">
        <v>-4588</v>
      </c>
      <c r="DV282" s="542">
        <v>-7209</v>
      </c>
      <c r="DW282" s="542">
        <v>0</v>
      </c>
      <c r="DX282" s="542">
        <v>-7209</v>
      </c>
      <c r="DY282" s="542">
        <v>-272048</v>
      </c>
      <c r="DZ282" s="542">
        <v>0</v>
      </c>
      <c r="EA282" s="542">
        <v>-272048</v>
      </c>
      <c r="EB282" s="542">
        <v>-5361</v>
      </c>
      <c r="EC282" s="542">
        <v>0</v>
      </c>
      <c r="ED282" s="542">
        <v>-5361</v>
      </c>
      <c r="EE282" s="542">
        <v>0</v>
      </c>
      <c r="EF282" s="542">
        <v>0</v>
      </c>
      <c r="EG282" s="542">
        <v>0</v>
      </c>
      <c r="EH282" s="542">
        <v>-304246</v>
      </c>
      <c r="EI282" s="542">
        <v>0</v>
      </c>
      <c r="EJ282" s="542">
        <v>-304246</v>
      </c>
      <c r="EK282" s="542">
        <v>0</v>
      </c>
      <c r="EL282" s="542">
        <v>0</v>
      </c>
      <c r="EM282" s="542">
        <v>0</v>
      </c>
      <c r="EN282" s="542">
        <v>0</v>
      </c>
      <c r="EO282" s="542">
        <v>0</v>
      </c>
      <c r="EP282" s="542">
        <v>0</v>
      </c>
      <c r="EQ282" s="542">
        <v>0</v>
      </c>
      <c r="ER282" s="542">
        <v>0</v>
      </c>
      <c r="ES282" s="542">
        <v>0</v>
      </c>
      <c r="ET282" s="542">
        <v>78881539</v>
      </c>
      <c r="EU282" s="542">
        <v>0</v>
      </c>
      <c r="EV282" s="542">
        <v>78881539</v>
      </c>
      <c r="EW282" s="542">
        <v>333149</v>
      </c>
      <c r="EX282" s="542">
        <v>0</v>
      </c>
      <c r="EY282" s="542">
        <v>333149</v>
      </c>
      <c r="EZ282" s="542">
        <v>-5760811</v>
      </c>
      <c r="FA282" s="542">
        <v>0</v>
      </c>
      <c r="FB282" s="542">
        <v>-5760811</v>
      </c>
      <c r="FC282" s="542">
        <v>-2454976</v>
      </c>
      <c r="FD282" s="542">
        <v>0</v>
      </c>
      <c r="FE282" s="542">
        <v>-2454976</v>
      </c>
      <c r="FF282" s="542">
        <v>-351126</v>
      </c>
      <c r="FG282" s="542">
        <v>0</v>
      </c>
      <c r="FH282" s="542">
        <v>-351126</v>
      </c>
      <c r="FI282" s="542">
        <v>-304246</v>
      </c>
      <c r="FJ282" s="542">
        <v>0</v>
      </c>
      <c r="FK282" s="542">
        <v>-304246</v>
      </c>
      <c r="FL282" s="542">
        <v>0</v>
      </c>
      <c r="FM282" s="542">
        <v>0</v>
      </c>
      <c r="FN282" s="542">
        <v>0</v>
      </c>
      <c r="FO282" s="542">
        <v>-8538010</v>
      </c>
      <c r="FP282" s="542">
        <v>0</v>
      </c>
      <c r="FQ282" s="542">
        <v>-8538010</v>
      </c>
      <c r="FR282" s="542">
        <v>70343529</v>
      </c>
      <c r="FS282" s="542">
        <v>0</v>
      </c>
      <c r="FT282" s="542">
        <v>70343529</v>
      </c>
    </row>
    <row r="283" spans="1:176" ht="12.75" x14ac:dyDescent="0.2">
      <c r="A283" s="93">
        <v>278</v>
      </c>
      <c r="B283" s="145" t="s">
        <v>434</v>
      </c>
      <c r="C283" s="604" t="s">
        <v>866</v>
      </c>
      <c r="D283" s="142" t="s">
        <v>870</v>
      </c>
      <c r="E283" s="149" t="s">
        <v>433</v>
      </c>
      <c r="F283" s="542">
        <v>-83945</v>
      </c>
      <c r="G283" s="542">
        <v>0</v>
      </c>
      <c r="H283" s="542">
        <v>-83945</v>
      </c>
      <c r="I283" s="542">
        <v>242441</v>
      </c>
      <c r="J283" s="542">
        <v>0</v>
      </c>
      <c r="K283" s="542">
        <v>242441</v>
      </c>
      <c r="L283" s="542">
        <v>399</v>
      </c>
      <c r="M283" s="542">
        <v>0</v>
      </c>
      <c r="N283" s="542">
        <v>399</v>
      </c>
      <c r="O283" s="542">
        <v>32235</v>
      </c>
      <c r="P283" s="542">
        <v>0</v>
      </c>
      <c r="Q283" s="542">
        <v>32235</v>
      </c>
      <c r="R283" s="542">
        <v>191130</v>
      </c>
      <c r="S283" s="542">
        <v>0</v>
      </c>
      <c r="T283" s="542">
        <v>191130</v>
      </c>
      <c r="U283" s="542">
        <v>-4321521</v>
      </c>
      <c r="V283" s="542">
        <v>0</v>
      </c>
      <c r="W283" s="542">
        <v>-4321521</v>
      </c>
      <c r="X283" s="542">
        <v>-8311</v>
      </c>
      <c r="Y283" s="542">
        <v>0</v>
      </c>
      <c r="Z283" s="542">
        <v>-8311</v>
      </c>
      <c r="AA283" s="542">
        <v>-135303</v>
      </c>
      <c r="AB283" s="542">
        <v>0</v>
      </c>
      <c r="AC283" s="542">
        <v>-135303</v>
      </c>
      <c r="AD283" s="542">
        <v>-68661</v>
      </c>
      <c r="AE283" s="542">
        <v>0</v>
      </c>
      <c r="AF283" s="542">
        <v>-68661</v>
      </c>
      <c r="AG283" s="542">
        <v>563658</v>
      </c>
      <c r="AH283" s="542">
        <v>0</v>
      </c>
      <c r="AI283" s="542">
        <v>563658</v>
      </c>
      <c r="AJ283" s="542">
        <v>47676</v>
      </c>
      <c r="AK283" s="542">
        <v>0</v>
      </c>
      <c r="AL283" s="542">
        <v>47676</v>
      </c>
      <c r="AM283" s="542">
        <v>-2068998</v>
      </c>
      <c r="AN283" s="542">
        <v>0</v>
      </c>
      <c r="AO283" s="542">
        <v>-2068998</v>
      </c>
      <c r="AP283" s="542">
        <v>30202</v>
      </c>
      <c r="AQ283" s="542">
        <v>0</v>
      </c>
      <c r="AR283" s="542">
        <v>30202</v>
      </c>
      <c r="AS283" s="542">
        <v>-121746</v>
      </c>
      <c r="AT283" s="542">
        <v>0</v>
      </c>
      <c r="AU283" s="542">
        <v>-121746</v>
      </c>
      <c r="AV283" s="542">
        <v>1673</v>
      </c>
      <c r="AW283" s="542">
        <v>0</v>
      </c>
      <c r="AX283" s="542">
        <v>1673</v>
      </c>
      <c r="AY283" s="542">
        <v>-45980</v>
      </c>
      <c r="AZ283" s="542">
        <v>0</v>
      </c>
      <c r="BA283" s="542">
        <v>-45980</v>
      </c>
      <c r="BB283" s="542">
        <v>186</v>
      </c>
      <c r="BC283" s="542">
        <v>0</v>
      </c>
      <c r="BD283" s="542">
        <v>186</v>
      </c>
      <c r="BE283" s="542">
        <v>-6050153</v>
      </c>
      <c r="BF283" s="542">
        <v>0</v>
      </c>
      <c r="BG283" s="542">
        <v>-6050153</v>
      </c>
      <c r="BH283" s="542">
        <v>0</v>
      </c>
      <c r="BI283" s="542">
        <v>0</v>
      </c>
      <c r="BJ283" s="542">
        <v>0</v>
      </c>
      <c r="BK283" s="542">
        <v>0</v>
      </c>
      <c r="BL283" s="542">
        <v>0</v>
      </c>
      <c r="BM283" s="542">
        <v>0</v>
      </c>
      <c r="BN283" s="542">
        <v>-639600</v>
      </c>
      <c r="BO283" s="542">
        <v>0</v>
      </c>
      <c r="BP283" s="542">
        <v>-639600</v>
      </c>
      <c r="BQ283" s="542">
        <v>-122545</v>
      </c>
      <c r="BR283" s="542">
        <v>0</v>
      </c>
      <c r="BS283" s="542">
        <v>-122545</v>
      </c>
      <c r="BT283" s="542">
        <v>-762145</v>
      </c>
      <c r="BU283" s="542">
        <v>0</v>
      </c>
      <c r="BV283" s="542">
        <v>-762145</v>
      </c>
      <c r="BW283" s="542">
        <v>-30049</v>
      </c>
      <c r="BX283" s="542">
        <v>0</v>
      </c>
      <c r="BY283" s="542">
        <v>-30049</v>
      </c>
      <c r="BZ283" s="542">
        <v>0</v>
      </c>
      <c r="CA283" s="542">
        <v>0</v>
      </c>
      <c r="CB283" s="542">
        <v>0</v>
      </c>
      <c r="CC283" s="542">
        <v>-567</v>
      </c>
      <c r="CD283" s="542">
        <v>0</v>
      </c>
      <c r="CE283" s="542">
        <v>-567</v>
      </c>
      <c r="CF283" s="542">
        <v>-22</v>
      </c>
      <c r="CG283" s="542">
        <v>0</v>
      </c>
      <c r="CH283" s="542">
        <v>-22</v>
      </c>
      <c r="CI283" s="542">
        <v>0</v>
      </c>
      <c r="CJ283" s="542">
        <v>0</v>
      </c>
      <c r="CK283" s="542">
        <v>0</v>
      </c>
      <c r="CL283" s="542">
        <v>0</v>
      </c>
      <c r="CM283" s="542">
        <v>0</v>
      </c>
      <c r="CN283" s="542">
        <v>0</v>
      </c>
      <c r="CO283" s="542">
        <v>-45980</v>
      </c>
      <c r="CP283" s="542">
        <v>0</v>
      </c>
      <c r="CQ283" s="542">
        <v>-45980</v>
      </c>
      <c r="CR283" s="542">
        <v>186</v>
      </c>
      <c r="CS283" s="542">
        <v>0</v>
      </c>
      <c r="CT283" s="542">
        <v>186</v>
      </c>
      <c r="CU283" s="542">
        <v>0</v>
      </c>
      <c r="CV283" s="542">
        <v>0</v>
      </c>
      <c r="CW283" s="542">
        <v>0</v>
      </c>
      <c r="CX283" s="542">
        <v>0</v>
      </c>
      <c r="CY283" s="542">
        <v>0</v>
      </c>
      <c r="CZ283" s="542">
        <v>0</v>
      </c>
      <c r="DA283" s="542">
        <v>0</v>
      </c>
      <c r="DB283" s="542">
        <v>0</v>
      </c>
      <c r="DC283" s="542">
        <v>0</v>
      </c>
      <c r="DD283" s="542">
        <v>0</v>
      </c>
      <c r="DE283" s="542">
        <v>0</v>
      </c>
      <c r="DF283" s="542">
        <v>0</v>
      </c>
      <c r="DG283" s="542"/>
      <c r="DH283" s="542">
        <v>0</v>
      </c>
      <c r="DI283" s="542"/>
      <c r="DJ283" s="542">
        <v>0</v>
      </c>
      <c r="DK283" s="542"/>
      <c r="DL283" s="542"/>
      <c r="DM283" s="542">
        <v>-76432</v>
      </c>
      <c r="DN283" s="542">
        <v>0</v>
      </c>
      <c r="DO283" s="542">
        <v>-76432</v>
      </c>
      <c r="DP283" s="542">
        <v>0</v>
      </c>
      <c r="DQ283" s="542">
        <v>0</v>
      </c>
      <c r="DR283" s="542">
        <v>0</v>
      </c>
      <c r="DS283" s="542">
        <v>0</v>
      </c>
      <c r="DT283" s="542">
        <v>0</v>
      </c>
      <c r="DU283" s="542">
        <v>0</v>
      </c>
      <c r="DV283" s="542">
        <v>-2671</v>
      </c>
      <c r="DW283" s="542">
        <v>0</v>
      </c>
      <c r="DX283" s="542">
        <v>-2671</v>
      </c>
      <c r="DY283" s="542">
        <v>-519255</v>
      </c>
      <c r="DZ283" s="542">
        <v>0</v>
      </c>
      <c r="EA283" s="542">
        <v>-519255</v>
      </c>
      <c r="EB283" s="542">
        <v>0</v>
      </c>
      <c r="EC283" s="542">
        <v>0</v>
      </c>
      <c r="ED283" s="542">
        <v>0</v>
      </c>
      <c r="EE283" s="542">
        <v>0</v>
      </c>
      <c r="EF283" s="542">
        <v>0</v>
      </c>
      <c r="EG283" s="542">
        <v>0</v>
      </c>
      <c r="EH283" s="542">
        <v>-521926</v>
      </c>
      <c r="EI283" s="542">
        <v>0</v>
      </c>
      <c r="EJ283" s="542">
        <v>-521926</v>
      </c>
      <c r="EK283" s="542">
        <v>0</v>
      </c>
      <c r="EL283" s="542">
        <v>0</v>
      </c>
      <c r="EM283" s="542">
        <v>0</v>
      </c>
      <c r="EN283" s="542">
        <v>0</v>
      </c>
      <c r="EO283" s="542">
        <v>0</v>
      </c>
      <c r="EP283" s="542">
        <v>0</v>
      </c>
      <c r="EQ283" s="542">
        <v>0</v>
      </c>
      <c r="ER283" s="542">
        <v>0</v>
      </c>
      <c r="ES283" s="542">
        <v>0</v>
      </c>
      <c r="ET283" s="542">
        <v>32386828</v>
      </c>
      <c r="EU283" s="542">
        <v>0</v>
      </c>
      <c r="EV283" s="542">
        <v>32386828</v>
      </c>
      <c r="EW283" s="542">
        <v>191130</v>
      </c>
      <c r="EX283" s="542">
        <v>0</v>
      </c>
      <c r="EY283" s="542">
        <v>191130</v>
      </c>
      <c r="EZ283" s="542">
        <v>-6050153</v>
      </c>
      <c r="FA283" s="542">
        <v>0</v>
      </c>
      <c r="FB283" s="542">
        <v>-6050153</v>
      </c>
      <c r="FC283" s="542">
        <v>-762145</v>
      </c>
      <c r="FD283" s="542">
        <v>0</v>
      </c>
      <c r="FE283" s="542">
        <v>-762145</v>
      </c>
      <c r="FF283" s="542">
        <v>-76432</v>
      </c>
      <c r="FG283" s="542">
        <v>0</v>
      </c>
      <c r="FH283" s="542">
        <v>-76432</v>
      </c>
      <c r="FI283" s="542">
        <v>-521926</v>
      </c>
      <c r="FJ283" s="542">
        <v>0</v>
      </c>
      <c r="FK283" s="542">
        <v>-521926</v>
      </c>
      <c r="FL283" s="542">
        <v>0</v>
      </c>
      <c r="FM283" s="542">
        <v>0</v>
      </c>
      <c r="FN283" s="542">
        <v>0</v>
      </c>
      <c r="FO283" s="542">
        <v>-7219526</v>
      </c>
      <c r="FP283" s="542">
        <v>0</v>
      </c>
      <c r="FQ283" s="542">
        <v>-7219526</v>
      </c>
      <c r="FR283" s="542">
        <v>25167302</v>
      </c>
      <c r="FS283" s="542">
        <v>0</v>
      </c>
      <c r="FT283" s="542">
        <v>25167302</v>
      </c>
    </row>
    <row r="284" spans="1:176" ht="12.75" x14ac:dyDescent="0.2">
      <c r="A284" s="93">
        <v>279</v>
      </c>
      <c r="B284" s="145" t="s">
        <v>436</v>
      </c>
      <c r="C284" s="604" t="s">
        <v>866</v>
      </c>
      <c r="D284" s="142" t="s">
        <v>867</v>
      </c>
      <c r="E284" s="149" t="s">
        <v>435</v>
      </c>
      <c r="F284" s="542">
        <v>-44761</v>
      </c>
      <c r="G284" s="542">
        <v>0</v>
      </c>
      <c r="H284" s="542">
        <v>-44761</v>
      </c>
      <c r="I284" s="542">
        <v>52623</v>
      </c>
      <c r="J284" s="542">
        <v>0</v>
      </c>
      <c r="K284" s="542">
        <v>52623</v>
      </c>
      <c r="L284" s="542">
        <v>1658</v>
      </c>
      <c r="M284" s="542">
        <v>0</v>
      </c>
      <c r="N284" s="542">
        <v>1658</v>
      </c>
      <c r="O284" s="542">
        <v>167126</v>
      </c>
      <c r="P284" s="542">
        <v>0</v>
      </c>
      <c r="Q284" s="542">
        <v>167126</v>
      </c>
      <c r="R284" s="542">
        <v>176646</v>
      </c>
      <c r="S284" s="542">
        <v>0</v>
      </c>
      <c r="T284" s="542">
        <v>176646</v>
      </c>
      <c r="U284" s="542">
        <v>-2467735</v>
      </c>
      <c r="V284" s="542">
        <v>0</v>
      </c>
      <c r="W284" s="542">
        <v>-2467735</v>
      </c>
      <c r="X284" s="542">
        <v>-6916</v>
      </c>
      <c r="Y284" s="542">
        <v>0</v>
      </c>
      <c r="Z284" s="542">
        <v>-6916</v>
      </c>
      <c r="AA284" s="542">
        <v>-279566</v>
      </c>
      <c r="AB284" s="542">
        <v>0</v>
      </c>
      <c r="AC284" s="542">
        <v>-279566</v>
      </c>
      <c r="AD284" s="542">
        <v>-101633</v>
      </c>
      <c r="AE284" s="542">
        <v>0</v>
      </c>
      <c r="AF284" s="542">
        <v>-101633</v>
      </c>
      <c r="AG284" s="542">
        <v>1111812</v>
      </c>
      <c r="AH284" s="542">
        <v>0</v>
      </c>
      <c r="AI284" s="542">
        <v>1111812</v>
      </c>
      <c r="AJ284" s="542">
        <v>13590</v>
      </c>
      <c r="AK284" s="542">
        <v>0</v>
      </c>
      <c r="AL284" s="542">
        <v>13590</v>
      </c>
      <c r="AM284" s="542">
        <v>-2646242</v>
      </c>
      <c r="AN284" s="542">
        <v>0</v>
      </c>
      <c r="AO284" s="542">
        <v>-2646242</v>
      </c>
      <c r="AP284" s="542">
        <v>54248</v>
      </c>
      <c r="AQ284" s="542">
        <v>0</v>
      </c>
      <c r="AR284" s="542">
        <v>54248</v>
      </c>
      <c r="AS284" s="542">
        <v>-75552</v>
      </c>
      <c r="AT284" s="542">
        <v>0</v>
      </c>
      <c r="AU284" s="542">
        <v>-75552</v>
      </c>
      <c r="AV284" s="542">
        <v>0</v>
      </c>
      <c r="AW284" s="542">
        <v>0</v>
      </c>
      <c r="AX284" s="542">
        <v>0</v>
      </c>
      <c r="AY284" s="542">
        <v>-29880</v>
      </c>
      <c r="AZ284" s="542">
        <v>0</v>
      </c>
      <c r="BA284" s="542">
        <v>-29880</v>
      </c>
      <c r="BB284" s="542">
        <v>-21399</v>
      </c>
      <c r="BC284" s="542">
        <v>0</v>
      </c>
      <c r="BD284" s="542">
        <v>-21399</v>
      </c>
      <c r="BE284" s="542">
        <v>-4340724</v>
      </c>
      <c r="BF284" s="542">
        <v>0</v>
      </c>
      <c r="BG284" s="542">
        <v>-4340724</v>
      </c>
      <c r="BH284" s="542">
        <v>-20375</v>
      </c>
      <c r="BI284" s="542">
        <v>0</v>
      </c>
      <c r="BJ284" s="542">
        <v>-20375</v>
      </c>
      <c r="BK284" s="542">
        <v>77796</v>
      </c>
      <c r="BL284" s="542">
        <v>0</v>
      </c>
      <c r="BM284" s="542">
        <v>77796</v>
      </c>
      <c r="BN284" s="542">
        <v>-1412591</v>
      </c>
      <c r="BO284" s="542">
        <v>0</v>
      </c>
      <c r="BP284" s="542">
        <v>-1412591</v>
      </c>
      <c r="BQ284" s="542">
        <v>-242374</v>
      </c>
      <c r="BR284" s="542">
        <v>0</v>
      </c>
      <c r="BS284" s="542">
        <v>-242374</v>
      </c>
      <c r="BT284" s="542">
        <v>-1597544</v>
      </c>
      <c r="BU284" s="542">
        <v>0</v>
      </c>
      <c r="BV284" s="542">
        <v>-1597544</v>
      </c>
      <c r="BW284" s="542">
        <v>-169916</v>
      </c>
      <c r="BX284" s="542">
        <v>0</v>
      </c>
      <c r="BY284" s="542">
        <v>-169916</v>
      </c>
      <c r="BZ284" s="542">
        <v>1186</v>
      </c>
      <c r="CA284" s="542">
        <v>0</v>
      </c>
      <c r="CB284" s="542">
        <v>1186</v>
      </c>
      <c r="CC284" s="542">
        <v>-72328</v>
      </c>
      <c r="CD284" s="542">
        <v>0</v>
      </c>
      <c r="CE284" s="542">
        <v>-72328</v>
      </c>
      <c r="CF284" s="542">
        <v>0</v>
      </c>
      <c r="CG284" s="542">
        <v>0</v>
      </c>
      <c r="CH284" s="542">
        <v>0</v>
      </c>
      <c r="CI284" s="542">
        <v>-18888</v>
      </c>
      <c r="CJ284" s="542">
        <v>0</v>
      </c>
      <c r="CK284" s="542">
        <v>-18888</v>
      </c>
      <c r="CL284" s="542">
        <v>0</v>
      </c>
      <c r="CM284" s="542">
        <v>0</v>
      </c>
      <c r="CN284" s="542">
        <v>0</v>
      </c>
      <c r="CO284" s="542">
        <v>-44997</v>
      </c>
      <c r="CP284" s="542">
        <v>0</v>
      </c>
      <c r="CQ284" s="542">
        <v>-44997</v>
      </c>
      <c r="CR284" s="542">
        <v>-5775</v>
      </c>
      <c r="CS284" s="542">
        <v>0</v>
      </c>
      <c r="CT284" s="542">
        <v>-5775</v>
      </c>
      <c r="CU284" s="542">
        <v>-29880</v>
      </c>
      <c r="CV284" s="542">
        <v>0</v>
      </c>
      <c r="CW284" s="542">
        <v>-29880</v>
      </c>
      <c r="CX284" s="542">
        <v>-3080</v>
      </c>
      <c r="CY284" s="542">
        <v>0</v>
      </c>
      <c r="CZ284" s="542">
        <v>-3080</v>
      </c>
      <c r="DA284" s="542">
        <v>0</v>
      </c>
      <c r="DB284" s="542">
        <v>0</v>
      </c>
      <c r="DC284" s="542">
        <v>0</v>
      </c>
      <c r="DD284" s="542">
        <v>0</v>
      </c>
      <c r="DE284" s="542">
        <v>0</v>
      </c>
      <c r="DF284" s="542">
        <v>0</v>
      </c>
      <c r="DG284" s="542"/>
      <c r="DH284" s="542">
        <v>0</v>
      </c>
      <c r="DI284" s="542"/>
      <c r="DJ284" s="542">
        <v>0</v>
      </c>
      <c r="DK284" s="542"/>
      <c r="DL284" s="542"/>
      <c r="DM284" s="542">
        <v>-343678</v>
      </c>
      <c r="DN284" s="542">
        <v>0</v>
      </c>
      <c r="DO284" s="542">
        <v>-343678</v>
      </c>
      <c r="DP284" s="542">
        <v>0</v>
      </c>
      <c r="DQ284" s="542">
        <v>0</v>
      </c>
      <c r="DR284" s="542">
        <v>0</v>
      </c>
      <c r="DS284" s="542">
        <v>0</v>
      </c>
      <c r="DT284" s="542">
        <v>0</v>
      </c>
      <c r="DU284" s="542">
        <v>0</v>
      </c>
      <c r="DV284" s="542">
        <v>-6177</v>
      </c>
      <c r="DW284" s="542">
        <v>0</v>
      </c>
      <c r="DX284" s="542">
        <v>-6177</v>
      </c>
      <c r="DY284" s="542">
        <v>-284083</v>
      </c>
      <c r="DZ284" s="542">
        <v>0</v>
      </c>
      <c r="EA284" s="542">
        <v>-284083</v>
      </c>
      <c r="EB284" s="542">
        <v>-40380</v>
      </c>
      <c r="EC284" s="542">
        <v>0</v>
      </c>
      <c r="ED284" s="542">
        <v>-40380</v>
      </c>
      <c r="EE284" s="542">
        <v>-66635</v>
      </c>
      <c r="EF284" s="542">
        <v>0</v>
      </c>
      <c r="EG284" s="542">
        <v>-66635</v>
      </c>
      <c r="EH284" s="542">
        <v>-397275</v>
      </c>
      <c r="EI284" s="542">
        <v>0</v>
      </c>
      <c r="EJ284" s="542">
        <v>-397275</v>
      </c>
      <c r="EK284" s="542">
        <v>0</v>
      </c>
      <c r="EL284" s="542">
        <v>0</v>
      </c>
      <c r="EM284" s="542">
        <v>0</v>
      </c>
      <c r="EN284" s="542">
        <v>0</v>
      </c>
      <c r="EO284" s="542">
        <v>0</v>
      </c>
      <c r="EP284" s="542">
        <v>0</v>
      </c>
      <c r="EQ284" s="542">
        <v>0</v>
      </c>
      <c r="ER284" s="542">
        <v>0</v>
      </c>
      <c r="ES284" s="542">
        <v>0</v>
      </c>
      <c r="ET284" s="542">
        <v>53067681</v>
      </c>
      <c r="EU284" s="542">
        <v>0</v>
      </c>
      <c r="EV284" s="542">
        <v>53067681</v>
      </c>
      <c r="EW284" s="542">
        <v>176646</v>
      </c>
      <c r="EX284" s="542">
        <v>0</v>
      </c>
      <c r="EY284" s="542">
        <v>176646</v>
      </c>
      <c r="EZ284" s="542">
        <v>-4340724</v>
      </c>
      <c r="FA284" s="542">
        <v>0</v>
      </c>
      <c r="FB284" s="542">
        <v>-4340724</v>
      </c>
      <c r="FC284" s="542">
        <v>-1597544</v>
      </c>
      <c r="FD284" s="542">
        <v>0</v>
      </c>
      <c r="FE284" s="542">
        <v>-1597544</v>
      </c>
      <c r="FF284" s="542">
        <v>-343678</v>
      </c>
      <c r="FG284" s="542">
        <v>0</v>
      </c>
      <c r="FH284" s="542">
        <v>-343678</v>
      </c>
      <c r="FI284" s="542">
        <v>-397275</v>
      </c>
      <c r="FJ284" s="542">
        <v>0</v>
      </c>
      <c r="FK284" s="542">
        <v>-397275</v>
      </c>
      <c r="FL284" s="542">
        <v>0</v>
      </c>
      <c r="FM284" s="542">
        <v>0</v>
      </c>
      <c r="FN284" s="542">
        <v>0</v>
      </c>
      <c r="FO284" s="542">
        <v>-6502575</v>
      </c>
      <c r="FP284" s="542">
        <v>0</v>
      </c>
      <c r="FQ284" s="542">
        <v>-6502575</v>
      </c>
      <c r="FR284" s="542">
        <v>46565106</v>
      </c>
      <c r="FS284" s="542">
        <v>0</v>
      </c>
      <c r="FT284" s="542">
        <v>46565106</v>
      </c>
    </row>
    <row r="285" spans="1:176" ht="12.75" x14ac:dyDescent="0.2">
      <c r="A285" s="93">
        <v>280</v>
      </c>
      <c r="B285" s="145" t="s">
        <v>438</v>
      </c>
      <c r="C285" s="604" t="s">
        <v>866</v>
      </c>
      <c r="D285" s="142" t="s">
        <v>875</v>
      </c>
      <c r="E285" s="149" t="s">
        <v>437</v>
      </c>
      <c r="F285" s="542">
        <v>-29822</v>
      </c>
      <c r="G285" s="542">
        <v>0</v>
      </c>
      <c r="H285" s="542">
        <v>-29822</v>
      </c>
      <c r="I285" s="542">
        <v>18880</v>
      </c>
      <c r="J285" s="542">
        <v>0</v>
      </c>
      <c r="K285" s="542">
        <v>18880</v>
      </c>
      <c r="L285" s="542">
        <v>3546</v>
      </c>
      <c r="M285" s="542">
        <v>0</v>
      </c>
      <c r="N285" s="542">
        <v>3546</v>
      </c>
      <c r="O285" s="542">
        <v>1148816</v>
      </c>
      <c r="P285" s="542">
        <v>0</v>
      </c>
      <c r="Q285" s="542">
        <v>1148816</v>
      </c>
      <c r="R285" s="542">
        <v>1141420</v>
      </c>
      <c r="S285" s="542">
        <v>0</v>
      </c>
      <c r="T285" s="542">
        <v>1141420</v>
      </c>
      <c r="U285" s="542">
        <v>-1732862</v>
      </c>
      <c r="V285" s="542">
        <v>0</v>
      </c>
      <c r="W285" s="542">
        <v>-1732862</v>
      </c>
      <c r="X285" s="542">
        <v>0</v>
      </c>
      <c r="Y285" s="542">
        <v>0</v>
      </c>
      <c r="Z285" s="542">
        <v>0</v>
      </c>
      <c r="AA285" s="542">
        <v>-164879</v>
      </c>
      <c r="AB285" s="542">
        <v>0</v>
      </c>
      <c r="AC285" s="542">
        <v>-164879</v>
      </c>
      <c r="AD285" s="542">
        <v>-60326</v>
      </c>
      <c r="AE285" s="542">
        <v>0</v>
      </c>
      <c r="AF285" s="542">
        <v>-60326</v>
      </c>
      <c r="AG285" s="542">
        <v>836377</v>
      </c>
      <c r="AH285" s="542">
        <v>0</v>
      </c>
      <c r="AI285" s="542">
        <v>836377</v>
      </c>
      <c r="AJ285" s="542">
        <v>-54021</v>
      </c>
      <c r="AK285" s="542">
        <v>0</v>
      </c>
      <c r="AL285" s="542">
        <v>-54021</v>
      </c>
      <c r="AM285" s="542">
        <v>-1141025</v>
      </c>
      <c r="AN285" s="542">
        <v>0</v>
      </c>
      <c r="AO285" s="542">
        <v>-1141025</v>
      </c>
      <c r="AP285" s="542">
        <v>-15195</v>
      </c>
      <c r="AQ285" s="542">
        <v>0</v>
      </c>
      <c r="AR285" s="542">
        <v>-15195</v>
      </c>
      <c r="AS285" s="542">
        <v>-33914</v>
      </c>
      <c r="AT285" s="542">
        <v>0</v>
      </c>
      <c r="AU285" s="542">
        <v>-33914</v>
      </c>
      <c r="AV285" s="542">
        <v>0</v>
      </c>
      <c r="AW285" s="542">
        <v>0</v>
      </c>
      <c r="AX285" s="542">
        <v>0</v>
      </c>
      <c r="AY285" s="542">
        <v>-7189</v>
      </c>
      <c r="AZ285" s="542">
        <v>0</v>
      </c>
      <c r="BA285" s="542">
        <v>-7189</v>
      </c>
      <c r="BB285" s="542">
        <v>0</v>
      </c>
      <c r="BC285" s="542">
        <v>0</v>
      </c>
      <c r="BD285" s="542">
        <v>0</v>
      </c>
      <c r="BE285" s="542">
        <v>-2312708</v>
      </c>
      <c r="BF285" s="542">
        <v>0</v>
      </c>
      <c r="BG285" s="542">
        <v>-2312708</v>
      </c>
      <c r="BH285" s="542">
        <v>-16161</v>
      </c>
      <c r="BI285" s="542">
        <v>0</v>
      </c>
      <c r="BJ285" s="542">
        <v>-16161</v>
      </c>
      <c r="BK285" s="542">
        <v>-75674</v>
      </c>
      <c r="BL285" s="542">
        <v>0</v>
      </c>
      <c r="BM285" s="542">
        <v>-75674</v>
      </c>
      <c r="BN285" s="542">
        <v>-1049727</v>
      </c>
      <c r="BO285" s="542">
        <v>0</v>
      </c>
      <c r="BP285" s="542">
        <v>-1049727</v>
      </c>
      <c r="BQ285" s="542">
        <v>-152101</v>
      </c>
      <c r="BR285" s="542">
        <v>0</v>
      </c>
      <c r="BS285" s="542">
        <v>-152101</v>
      </c>
      <c r="BT285" s="542">
        <v>-1293663</v>
      </c>
      <c r="BU285" s="542">
        <v>0</v>
      </c>
      <c r="BV285" s="542">
        <v>-1293663</v>
      </c>
      <c r="BW285" s="542">
        <v>-43162</v>
      </c>
      <c r="BX285" s="542">
        <v>0</v>
      </c>
      <c r="BY285" s="542">
        <v>-43162</v>
      </c>
      <c r="BZ285" s="542">
        <v>235</v>
      </c>
      <c r="CA285" s="542">
        <v>0</v>
      </c>
      <c r="CB285" s="542">
        <v>235</v>
      </c>
      <c r="CC285" s="542">
        <v>-8722</v>
      </c>
      <c r="CD285" s="542">
        <v>0</v>
      </c>
      <c r="CE285" s="542">
        <v>-8722</v>
      </c>
      <c r="CF285" s="542">
        <v>-1030</v>
      </c>
      <c r="CG285" s="542">
        <v>0</v>
      </c>
      <c r="CH285" s="542">
        <v>-1030</v>
      </c>
      <c r="CI285" s="542">
        <v>-366</v>
      </c>
      <c r="CJ285" s="542">
        <v>0</v>
      </c>
      <c r="CK285" s="542">
        <v>-366</v>
      </c>
      <c r="CL285" s="542">
        <v>0</v>
      </c>
      <c r="CM285" s="542">
        <v>0</v>
      </c>
      <c r="CN285" s="542">
        <v>0</v>
      </c>
      <c r="CO285" s="542">
        <v>-2804</v>
      </c>
      <c r="CP285" s="542">
        <v>0</v>
      </c>
      <c r="CQ285" s="542">
        <v>-2804</v>
      </c>
      <c r="CR285" s="542">
        <v>0</v>
      </c>
      <c r="CS285" s="542">
        <v>0</v>
      </c>
      <c r="CT285" s="542">
        <v>0</v>
      </c>
      <c r="CU285" s="542">
        <v>0</v>
      </c>
      <c r="CV285" s="542">
        <v>0</v>
      </c>
      <c r="CW285" s="542">
        <v>0</v>
      </c>
      <c r="CX285" s="542">
        <v>0</v>
      </c>
      <c r="CY285" s="542">
        <v>0</v>
      </c>
      <c r="CZ285" s="542">
        <v>0</v>
      </c>
      <c r="DA285" s="542">
        <v>0</v>
      </c>
      <c r="DB285" s="542">
        <v>0</v>
      </c>
      <c r="DC285" s="542">
        <v>0</v>
      </c>
      <c r="DD285" s="542">
        <v>0</v>
      </c>
      <c r="DE285" s="542">
        <v>0</v>
      </c>
      <c r="DF285" s="542">
        <v>0</v>
      </c>
      <c r="DG285" s="542"/>
      <c r="DH285" s="542">
        <v>0</v>
      </c>
      <c r="DI285" s="542"/>
      <c r="DJ285" s="542">
        <v>0</v>
      </c>
      <c r="DK285" s="542"/>
      <c r="DL285" s="542"/>
      <c r="DM285" s="542">
        <v>-55849</v>
      </c>
      <c r="DN285" s="542">
        <v>0</v>
      </c>
      <c r="DO285" s="542">
        <v>-55849</v>
      </c>
      <c r="DP285" s="542">
        <v>0</v>
      </c>
      <c r="DQ285" s="542">
        <v>0</v>
      </c>
      <c r="DR285" s="542">
        <v>0</v>
      </c>
      <c r="DS285" s="542">
        <v>0</v>
      </c>
      <c r="DT285" s="542">
        <v>0</v>
      </c>
      <c r="DU285" s="542">
        <v>0</v>
      </c>
      <c r="DV285" s="542">
        <v>-3082</v>
      </c>
      <c r="DW285" s="542">
        <v>0</v>
      </c>
      <c r="DX285" s="542">
        <v>-3082</v>
      </c>
      <c r="DY285" s="542">
        <v>-215413</v>
      </c>
      <c r="DZ285" s="542">
        <v>0</v>
      </c>
      <c r="EA285" s="542">
        <v>-215413</v>
      </c>
      <c r="EB285" s="542">
        <v>-11485</v>
      </c>
      <c r="EC285" s="542">
        <v>0</v>
      </c>
      <c r="ED285" s="542">
        <v>-11485</v>
      </c>
      <c r="EE285" s="542">
        <v>-16171</v>
      </c>
      <c r="EF285" s="542">
        <v>0</v>
      </c>
      <c r="EG285" s="542">
        <v>-16171</v>
      </c>
      <c r="EH285" s="542">
        <v>-246151</v>
      </c>
      <c r="EI285" s="542">
        <v>0</v>
      </c>
      <c r="EJ285" s="542">
        <v>-246151</v>
      </c>
      <c r="EK285" s="542">
        <v>0</v>
      </c>
      <c r="EL285" s="542">
        <v>0</v>
      </c>
      <c r="EM285" s="542">
        <v>0</v>
      </c>
      <c r="EN285" s="542">
        <v>0</v>
      </c>
      <c r="EO285" s="542">
        <v>0</v>
      </c>
      <c r="EP285" s="542">
        <v>0</v>
      </c>
      <c r="EQ285" s="542">
        <v>0</v>
      </c>
      <c r="ER285" s="542">
        <v>0</v>
      </c>
      <c r="ES285" s="542">
        <v>0</v>
      </c>
      <c r="ET285" s="542">
        <v>33946403</v>
      </c>
      <c r="EU285" s="542">
        <v>0</v>
      </c>
      <c r="EV285" s="542">
        <v>33946403</v>
      </c>
      <c r="EW285" s="542">
        <v>1141420</v>
      </c>
      <c r="EX285" s="542">
        <v>0</v>
      </c>
      <c r="EY285" s="542">
        <v>1141420</v>
      </c>
      <c r="EZ285" s="542">
        <v>-2312708</v>
      </c>
      <c r="FA285" s="542">
        <v>0</v>
      </c>
      <c r="FB285" s="542">
        <v>-2312708</v>
      </c>
      <c r="FC285" s="542">
        <v>-1293663</v>
      </c>
      <c r="FD285" s="542">
        <v>0</v>
      </c>
      <c r="FE285" s="542">
        <v>-1293663</v>
      </c>
      <c r="FF285" s="542">
        <v>-55849</v>
      </c>
      <c r="FG285" s="542">
        <v>0</v>
      </c>
      <c r="FH285" s="542">
        <v>-55849</v>
      </c>
      <c r="FI285" s="542">
        <v>-246151</v>
      </c>
      <c r="FJ285" s="542">
        <v>0</v>
      </c>
      <c r="FK285" s="542">
        <v>-246151</v>
      </c>
      <c r="FL285" s="542">
        <v>0</v>
      </c>
      <c r="FM285" s="542">
        <v>0</v>
      </c>
      <c r="FN285" s="542">
        <v>0</v>
      </c>
      <c r="FO285" s="542">
        <v>-2766951</v>
      </c>
      <c r="FP285" s="542">
        <v>0</v>
      </c>
      <c r="FQ285" s="542">
        <v>-2766951</v>
      </c>
      <c r="FR285" s="542">
        <v>31179452</v>
      </c>
      <c r="FS285" s="542">
        <v>0</v>
      </c>
      <c r="FT285" s="542">
        <v>31179452</v>
      </c>
    </row>
    <row r="286" spans="1:176" ht="12.75" x14ac:dyDescent="0.2">
      <c r="A286" s="93">
        <v>281</v>
      </c>
      <c r="B286" s="145" t="s">
        <v>440</v>
      </c>
      <c r="C286" s="604" t="s">
        <v>866</v>
      </c>
      <c r="D286" s="142" t="s">
        <v>867</v>
      </c>
      <c r="E286" s="149" t="s">
        <v>439</v>
      </c>
      <c r="F286" s="542">
        <v>-88738</v>
      </c>
      <c r="G286" s="542">
        <v>0</v>
      </c>
      <c r="H286" s="542">
        <v>-88738</v>
      </c>
      <c r="I286" s="542">
        <v>43482</v>
      </c>
      <c r="J286" s="542">
        <v>0</v>
      </c>
      <c r="K286" s="542">
        <v>43482</v>
      </c>
      <c r="L286" s="542">
        <v>3847</v>
      </c>
      <c r="M286" s="542">
        <v>0</v>
      </c>
      <c r="N286" s="542">
        <v>3847</v>
      </c>
      <c r="O286" s="542">
        <v>43829</v>
      </c>
      <c r="P286" s="542">
        <v>0</v>
      </c>
      <c r="Q286" s="542">
        <v>43829</v>
      </c>
      <c r="R286" s="542">
        <v>2420</v>
      </c>
      <c r="S286" s="542">
        <v>0</v>
      </c>
      <c r="T286" s="542">
        <v>2420</v>
      </c>
      <c r="U286" s="542">
        <v>-3660740</v>
      </c>
      <c r="V286" s="542">
        <v>0</v>
      </c>
      <c r="W286" s="542">
        <v>-3660740</v>
      </c>
      <c r="X286" s="542">
        <v>-23652</v>
      </c>
      <c r="Y286" s="542">
        <v>0</v>
      </c>
      <c r="Z286" s="542">
        <v>-23652</v>
      </c>
      <c r="AA286" s="542">
        <v>-334737</v>
      </c>
      <c r="AB286" s="542">
        <v>0</v>
      </c>
      <c r="AC286" s="542">
        <v>-334737</v>
      </c>
      <c r="AD286" s="542">
        <v>-135339</v>
      </c>
      <c r="AE286" s="542">
        <v>0</v>
      </c>
      <c r="AF286" s="542">
        <v>-135339</v>
      </c>
      <c r="AG286" s="542">
        <v>767325</v>
      </c>
      <c r="AH286" s="542">
        <v>0</v>
      </c>
      <c r="AI286" s="542">
        <v>767325</v>
      </c>
      <c r="AJ286" s="542">
        <v>-11171</v>
      </c>
      <c r="AK286" s="542">
        <v>0</v>
      </c>
      <c r="AL286" s="542">
        <v>-11171</v>
      </c>
      <c r="AM286" s="542">
        <v>-3609631</v>
      </c>
      <c r="AN286" s="542">
        <v>0</v>
      </c>
      <c r="AO286" s="542">
        <v>-3609631</v>
      </c>
      <c r="AP286" s="542">
        <v>-27115</v>
      </c>
      <c r="AQ286" s="542">
        <v>0</v>
      </c>
      <c r="AR286" s="542">
        <v>-27115</v>
      </c>
      <c r="AS286" s="542">
        <v>-37721</v>
      </c>
      <c r="AT286" s="542">
        <v>0</v>
      </c>
      <c r="AU286" s="542">
        <v>-37721</v>
      </c>
      <c r="AV286" s="542">
        <v>0</v>
      </c>
      <c r="AW286" s="542">
        <v>0</v>
      </c>
      <c r="AX286" s="542">
        <v>0</v>
      </c>
      <c r="AY286" s="542">
        <v>-4953</v>
      </c>
      <c r="AZ286" s="542">
        <v>0</v>
      </c>
      <c r="BA286" s="542">
        <v>-4953</v>
      </c>
      <c r="BB286" s="542">
        <v>315</v>
      </c>
      <c r="BC286" s="542">
        <v>0</v>
      </c>
      <c r="BD286" s="542">
        <v>315</v>
      </c>
      <c r="BE286" s="542">
        <v>-6918428</v>
      </c>
      <c r="BF286" s="542">
        <v>0</v>
      </c>
      <c r="BG286" s="542">
        <v>-6918428</v>
      </c>
      <c r="BH286" s="542">
        <v>-305713</v>
      </c>
      <c r="BI286" s="542">
        <v>0</v>
      </c>
      <c r="BJ286" s="542">
        <v>-305713</v>
      </c>
      <c r="BK286" s="542">
        <v>-612</v>
      </c>
      <c r="BL286" s="542">
        <v>0</v>
      </c>
      <c r="BM286" s="542">
        <v>-612</v>
      </c>
      <c r="BN286" s="542">
        <v>-1267798</v>
      </c>
      <c r="BO286" s="542">
        <v>0</v>
      </c>
      <c r="BP286" s="542">
        <v>-1267798</v>
      </c>
      <c r="BQ286" s="542">
        <v>61772</v>
      </c>
      <c r="BR286" s="542">
        <v>0</v>
      </c>
      <c r="BS286" s="542">
        <v>61772</v>
      </c>
      <c r="BT286" s="542">
        <v>-1512351</v>
      </c>
      <c r="BU286" s="542">
        <v>0</v>
      </c>
      <c r="BV286" s="542">
        <v>-1512351</v>
      </c>
      <c r="BW286" s="542">
        <v>-145379</v>
      </c>
      <c r="BX286" s="542">
        <v>0</v>
      </c>
      <c r="BY286" s="542">
        <v>-145379</v>
      </c>
      <c r="BZ286" s="542">
        <v>-3858</v>
      </c>
      <c r="CA286" s="542">
        <v>0</v>
      </c>
      <c r="CB286" s="542">
        <v>-3858</v>
      </c>
      <c r="CC286" s="542">
        <v>-41626</v>
      </c>
      <c r="CD286" s="542">
        <v>0</v>
      </c>
      <c r="CE286" s="542">
        <v>-41626</v>
      </c>
      <c r="CF286" s="542">
        <v>-17679</v>
      </c>
      <c r="CG286" s="542">
        <v>0</v>
      </c>
      <c r="CH286" s="542">
        <v>-17679</v>
      </c>
      <c r="CI286" s="542">
        <v>-735</v>
      </c>
      <c r="CJ286" s="542">
        <v>0</v>
      </c>
      <c r="CK286" s="542">
        <v>-735</v>
      </c>
      <c r="CL286" s="542">
        <v>0</v>
      </c>
      <c r="CM286" s="542">
        <v>0</v>
      </c>
      <c r="CN286" s="542">
        <v>0</v>
      </c>
      <c r="CO286" s="542">
        <v>0</v>
      </c>
      <c r="CP286" s="542">
        <v>0</v>
      </c>
      <c r="CQ286" s="542">
        <v>0</v>
      </c>
      <c r="CR286" s="542">
        <v>0</v>
      </c>
      <c r="CS286" s="542">
        <v>0</v>
      </c>
      <c r="CT286" s="542">
        <v>0</v>
      </c>
      <c r="CU286" s="542">
        <v>0</v>
      </c>
      <c r="CV286" s="542">
        <v>0</v>
      </c>
      <c r="CW286" s="542">
        <v>0</v>
      </c>
      <c r="CX286" s="542">
        <v>0</v>
      </c>
      <c r="CY286" s="542">
        <v>0</v>
      </c>
      <c r="CZ286" s="542">
        <v>0</v>
      </c>
      <c r="DA286" s="542">
        <v>0</v>
      </c>
      <c r="DB286" s="542">
        <v>0</v>
      </c>
      <c r="DC286" s="542">
        <v>0</v>
      </c>
      <c r="DD286" s="542">
        <v>0</v>
      </c>
      <c r="DE286" s="542">
        <v>0</v>
      </c>
      <c r="DF286" s="542">
        <v>0</v>
      </c>
      <c r="DG286" s="542"/>
      <c r="DH286" s="542">
        <v>0</v>
      </c>
      <c r="DI286" s="542"/>
      <c r="DJ286" s="542">
        <v>0</v>
      </c>
      <c r="DK286" s="542"/>
      <c r="DL286" s="542"/>
      <c r="DM286" s="542">
        <v>-209277</v>
      </c>
      <c r="DN286" s="542">
        <v>0</v>
      </c>
      <c r="DO286" s="542">
        <v>-209277</v>
      </c>
      <c r="DP286" s="542">
        <v>-18490</v>
      </c>
      <c r="DQ286" s="542">
        <v>0</v>
      </c>
      <c r="DR286" s="542">
        <v>-18490</v>
      </c>
      <c r="DS286" s="542">
        <v>0</v>
      </c>
      <c r="DT286" s="542">
        <v>0</v>
      </c>
      <c r="DU286" s="542">
        <v>0</v>
      </c>
      <c r="DV286" s="542">
        <v>-2431</v>
      </c>
      <c r="DW286" s="542">
        <v>0</v>
      </c>
      <c r="DX286" s="542">
        <v>-2431</v>
      </c>
      <c r="DY286" s="542">
        <v>-621148</v>
      </c>
      <c r="DZ286" s="542">
        <v>0</v>
      </c>
      <c r="EA286" s="542">
        <v>-621148</v>
      </c>
      <c r="EB286" s="542">
        <v>0</v>
      </c>
      <c r="EC286" s="542">
        <v>0</v>
      </c>
      <c r="ED286" s="542">
        <v>0</v>
      </c>
      <c r="EE286" s="542">
        <v>0</v>
      </c>
      <c r="EF286" s="542">
        <v>0</v>
      </c>
      <c r="EG286" s="542">
        <v>0</v>
      </c>
      <c r="EH286" s="542">
        <v>-642069</v>
      </c>
      <c r="EI286" s="542">
        <v>0</v>
      </c>
      <c r="EJ286" s="542">
        <v>-642069</v>
      </c>
      <c r="EK286" s="542">
        <v>-14460</v>
      </c>
      <c r="EL286" s="542">
        <v>0</v>
      </c>
      <c r="EM286" s="542">
        <v>-14460</v>
      </c>
      <c r="EN286" s="542">
        <v>-17590</v>
      </c>
      <c r="EO286" s="542">
        <v>0</v>
      </c>
      <c r="EP286" s="542">
        <v>-17590</v>
      </c>
      <c r="EQ286" s="542">
        <v>-32050</v>
      </c>
      <c r="ER286" s="542">
        <v>0</v>
      </c>
      <c r="ES286" s="542">
        <v>-32050</v>
      </c>
      <c r="ET286" s="542">
        <v>40941743</v>
      </c>
      <c r="EU286" s="542">
        <v>0</v>
      </c>
      <c r="EV286" s="542">
        <v>40941743</v>
      </c>
      <c r="EW286" s="542">
        <v>2420</v>
      </c>
      <c r="EX286" s="542">
        <v>0</v>
      </c>
      <c r="EY286" s="542">
        <v>2420</v>
      </c>
      <c r="EZ286" s="542">
        <v>-6918428</v>
      </c>
      <c r="FA286" s="542">
        <v>0</v>
      </c>
      <c r="FB286" s="542">
        <v>-6918428</v>
      </c>
      <c r="FC286" s="542">
        <v>-1512351</v>
      </c>
      <c r="FD286" s="542">
        <v>0</v>
      </c>
      <c r="FE286" s="542">
        <v>-1512351</v>
      </c>
      <c r="FF286" s="542">
        <v>-209277</v>
      </c>
      <c r="FG286" s="542">
        <v>0</v>
      </c>
      <c r="FH286" s="542">
        <v>-209277</v>
      </c>
      <c r="FI286" s="542">
        <v>-642069</v>
      </c>
      <c r="FJ286" s="542">
        <v>0</v>
      </c>
      <c r="FK286" s="542">
        <v>-642069</v>
      </c>
      <c r="FL286" s="542">
        <v>-32050</v>
      </c>
      <c r="FM286" s="542">
        <v>0</v>
      </c>
      <c r="FN286" s="542">
        <v>-32050</v>
      </c>
      <c r="FO286" s="542">
        <v>-9311755</v>
      </c>
      <c r="FP286" s="542">
        <v>0</v>
      </c>
      <c r="FQ286" s="542">
        <v>-9311755</v>
      </c>
      <c r="FR286" s="542">
        <v>31629988</v>
      </c>
      <c r="FS286" s="542">
        <v>0</v>
      </c>
      <c r="FT286" s="542">
        <v>31629988</v>
      </c>
    </row>
    <row r="287" spans="1:176" ht="12.75" x14ac:dyDescent="0.2">
      <c r="A287" s="93">
        <v>282</v>
      </c>
      <c r="B287" s="145" t="s">
        <v>442</v>
      </c>
      <c r="C287" s="604" t="s">
        <v>866</v>
      </c>
      <c r="D287" s="142" t="s">
        <v>870</v>
      </c>
      <c r="E287" s="149" t="s">
        <v>441</v>
      </c>
      <c r="F287" s="542">
        <v>-23980</v>
      </c>
      <c r="G287" s="542">
        <v>0</v>
      </c>
      <c r="H287" s="542">
        <v>-23980</v>
      </c>
      <c r="I287" s="542">
        <v>371821</v>
      </c>
      <c r="J287" s="542">
        <v>0</v>
      </c>
      <c r="K287" s="542">
        <v>371821</v>
      </c>
      <c r="L287" s="542">
        <v>16199</v>
      </c>
      <c r="M287" s="542">
        <v>0</v>
      </c>
      <c r="N287" s="542">
        <v>16199</v>
      </c>
      <c r="O287" s="542">
        <v>54172</v>
      </c>
      <c r="P287" s="542">
        <v>0</v>
      </c>
      <c r="Q287" s="542">
        <v>54172</v>
      </c>
      <c r="R287" s="542">
        <v>418212</v>
      </c>
      <c r="S287" s="542">
        <v>0</v>
      </c>
      <c r="T287" s="542">
        <v>418212</v>
      </c>
      <c r="U287" s="542">
        <v>-908050</v>
      </c>
      <c r="V287" s="542">
        <v>0</v>
      </c>
      <c r="W287" s="542">
        <v>-908050</v>
      </c>
      <c r="X287" s="542">
        <v>0</v>
      </c>
      <c r="Y287" s="542">
        <v>0</v>
      </c>
      <c r="Z287" s="542">
        <v>0</v>
      </c>
      <c r="AA287" s="542">
        <v>-116042</v>
      </c>
      <c r="AB287" s="542">
        <v>0</v>
      </c>
      <c r="AC287" s="542">
        <v>-116042</v>
      </c>
      <c r="AD287" s="542">
        <v>-45826</v>
      </c>
      <c r="AE287" s="542">
        <v>0</v>
      </c>
      <c r="AF287" s="542">
        <v>-45826</v>
      </c>
      <c r="AG287" s="542">
        <v>661126</v>
      </c>
      <c r="AH287" s="542">
        <v>0</v>
      </c>
      <c r="AI287" s="542">
        <v>661126</v>
      </c>
      <c r="AJ287" s="542">
        <v>-29960</v>
      </c>
      <c r="AK287" s="542">
        <v>0</v>
      </c>
      <c r="AL287" s="542">
        <v>-29960</v>
      </c>
      <c r="AM287" s="542">
        <v>-2344753</v>
      </c>
      <c r="AN287" s="542">
        <v>0</v>
      </c>
      <c r="AO287" s="542">
        <v>-2344753</v>
      </c>
      <c r="AP287" s="542">
        <v>38867</v>
      </c>
      <c r="AQ287" s="542">
        <v>0</v>
      </c>
      <c r="AR287" s="542">
        <v>38867</v>
      </c>
      <c r="AS287" s="542">
        <v>-27605</v>
      </c>
      <c r="AT287" s="542">
        <v>0</v>
      </c>
      <c r="AU287" s="542">
        <v>-27605</v>
      </c>
      <c r="AV287" s="542">
        <v>0</v>
      </c>
      <c r="AW287" s="542">
        <v>0</v>
      </c>
      <c r="AX287" s="542">
        <v>0</v>
      </c>
      <c r="AY287" s="542">
        <v>-2324</v>
      </c>
      <c r="AZ287" s="542">
        <v>0</v>
      </c>
      <c r="BA287" s="542">
        <v>-2324</v>
      </c>
      <c r="BB287" s="542">
        <v>0</v>
      </c>
      <c r="BC287" s="542">
        <v>0</v>
      </c>
      <c r="BD287" s="542">
        <v>0</v>
      </c>
      <c r="BE287" s="542">
        <v>-2728741</v>
      </c>
      <c r="BF287" s="542">
        <v>0</v>
      </c>
      <c r="BG287" s="542">
        <v>-2728741</v>
      </c>
      <c r="BH287" s="542">
        <v>-61257</v>
      </c>
      <c r="BI287" s="542">
        <v>0</v>
      </c>
      <c r="BJ287" s="542">
        <v>-61257</v>
      </c>
      <c r="BK287" s="542">
        <v>-21009</v>
      </c>
      <c r="BL287" s="542">
        <v>0</v>
      </c>
      <c r="BM287" s="542">
        <v>-21009</v>
      </c>
      <c r="BN287" s="542">
        <v>-894970</v>
      </c>
      <c r="BO287" s="542">
        <v>0</v>
      </c>
      <c r="BP287" s="542">
        <v>-894970</v>
      </c>
      <c r="BQ287" s="542">
        <v>-16234</v>
      </c>
      <c r="BR287" s="542">
        <v>0</v>
      </c>
      <c r="BS287" s="542">
        <v>-16234</v>
      </c>
      <c r="BT287" s="542">
        <v>-993470</v>
      </c>
      <c r="BU287" s="542">
        <v>0</v>
      </c>
      <c r="BV287" s="542">
        <v>-993470</v>
      </c>
      <c r="BW287" s="542">
        <v>-142113</v>
      </c>
      <c r="BX287" s="542">
        <v>0</v>
      </c>
      <c r="BY287" s="542">
        <v>-142113</v>
      </c>
      <c r="BZ287" s="542">
        <v>-24148</v>
      </c>
      <c r="CA287" s="542">
        <v>0</v>
      </c>
      <c r="CB287" s="542">
        <v>-24148</v>
      </c>
      <c r="CC287" s="542">
        <v>-142697</v>
      </c>
      <c r="CD287" s="542">
        <v>0</v>
      </c>
      <c r="CE287" s="542">
        <v>-142697</v>
      </c>
      <c r="CF287" s="542">
        <v>0</v>
      </c>
      <c r="CG287" s="542">
        <v>0</v>
      </c>
      <c r="CH287" s="542">
        <v>0</v>
      </c>
      <c r="CI287" s="542">
        <v>-6856</v>
      </c>
      <c r="CJ287" s="542">
        <v>0</v>
      </c>
      <c r="CK287" s="542">
        <v>-6856</v>
      </c>
      <c r="CL287" s="542">
        <v>0</v>
      </c>
      <c r="CM287" s="542">
        <v>0</v>
      </c>
      <c r="CN287" s="542">
        <v>0</v>
      </c>
      <c r="CO287" s="542">
        <v>-2324</v>
      </c>
      <c r="CP287" s="542">
        <v>0</v>
      </c>
      <c r="CQ287" s="542">
        <v>-2324</v>
      </c>
      <c r="CR287" s="542">
        <v>0</v>
      </c>
      <c r="CS287" s="542">
        <v>0</v>
      </c>
      <c r="CT287" s="542">
        <v>0</v>
      </c>
      <c r="CU287" s="542">
        <v>0</v>
      </c>
      <c r="CV287" s="542">
        <v>0</v>
      </c>
      <c r="CW287" s="542">
        <v>0</v>
      </c>
      <c r="CX287" s="542">
        <v>0</v>
      </c>
      <c r="CY287" s="542">
        <v>0</v>
      </c>
      <c r="CZ287" s="542">
        <v>0</v>
      </c>
      <c r="DA287" s="542">
        <v>0</v>
      </c>
      <c r="DB287" s="542">
        <v>0</v>
      </c>
      <c r="DC287" s="542">
        <v>0</v>
      </c>
      <c r="DD287" s="542">
        <v>0</v>
      </c>
      <c r="DE287" s="542">
        <v>0</v>
      </c>
      <c r="DF287" s="542">
        <v>0</v>
      </c>
      <c r="DG287" s="542"/>
      <c r="DH287" s="542">
        <v>0</v>
      </c>
      <c r="DI287" s="542"/>
      <c r="DJ287" s="542">
        <v>0</v>
      </c>
      <c r="DK287" s="542"/>
      <c r="DL287" s="542"/>
      <c r="DM287" s="542">
        <v>-318138</v>
      </c>
      <c r="DN287" s="542">
        <v>0</v>
      </c>
      <c r="DO287" s="542">
        <v>-318138</v>
      </c>
      <c r="DP287" s="542">
        <v>0</v>
      </c>
      <c r="DQ287" s="542">
        <v>0</v>
      </c>
      <c r="DR287" s="542">
        <v>0</v>
      </c>
      <c r="DS287" s="542">
        <v>0</v>
      </c>
      <c r="DT287" s="542">
        <v>0</v>
      </c>
      <c r="DU287" s="542">
        <v>0</v>
      </c>
      <c r="DV287" s="542">
        <v>0</v>
      </c>
      <c r="DW287" s="542">
        <v>0</v>
      </c>
      <c r="DX287" s="542">
        <v>0</v>
      </c>
      <c r="DY287" s="542">
        <v>-381344</v>
      </c>
      <c r="DZ287" s="542">
        <v>0</v>
      </c>
      <c r="EA287" s="542">
        <v>-381344</v>
      </c>
      <c r="EB287" s="542">
        <v>0</v>
      </c>
      <c r="EC287" s="542">
        <v>0</v>
      </c>
      <c r="ED287" s="542">
        <v>0</v>
      </c>
      <c r="EE287" s="542">
        <v>0</v>
      </c>
      <c r="EF287" s="542">
        <v>0</v>
      </c>
      <c r="EG287" s="542">
        <v>0</v>
      </c>
      <c r="EH287" s="542">
        <v>-381344</v>
      </c>
      <c r="EI287" s="542">
        <v>0</v>
      </c>
      <c r="EJ287" s="542">
        <v>-381344</v>
      </c>
      <c r="EK287" s="542">
        <v>0</v>
      </c>
      <c r="EL287" s="542">
        <v>0</v>
      </c>
      <c r="EM287" s="542">
        <v>0</v>
      </c>
      <c r="EN287" s="542">
        <v>0</v>
      </c>
      <c r="EO287" s="542">
        <v>0</v>
      </c>
      <c r="EP287" s="542">
        <v>0</v>
      </c>
      <c r="EQ287" s="542">
        <v>0</v>
      </c>
      <c r="ER287" s="542">
        <v>0</v>
      </c>
      <c r="ES287" s="542">
        <v>0</v>
      </c>
      <c r="ET287" s="542">
        <v>30928751</v>
      </c>
      <c r="EU287" s="542">
        <v>0</v>
      </c>
      <c r="EV287" s="542">
        <v>30928751</v>
      </c>
      <c r="EW287" s="542">
        <v>418212</v>
      </c>
      <c r="EX287" s="542">
        <v>0</v>
      </c>
      <c r="EY287" s="542">
        <v>418212</v>
      </c>
      <c r="EZ287" s="542">
        <v>-2728741</v>
      </c>
      <c r="FA287" s="542">
        <v>0</v>
      </c>
      <c r="FB287" s="542">
        <v>-2728741</v>
      </c>
      <c r="FC287" s="542">
        <v>-993470</v>
      </c>
      <c r="FD287" s="542">
        <v>0</v>
      </c>
      <c r="FE287" s="542">
        <v>-993470</v>
      </c>
      <c r="FF287" s="542">
        <v>-318138</v>
      </c>
      <c r="FG287" s="542">
        <v>0</v>
      </c>
      <c r="FH287" s="542">
        <v>-318138</v>
      </c>
      <c r="FI287" s="542">
        <v>-381344</v>
      </c>
      <c r="FJ287" s="542">
        <v>0</v>
      </c>
      <c r="FK287" s="542">
        <v>-381344</v>
      </c>
      <c r="FL287" s="542">
        <v>0</v>
      </c>
      <c r="FM287" s="542">
        <v>0</v>
      </c>
      <c r="FN287" s="542">
        <v>0</v>
      </c>
      <c r="FO287" s="542">
        <v>-4003481</v>
      </c>
      <c r="FP287" s="542">
        <v>0</v>
      </c>
      <c r="FQ287" s="542">
        <v>-4003481</v>
      </c>
      <c r="FR287" s="542">
        <v>26925270</v>
      </c>
      <c r="FS287" s="542">
        <v>0</v>
      </c>
      <c r="FT287" s="542">
        <v>26925270</v>
      </c>
    </row>
    <row r="288" spans="1:176" ht="12.75" x14ac:dyDescent="0.2">
      <c r="A288" s="93">
        <v>283</v>
      </c>
      <c r="B288" s="145" t="s">
        <v>444</v>
      </c>
      <c r="C288" s="604" t="s">
        <v>770</v>
      </c>
      <c r="D288" s="142" t="s">
        <v>870</v>
      </c>
      <c r="E288" s="149" t="s">
        <v>731</v>
      </c>
      <c r="F288" s="542">
        <v>-694120</v>
      </c>
      <c r="G288" s="542">
        <v>0</v>
      </c>
      <c r="H288" s="542">
        <v>-694120</v>
      </c>
      <c r="I288" s="542">
        <v>28886</v>
      </c>
      <c r="J288" s="542">
        <v>0</v>
      </c>
      <c r="K288" s="542">
        <v>28886</v>
      </c>
      <c r="L288" s="542">
        <v>15520</v>
      </c>
      <c r="M288" s="542">
        <v>0</v>
      </c>
      <c r="N288" s="542">
        <v>15520</v>
      </c>
      <c r="O288" s="542">
        <v>60585</v>
      </c>
      <c r="P288" s="542">
        <v>0</v>
      </c>
      <c r="Q288" s="542">
        <v>60585</v>
      </c>
      <c r="R288" s="542">
        <v>-589129</v>
      </c>
      <c r="S288" s="542">
        <v>0</v>
      </c>
      <c r="T288" s="542">
        <v>-589129</v>
      </c>
      <c r="U288" s="542">
        <v>-2115379</v>
      </c>
      <c r="V288" s="542">
        <v>0</v>
      </c>
      <c r="W288" s="542">
        <v>-2115379</v>
      </c>
      <c r="X288" s="542">
        <v>-2934</v>
      </c>
      <c r="Y288" s="542">
        <v>0</v>
      </c>
      <c r="Z288" s="542">
        <v>-2934</v>
      </c>
      <c r="AA288" s="542">
        <v>-214805</v>
      </c>
      <c r="AB288" s="542">
        <v>0</v>
      </c>
      <c r="AC288" s="542">
        <v>-214805</v>
      </c>
      <c r="AD288" s="542">
        <v>-273</v>
      </c>
      <c r="AE288" s="542">
        <v>0</v>
      </c>
      <c r="AF288" s="542">
        <v>-273</v>
      </c>
      <c r="AG288" s="542">
        <v>2680228</v>
      </c>
      <c r="AH288" s="542">
        <v>0</v>
      </c>
      <c r="AI288" s="542">
        <v>2680228</v>
      </c>
      <c r="AJ288" s="542">
        <v>70093</v>
      </c>
      <c r="AK288" s="542">
        <v>0</v>
      </c>
      <c r="AL288" s="542">
        <v>70093</v>
      </c>
      <c r="AM288" s="542">
        <v>-3338138</v>
      </c>
      <c r="AN288" s="542">
        <v>0</v>
      </c>
      <c r="AO288" s="542">
        <v>-3338138</v>
      </c>
      <c r="AP288" s="542">
        <v>-210218</v>
      </c>
      <c r="AQ288" s="542">
        <v>0</v>
      </c>
      <c r="AR288" s="542">
        <v>-210218</v>
      </c>
      <c r="AS288" s="542">
        <v>-33885</v>
      </c>
      <c r="AT288" s="542">
        <v>0</v>
      </c>
      <c r="AU288" s="542">
        <v>-33885</v>
      </c>
      <c r="AV288" s="542">
        <v>0</v>
      </c>
      <c r="AW288" s="542">
        <v>0</v>
      </c>
      <c r="AX288" s="542">
        <v>0</v>
      </c>
      <c r="AY288" s="542">
        <v>0</v>
      </c>
      <c r="AZ288" s="542">
        <v>0</v>
      </c>
      <c r="BA288" s="542">
        <v>0</v>
      </c>
      <c r="BB288" s="542">
        <v>0</v>
      </c>
      <c r="BC288" s="542">
        <v>0</v>
      </c>
      <c r="BD288" s="542">
        <v>0</v>
      </c>
      <c r="BE288" s="542">
        <v>-3162104</v>
      </c>
      <c r="BF288" s="542">
        <v>0</v>
      </c>
      <c r="BG288" s="542">
        <v>-3162104</v>
      </c>
      <c r="BH288" s="542">
        <v>-41829</v>
      </c>
      <c r="BI288" s="542">
        <v>0</v>
      </c>
      <c r="BJ288" s="542">
        <v>-41829</v>
      </c>
      <c r="BK288" s="542">
        <v>1495844</v>
      </c>
      <c r="BL288" s="542">
        <v>0</v>
      </c>
      <c r="BM288" s="542">
        <v>1495844</v>
      </c>
      <c r="BN288" s="542">
        <v>-10026578</v>
      </c>
      <c r="BO288" s="542">
        <v>0</v>
      </c>
      <c r="BP288" s="542">
        <v>-10026578</v>
      </c>
      <c r="BQ288" s="542">
        <v>-308170</v>
      </c>
      <c r="BR288" s="542">
        <v>0</v>
      </c>
      <c r="BS288" s="542">
        <v>-308170</v>
      </c>
      <c r="BT288" s="542">
        <v>-8880733</v>
      </c>
      <c r="BU288" s="542">
        <v>0</v>
      </c>
      <c r="BV288" s="542">
        <v>-8880733</v>
      </c>
      <c r="BW288" s="542">
        <v>-40529</v>
      </c>
      <c r="BX288" s="542">
        <v>0</v>
      </c>
      <c r="BY288" s="542">
        <v>-40529</v>
      </c>
      <c r="BZ288" s="542">
        <v>94</v>
      </c>
      <c r="CA288" s="542">
        <v>0</v>
      </c>
      <c r="CB288" s="542">
        <v>94</v>
      </c>
      <c r="CC288" s="542">
        <v>-26872</v>
      </c>
      <c r="CD288" s="542">
        <v>0</v>
      </c>
      <c r="CE288" s="542">
        <v>-26872</v>
      </c>
      <c r="CF288" s="542">
        <v>0</v>
      </c>
      <c r="CG288" s="542">
        <v>0</v>
      </c>
      <c r="CH288" s="542">
        <v>0</v>
      </c>
      <c r="CI288" s="542">
        <v>-913</v>
      </c>
      <c r="CJ288" s="542">
        <v>0</v>
      </c>
      <c r="CK288" s="542">
        <v>-913</v>
      </c>
      <c r="CL288" s="542">
        <v>0</v>
      </c>
      <c r="CM288" s="542">
        <v>0</v>
      </c>
      <c r="CN288" s="542">
        <v>0</v>
      </c>
      <c r="CO288" s="542">
        <v>0</v>
      </c>
      <c r="CP288" s="542">
        <v>0</v>
      </c>
      <c r="CQ288" s="542">
        <v>0</v>
      </c>
      <c r="CR288" s="542">
        <v>0</v>
      </c>
      <c r="CS288" s="542">
        <v>0</v>
      </c>
      <c r="CT288" s="542">
        <v>0</v>
      </c>
      <c r="CU288" s="542">
        <v>0</v>
      </c>
      <c r="CV288" s="542">
        <v>0</v>
      </c>
      <c r="CW288" s="542">
        <v>0</v>
      </c>
      <c r="CX288" s="542">
        <v>0</v>
      </c>
      <c r="CY288" s="542">
        <v>0</v>
      </c>
      <c r="CZ288" s="542">
        <v>0</v>
      </c>
      <c r="DA288" s="542">
        <v>0</v>
      </c>
      <c r="DB288" s="542">
        <v>0</v>
      </c>
      <c r="DC288" s="542">
        <v>0</v>
      </c>
      <c r="DD288" s="542">
        <v>0</v>
      </c>
      <c r="DE288" s="542">
        <v>0</v>
      </c>
      <c r="DF288" s="542">
        <v>0</v>
      </c>
      <c r="DG288" s="542"/>
      <c r="DH288" s="542">
        <v>0</v>
      </c>
      <c r="DI288" s="542"/>
      <c r="DJ288" s="542">
        <v>0</v>
      </c>
      <c r="DK288" s="542"/>
      <c r="DL288" s="542"/>
      <c r="DM288" s="542">
        <v>-68220</v>
      </c>
      <c r="DN288" s="542">
        <v>0</v>
      </c>
      <c r="DO288" s="542">
        <v>-68220</v>
      </c>
      <c r="DP288" s="542">
        <v>0</v>
      </c>
      <c r="DQ288" s="542">
        <v>0</v>
      </c>
      <c r="DR288" s="542">
        <v>0</v>
      </c>
      <c r="DS288" s="542">
        <v>0</v>
      </c>
      <c r="DT288" s="542">
        <v>0</v>
      </c>
      <c r="DU288" s="542">
        <v>0</v>
      </c>
      <c r="DV288" s="542">
        <v>-1077</v>
      </c>
      <c r="DW288" s="542">
        <v>0</v>
      </c>
      <c r="DX288" s="542">
        <v>-1077</v>
      </c>
      <c r="DY288" s="542">
        <v>-250295</v>
      </c>
      <c r="DZ288" s="542">
        <v>0</v>
      </c>
      <c r="EA288" s="542">
        <v>-250295</v>
      </c>
      <c r="EB288" s="542">
        <v>0</v>
      </c>
      <c r="EC288" s="542">
        <v>0</v>
      </c>
      <c r="ED288" s="542">
        <v>0</v>
      </c>
      <c r="EE288" s="542">
        <v>0</v>
      </c>
      <c r="EF288" s="542">
        <v>0</v>
      </c>
      <c r="EG288" s="542">
        <v>0</v>
      </c>
      <c r="EH288" s="542">
        <v>-251372</v>
      </c>
      <c r="EI288" s="542">
        <v>0</v>
      </c>
      <c r="EJ288" s="542">
        <v>-251372</v>
      </c>
      <c r="EK288" s="542">
        <v>0</v>
      </c>
      <c r="EL288" s="542">
        <v>0</v>
      </c>
      <c r="EM288" s="542">
        <v>0</v>
      </c>
      <c r="EN288" s="542">
        <v>0</v>
      </c>
      <c r="EO288" s="542">
        <v>0</v>
      </c>
      <c r="EP288" s="542">
        <v>0</v>
      </c>
      <c r="EQ288" s="542">
        <v>0</v>
      </c>
      <c r="ER288" s="542">
        <v>0</v>
      </c>
      <c r="ES288" s="542">
        <v>0</v>
      </c>
      <c r="ET288" s="542">
        <v>115836400</v>
      </c>
      <c r="EU288" s="542">
        <v>0</v>
      </c>
      <c r="EV288" s="542">
        <v>115836400</v>
      </c>
      <c r="EW288" s="542">
        <v>-589129</v>
      </c>
      <c r="EX288" s="542">
        <v>0</v>
      </c>
      <c r="EY288" s="542">
        <v>-589129</v>
      </c>
      <c r="EZ288" s="542">
        <v>-3162104</v>
      </c>
      <c r="FA288" s="542">
        <v>0</v>
      </c>
      <c r="FB288" s="542">
        <v>-3162104</v>
      </c>
      <c r="FC288" s="542">
        <v>-8880733</v>
      </c>
      <c r="FD288" s="542">
        <v>0</v>
      </c>
      <c r="FE288" s="542">
        <v>-8880733</v>
      </c>
      <c r="FF288" s="542">
        <v>-68220</v>
      </c>
      <c r="FG288" s="542">
        <v>0</v>
      </c>
      <c r="FH288" s="542">
        <v>-68220</v>
      </c>
      <c r="FI288" s="542">
        <v>-251372</v>
      </c>
      <c r="FJ288" s="542">
        <v>0</v>
      </c>
      <c r="FK288" s="542">
        <v>-251372</v>
      </c>
      <c r="FL288" s="542">
        <v>0</v>
      </c>
      <c r="FM288" s="542">
        <v>0</v>
      </c>
      <c r="FN288" s="542">
        <v>0</v>
      </c>
      <c r="FO288" s="542">
        <v>-12951558</v>
      </c>
      <c r="FP288" s="542">
        <v>0</v>
      </c>
      <c r="FQ288" s="542">
        <v>-12951558</v>
      </c>
      <c r="FR288" s="542">
        <v>102884842</v>
      </c>
      <c r="FS288" s="542">
        <v>0</v>
      </c>
      <c r="FT288" s="542">
        <v>102884842</v>
      </c>
    </row>
    <row r="289" spans="1:176" ht="12.75" x14ac:dyDescent="0.2">
      <c r="A289" s="93">
        <v>284</v>
      </c>
      <c r="B289" s="145" t="s">
        <v>446</v>
      </c>
      <c r="C289" s="604" t="s">
        <v>866</v>
      </c>
      <c r="D289" s="142" t="s">
        <v>867</v>
      </c>
      <c r="E289" s="149" t="s">
        <v>732</v>
      </c>
      <c r="F289" s="542">
        <v>-90611</v>
      </c>
      <c r="G289" s="542">
        <v>0</v>
      </c>
      <c r="H289" s="542">
        <v>-90611</v>
      </c>
      <c r="I289" s="542">
        <v>72428</v>
      </c>
      <c r="J289" s="542">
        <v>0</v>
      </c>
      <c r="K289" s="542">
        <v>72428</v>
      </c>
      <c r="L289" s="542">
        <v>0</v>
      </c>
      <c r="M289" s="542">
        <v>0</v>
      </c>
      <c r="N289" s="542">
        <v>0</v>
      </c>
      <c r="O289" s="542">
        <v>30784</v>
      </c>
      <c r="P289" s="542">
        <v>0</v>
      </c>
      <c r="Q289" s="542">
        <v>30784</v>
      </c>
      <c r="R289" s="542">
        <v>12601</v>
      </c>
      <c r="S289" s="542">
        <v>0</v>
      </c>
      <c r="T289" s="542">
        <v>12601</v>
      </c>
      <c r="U289" s="542">
        <v>-1709826</v>
      </c>
      <c r="V289" s="542">
        <v>0</v>
      </c>
      <c r="W289" s="542">
        <v>-1709826</v>
      </c>
      <c r="X289" s="542">
        <v>0</v>
      </c>
      <c r="Y289" s="542">
        <v>0</v>
      </c>
      <c r="Z289" s="542">
        <v>0</v>
      </c>
      <c r="AA289" s="542">
        <v>-159240</v>
      </c>
      <c r="AB289" s="542">
        <v>0</v>
      </c>
      <c r="AC289" s="542">
        <v>-159240</v>
      </c>
      <c r="AD289" s="542">
        <v>-57379</v>
      </c>
      <c r="AE289" s="542">
        <v>0</v>
      </c>
      <c r="AF289" s="542">
        <v>-57379</v>
      </c>
      <c r="AG289" s="542">
        <v>1312018</v>
      </c>
      <c r="AH289" s="542">
        <v>0</v>
      </c>
      <c r="AI289" s="542">
        <v>1312018</v>
      </c>
      <c r="AJ289" s="542">
        <v>71032</v>
      </c>
      <c r="AK289" s="542">
        <v>0</v>
      </c>
      <c r="AL289" s="542">
        <v>71032</v>
      </c>
      <c r="AM289" s="542">
        <v>-4648903</v>
      </c>
      <c r="AN289" s="542">
        <v>0</v>
      </c>
      <c r="AO289" s="542">
        <v>-4648903</v>
      </c>
      <c r="AP289" s="542">
        <v>14777</v>
      </c>
      <c r="AQ289" s="542">
        <v>0</v>
      </c>
      <c r="AR289" s="542">
        <v>14777</v>
      </c>
      <c r="AS289" s="542">
        <v>-85658</v>
      </c>
      <c r="AT289" s="542">
        <v>0</v>
      </c>
      <c r="AU289" s="542">
        <v>-85658</v>
      </c>
      <c r="AV289" s="542">
        <v>0</v>
      </c>
      <c r="AW289" s="542">
        <v>0</v>
      </c>
      <c r="AX289" s="542">
        <v>0</v>
      </c>
      <c r="AY289" s="542">
        <v>-10024</v>
      </c>
      <c r="AZ289" s="542">
        <v>0</v>
      </c>
      <c r="BA289" s="542">
        <v>-10024</v>
      </c>
      <c r="BB289" s="542">
        <v>0</v>
      </c>
      <c r="BC289" s="542">
        <v>0</v>
      </c>
      <c r="BD289" s="542">
        <v>0</v>
      </c>
      <c r="BE289" s="542">
        <v>-5215824</v>
      </c>
      <c r="BF289" s="542">
        <v>0</v>
      </c>
      <c r="BG289" s="542">
        <v>-5215824</v>
      </c>
      <c r="BH289" s="542">
        <v>-15791</v>
      </c>
      <c r="BI289" s="542">
        <v>0</v>
      </c>
      <c r="BJ289" s="542">
        <v>-15791</v>
      </c>
      <c r="BK289" s="542">
        <v>-96040</v>
      </c>
      <c r="BL289" s="542">
        <v>0</v>
      </c>
      <c r="BM289" s="542">
        <v>-96040</v>
      </c>
      <c r="BN289" s="542">
        <v>-1624303</v>
      </c>
      <c r="BO289" s="542">
        <v>0</v>
      </c>
      <c r="BP289" s="542">
        <v>-1624303</v>
      </c>
      <c r="BQ289" s="542">
        <v>73211</v>
      </c>
      <c r="BR289" s="542">
        <v>0</v>
      </c>
      <c r="BS289" s="542">
        <v>73211</v>
      </c>
      <c r="BT289" s="542">
        <v>-1662923</v>
      </c>
      <c r="BU289" s="542">
        <v>0</v>
      </c>
      <c r="BV289" s="542">
        <v>-1662923</v>
      </c>
      <c r="BW289" s="542">
        <v>-129498</v>
      </c>
      <c r="BX289" s="542">
        <v>0</v>
      </c>
      <c r="BY289" s="542">
        <v>-129498</v>
      </c>
      <c r="BZ289" s="542">
        <v>-719</v>
      </c>
      <c r="CA289" s="542">
        <v>0</v>
      </c>
      <c r="CB289" s="542">
        <v>-719</v>
      </c>
      <c r="CC289" s="542">
        <v>-14664</v>
      </c>
      <c r="CD289" s="542">
        <v>0</v>
      </c>
      <c r="CE289" s="542">
        <v>-14664</v>
      </c>
      <c r="CF289" s="542">
        <v>-11063</v>
      </c>
      <c r="CG289" s="542">
        <v>0</v>
      </c>
      <c r="CH289" s="542">
        <v>-11063</v>
      </c>
      <c r="CI289" s="542">
        <v>-17997</v>
      </c>
      <c r="CJ289" s="542">
        <v>0</v>
      </c>
      <c r="CK289" s="542">
        <v>-17997</v>
      </c>
      <c r="CL289" s="542">
        <v>0</v>
      </c>
      <c r="CM289" s="542">
        <v>0</v>
      </c>
      <c r="CN289" s="542">
        <v>0</v>
      </c>
      <c r="CO289" s="542">
        <v>-3180</v>
      </c>
      <c r="CP289" s="542">
        <v>0</v>
      </c>
      <c r="CQ289" s="542">
        <v>-3180</v>
      </c>
      <c r="CR289" s="542">
        <v>0</v>
      </c>
      <c r="CS289" s="542">
        <v>0</v>
      </c>
      <c r="CT289" s="542">
        <v>0</v>
      </c>
      <c r="CU289" s="542">
        <v>-13000</v>
      </c>
      <c r="CV289" s="542">
        <v>0</v>
      </c>
      <c r="CW289" s="542">
        <v>-13000</v>
      </c>
      <c r="CX289" s="542">
        <v>4996</v>
      </c>
      <c r="CY289" s="542">
        <v>0</v>
      </c>
      <c r="CZ289" s="542">
        <v>4996</v>
      </c>
      <c r="DA289" s="542">
        <v>0</v>
      </c>
      <c r="DB289" s="542">
        <v>0</v>
      </c>
      <c r="DC289" s="542">
        <v>0</v>
      </c>
      <c r="DD289" s="542">
        <v>0</v>
      </c>
      <c r="DE289" s="542">
        <v>0</v>
      </c>
      <c r="DF289" s="542">
        <v>0</v>
      </c>
      <c r="DG289" s="542"/>
      <c r="DH289" s="542">
        <v>0</v>
      </c>
      <c r="DI289" s="542"/>
      <c r="DJ289" s="542">
        <v>0</v>
      </c>
      <c r="DK289" s="542"/>
      <c r="DL289" s="542"/>
      <c r="DM289" s="542">
        <v>-185125</v>
      </c>
      <c r="DN289" s="542">
        <v>0</v>
      </c>
      <c r="DO289" s="542">
        <v>-185125</v>
      </c>
      <c r="DP289" s="542">
        <v>-25263</v>
      </c>
      <c r="DQ289" s="542">
        <v>0</v>
      </c>
      <c r="DR289" s="542">
        <v>-25263</v>
      </c>
      <c r="DS289" s="542">
        <v>0</v>
      </c>
      <c r="DT289" s="542">
        <v>0</v>
      </c>
      <c r="DU289" s="542">
        <v>0</v>
      </c>
      <c r="DV289" s="542">
        <v>-3699</v>
      </c>
      <c r="DW289" s="542">
        <v>0</v>
      </c>
      <c r="DX289" s="542">
        <v>-3699</v>
      </c>
      <c r="DY289" s="542">
        <v>-438320</v>
      </c>
      <c r="DZ289" s="542">
        <v>0</v>
      </c>
      <c r="EA289" s="542">
        <v>-438320</v>
      </c>
      <c r="EB289" s="542">
        <v>-108920</v>
      </c>
      <c r="EC289" s="542">
        <v>0</v>
      </c>
      <c r="ED289" s="542">
        <v>-108920</v>
      </c>
      <c r="EE289" s="542">
        <v>0</v>
      </c>
      <c r="EF289" s="542">
        <v>0</v>
      </c>
      <c r="EG289" s="542">
        <v>0</v>
      </c>
      <c r="EH289" s="542">
        <v>-576202</v>
      </c>
      <c r="EI289" s="542">
        <v>0</v>
      </c>
      <c r="EJ289" s="542">
        <v>-576202</v>
      </c>
      <c r="EK289" s="542">
        <v>0</v>
      </c>
      <c r="EL289" s="542">
        <v>0</v>
      </c>
      <c r="EM289" s="542">
        <v>0</v>
      </c>
      <c r="EN289" s="542">
        <v>0</v>
      </c>
      <c r="EO289" s="542">
        <v>0</v>
      </c>
      <c r="EP289" s="542">
        <v>0</v>
      </c>
      <c r="EQ289" s="542">
        <v>0</v>
      </c>
      <c r="ER289" s="542">
        <v>0</v>
      </c>
      <c r="ES289" s="542">
        <v>0</v>
      </c>
      <c r="ET289" s="542">
        <v>61398316</v>
      </c>
      <c r="EU289" s="542">
        <v>0</v>
      </c>
      <c r="EV289" s="542">
        <v>61398316</v>
      </c>
      <c r="EW289" s="542">
        <v>12601</v>
      </c>
      <c r="EX289" s="542">
        <v>0</v>
      </c>
      <c r="EY289" s="542">
        <v>12601</v>
      </c>
      <c r="EZ289" s="542">
        <v>-5215824</v>
      </c>
      <c r="FA289" s="542">
        <v>0</v>
      </c>
      <c r="FB289" s="542">
        <v>-5215824</v>
      </c>
      <c r="FC289" s="542">
        <v>-1662923</v>
      </c>
      <c r="FD289" s="542">
        <v>0</v>
      </c>
      <c r="FE289" s="542">
        <v>-1662923</v>
      </c>
      <c r="FF289" s="542">
        <v>-185125</v>
      </c>
      <c r="FG289" s="542">
        <v>0</v>
      </c>
      <c r="FH289" s="542">
        <v>-185125</v>
      </c>
      <c r="FI289" s="542">
        <v>-576202</v>
      </c>
      <c r="FJ289" s="542">
        <v>0</v>
      </c>
      <c r="FK289" s="542">
        <v>-576202</v>
      </c>
      <c r="FL289" s="542">
        <v>0</v>
      </c>
      <c r="FM289" s="542">
        <v>0</v>
      </c>
      <c r="FN289" s="542">
        <v>0</v>
      </c>
      <c r="FO289" s="542">
        <v>-7627473</v>
      </c>
      <c r="FP289" s="542">
        <v>0</v>
      </c>
      <c r="FQ289" s="542">
        <v>-7627473</v>
      </c>
      <c r="FR289" s="542">
        <v>53770843</v>
      </c>
      <c r="FS289" s="542">
        <v>0</v>
      </c>
      <c r="FT289" s="542">
        <v>53770843</v>
      </c>
    </row>
    <row r="290" spans="1:176" ht="12.75" x14ac:dyDescent="0.2">
      <c r="A290" s="93">
        <v>285</v>
      </c>
      <c r="B290" s="145" t="s">
        <v>448</v>
      </c>
      <c r="C290" s="604" t="s">
        <v>770</v>
      </c>
      <c r="D290" s="142" t="s">
        <v>875</v>
      </c>
      <c r="E290" s="149" t="s">
        <v>733</v>
      </c>
      <c r="F290" s="542">
        <v>-71693</v>
      </c>
      <c r="G290" s="542">
        <v>0</v>
      </c>
      <c r="H290" s="542">
        <v>-71693</v>
      </c>
      <c r="I290" s="542">
        <v>78702</v>
      </c>
      <c r="J290" s="542">
        <v>0</v>
      </c>
      <c r="K290" s="542">
        <v>78702</v>
      </c>
      <c r="L290" s="542">
        <v>13901</v>
      </c>
      <c r="M290" s="542">
        <v>0</v>
      </c>
      <c r="N290" s="542">
        <v>13901</v>
      </c>
      <c r="O290" s="542">
        <v>150890</v>
      </c>
      <c r="P290" s="542">
        <v>0</v>
      </c>
      <c r="Q290" s="542">
        <v>150890</v>
      </c>
      <c r="R290" s="542">
        <v>171800</v>
      </c>
      <c r="S290" s="542">
        <v>0</v>
      </c>
      <c r="T290" s="542">
        <v>171800</v>
      </c>
      <c r="U290" s="542">
        <v>-4180264</v>
      </c>
      <c r="V290" s="542">
        <v>0</v>
      </c>
      <c r="W290" s="542">
        <v>-4180264</v>
      </c>
      <c r="X290" s="542">
        <v>0</v>
      </c>
      <c r="Y290" s="542">
        <v>0</v>
      </c>
      <c r="Z290" s="542">
        <v>0</v>
      </c>
      <c r="AA290" s="542">
        <v>-174537</v>
      </c>
      <c r="AB290" s="542">
        <v>0</v>
      </c>
      <c r="AC290" s="542">
        <v>-174537</v>
      </c>
      <c r="AD290" s="542">
        <v>0</v>
      </c>
      <c r="AE290" s="542">
        <v>0</v>
      </c>
      <c r="AF290" s="542">
        <v>0</v>
      </c>
      <c r="AG290" s="542">
        <v>848761</v>
      </c>
      <c r="AH290" s="542">
        <v>0</v>
      </c>
      <c r="AI290" s="542">
        <v>848761</v>
      </c>
      <c r="AJ290" s="542">
        <v>-34749</v>
      </c>
      <c r="AK290" s="542">
        <v>0</v>
      </c>
      <c r="AL290" s="542">
        <v>-34749</v>
      </c>
      <c r="AM290" s="542">
        <v>-3349367</v>
      </c>
      <c r="AN290" s="542">
        <v>0</v>
      </c>
      <c r="AO290" s="542">
        <v>-3349367</v>
      </c>
      <c r="AP290" s="542">
        <v>459159</v>
      </c>
      <c r="AQ290" s="542">
        <v>0</v>
      </c>
      <c r="AR290" s="542">
        <v>459159</v>
      </c>
      <c r="AS290" s="542">
        <v>-146788</v>
      </c>
      <c r="AT290" s="542">
        <v>0</v>
      </c>
      <c r="AU290" s="542">
        <v>-146788</v>
      </c>
      <c r="AV290" s="542">
        <v>0</v>
      </c>
      <c r="AW290" s="542">
        <v>0</v>
      </c>
      <c r="AX290" s="542">
        <v>0</v>
      </c>
      <c r="AY290" s="542">
        <v>0</v>
      </c>
      <c r="AZ290" s="542">
        <v>0</v>
      </c>
      <c r="BA290" s="542">
        <v>0</v>
      </c>
      <c r="BB290" s="542">
        <v>0</v>
      </c>
      <c r="BC290" s="542">
        <v>0</v>
      </c>
      <c r="BD290" s="542">
        <v>0</v>
      </c>
      <c r="BE290" s="542">
        <v>-6577785</v>
      </c>
      <c r="BF290" s="542">
        <v>0</v>
      </c>
      <c r="BG290" s="542">
        <v>-6577785</v>
      </c>
      <c r="BH290" s="542">
        <v>-2072</v>
      </c>
      <c r="BI290" s="542">
        <v>0</v>
      </c>
      <c r="BJ290" s="542">
        <v>-2072</v>
      </c>
      <c r="BK290" s="542">
        <v>-5548</v>
      </c>
      <c r="BL290" s="542">
        <v>0</v>
      </c>
      <c r="BM290" s="542">
        <v>-5548</v>
      </c>
      <c r="BN290" s="542">
        <v>-1331869</v>
      </c>
      <c r="BO290" s="542">
        <v>0</v>
      </c>
      <c r="BP290" s="542">
        <v>-1331869</v>
      </c>
      <c r="BQ290" s="542">
        <v>-39110</v>
      </c>
      <c r="BR290" s="542">
        <v>0</v>
      </c>
      <c r="BS290" s="542">
        <v>-39110</v>
      </c>
      <c r="BT290" s="542">
        <v>-1378599</v>
      </c>
      <c r="BU290" s="542">
        <v>0</v>
      </c>
      <c r="BV290" s="542">
        <v>-1378599</v>
      </c>
      <c r="BW290" s="542">
        <v>-70066</v>
      </c>
      <c r="BX290" s="542">
        <v>0</v>
      </c>
      <c r="BY290" s="542">
        <v>-70066</v>
      </c>
      <c r="BZ290" s="542">
        <v>-216</v>
      </c>
      <c r="CA290" s="542">
        <v>0</v>
      </c>
      <c r="CB290" s="542">
        <v>-216</v>
      </c>
      <c r="CC290" s="542">
        <v>-307713</v>
      </c>
      <c r="CD290" s="542">
        <v>0</v>
      </c>
      <c r="CE290" s="542">
        <v>-307713</v>
      </c>
      <c r="CF290" s="542">
        <v>118189</v>
      </c>
      <c r="CG290" s="542">
        <v>0</v>
      </c>
      <c r="CH290" s="542">
        <v>118189</v>
      </c>
      <c r="CI290" s="542">
        <v>-4891</v>
      </c>
      <c r="CJ290" s="542">
        <v>0</v>
      </c>
      <c r="CK290" s="542">
        <v>-4891</v>
      </c>
      <c r="CL290" s="542">
        <v>0</v>
      </c>
      <c r="CM290" s="542">
        <v>0</v>
      </c>
      <c r="CN290" s="542">
        <v>0</v>
      </c>
      <c r="CO290" s="542">
        <v>0</v>
      </c>
      <c r="CP290" s="542">
        <v>0</v>
      </c>
      <c r="CQ290" s="542">
        <v>0</v>
      </c>
      <c r="CR290" s="542">
        <v>0</v>
      </c>
      <c r="CS290" s="542">
        <v>0</v>
      </c>
      <c r="CT290" s="542">
        <v>0</v>
      </c>
      <c r="CU290" s="542">
        <v>0</v>
      </c>
      <c r="CV290" s="542">
        <v>0</v>
      </c>
      <c r="CW290" s="542">
        <v>0</v>
      </c>
      <c r="CX290" s="542">
        <v>0</v>
      </c>
      <c r="CY290" s="542">
        <v>0</v>
      </c>
      <c r="CZ290" s="542">
        <v>0</v>
      </c>
      <c r="DA290" s="542">
        <v>0</v>
      </c>
      <c r="DB290" s="542">
        <v>0</v>
      </c>
      <c r="DC290" s="542">
        <v>0</v>
      </c>
      <c r="DD290" s="542">
        <v>0</v>
      </c>
      <c r="DE290" s="542">
        <v>0</v>
      </c>
      <c r="DF290" s="542">
        <v>0</v>
      </c>
      <c r="DG290" s="542"/>
      <c r="DH290" s="542">
        <v>0</v>
      </c>
      <c r="DI290" s="542"/>
      <c r="DJ290" s="542">
        <v>0</v>
      </c>
      <c r="DK290" s="542"/>
      <c r="DL290" s="542"/>
      <c r="DM290" s="542">
        <v>-264697</v>
      </c>
      <c r="DN290" s="542">
        <v>0</v>
      </c>
      <c r="DO290" s="542">
        <v>-264697</v>
      </c>
      <c r="DP290" s="542">
        <v>-23803</v>
      </c>
      <c r="DQ290" s="542">
        <v>0</v>
      </c>
      <c r="DR290" s="542">
        <v>-23803</v>
      </c>
      <c r="DS290" s="542">
        <v>0</v>
      </c>
      <c r="DT290" s="542">
        <v>0</v>
      </c>
      <c r="DU290" s="542">
        <v>0</v>
      </c>
      <c r="DV290" s="542">
        <v>-284</v>
      </c>
      <c r="DW290" s="542">
        <v>0</v>
      </c>
      <c r="DX290" s="542">
        <v>-284</v>
      </c>
      <c r="DY290" s="542">
        <v>-528720</v>
      </c>
      <c r="DZ290" s="542">
        <v>0</v>
      </c>
      <c r="EA290" s="542">
        <v>-528720</v>
      </c>
      <c r="EB290" s="542">
        <v>-5402</v>
      </c>
      <c r="EC290" s="542">
        <v>0</v>
      </c>
      <c r="ED290" s="542">
        <v>-5402</v>
      </c>
      <c r="EE290" s="542">
        <v>-13278</v>
      </c>
      <c r="EF290" s="542">
        <v>0</v>
      </c>
      <c r="EG290" s="542">
        <v>-13278</v>
      </c>
      <c r="EH290" s="542">
        <v>-571487</v>
      </c>
      <c r="EI290" s="542">
        <v>0</v>
      </c>
      <c r="EJ290" s="542">
        <v>-571487</v>
      </c>
      <c r="EK290" s="542">
        <v>0</v>
      </c>
      <c r="EL290" s="542">
        <v>0</v>
      </c>
      <c r="EM290" s="542">
        <v>0</v>
      </c>
      <c r="EN290" s="542">
        <v>0</v>
      </c>
      <c r="EO290" s="542">
        <v>0</v>
      </c>
      <c r="EP290" s="542">
        <v>0</v>
      </c>
      <c r="EQ290" s="542">
        <v>0</v>
      </c>
      <c r="ER290" s="542">
        <v>0</v>
      </c>
      <c r="ES290" s="542">
        <v>0</v>
      </c>
      <c r="ET290" s="542">
        <v>44361516</v>
      </c>
      <c r="EU290" s="542">
        <v>0</v>
      </c>
      <c r="EV290" s="542">
        <v>44361516</v>
      </c>
      <c r="EW290" s="542">
        <v>171800</v>
      </c>
      <c r="EX290" s="542">
        <v>0</v>
      </c>
      <c r="EY290" s="542">
        <v>171800</v>
      </c>
      <c r="EZ290" s="542">
        <v>-6577785</v>
      </c>
      <c r="FA290" s="542">
        <v>0</v>
      </c>
      <c r="FB290" s="542">
        <v>-6577785</v>
      </c>
      <c r="FC290" s="542">
        <v>-1378599</v>
      </c>
      <c r="FD290" s="542">
        <v>0</v>
      </c>
      <c r="FE290" s="542">
        <v>-1378599</v>
      </c>
      <c r="FF290" s="542">
        <v>-264697</v>
      </c>
      <c r="FG290" s="542">
        <v>0</v>
      </c>
      <c r="FH290" s="542">
        <v>-264697</v>
      </c>
      <c r="FI290" s="542">
        <v>-571487</v>
      </c>
      <c r="FJ290" s="542">
        <v>0</v>
      </c>
      <c r="FK290" s="542">
        <v>-571487</v>
      </c>
      <c r="FL290" s="542">
        <v>0</v>
      </c>
      <c r="FM290" s="542">
        <v>0</v>
      </c>
      <c r="FN290" s="542">
        <v>0</v>
      </c>
      <c r="FO290" s="542">
        <v>-8620768</v>
      </c>
      <c r="FP290" s="542">
        <v>0</v>
      </c>
      <c r="FQ290" s="542">
        <v>-8620768</v>
      </c>
      <c r="FR290" s="542">
        <v>35740748</v>
      </c>
      <c r="FS290" s="542">
        <v>0</v>
      </c>
      <c r="FT290" s="542">
        <v>35740748</v>
      </c>
    </row>
    <row r="291" spans="1:176" ht="12.75" x14ac:dyDescent="0.2">
      <c r="A291" s="93">
        <v>286</v>
      </c>
      <c r="B291" s="145" t="s">
        <v>450</v>
      </c>
      <c r="C291" s="604" t="s">
        <v>866</v>
      </c>
      <c r="D291" s="142" t="s">
        <v>875</v>
      </c>
      <c r="E291" s="149" t="s">
        <v>449</v>
      </c>
      <c r="F291" s="542">
        <v>-148317</v>
      </c>
      <c r="G291" s="542">
        <v>0</v>
      </c>
      <c r="H291" s="542">
        <v>-148317</v>
      </c>
      <c r="I291" s="542">
        <v>54250</v>
      </c>
      <c r="J291" s="542">
        <v>0</v>
      </c>
      <c r="K291" s="542">
        <v>54250</v>
      </c>
      <c r="L291" s="542">
        <v>5352</v>
      </c>
      <c r="M291" s="542">
        <v>0</v>
      </c>
      <c r="N291" s="542">
        <v>5352</v>
      </c>
      <c r="O291" s="542">
        <v>0</v>
      </c>
      <c r="P291" s="542">
        <v>0</v>
      </c>
      <c r="Q291" s="542">
        <v>0</v>
      </c>
      <c r="R291" s="542">
        <v>-88715</v>
      </c>
      <c r="S291" s="542">
        <v>0</v>
      </c>
      <c r="T291" s="542">
        <v>-88715</v>
      </c>
      <c r="U291" s="542">
        <v>-2778303</v>
      </c>
      <c r="V291" s="542">
        <v>0</v>
      </c>
      <c r="W291" s="542">
        <v>-2778303</v>
      </c>
      <c r="X291" s="542">
        <v>-1099</v>
      </c>
      <c r="Y291" s="542">
        <v>0</v>
      </c>
      <c r="Z291" s="542">
        <v>-1099</v>
      </c>
      <c r="AA291" s="542">
        <v>-262464</v>
      </c>
      <c r="AB291" s="542">
        <v>0</v>
      </c>
      <c r="AC291" s="542">
        <v>-262464</v>
      </c>
      <c r="AD291" s="542">
        <v>0</v>
      </c>
      <c r="AE291" s="542">
        <v>0</v>
      </c>
      <c r="AF291" s="542">
        <v>0</v>
      </c>
      <c r="AG291" s="542">
        <v>225772</v>
      </c>
      <c r="AH291" s="542">
        <v>0</v>
      </c>
      <c r="AI291" s="542">
        <v>225772</v>
      </c>
      <c r="AJ291" s="542">
        <v>-4112</v>
      </c>
      <c r="AK291" s="542">
        <v>0</v>
      </c>
      <c r="AL291" s="542">
        <v>-4112</v>
      </c>
      <c r="AM291" s="542">
        <v>-1066921</v>
      </c>
      <c r="AN291" s="542">
        <v>0</v>
      </c>
      <c r="AO291" s="542">
        <v>-1066921</v>
      </c>
      <c r="AP291" s="542">
        <v>18430</v>
      </c>
      <c r="AQ291" s="542">
        <v>0</v>
      </c>
      <c r="AR291" s="542">
        <v>18430</v>
      </c>
      <c r="AS291" s="542">
        <v>-25536</v>
      </c>
      <c r="AT291" s="542">
        <v>0</v>
      </c>
      <c r="AU291" s="542">
        <v>-25536</v>
      </c>
      <c r="AV291" s="542">
        <v>0</v>
      </c>
      <c r="AW291" s="542">
        <v>0</v>
      </c>
      <c r="AX291" s="542">
        <v>0</v>
      </c>
      <c r="AY291" s="542">
        <v>-58164</v>
      </c>
      <c r="AZ291" s="542">
        <v>0</v>
      </c>
      <c r="BA291" s="542">
        <v>-58164</v>
      </c>
      <c r="BB291" s="542">
        <v>-15214</v>
      </c>
      <c r="BC291" s="542">
        <v>0</v>
      </c>
      <c r="BD291" s="542">
        <v>-15214</v>
      </c>
      <c r="BE291" s="542">
        <v>-3966512</v>
      </c>
      <c r="BF291" s="542">
        <v>0</v>
      </c>
      <c r="BG291" s="542">
        <v>-3966512</v>
      </c>
      <c r="BH291" s="542">
        <v>0</v>
      </c>
      <c r="BI291" s="542">
        <v>0</v>
      </c>
      <c r="BJ291" s="542">
        <v>0</v>
      </c>
      <c r="BK291" s="542">
        <v>1133</v>
      </c>
      <c r="BL291" s="542">
        <v>0</v>
      </c>
      <c r="BM291" s="542">
        <v>1133</v>
      </c>
      <c r="BN291" s="542">
        <v>-396052</v>
      </c>
      <c r="BO291" s="542">
        <v>0</v>
      </c>
      <c r="BP291" s="542">
        <v>-396052</v>
      </c>
      <c r="BQ291" s="542">
        <v>23082</v>
      </c>
      <c r="BR291" s="542">
        <v>0</v>
      </c>
      <c r="BS291" s="542">
        <v>23082</v>
      </c>
      <c r="BT291" s="542">
        <v>-371837</v>
      </c>
      <c r="BU291" s="542">
        <v>0</v>
      </c>
      <c r="BV291" s="542">
        <v>-371837</v>
      </c>
      <c r="BW291" s="542">
        <v>-68456</v>
      </c>
      <c r="BX291" s="542">
        <v>0</v>
      </c>
      <c r="BY291" s="542">
        <v>-68456</v>
      </c>
      <c r="BZ291" s="542">
        <v>127</v>
      </c>
      <c r="CA291" s="542">
        <v>0</v>
      </c>
      <c r="CB291" s="542">
        <v>127</v>
      </c>
      <c r="CC291" s="542">
        <v>-25978</v>
      </c>
      <c r="CD291" s="542">
        <v>0</v>
      </c>
      <c r="CE291" s="542">
        <v>-25978</v>
      </c>
      <c r="CF291" s="542">
        <v>0</v>
      </c>
      <c r="CG291" s="542">
        <v>0</v>
      </c>
      <c r="CH291" s="542">
        <v>0</v>
      </c>
      <c r="CI291" s="542">
        <v>-3922</v>
      </c>
      <c r="CJ291" s="542">
        <v>0</v>
      </c>
      <c r="CK291" s="542">
        <v>-3922</v>
      </c>
      <c r="CL291" s="542">
        <v>0</v>
      </c>
      <c r="CM291" s="542">
        <v>0</v>
      </c>
      <c r="CN291" s="542">
        <v>0</v>
      </c>
      <c r="CO291" s="542">
        <v>-14536</v>
      </c>
      <c r="CP291" s="542">
        <v>0</v>
      </c>
      <c r="CQ291" s="542">
        <v>-14536</v>
      </c>
      <c r="CR291" s="542">
        <v>-4000</v>
      </c>
      <c r="CS291" s="542">
        <v>0</v>
      </c>
      <c r="CT291" s="542">
        <v>-4000</v>
      </c>
      <c r="CU291" s="542">
        <v>-5440</v>
      </c>
      <c r="CV291" s="542">
        <v>0</v>
      </c>
      <c r="CW291" s="542">
        <v>-5440</v>
      </c>
      <c r="CX291" s="542">
        <v>0</v>
      </c>
      <c r="CY291" s="542">
        <v>0</v>
      </c>
      <c r="CZ291" s="542">
        <v>0</v>
      </c>
      <c r="DA291" s="542">
        <v>-424</v>
      </c>
      <c r="DB291" s="542">
        <v>0</v>
      </c>
      <c r="DC291" s="542">
        <v>-424</v>
      </c>
      <c r="DD291" s="542">
        <v>0</v>
      </c>
      <c r="DE291" s="542">
        <v>0</v>
      </c>
      <c r="DF291" s="542">
        <v>0</v>
      </c>
      <c r="DG291" s="542"/>
      <c r="DH291" s="542">
        <v>0</v>
      </c>
      <c r="DI291" s="542"/>
      <c r="DJ291" s="542">
        <v>0</v>
      </c>
      <c r="DK291" s="542"/>
      <c r="DL291" s="542"/>
      <c r="DM291" s="542">
        <v>-122629</v>
      </c>
      <c r="DN291" s="542">
        <v>0</v>
      </c>
      <c r="DO291" s="542">
        <v>-122629</v>
      </c>
      <c r="DP291" s="542">
        <v>-5888</v>
      </c>
      <c r="DQ291" s="542">
        <v>0</v>
      </c>
      <c r="DR291" s="542">
        <v>-5888</v>
      </c>
      <c r="DS291" s="542">
        <v>0</v>
      </c>
      <c r="DT291" s="542">
        <v>0</v>
      </c>
      <c r="DU291" s="542">
        <v>0</v>
      </c>
      <c r="DV291" s="542">
        <v>-2455</v>
      </c>
      <c r="DW291" s="542">
        <v>0</v>
      </c>
      <c r="DX291" s="542">
        <v>-2455</v>
      </c>
      <c r="DY291" s="542">
        <v>-235756</v>
      </c>
      <c r="DZ291" s="542">
        <v>0</v>
      </c>
      <c r="EA291" s="542">
        <v>-235756</v>
      </c>
      <c r="EB291" s="542">
        <v>0</v>
      </c>
      <c r="EC291" s="542">
        <v>0</v>
      </c>
      <c r="ED291" s="542">
        <v>0</v>
      </c>
      <c r="EE291" s="542">
        <v>0</v>
      </c>
      <c r="EF291" s="542">
        <v>0</v>
      </c>
      <c r="EG291" s="542">
        <v>0</v>
      </c>
      <c r="EH291" s="542">
        <v>-244099</v>
      </c>
      <c r="EI291" s="542">
        <v>0</v>
      </c>
      <c r="EJ291" s="542">
        <v>-244099</v>
      </c>
      <c r="EK291" s="542">
        <v>-8567</v>
      </c>
      <c r="EL291" s="542">
        <v>0</v>
      </c>
      <c r="EM291" s="542">
        <v>-8567</v>
      </c>
      <c r="EN291" s="542">
        <v>0</v>
      </c>
      <c r="EO291" s="542">
        <v>0</v>
      </c>
      <c r="EP291" s="542">
        <v>0</v>
      </c>
      <c r="EQ291" s="542">
        <v>-8567</v>
      </c>
      <c r="ER291" s="542">
        <v>0</v>
      </c>
      <c r="ES291" s="542">
        <v>-8567</v>
      </c>
      <c r="ET291" s="542">
        <v>15432843</v>
      </c>
      <c r="EU291" s="542">
        <v>0</v>
      </c>
      <c r="EV291" s="542">
        <v>15432843</v>
      </c>
      <c r="EW291" s="542">
        <v>-88715</v>
      </c>
      <c r="EX291" s="542">
        <v>0</v>
      </c>
      <c r="EY291" s="542">
        <v>-88715</v>
      </c>
      <c r="EZ291" s="542">
        <v>-3966512</v>
      </c>
      <c r="FA291" s="542">
        <v>0</v>
      </c>
      <c r="FB291" s="542">
        <v>-3966512</v>
      </c>
      <c r="FC291" s="542">
        <v>-371837</v>
      </c>
      <c r="FD291" s="542">
        <v>0</v>
      </c>
      <c r="FE291" s="542">
        <v>-371837</v>
      </c>
      <c r="FF291" s="542">
        <v>-122629</v>
      </c>
      <c r="FG291" s="542">
        <v>0</v>
      </c>
      <c r="FH291" s="542">
        <v>-122629</v>
      </c>
      <c r="FI291" s="542">
        <v>-244099</v>
      </c>
      <c r="FJ291" s="542">
        <v>0</v>
      </c>
      <c r="FK291" s="542">
        <v>-244099</v>
      </c>
      <c r="FL291" s="542">
        <v>-8567</v>
      </c>
      <c r="FM291" s="542">
        <v>0</v>
      </c>
      <c r="FN291" s="542">
        <v>-8567</v>
      </c>
      <c r="FO291" s="542">
        <v>-4802359</v>
      </c>
      <c r="FP291" s="542">
        <v>0</v>
      </c>
      <c r="FQ291" s="542">
        <v>-4802359</v>
      </c>
      <c r="FR291" s="542">
        <v>10630484</v>
      </c>
      <c r="FS291" s="542">
        <v>0</v>
      </c>
      <c r="FT291" s="542">
        <v>10630484</v>
      </c>
    </row>
    <row r="292" spans="1:176" ht="12.75" x14ac:dyDescent="0.2">
      <c r="A292" s="93">
        <v>287</v>
      </c>
      <c r="B292" s="145" t="s">
        <v>452</v>
      </c>
      <c r="C292" s="604" t="s">
        <v>877</v>
      </c>
      <c r="D292" s="142" t="s">
        <v>872</v>
      </c>
      <c r="E292" s="149" t="s">
        <v>451</v>
      </c>
      <c r="F292" s="542">
        <v>-547812</v>
      </c>
      <c r="G292" s="542">
        <v>0</v>
      </c>
      <c r="H292" s="542">
        <v>-547812</v>
      </c>
      <c r="I292" s="542">
        <v>-301727</v>
      </c>
      <c r="J292" s="542">
        <v>0</v>
      </c>
      <c r="K292" s="542">
        <v>-301727</v>
      </c>
      <c r="L292" s="542">
        <v>9609</v>
      </c>
      <c r="M292" s="542">
        <v>0</v>
      </c>
      <c r="N292" s="542">
        <v>9609</v>
      </c>
      <c r="O292" s="542">
        <v>-523927</v>
      </c>
      <c r="P292" s="542">
        <v>0</v>
      </c>
      <c r="Q292" s="542">
        <v>-523927</v>
      </c>
      <c r="R292" s="542">
        <v>-1363857</v>
      </c>
      <c r="S292" s="542">
        <v>0</v>
      </c>
      <c r="T292" s="542">
        <v>-1363857</v>
      </c>
      <c r="U292" s="542">
        <v>-6037778</v>
      </c>
      <c r="V292" s="542">
        <v>0</v>
      </c>
      <c r="W292" s="542">
        <v>-6037778</v>
      </c>
      <c r="X292" s="542">
        <v>0</v>
      </c>
      <c r="Y292" s="542">
        <v>0</v>
      </c>
      <c r="Z292" s="542">
        <v>0</v>
      </c>
      <c r="AA292" s="542">
        <v>-406222</v>
      </c>
      <c r="AB292" s="542">
        <v>0</v>
      </c>
      <c r="AC292" s="542">
        <v>-406222</v>
      </c>
      <c r="AD292" s="542">
        <v>-256223</v>
      </c>
      <c r="AE292" s="542">
        <v>0</v>
      </c>
      <c r="AF292" s="542">
        <v>-256223</v>
      </c>
      <c r="AG292" s="542">
        <v>8236008</v>
      </c>
      <c r="AH292" s="542">
        <v>0</v>
      </c>
      <c r="AI292" s="542">
        <v>8236008</v>
      </c>
      <c r="AJ292" s="542">
        <v>-178904</v>
      </c>
      <c r="AK292" s="542">
        <v>0</v>
      </c>
      <c r="AL292" s="542">
        <v>-178904</v>
      </c>
      <c r="AM292" s="542">
        <v>-12218323</v>
      </c>
      <c r="AN292" s="542">
        <v>0</v>
      </c>
      <c r="AO292" s="542">
        <v>-12218323</v>
      </c>
      <c r="AP292" s="542">
        <v>375002</v>
      </c>
      <c r="AQ292" s="542">
        <v>0</v>
      </c>
      <c r="AR292" s="542">
        <v>375002</v>
      </c>
      <c r="AS292" s="542">
        <v>0</v>
      </c>
      <c r="AT292" s="542">
        <v>0</v>
      </c>
      <c r="AU292" s="542">
        <v>0</v>
      </c>
      <c r="AV292" s="542">
        <v>0</v>
      </c>
      <c r="AW292" s="542">
        <v>0</v>
      </c>
      <c r="AX292" s="542">
        <v>0</v>
      </c>
      <c r="AY292" s="542">
        <v>0</v>
      </c>
      <c r="AZ292" s="542">
        <v>0</v>
      </c>
      <c r="BA292" s="542">
        <v>0</v>
      </c>
      <c r="BB292" s="542">
        <v>0</v>
      </c>
      <c r="BC292" s="542">
        <v>0</v>
      </c>
      <c r="BD292" s="542">
        <v>0</v>
      </c>
      <c r="BE292" s="542">
        <v>-10230217</v>
      </c>
      <c r="BF292" s="542">
        <v>0</v>
      </c>
      <c r="BG292" s="542">
        <v>-10230217</v>
      </c>
      <c r="BH292" s="542">
        <v>-638307</v>
      </c>
      <c r="BI292" s="542">
        <v>0</v>
      </c>
      <c r="BJ292" s="542">
        <v>-638307</v>
      </c>
      <c r="BK292" s="542">
        <v>-894308</v>
      </c>
      <c r="BL292" s="542">
        <v>0</v>
      </c>
      <c r="BM292" s="542">
        <v>-894308</v>
      </c>
      <c r="BN292" s="542">
        <v>-13375871</v>
      </c>
      <c r="BO292" s="542">
        <v>0</v>
      </c>
      <c r="BP292" s="542">
        <v>-13375871</v>
      </c>
      <c r="BQ292" s="542">
        <v>-761849</v>
      </c>
      <c r="BR292" s="542">
        <v>0</v>
      </c>
      <c r="BS292" s="542">
        <v>-761849</v>
      </c>
      <c r="BT292" s="542">
        <v>-15670335</v>
      </c>
      <c r="BU292" s="542">
        <v>0</v>
      </c>
      <c r="BV292" s="542">
        <v>-15670335</v>
      </c>
      <c r="BW292" s="542">
        <v>-574617</v>
      </c>
      <c r="BX292" s="542">
        <v>0</v>
      </c>
      <c r="BY292" s="542">
        <v>-574617</v>
      </c>
      <c r="BZ292" s="542">
        <v>4648</v>
      </c>
      <c r="CA292" s="542">
        <v>0</v>
      </c>
      <c r="CB292" s="542">
        <v>4648</v>
      </c>
      <c r="CC292" s="542">
        <v>-329656</v>
      </c>
      <c r="CD292" s="542">
        <v>0</v>
      </c>
      <c r="CE292" s="542">
        <v>-329656</v>
      </c>
      <c r="CF292" s="542">
        <v>-18938</v>
      </c>
      <c r="CG292" s="542">
        <v>0</v>
      </c>
      <c r="CH292" s="542">
        <v>-18938</v>
      </c>
      <c r="CI292" s="542">
        <v>0</v>
      </c>
      <c r="CJ292" s="542">
        <v>0</v>
      </c>
      <c r="CK292" s="542">
        <v>0</v>
      </c>
      <c r="CL292" s="542">
        <v>0</v>
      </c>
      <c r="CM292" s="542">
        <v>0</v>
      </c>
      <c r="CN292" s="542">
        <v>0</v>
      </c>
      <c r="CO292" s="542">
        <v>0</v>
      </c>
      <c r="CP292" s="542">
        <v>0</v>
      </c>
      <c r="CQ292" s="542">
        <v>0</v>
      </c>
      <c r="CR292" s="542">
        <v>0</v>
      </c>
      <c r="CS292" s="542">
        <v>0</v>
      </c>
      <c r="CT292" s="542">
        <v>0</v>
      </c>
      <c r="CU292" s="542">
        <v>0</v>
      </c>
      <c r="CV292" s="542">
        <v>0</v>
      </c>
      <c r="CW292" s="542">
        <v>0</v>
      </c>
      <c r="CX292" s="542">
        <v>0</v>
      </c>
      <c r="CY292" s="542">
        <v>0</v>
      </c>
      <c r="CZ292" s="542">
        <v>0</v>
      </c>
      <c r="DA292" s="542">
        <v>0</v>
      </c>
      <c r="DB292" s="542">
        <v>0</v>
      </c>
      <c r="DC292" s="542">
        <v>0</v>
      </c>
      <c r="DD292" s="542">
        <v>0</v>
      </c>
      <c r="DE292" s="542">
        <v>0</v>
      </c>
      <c r="DF292" s="542">
        <v>0</v>
      </c>
      <c r="DG292" s="542"/>
      <c r="DH292" s="542">
        <v>0</v>
      </c>
      <c r="DI292" s="542"/>
      <c r="DJ292" s="542">
        <v>0</v>
      </c>
      <c r="DK292" s="542"/>
      <c r="DL292" s="542"/>
      <c r="DM292" s="542">
        <v>-918563</v>
      </c>
      <c r="DN292" s="542">
        <v>0</v>
      </c>
      <c r="DO292" s="542">
        <v>-918563</v>
      </c>
      <c r="DP292" s="542">
        <v>-29277</v>
      </c>
      <c r="DQ292" s="542">
        <v>0</v>
      </c>
      <c r="DR292" s="542">
        <v>-29277</v>
      </c>
      <c r="DS292" s="542">
        <v>0</v>
      </c>
      <c r="DT292" s="542">
        <v>0</v>
      </c>
      <c r="DU292" s="542">
        <v>0</v>
      </c>
      <c r="DV292" s="542">
        <v>-2055</v>
      </c>
      <c r="DW292" s="542">
        <v>0</v>
      </c>
      <c r="DX292" s="542">
        <v>-2055</v>
      </c>
      <c r="DY292" s="542">
        <v>-1810944</v>
      </c>
      <c r="DZ292" s="542">
        <v>0</v>
      </c>
      <c r="EA292" s="542">
        <v>-1810944</v>
      </c>
      <c r="EB292" s="542">
        <v>0</v>
      </c>
      <c r="EC292" s="542">
        <v>0</v>
      </c>
      <c r="ED292" s="542">
        <v>0</v>
      </c>
      <c r="EE292" s="542">
        <v>0</v>
      </c>
      <c r="EF292" s="542">
        <v>0</v>
      </c>
      <c r="EG292" s="542">
        <v>0</v>
      </c>
      <c r="EH292" s="542">
        <v>-1842276</v>
      </c>
      <c r="EI292" s="542">
        <v>0</v>
      </c>
      <c r="EJ292" s="542">
        <v>-1842276</v>
      </c>
      <c r="EK292" s="542">
        <v>0</v>
      </c>
      <c r="EL292" s="542">
        <v>0</v>
      </c>
      <c r="EM292" s="542">
        <v>0</v>
      </c>
      <c r="EN292" s="542">
        <v>0</v>
      </c>
      <c r="EO292" s="542">
        <v>0</v>
      </c>
      <c r="EP292" s="542">
        <v>0</v>
      </c>
      <c r="EQ292" s="542">
        <v>0</v>
      </c>
      <c r="ER292" s="542">
        <v>0</v>
      </c>
      <c r="ES292" s="542">
        <v>0</v>
      </c>
      <c r="ET292" s="542">
        <v>376078235</v>
      </c>
      <c r="EU292" s="542">
        <v>0</v>
      </c>
      <c r="EV292" s="542">
        <v>376078235</v>
      </c>
      <c r="EW292" s="542">
        <v>-1363857</v>
      </c>
      <c r="EX292" s="542">
        <v>0</v>
      </c>
      <c r="EY292" s="542">
        <v>-1363857</v>
      </c>
      <c r="EZ292" s="542">
        <v>-10230217</v>
      </c>
      <c r="FA292" s="542">
        <v>0</v>
      </c>
      <c r="FB292" s="542">
        <v>-10230217</v>
      </c>
      <c r="FC292" s="542">
        <v>-15670335</v>
      </c>
      <c r="FD292" s="542">
        <v>0</v>
      </c>
      <c r="FE292" s="542">
        <v>-15670335</v>
      </c>
      <c r="FF292" s="542">
        <v>-918563</v>
      </c>
      <c r="FG292" s="542">
        <v>0</v>
      </c>
      <c r="FH292" s="542">
        <v>-918563</v>
      </c>
      <c r="FI292" s="542">
        <v>-1842276</v>
      </c>
      <c r="FJ292" s="542">
        <v>0</v>
      </c>
      <c r="FK292" s="542">
        <v>-1842276</v>
      </c>
      <c r="FL292" s="542">
        <v>0</v>
      </c>
      <c r="FM292" s="542">
        <v>0</v>
      </c>
      <c r="FN292" s="542">
        <v>0</v>
      </c>
      <c r="FO292" s="542">
        <v>-30025248</v>
      </c>
      <c r="FP292" s="542">
        <v>0</v>
      </c>
      <c r="FQ292" s="542">
        <v>-30025248</v>
      </c>
      <c r="FR292" s="542">
        <v>346052987</v>
      </c>
      <c r="FS292" s="542">
        <v>0</v>
      </c>
      <c r="FT292" s="542">
        <v>346052987</v>
      </c>
    </row>
    <row r="293" spans="1:176" ht="12.75" x14ac:dyDescent="0.2">
      <c r="A293" s="93">
        <v>288</v>
      </c>
      <c r="B293" s="145" t="s">
        <v>454</v>
      </c>
      <c r="C293" s="604" t="s">
        <v>873</v>
      </c>
      <c r="D293" s="142" t="s">
        <v>868</v>
      </c>
      <c r="E293" s="149" t="s">
        <v>453</v>
      </c>
      <c r="F293" s="542">
        <v>-22672</v>
      </c>
      <c r="G293" s="542">
        <v>0</v>
      </c>
      <c r="H293" s="542">
        <v>-22672</v>
      </c>
      <c r="I293" s="542">
        <v>2473026</v>
      </c>
      <c r="J293" s="542">
        <v>0</v>
      </c>
      <c r="K293" s="542">
        <v>2473026</v>
      </c>
      <c r="L293" s="542">
        <v>31553.91</v>
      </c>
      <c r="M293" s="542">
        <v>0</v>
      </c>
      <c r="N293" s="542">
        <v>31553.91</v>
      </c>
      <c r="O293" s="542">
        <v>844153.19</v>
      </c>
      <c r="P293" s="542">
        <v>0</v>
      </c>
      <c r="Q293" s="542">
        <v>844153.19</v>
      </c>
      <c r="R293" s="542">
        <v>3326061</v>
      </c>
      <c r="S293" s="542">
        <v>0</v>
      </c>
      <c r="T293" s="542">
        <v>3326061</v>
      </c>
      <c r="U293" s="542">
        <v>-4220132.9000000004</v>
      </c>
      <c r="V293" s="542">
        <v>0</v>
      </c>
      <c r="W293" s="542">
        <v>-4220132.9000000004</v>
      </c>
      <c r="X293" s="542">
        <v>0</v>
      </c>
      <c r="Y293" s="542">
        <v>0</v>
      </c>
      <c r="Z293" s="542">
        <v>0</v>
      </c>
      <c r="AA293" s="542">
        <v>-302963.24</v>
      </c>
      <c r="AB293" s="542">
        <v>0</v>
      </c>
      <c r="AC293" s="542">
        <v>-302963.24</v>
      </c>
      <c r="AD293" s="542">
        <v>-110244</v>
      </c>
      <c r="AE293" s="542">
        <v>0</v>
      </c>
      <c r="AF293" s="542">
        <v>-110244</v>
      </c>
      <c r="AG293" s="542">
        <v>3824640</v>
      </c>
      <c r="AH293" s="542">
        <v>0</v>
      </c>
      <c r="AI293" s="542">
        <v>3824640</v>
      </c>
      <c r="AJ293" s="542">
        <v>-202636</v>
      </c>
      <c r="AK293" s="542">
        <v>0</v>
      </c>
      <c r="AL293" s="542">
        <v>-202636</v>
      </c>
      <c r="AM293" s="542">
        <v>-4860526.5</v>
      </c>
      <c r="AN293" s="542">
        <v>0</v>
      </c>
      <c r="AO293" s="542">
        <v>-4860526.5</v>
      </c>
      <c r="AP293" s="542">
        <v>-147859.12</v>
      </c>
      <c r="AQ293" s="542">
        <v>0</v>
      </c>
      <c r="AR293" s="542">
        <v>-147859.12</v>
      </c>
      <c r="AS293" s="542">
        <v>-60732</v>
      </c>
      <c r="AT293" s="542">
        <v>0</v>
      </c>
      <c r="AU293" s="542">
        <v>-60732</v>
      </c>
      <c r="AV293" s="542">
        <v>0</v>
      </c>
      <c r="AW293" s="542">
        <v>0</v>
      </c>
      <c r="AX293" s="542">
        <v>0</v>
      </c>
      <c r="AY293" s="542">
        <v>-494.05</v>
      </c>
      <c r="AZ293" s="542">
        <v>0</v>
      </c>
      <c r="BA293" s="542">
        <v>-494.05</v>
      </c>
      <c r="BB293" s="542">
        <v>0</v>
      </c>
      <c r="BC293" s="542">
        <v>0</v>
      </c>
      <c r="BD293" s="542">
        <v>0</v>
      </c>
      <c r="BE293" s="542">
        <v>-5970704</v>
      </c>
      <c r="BF293" s="542">
        <v>0</v>
      </c>
      <c r="BG293" s="542">
        <v>-5970704</v>
      </c>
      <c r="BH293" s="542">
        <v>0</v>
      </c>
      <c r="BI293" s="542">
        <v>0</v>
      </c>
      <c r="BJ293" s="542">
        <v>0</v>
      </c>
      <c r="BK293" s="542">
        <v>627.39</v>
      </c>
      <c r="BL293" s="542">
        <v>0</v>
      </c>
      <c r="BM293" s="542">
        <v>627.39</v>
      </c>
      <c r="BN293" s="542">
        <v>-7591935.5</v>
      </c>
      <c r="BO293" s="542">
        <v>0</v>
      </c>
      <c r="BP293" s="542">
        <v>-7591935.5</v>
      </c>
      <c r="BQ293" s="542">
        <v>2352319</v>
      </c>
      <c r="BR293" s="542">
        <v>0</v>
      </c>
      <c r="BS293" s="542">
        <v>2352319</v>
      </c>
      <c r="BT293" s="542">
        <v>-5238989</v>
      </c>
      <c r="BU293" s="542">
        <v>0</v>
      </c>
      <c r="BV293" s="542">
        <v>-5238989</v>
      </c>
      <c r="BW293" s="542">
        <v>-127231</v>
      </c>
      <c r="BX293" s="542">
        <v>0</v>
      </c>
      <c r="BY293" s="542">
        <v>-127231</v>
      </c>
      <c r="BZ293" s="542">
        <v>-5117.46</v>
      </c>
      <c r="CA293" s="542">
        <v>0</v>
      </c>
      <c r="CB293" s="542">
        <v>-5117.46</v>
      </c>
      <c r="CC293" s="542">
        <v>-288379.28000000003</v>
      </c>
      <c r="CD293" s="542">
        <v>0</v>
      </c>
      <c r="CE293" s="542">
        <v>-288379.28000000003</v>
      </c>
      <c r="CF293" s="542">
        <v>-7355.68</v>
      </c>
      <c r="CG293" s="542">
        <v>0</v>
      </c>
      <c r="CH293" s="542">
        <v>-7355.68</v>
      </c>
      <c r="CI293" s="542">
        <v>-10917</v>
      </c>
      <c r="CJ293" s="542">
        <v>0</v>
      </c>
      <c r="CK293" s="542">
        <v>-10917</v>
      </c>
      <c r="CL293" s="542">
        <v>0</v>
      </c>
      <c r="CM293" s="542">
        <v>0</v>
      </c>
      <c r="CN293" s="542">
        <v>0</v>
      </c>
      <c r="CO293" s="542">
        <v>-494.05</v>
      </c>
      <c r="CP293" s="542">
        <v>0</v>
      </c>
      <c r="CQ293" s="542">
        <v>-494.05</v>
      </c>
      <c r="CR293" s="542">
        <v>0</v>
      </c>
      <c r="CS293" s="542">
        <v>0</v>
      </c>
      <c r="CT293" s="542">
        <v>0</v>
      </c>
      <c r="CU293" s="542">
        <v>0</v>
      </c>
      <c r="CV293" s="542">
        <v>0</v>
      </c>
      <c r="CW293" s="542">
        <v>0</v>
      </c>
      <c r="CX293" s="542">
        <v>0</v>
      </c>
      <c r="CY293" s="542">
        <v>0</v>
      </c>
      <c r="CZ293" s="542">
        <v>0</v>
      </c>
      <c r="DA293" s="542">
        <v>0</v>
      </c>
      <c r="DB293" s="542">
        <v>0</v>
      </c>
      <c r="DC293" s="542">
        <v>0</v>
      </c>
      <c r="DD293" s="542">
        <v>0</v>
      </c>
      <c r="DE293" s="542">
        <v>0</v>
      </c>
      <c r="DF293" s="542">
        <v>0</v>
      </c>
      <c r="DG293" s="542"/>
      <c r="DH293" s="542">
        <v>0</v>
      </c>
      <c r="DI293" s="542"/>
      <c r="DJ293" s="542">
        <v>0</v>
      </c>
      <c r="DK293" s="542"/>
      <c r="DL293" s="542"/>
      <c r="DM293" s="542">
        <v>-439494</v>
      </c>
      <c r="DN293" s="542">
        <v>0</v>
      </c>
      <c r="DO293" s="542">
        <v>-439494</v>
      </c>
      <c r="DP293" s="542">
        <v>-10604</v>
      </c>
      <c r="DQ293" s="542">
        <v>0</v>
      </c>
      <c r="DR293" s="542">
        <v>-10604</v>
      </c>
      <c r="DS293" s="542">
        <v>-539.39</v>
      </c>
      <c r="DT293" s="542">
        <v>0</v>
      </c>
      <c r="DU293" s="542">
        <v>-539.39</v>
      </c>
      <c r="DV293" s="542">
        <v>-14736.56</v>
      </c>
      <c r="DW293" s="542">
        <v>0</v>
      </c>
      <c r="DX293" s="542">
        <v>-14736.56</v>
      </c>
      <c r="DY293" s="542">
        <v>-907058.94</v>
      </c>
      <c r="DZ293" s="542">
        <v>0</v>
      </c>
      <c r="EA293" s="542">
        <v>-907058.94</v>
      </c>
      <c r="EB293" s="542">
        <v>0</v>
      </c>
      <c r="EC293" s="542">
        <v>0</v>
      </c>
      <c r="ED293" s="542">
        <v>0</v>
      </c>
      <c r="EE293" s="542">
        <v>0</v>
      </c>
      <c r="EF293" s="542">
        <v>0</v>
      </c>
      <c r="EG293" s="542">
        <v>0</v>
      </c>
      <c r="EH293" s="542">
        <v>-932939</v>
      </c>
      <c r="EI293" s="542">
        <v>0</v>
      </c>
      <c r="EJ293" s="542">
        <v>-932939</v>
      </c>
      <c r="EK293" s="542">
        <v>0</v>
      </c>
      <c r="EL293" s="542">
        <v>0</v>
      </c>
      <c r="EM293" s="542">
        <v>0</v>
      </c>
      <c r="EN293" s="542">
        <v>-14776</v>
      </c>
      <c r="EO293" s="542">
        <v>0</v>
      </c>
      <c r="EP293" s="542">
        <v>-14776</v>
      </c>
      <c r="EQ293" s="542">
        <v>-14776</v>
      </c>
      <c r="ER293" s="542">
        <v>0</v>
      </c>
      <c r="ES293" s="542">
        <v>-14776</v>
      </c>
      <c r="ET293" s="542">
        <v>167704776</v>
      </c>
      <c r="EU293" s="542">
        <v>0</v>
      </c>
      <c r="EV293" s="542">
        <v>167704776</v>
      </c>
      <c r="EW293" s="542">
        <v>3326061</v>
      </c>
      <c r="EX293" s="542">
        <v>0</v>
      </c>
      <c r="EY293" s="542">
        <v>3326061</v>
      </c>
      <c r="EZ293" s="542">
        <v>-5970704</v>
      </c>
      <c r="FA293" s="542">
        <v>0</v>
      </c>
      <c r="FB293" s="542">
        <v>-5970704</v>
      </c>
      <c r="FC293" s="542">
        <v>-5238989</v>
      </c>
      <c r="FD293" s="542">
        <v>0</v>
      </c>
      <c r="FE293" s="542">
        <v>-5238989</v>
      </c>
      <c r="FF293" s="542">
        <v>-439494</v>
      </c>
      <c r="FG293" s="542">
        <v>0</v>
      </c>
      <c r="FH293" s="542">
        <v>-439494</v>
      </c>
      <c r="FI293" s="542">
        <v>-932939</v>
      </c>
      <c r="FJ293" s="542">
        <v>0</v>
      </c>
      <c r="FK293" s="542">
        <v>-932939</v>
      </c>
      <c r="FL293" s="542">
        <v>-14776</v>
      </c>
      <c r="FM293" s="542">
        <v>0</v>
      </c>
      <c r="FN293" s="542">
        <v>-14776</v>
      </c>
      <c r="FO293" s="542">
        <v>-9270841</v>
      </c>
      <c r="FP293" s="542">
        <v>0</v>
      </c>
      <c r="FQ293" s="542">
        <v>-9270841</v>
      </c>
      <c r="FR293" s="542">
        <v>158433935</v>
      </c>
      <c r="FS293" s="542">
        <v>0</v>
      </c>
      <c r="FT293" s="542">
        <v>158433935</v>
      </c>
    </row>
    <row r="294" spans="1:176" ht="12.75" x14ac:dyDescent="0.2">
      <c r="A294" s="93">
        <v>289</v>
      </c>
      <c r="B294" s="145" t="s">
        <v>456</v>
      </c>
      <c r="C294" s="604" t="s">
        <v>866</v>
      </c>
      <c r="D294" s="142" t="s">
        <v>867</v>
      </c>
      <c r="E294" s="149" t="s">
        <v>455</v>
      </c>
      <c r="F294" s="542">
        <v>-66383</v>
      </c>
      <c r="G294" s="542">
        <v>0</v>
      </c>
      <c r="H294" s="542">
        <v>-66383</v>
      </c>
      <c r="I294" s="542">
        <v>119564</v>
      </c>
      <c r="J294" s="542">
        <v>0</v>
      </c>
      <c r="K294" s="542">
        <v>119564</v>
      </c>
      <c r="L294" s="542">
        <v>680</v>
      </c>
      <c r="M294" s="542">
        <v>0</v>
      </c>
      <c r="N294" s="542">
        <v>680</v>
      </c>
      <c r="O294" s="542">
        <v>96982</v>
      </c>
      <c r="P294" s="542">
        <v>0</v>
      </c>
      <c r="Q294" s="542">
        <v>96982</v>
      </c>
      <c r="R294" s="542">
        <v>150843</v>
      </c>
      <c r="S294" s="542">
        <v>0</v>
      </c>
      <c r="T294" s="542">
        <v>150843</v>
      </c>
      <c r="U294" s="542">
        <v>-2320603</v>
      </c>
      <c r="V294" s="542">
        <v>0</v>
      </c>
      <c r="W294" s="542">
        <v>-2320603</v>
      </c>
      <c r="X294" s="542">
        <v>-2295</v>
      </c>
      <c r="Y294" s="542">
        <v>0</v>
      </c>
      <c r="Z294" s="542">
        <v>-2295</v>
      </c>
      <c r="AA294" s="542">
        <v>-311188</v>
      </c>
      <c r="AB294" s="542">
        <v>0</v>
      </c>
      <c r="AC294" s="542">
        <v>-311188</v>
      </c>
      <c r="AD294" s="542">
        <v>117617</v>
      </c>
      <c r="AE294" s="542">
        <v>0</v>
      </c>
      <c r="AF294" s="542">
        <v>117617</v>
      </c>
      <c r="AG294" s="542">
        <v>1216731</v>
      </c>
      <c r="AH294" s="542">
        <v>0</v>
      </c>
      <c r="AI294" s="542">
        <v>1216731</v>
      </c>
      <c r="AJ294" s="542">
        <v>-36852</v>
      </c>
      <c r="AK294" s="542">
        <v>0</v>
      </c>
      <c r="AL294" s="542">
        <v>-36852</v>
      </c>
      <c r="AM294" s="542">
        <v>-4010929</v>
      </c>
      <c r="AN294" s="542">
        <v>0</v>
      </c>
      <c r="AO294" s="542">
        <v>-4010929</v>
      </c>
      <c r="AP294" s="542">
        <v>-72576</v>
      </c>
      <c r="AQ294" s="542">
        <v>0</v>
      </c>
      <c r="AR294" s="542">
        <v>-72576</v>
      </c>
      <c r="AS294" s="542">
        <v>-18703</v>
      </c>
      <c r="AT294" s="542">
        <v>0</v>
      </c>
      <c r="AU294" s="542">
        <v>-18703</v>
      </c>
      <c r="AV294" s="542">
        <v>0</v>
      </c>
      <c r="AW294" s="542">
        <v>0</v>
      </c>
      <c r="AX294" s="542">
        <v>0</v>
      </c>
      <c r="AY294" s="542">
        <v>-9289</v>
      </c>
      <c r="AZ294" s="542">
        <v>0</v>
      </c>
      <c r="BA294" s="542">
        <v>-9289</v>
      </c>
      <c r="BB294" s="542">
        <v>376</v>
      </c>
      <c r="BC294" s="542">
        <v>0</v>
      </c>
      <c r="BD294" s="542">
        <v>376</v>
      </c>
      <c r="BE294" s="542">
        <v>-5563033</v>
      </c>
      <c r="BF294" s="542">
        <v>0</v>
      </c>
      <c r="BG294" s="542">
        <v>-5563033</v>
      </c>
      <c r="BH294" s="542">
        <v>-10143</v>
      </c>
      <c r="BI294" s="542">
        <v>0</v>
      </c>
      <c r="BJ294" s="542">
        <v>-10143</v>
      </c>
      <c r="BK294" s="542">
        <v>-652</v>
      </c>
      <c r="BL294" s="542">
        <v>0</v>
      </c>
      <c r="BM294" s="542">
        <v>-652</v>
      </c>
      <c r="BN294" s="542">
        <v>-1494945</v>
      </c>
      <c r="BO294" s="542">
        <v>0</v>
      </c>
      <c r="BP294" s="542">
        <v>-1494945</v>
      </c>
      <c r="BQ294" s="542">
        <v>346409</v>
      </c>
      <c r="BR294" s="542">
        <v>0</v>
      </c>
      <c r="BS294" s="542">
        <v>346409</v>
      </c>
      <c r="BT294" s="542">
        <v>-1159331</v>
      </c>
      <c r="BU294" s="542">
        <v>0</v>
      </c>
      <c r="BV294" s="542">
        <v>-1159331</v>
      </c>
      <c r="BW294" s="542">
        <v>-27086</v>
      </c>
      <c r="BX294" s="542">
        <v>0</v>
      </c>
      <c r="BY294" s="542">
        <v>-27086</v>
      </c>
      <c r="BZ294" s="542">
        <v>-9391</v>
      </c>
      <c r="CA294" s="542">
        <v>0</v>
      </c>
      <c r="CB294" s="542">
        <v>-9391</v>
      </c>
      <c r="CC294" s="542">
        <v>-14808</v>
      </c>
      <c r="CD294" s="542">
        <v>0</v>
      </c>
      <c r="CE294" s="542">
        <v>-14808</v>
      </c>
      <c r="CF294" s="542">
        <v>0</v>
      </c>
      <c r="CG294" s="542">
        <v>0</v>
      </c>
      <c r="CH294" s="542">
        <v>0</v>
      </c>
      <c r="CI294" s="542">
        <v>-742</v>
      </c>
      <c r="CJ294" s="542">
        <v>0</v>
      </c>
      <c r="CK294" s="542">
        <v>-742</v>
      </c>
      <c r="CL294" s="542">
        <v>0</v>
      </c>
      <c r="CM294" s="542">
        <v>0</v>
      </c>
      <c r="CN294" s="542">
        <v>0</v>
      </c>
      <c r="CO294" s="542">
        <v>-5416</v>
      </c>
      <c r="CP294" s="542">
        <v>0</v>
      </c>
      <c r="CQ294" s="542">
        <v>-5416</v>
      </c>
      <c r="CR294" s="542">
        <v>376</v>
      </c>
      <c r="CS294" s="542">
        <v>0</v>
      </c>
      <c r="CT294" s="542">
        <v>376</v>
      </c>
      <c r="CU294" s="542">
        <v>-31439</v>
      </c>
      <c r="CV294" s="542">
        <v>0</v>
      </c>
      <c r="CW294" s="542">
        <v>-31439</v>
      </c>
      <c r="CX294" s="542">
        <v>0</v>
      </c>
      <c r="CY294" s="542">
        <v>0</v>
      </c>
      <c r="CZ294" s="542">
        <v>0</v>
      </c>
      <c r="DA294" s="542">
        <v>0</v>
      </c>
      <c r="DB294" s="542">
        <v>0</v>
      </c>
      <c r="DC294" s="542">
        <v>0</v>
      </c>
      <c r="DD294" s="542">
        <v>0</v>
      </c>
      <c r="DE294" s="542">
        <v>0</v>
      </c>
      <c r="DF294" s="542">
        <v>0</v>
      </c>
      <c r="DG294" s="542"/>
      <c r="DH294" s="542">
        <v>0</v>
      </c>
      <c r="DI294" s="542"/>
      <c r="DJ294" s="542">
        <v>0</v>
      </c>
      <c r="DK294" s="542"/>
      <c r="DL294" s="542"/>
      <c r="DM294" s="542">
        <v>-88506</v>
      </c>
      <c r="DN294" s="542">
        <v>0</v>
      </c>
      <c r="DO294" s="542">
        <v>-88506</v>
      </c>
      <c r="DP294" s="542">
        <v>0</v>
      </c>
      <c r="DQ294" s="542">
        <v>0</v>
      </c>
      <c r="DR294" s="542">
        <v>0</v>
      </c>
      <c r="DS294" s="542">
        <v>0</v>
      </c>
      <c r="DT294" s="542">
        <v>0</v>
      </c>
      <c r="DU294" s="542">
        <v>0</v>
      </c>
      <c r="DV294" s="542">
        <v>-4986</v>
      </c>
      <c r="DW294" s="542">
        <v>0</v>
      </c>
      <c r="DX294" s="542">
        <v>-4986</v>
      </c>
      <c r="DY294" s="542">
        <v>-690299</v>
      </c>
      <c r="DZ294" s="542">
        <v>0</v>
      </c>
      <c r="EA294" s="542">
        <v>-690299</v>
      </c>
      <c r="EB294" s="542">
        <v>0</v>
      </c>
      <c r="EC294" s="542">
        <v>0</v>
      </c>
      <c r="ED294" s="542">
        <v>0</v>
      </c>
      <c r="EE294" s="542">
        <v>0</v>
      </c>
      <c r="EF294" s="542">
        <v>0</v>
      </c>
      <c r="EG294" s="542">
        <v>0</v>
      </c>
      <c r="EH294" s="542">
        <v>-695285</v>
      </c>
      <c r="EI294" s="542">
        <v>0</v>
      </c>
      <c r="EJ294" s="542">
        <v>-695285</v>
      </c>
      <c r="EK294" s="542">
        <v>0</v>
      </c>
      <c r="EL294" s="542">
        <v>0</v>
      </c>
      <c r="EM294" s="542">
        <v>0</v>
      </c>
      <c r="EN294" s="542">
        <v>0</v>
      </c>
      <c r="EO294" s="542">
        <v>0</v>
      </c>
      <c r="EP294" s="542">
        <v>0</v>
      </c>
      <c r="EQ294" s="542">
        <v>0</v>
      </c>
      <c r="ER294" s="542">
        <v>0</v>
      </c>
      <c r="ES294" s="542">
        <v>0</v>
      </c>
      <c r="ET294" s="542">
        <v>59651623</v>
      </c>
      <c r="EU294" s="542">
        <v>0</v>
      </c>
      <c r="EV294" s="542">
        <v>59651623</v>
      </c>
      <c r="EW294" s="542">
        <v>150843</v>
      </c>
      <c r="EX294" s="542">
        <v>0</v>
      </c>
      <c r="EY294" s="542">
        <v>150843</v>
      </c>
      <c r="EZ294" s="542">
        <v>-5563033</v>
      </c>
      <c r="FA294" s="542">
        <v>0</v>
      </c>
      <c r="FB294" s="542">
        <v>-5563033</v>
      </c>
      <c r="FC294" s="542">
        <v>-1159331</v>
      </c>
      <c r="FD294" s="542">
        <v>0</v>
      </c>
      <c r="FE294" s="542">
        <v>-1159331</v>
      </c>
      <c r="FF294" s="542">
        <v>-88506</v>
      </c>
      <c r="FG294" s="542">
        <v>0</v>
      </c>
      <c r="FH294" s="542">
        <v>-88506</v>
      </c>
      <c r="FI294" s="542">
        <v>-695285</v>
      </c>
      <c r="FJ294" s="542">
        <v>0</v>
      </c>
      <c r="FK294" s="542">
        <v>-695285</v>
      </c>
      <c r="FL294" s="542">
        <v>0</v>
      </c>
      <c r="FM294" s="542">
        <v>0</v>
      </c>
      <c r="FN294" s="542">
        <v>0</v>
      </c>
      <c r="FO294" s="542">
        <v>-7355312</v>
      </c>
      <c r="FP294" s="542">
        <v>0</v>
      </c>
      <c r="FQ294" s="542">
        <v>-7355312</v>
      </c>
      <c r="FR294" s="542">
        <v>52296311</v>
      </c>
      <c r="FS294" s="542">
        <v>0</v>
      </c>
      <c r="FT294" s="542">
        <v>52296311</v>
      </c>
    </row>
    <row r="295" spans="1:176" ht="12.75" x14ac:dyDescent="0.2">
      <c r="A295" s="93">
        <v>290</v>
      </c>
      <c r="B295" s="145" t="s">
        <v>458</v>
      </c>
      <c r="C295" s="604" t="s">
        <v>866</v>
      </c>
      <c r="D295" s="142" t="s">
        <v>870</v>
      </c>
      <c r="E295" s="149" t="s">
        <v>457</v>
      </c>
      <c r="F295" s="542">
        <v>-56236</v>
      </c>
      <c r="G295" s="542">
        <v>0</v>
      </c>
      <c r="H295" s="542">
        <v>-56236</v>
      </c>
      <c r="I295" s="542">
        <v>119146.08</v>
      </c>
      <c r="J295" s="542">
        <v>0</v>
      </c>
      <c r="K295" s="542">
        <v>119146.08</v>
      </c>
      <c r="L295" s="542">
        <v>404</v>
      </c>
      <c r="M295" s="542">
        <v>0</v>
      </c>
      <c r="N295" s="542">
        <v>404</v>
      </c>
      <c r="O295" s="542">
        <v>23491</v>
      </c>
      <c r="P295" s="542">
        <v>0</v>
      </c>
      <c r="Q295" s="542">
        <v>23491</v>
      </c>
      <c r="R295" s="542">
        <v>86805</v>
      </c>
      <c r="S295" s="542">
        <v>0</v>
      </c>
      <c r="T295" s="542">
        <v>86805</v>
      </c>
      <c r="U295" s="542">
        <v>-1775701</v>
      </c>
      <c r="V295" s="542">
        <v>0</v>
      </c>
      <c r="W295" s="542">
        <v>-1775701</v>
      </c>
      <c r="X295" s="542">
        <v>-2191</v>
      </c>
      <c r="Y295" s="542">
        <v>0</v>
      </c>
      <c r="Z295" s="542">
        <v>-2191</v>
      </c>
      <c r="AA295" s="542">
        <v>-196189.54</v>
      </c>
      <c r="AB295" s="542">
        <v>0</v>
      </c>
      <c r="AC295" s="542">
        <v>-196189.54</v>
      </c>
      <c r="AD295" s="542">
        <v>-74943</v>
      </c>
      <c r="AE295" s="542">
        <v>0</v>
      </c>
      <c r="AF295" s="542">
        <v>-74943</v>
      </c>
      <c r="AG295" s="542">
        <v>970107</v>
      </c>
      <c r="AH295" s="542">
        <v>0</v>
      </c>
      <c r="AI295" s="542">
        <v>970107</v>
      </c>
      <c r="AJ295" s="542">
        <v>-28652</v>
      </c>
      <c r="AK295" s="542">
        <v>0</v>
      </c>
      <c r="AL295" s="542">
        <v>-28652</v>
      </c>
      <c r="AM295" s="542">
        <v>-1793927</v>
      </c>
      <c r="AN295" s="542">
        <v>0</v>
      </c>
      <c r="AO295" s="542">
        <v>-1793927</v>
      </c>
      <c r="AP295" s="542">
        <v>8810</v>
      </c>
      <c r="AQ295" s="542">
        <v>0</v>
      </c>
      <c r="AR295" s="542">
        <v>8810</v>
      </c>
      <c r="AS295" s="542">
        <v>-53309</v>
      </c>
      <c r="AT295" s="542">
        <v>0</v>
      </c>
      <c r="AU295" s="542">
        <v>-53309</v>
      </c>
      <c r="AV295" s="542">
        <v>0</v>
      </c>
      <c r="AW295" s="542">
        <v>0</v>
      </c>
      <c r="AX295" s="542">
        <v>0</v>
      </c>
      <c r="AY295" s="542">
        <v>-46487</v>
      </c>
      <c r="AZ295" s="542">
        <v>0</v>
      </c>
      <c r="BA295" s="542">
        <v>-46487</v>
      </c>
      <c r="BB295" s="542">
        <v>252</v>
      </c>
      <c r="BC295" s="542">
        <v>0</v>
      </c>
      <c r="BD295" s="542">
        <v>252</v>
      </c>
      <c r="BE295" s="542">
        <v>-2915097</v>
      </c>
      <c r="BF295" s="542">
        <v>0</v>
      </c>
      <c r="BG295" s="542">
        <v>-2915097</v>
      </c>
      <c r="BH295" s="542">
        <v>-106811</v>
      </c>
      <c r="BI295" s="542">
        <v>0</v>
      </c>
      <c r="BJ295" s="542">
        <v>-106811</v>
      </c>
      <c r="BK295" s="542">
        <v>-8146</v>
      </c>
      <c r="BL295" s="542">
        <v>0</v>
      </c>
      <c r="BM295" s="542">
        <v>-8146</v>
      </c>
      <c r="BN295" s="542">
        <v>-1517401</v>
      </c>
      <c r="BO295" s="542">
        <v>0</v>
      </c>
      <c r="BP295" s="542">
        <v>-1517401</v>
      </c>
      <c r="BQ295" s="542">
        <v>555234.66</v>
      </c>
      <c r="BR295" s="542">
        <v>0</v>
      </c>
      <c r="BS295" s="542">
        <v>555234.66</v>
      </c>
      <c r="BT295" s="542">
        <v>-1077123</v>
      </c>
      <c r="BU295" s="542">
        <v>0</v>
      </c>
      <c r="BV295" s="542">
        <v>-1077123</v>
      </c>
      <c r="BW295" s="542">
        <v>-43284</v>
      </c>
      <c r="BX295" s="542">
        <v>0</v>
      </c>
      <c r="BY295" s="542">
        <v>-43284</v>
      </c>
      <c r="BZ295" s="542">
        <v>0</v>
      </c>
      <c r="CA295" s="542">
        <v>0</v>
      </c>
      <c r="CB295" s="542">
        <v>0</v>
      </c>
      <c r="CC295" s="542">
        <v>-106130</v>
      </c>
      <c r="CD295" s="542">
        <v>0</v>
      </c>
      <c r="CE295" s="542">
        <v>-106130</v>
      </c>
      <c r="CF295" s="542">
        <v>246</v>
      </c>
      <c r="CG295" s="542">
        <v>0</v>
      </c>
      <c r="CH295" s="542">
        <v>246</v>
      </c>
      <c r="CI295" s="542">
        <v>-164</v>
      </c>
      <c r="CJ295" s="542">
        <v>0</v>
      </c>
      <c r="CK295" s="542">
        <v>-164</v>
      </c>
      <c r="CL295" s="542">
        <v>0</v>
      </c>
      <c r="CM295" s="542">
        <v>0</v>
      </c>
      <c r="CN295" s="542">
        <v>0</v>
      </c>
      <c r="CO295" s="542">
        <v>-39714</v>
      </c>
      <c r="CP295" s="542">
        <v>0</v>
      </c>
      <c r="CQ295" s="542">
        <v>-39714</v>
      </c>
      <c r="CR295" s="542">
        <v>135</v>
      </c>
      <c r="CS295" s="542">
        <v>0</v>
      </c>
      <c r="CT295" s="542">
        <v>135</v>
      </c>
      <c r="CU295" s="542">
        <v>-97136</v>
      </c>
      <c r="CV295" s="542">
        <v>0</v>
      </c>
      <c r="CW295" s="542">
        <v>-97136</v>
      </c>
      <c r="CX295" s="542">
        <v>2537</v>
      </c>
      <c r="CY295" s="542">
        <v>0</v>
      </c>
      <c r="CZ295" s="542">
        <v>2537</v>
      </c>
      <c r="DA295" s="542">
        <v>-34789</v>
      </c>
      <c r="DB295" s="542">
        <v>0</v>
      </c>
      <c r="DC295" s="542">
        <v>-34789</v>
      </c>
      <c r="DD295" s="542">
        <v>0</v>
      </c>
      <c r="DE295" s="542">
        <v>0</v>
      </c>
      <c r="DF295" s="542">
        <v>0</v>
      </c>
      <c r="DG295" s="542"/>
      <c r="DH295" s="542">
        <v>0</v>
      </c>
      <c r="DI295" s="542"/>
      <c r="DJ295" s="542">
        <v>0</v>
      </c>
      <c r="DK295" s="542"/>
      <c r="DL295" s="542"/>
      <c r="DM295" s="542">
        <v>-318299</v>
      </c>
      <c r="DN295" s="542">
        <v>0</v>
      </c>
      <c r="DO295" s="542">
        <v>-318299</v>
      </c>
      <c r="DP295" s="542">
        <v>0</v>
      </c>
      <c r="DQ295" s="542">
        <v>0</v>
      </c>
      <c r="DR295" s="542">
        <v>0</v>
      </c>
      <c r="DS295" s="542">
        <v>0</v>
      </c>
      <c r="DT295" s="542">
        <v>0</v>
      </c>
      <c r="DU295" s="542">
        <v>0</v>
      </c>
      <c r="DV295" s="542">
        <v>-6592</v>
      </c>
      <c r="DW295" s="542">
        <v>0</v>
      </c>
      <c r="DX295" s="542">
        <v>-6592</v>
      </c>
      <c r="DY295" s="542">
        <v>-304707</v>
      </c>
      <c r="DZ295" s="542">
        <v>0</v>
      </c>
      <c r="EA295" s="542">
        <v>-304707</v>
      </c>
      <c r="EB295" s="542">
        <v>-4447</v>
      </c>
      <c r="EC295" s="542">
        <v>0</v>
      </c>
      <c r="ED295" s="542">
        <v>-4447</v>
      </c>
      <c r="EE295" s="542">
        <v>-9274</v>
      </c>
      <c r="EF295" s="542">
        <v>0</v>
      </c>
      <c r="EG295" s="542">
        <v>-9274</v>
      </c>
      <c r="EH295" s="542">
        <v>-325020</v>
      </c>
      <c r="EI295" s="542">
        <v>0</v>
      </c>
      <c r="EJ295" s="542">
        <v>-325020</v>
      </c>
      <c r="EK295" s="542">
        <v>0</v>
      </c>
      <c r="EL295" s="542">
        <v>0</v>
      </c>
      <c r="EM295" s="542">
        <v>0</v>
      </c>
      <c r="EN295" s="542">
        <v>0</v>
      </c>
      <c r="EO295" s="542">
        <v>0</v>
      </c>
      <c r="EP295" s="542">
        <v>0</v>
      </c>
      <c r="EQ295" s="542">
        <v>0</v>
      </c>
      <c r="ER295" s="542">
        <v>0</v>
      </c>
      <c r="ES295" s="542">
        <v>0</v>
      </c>
      <c r="ET295" s="542">
        <v>46152769</v>
      </c>
      <c r="EU295" s="542">
        <v>0</v>
      </c>
      <c r="EV295" s="542">
        <v>46152769</v>
      </c>
      <c r="EW295" s="542">
        <v>86805</v>
      </c>
      <c r="EX295" s="542">
        <v>0</v>
      </c>
      <c r="EY295" s="542">
        <v>86805</v>
      </c>
      <c r="EZ295" s="542">
        <v>-2915097</v>
      </c>
      <c r="FA295" s="542">
        <v>0</v>
      </c>
      <c r="FB295" s="542">
        <v>-2915097</v>
      </c>
      <c r="FC295" s="542">
        <v>-1077123</v>
      </c>
      <c r="FD295" s="542">
        <v>0</v>
      </c>
      <c r="FE295" s="542">
        <v>-1077123</v>
      </c>
      <c r="FF295" s="542">
        <v>-318299</v>
      </c>
      <c r="FG295" s="542">
        <v>0</v>
      </c>
      <c r="FH295" s="542">
        <v>-318299</v>
      </c>
      <c r="FI295" s="542">
        <v>-325020</v>
      </c>
      <c r="FJ295" s="542">
        <v>0</v>
      </c>
      <c r="FK295" s="542">
        <v>-325020</v>
      </c>
      <c r="FL295" s="542">
        <v>0</v>
      </c>
      <c r="FM295" s="542">
        <v>0</v>
      </c>
      <c r="FN295" s="542">
        <v>0</v>
      </c>
      <c r="FO295" s="542">
        <v>-4548734</v>
      </c>
      <c r="FP295" s="542">
        <v>0</v>
      </c>
      <c r="FQ295" s="542">
        <v>-4548734</v>
      </c>
      <c r="FR295" s="542">
        <v>41604035</v>
      </c>
      <c r="FS295" s="542">
        <v>0</v>
      </c>
      <c r="FT295" s="542">
        <v>41604035</v>
      </c>
    </row>
    <row r="296" spans="1:176" ht="12.75" x14ac:dyDescent="0.2">
      <c r="A296" s="93">
        <v>291</v>
      </c>
      <c r="B296" s="145" t="s">
        <v>460</v>
      </c>
      <c r="C296" s="604" t="s">
        <v>866</v>
      </c>
      <c r="D296" s="142" t="s">
        <v>867</v>
      </c>
      <c r="E296" s="149" t="s">
        <v>459</v>
      </c>
      <c r="F296" s="542">
        <v>-1238718</v>
      </c>
      <c r="G296" s="542">
        <v>0</v>
      </c>
      <c r="H296" s="542">
        <v>-1238718</v>
      </c>
      <c r="I296" s="542">
        <v>41922</v>
      </c>
      <c r="J296" s="542">
        <v>0</v>
      </c>
      <c r="K296" s="542">
        <v>41922</v>
      </c>
      <c r="L296" s="542">
        <v>127040</v>
      </c>
      <c r="M296" s="542">
        <v>454</v>
      </c>
      <c r="N296" s="542">
        <v>127494</v>
      </c>
      <c r="O296" s="542">
        <v>175808</v>
      </c>
      <c r="P296" s="542">
        <v>-6153</v>
      </c>
      <c r="Q296" s="542">
        <v>169655</v>
      </c>
      <c r="R296" s="542">
        <v>-893948</v>
      </c>
      <c r="S296" s="542">
        <v>-5699</v>
      </c>
      <c r="T296" s="542">
        <v>-899647</v>
      </c>
      <c r="U296" s="542">
        <v>-1616817</v>
      </c>
      <c r="V296" s="542">
        <v>-25923</v>
      </c>
      <c r="W296" s="542">
        <v>-1642740</v>
      </c>
      <c r="X296" s="542">
        <v>0</v>
      </c>
      <c r="Y296" s="542">
        <v>0</v>
      </c>
      <c r="Z296" s="542">
        <v>0</v>
      </c>
      <c r="AA296" s="542">
        <v>-51436</v>
      </c>
      <c r="AB296" s="542">
        <v>4230</v>
      </c>
      <c r="AC296" s="542">
        <v>-47206</v>
      </c>
      <c r="AD296" s="542">
        <v>-20350</v>
      </c>
      <c r="AE296" s="542">
        <v>1597</v>
      </c>
      <c r="AF296" s="542">
        <v>-18753</v>
      </c>
      <c r="AG296" s="542">
        <v>1378809</v>
      </c>
      <c r="AH296" s="542">
        <v>27154</v>
      </c>
      <c r="AI296" s="542">
        <v>1405963</v>
      </c>
      <c r="AJ296" s="542">
        <v>-98336</v>
      </c>
      <c r="AK296" s="542">
        <v>-720</v>
      </c>
      <c r="AL296" s="542">
        <v>-99056</v>
      </c>
      <c r="AM296" s="542">
        <v>-6634980</v>
      </c>
      <c r="AN296" s="542">
        <v>-7773</v>
      </c>
      <c r="AO296" s="542">
        <v>-6642753</v>
      </c>
      <c r="AP296" s="542">
        <v>54288</v>
      </c>
      <c r="AQ296" s="542">
        <v>2516</v>
      </c>
      <c r="AR296" s="542">
        <v>56804</v>
      </c>
      <c r="AS296" s="542">
        <v>-83868</v>
      </c>
      <c r="AT296" s="542">
        <v>0</v>
      </c>
      <c r="AU296" s="542">
        <v>-83868</v>
      </c>
      <c r="AV296" s="542">
        <v>0</v>
      </c>
      <c r="AW296" s="542">
        <v>0</v>
      </c>
      <c r="AX296" s="542">
        <v>0</v>
      </c>
      <c r="AY296" s="542">
        <v>-38154</v>
      </c>
      <c r="AZ296" s="542">
        <v>0</v>
      </c>
      <c r="BA296" s="542">
        <v>-38154</v>
      </c>
      <c r="BB296" s="542">
        <v>-585</v>
      </c>
      <c r="BC296" s="542">
        <v>0</v>
      </c>
      <c r="BD296" s="542">
        <v>-585</v>
      </c>
      <c r="BE296" s="542">
        <v>-7091079</v>
      </c>
      <c r="BF296" s="542">
        <v>-516</v>
      </c>
      <c r="BG296" s="542">
        <v>-7091595</v>
      </c>
      <c r="BH296" s="542">
        <v>-79646</v>
      </c>
      <c r="BI296" s="542">
        <v>0</v>
      </c>
      <c r="BJ296" s="542">
        <v>-79646</v>
      </c>
      <c r="BK296" s="542">
        <v>-37904</v>
      </c>
      <c r="BL296" s="542">
        <v>0</v>
      </c>
      <c r="BM296" s="542">
        <v>-37904</v>
      </c>
      <c r="BN296" s="542">
        <v>-1955409</v>
      </c>
      <c r="BO296" s="542">
        <v>-42414</v>
      </c>
      <c r="BP296" s="542">
        <v>-1997823</v>
      </c>
      <c r="BQ296" s="542">
        <v>130693</v>
      </c>
      <c r="BR296" s="542">
        <v>-7574</v>
      </c>
      <c r="BS296" s="542">
        <v>123119</v>
      </c>
      <c r="BT296" s="542">
        <v>-1942266</v>
      </c>
      <c r="BU296" s="542">
        <v>-49988</v>
      </c>
      <c r="BV296" s="542">
        <v>-1992254</v>
      </c>
      <c r="BW296" s="542">
        <v>-163100</v>
      </c>
      <c r="BX296" s="542">
        <v>0</v>
      </c>
      <c r="BY296" s="542">
        <v>-163100</v>
      </c>
      <c r="BZ296" s="542">
        <v>-166</v>
      </c>
      <c r="CA296" s="542">
        <v>629</v>
      </c>
      <c r="CB296" s="542">
        <v>463</v>
      </c>
      <c r="CC296" s="542">
        <v>-8293</v>
      </c>
      <c r="CD296" s="542">
        <v>0</v>
      </c>
      <c r="CE296" s="542">
        <v>-8293</v>
      </c>
      <c r="CF296" s="542">
        <v>-1293</v>
      </c>
      <c r="CG296" s="542">
        <v>0</v>
      </c>
      <c r="CH296" s="542">
        <v>-1293</v>
      </c>
      <c r="CI296" s="542">
        <v>-5242</v>
      </c>
      <c r="CJ296" s="542">
        <v>0</v>
      </c>
      <c r="CK296" s="542">
        <v>-5242</v>
      </c>
      <c r="CL296" s="542">
        <v>0</v>
      </c>
      <c r="CM296" s="542">
        <v>0</v>
      </c>
      <c r="CN296" s="542">
        <v>0</v>
      </c>
      <c r="CO296" s="542">
        <v>-14567</v>
      </c>
      <c r="CP296" s="542">
        <v>0</v>
      </c>
      <c r="CQ296" s="542">
        <v>-14567</v>
      </c>
      <c r="CR296" s="542">
        <v>-585</v>
      </c>
      <c r="CS296" s="542">
        <v>0</v>
      </c>
      <c r="CT296" s="542">
        <v>-585</v>
      </c>
      <c r="CU296" s="542">
        <v>0</v>
      </c>
      <c r="CV296" s="542">
        <v>0</v>
      </c>
      <c r="CW296" s="542">
        <v>0</v>
      </c>
      <c r="CX296" s="542">
        <v>0</v>
      </c>
      <c r="CY296" s="542">
        <v>0</v>
      </c>
      <c r="CZ296" s="542">
        <v>0</v>
      </c>
      <c r="DA296" s="542">
        <v>0</v>
      </c>
      <c r="DB296" s="542">
        <v>-412075</v>
      </c>
      <c r="DC296" s="542">
        <v>-412075</v>
      </c>
      <c r="DD296" s="542">
        <v>0</v>
      </c>
      <c r="DE296" s="542">
        <v>-177012</v>
      </c>
      <c r="DF296" s="542">
        <v>-177012</v>
      </c>
      <c r="DG296" s="542"/>
      <c r="DH296" s="542">
        <v>-589087</v>
      </c>
      <c r="DI296" s="542"/>
      <c r="DJ296" s="542">
        <v>0</v>
      </c>
      <c r="DK296" s="542"/>
      <c r="DL296" s="542"/>
      <c r="DM296" s="542">
        <v>-193246</v>
      </c>
      <c r="DN296" s="542">
        <v>-588458</v>
      </c>
      <c r="DO296" s="542">
        <v>-781704</v>
      </c>
      <c r="DP296" s="542">
        <v>0</v>
      </c>
      <c r="DQ296" s="542">
        <v>0</v>
      </c>
      <c r="DR296" s="542">
        <v>0</v>
      </c>
      <c r="DS296" s="542">
        <v>0</v>
      </c>
      <c r="DT296" s="542">
        <v>0</v>
      </c>
      <c r="DU296" s="542">
        <v>0</v>
      </c>
      <c r="DV296" s="542">
        <v>0</v>
      </c>
      <c r="DW296" s="542">
        <v>0</v>
      </c>
      <c r="DX296" s="542">
        <v>0</v>
      </c>
      <c r="DY296" s="542">
        <v>-306272</v>
      </c>
      <c r="DZ296" s="542">
        <v>-1000</v>
      </c>
      <c r="EA296" s="542">
        <v>-307272</v>
      </c>
      <c r="EB296" s="542">
        <v>-2923</v>
      </c>
      <c r="EC296" s="542">
        <v>0</v>
      </c>
      <c r="ED296" s="542">
        <v>-2923</v>
      </c>
      <c r="EE296" s="542">
        <v>-10063</v>
      </c>
      <c r="EF296" s="542">
        <v>0</v>
      </c>
      <c r="EG296" s="542">
        <v>-10063</v>
      </c>
      <c r="EH296" s="542">
        <v>-319258</v>
      </c>
      <c r="EI296" s="542">
        <v>-1000</v>
      </c>
      <c r="EJ296" s="542">
        <v>-320258</v>
      </c>
      <c r="EK296" s="542">
        <v>0</v>
      </c>
      <c r="EL296" s="542">
        <v>0</v>
      </c>
      <c r="EM296" s="542">
        <v>0</v>
      </c>
      <c r="EN296" s="542">
        <v>0</v>
      </c>
      <c r="EO296" s="542">
        <v>0</v>
      </c>
      <c r="EP296" s="542">
        <v>0</v>
      </c>
      <c r="EQ296" s="542">
        <v>0</v>
      </c>
      <c r="ER296" s="542">
        <v>0</v>
      </c>
      <c r="ES296" s="542">
        <v>0</v>
      </c>
      <c r="ET296" s="542">
        <v>60111736</v>
      </c>
      <c r="EU296" s="542">
        <v>1503198</v>
      </c>
      <c r="EV296" s="542">
        <v>61614934</v>
      </c>
      <c r="EW296" s="542">
        <v>-893948</v>
      </c>
      <c r="EX296" s="542">
        <v>-5699</v>
      </c>
      <c r="EY296" s="542">
        <v>-899647</v>
      </c>
      <c r="EZ296" s="542">
        <v>-7091079</v>
      </c>
      <c r="FA296" s="542">
        <v>-516</v>
      </c>
      <c r="FB296" s="542">
        <v>-7091595</v>
      </c>
      <c r="FC296" s="542">
        <v>-1942266</v>
      </c>
      <c r="FD296" s="542">
        <v>-49988</v>
      </c>
      <c r="FE296" s="542">
        <v>-1992254</v>
      </c>
      <c r="FF296" s="542">
        <v>-193246</v>
      </c>
      <c r="FG296" s="542">
        <v>-588458</v>
      </c>
      <c r="FH296" s="542">
        <v>-781704</v>
      </c>
      <c r="FI296" s="542">
        <v>-319258</v>
      </c>
      <c r="FJ296" s="542">
        <v>-1000</v>
      </c>
      <c r="FK296" s="542">
        <v>-320258</v>
      </c>
      <c r="FL296" s="542">
        <v>0</v>
      </c>
      <c r="FM296" s="542">
        <v>0</v>
      </c>
      <c r="FN296" s="542">
        <v>0</v>
      </c>
      <c r="FO296" s="542">
        <v>-10439797</v>
      </c>
      <c r="FP296" s="542">
        <v>-645661</v>
      </c>
      <c r="FQ296" s="542">
        <v>-11085458</v>
      </c>
      <c r="FR296" s="542">
        <v>49671939</v>
      </c>
      <c r="FS296" s="542">
        <v>857537</v>
      </c>
      <c r="FT296" s="542">
        <v>50529476</v>
      </c>
    </row>
    <row r="297" spans="1:176" ht="12.75" x14ac:dyDescent="0.2">
      <c r="A297" s="93">
        <v>292</v>
      </c>
      <c r="B297" s="145" t="s">
        <v>462</v>
      </c>
      <c r="C297" s="604" t="s">
        <v>873</v>
      </c>
      <c r="D297" s="142" t="s">
        <v>874</v>
      </c>
      <c r="E297" s="149" t="s">
        <v>461</v>
      </c>
      <c r="F297" s="542">
        <v>-365743</v>
      </c>
      <c r="G297" s="542">
        <v>0</v>
      </c>
      <c r="H297" s="542">
        <v>-365743</v>
      </c>
      <c r="I297" s="542">
        <v>-23363</v>
      </c>
      <c r="J297" s="542">
        <v>0</v>
      </c>
      <c r="K297" s="542">
        <v>-23363</v>
      </c>
      <c r="L297" s="542">
        <v>16258</v>
      </c>
      <c r="M297" s="542">
        <v>0</v>
      </c>
      <c r="N297" s="542">
        <v>16258</v>
      </c>
      <c r="O297" s="542">
        <v>370717</v>
      </c>
      <c r="P297" s="542">
        <v>0</v>
      </c>
      <c r="Q297" s="542">
        <v>370717</v>
      </c>
      <c r="R297" s="542">
        <v>-2131</v>
      </c>
      <c r="S297" s="542">
        <v>0</v>
      </c>
      <c r="T297" s="542">
        <v>-2131</v>
      </c>
      <c r="U297" s="542">
        <v>-7481153</v>
      </c>
      <c r="V297" s="542">
        <v>0</v>
      </c>
      <c r="W297" s="542">
        <v>-7481153</v>
      </c>
      <c r="X297" s="542">
        <v>-5000</v>
      </c>
      <c r="Y297" s="542">
        <v>0</v>
      </c>
      <c r="Z297" s="542">
        <v>-5000</v>
      </c>
      <c r="AA297" s="542">
        <v>-164732</v>
      </c>
      <c r="AB297" s="542">
        <v>0</v>
      </c>
      <c r="AC297" s="542">
        <v>-164732</v>
      </c>
      <c r="AD297" s="542">
        <v>-89236</v>
      </c>
      <c r="AE297" s="542">
        <v>0</v>
      </c>
      <c r="AF297" s="542">
        <v>-89236</v>
      </c>
      <c r="AG297" s="542">
        <v>2939366</v>
      </c>
      <c r="AH297" s="542">
        <v>0</v>
      </c>
      <c r="AI297" s="542">
        <v>2939366</v>
      </c>
      <c r="AJ297" s="542">
        <v>-42794</v>
      </c>
      <c r="AK297" s="542">
        <v>0</v>
      </c>
      <c r="AL297" s="542">
        <v>-42794</v>
      </c>
      <c r="AM297" s="542">
        <v>-6673925</v>
      </c>
      <c r="AN297" s="542">
        <v>0</v>
      </c>
      <c r="AO297" s="542">
        <v>-6673925</v>
      </c>
      <c r="AP297" s="542">
        <v>-48841</v>
      </c>
      <c r="AQ297" s="542">
        <v>0</v>
      </c>
      <c r="AR297" s="542">
        <v>-48841</v>
      </c>
      <c r="AS297" s="542">
        <v>-64415</v>
      </c>
      <c r="AT297" s="542">
        <v>0</v>
      </c>
      <c r="AU297" s="542">
        <v>-64415</v>
      </c>
      <c r="AV297" s="542">
        <v>0</v>
      </c>
      <c r="AW297" s="542">
        <v>0</v>
      </c>
      <c r="AX297" s="542">
        <v>0</v>
      </c>
      <c r="AY297" s="542">
        <v>-8869</v>
      </c>
      <c r="AZ297" s="542">
        <v>0</v>
      </c>
      <c r="BA297" s="542">
        <v>-8869</v>
      </c>
      <c r="BB297" s="542">
        <v>0</v>
      </c>
      <c r="BC297" s="542">
        <v>0</v>
      </c>
      <c r="BD297" s="542">
        <v>0</v>
      </c>
      <c r="BE297" s="542">
        <v>-11545363</v>
      </c>
      <c r="BF297" s="542">
        <v>0</v>
      </c>
      <c r="BG297" s="542">
        <v>-11545363</v>
      </c>
      <c r="BH297" s="542">
        <v>-269672</v>
      </c>
      <c r="BI297" s="542">
        <v>0</v>
      </c>
      <c r="BJ297" s="542">
        <v>-269672</v>
      </c>
      <c r="BK297" s="542">
        <v>-108063</v>
      </c>
      <c r="BL297" s="542">
        <v>0</v>
      </c>
      <c r="BM297" s="542">
        <v>-108063</v>
      </c>
      <c r="BN297" s="542">
        <v>-6135456</v>
      </c>
      <c r="BO297" s="542">
        <v>0</v>
      </c>
      <c r="BP297" s="542">
        <v>-6135456</v>
      </c>
      <c r="BQ297" s="542">
        <v>40890</v>
      </c>
      <c r="BR297" s="542">
        <v>0</v>
      </c>
      <c r="BS297" s="542">
        <v>40890</v>
      </c>
      <c r="BT297" s="542">
        <v>-6472301</v>
      </c>
      <c r="BU297" s="542">
        <v>0</v>
      </c>
      <c r="BV297" s="542">
        <v>-6472301</v>
      </c>
      <c r="BW297" s="542">
        <v>-731917</v>
      </c>
      <c r="BX297" s="542">
        <v>0</v>
      </c>
      <c r="BY297" s="542">
        <v>-731917</v>
      </c>
      <c r="BZ297" s="542">
        <v>-9081</v>
      </c>
      <c r="CA297" s="542">
        <v>0</v>
      </c>
      <c r="CB297" s="542">
        <v>-9081</v>
      </c>
      <c r="CC297" s="542">
        <v>-429544</v>
      </c>
      <c r="CD297" s="542">
        <v>0</v>
      </c>
      <c r="CE297" s="542">
        <v>-429544</v>
      </c>
      <c r="CF297" s="542">
        <v>86784</v>
      </c>
      <c r="CG297" s="542">
        <v>0</v>
      </c>
      <c r="CH297" s="542">
        <v>86784</v>
      </c>
      <c r="CI297" s="542">
        <v>-9741</v>
      </c>
      <c r="CJ297" s="542">
        <v>0</v>
      </c>
      <c r="CK297" s="542">
        <v>-9741</v>
      </c>
      <c r="CL297" s="542">
        <v>0</v>
      </c>
      <c r="CM297" s="542">
        <v>0</v>
      </c>
      <c r="CN297" s="542">
        <v>0</v>
      </c>
      <c r="CO297" s="542">
        <v>0</v>
      </c>
      <c r="CP297" s="542">
        <v>0</v>
      </c>
      <c r="CQ297" s="542">
        <v>0</v>
      </c>
      <c r="CR297" s="542">
        <v>0</v>
      </c>
      <c r="CS297" s="542">
        <v>0</v>
      </c>
      <c r="CT297" s="542">
        <v>0</v>
      </c>
      <c r="CU297" s="542">
        <v>0</v>
      </c>
      <c r="CV297" s="542">
        <v>0</v>
      </c>
      <c r="CW297" s="542">
        <v>0</v>
      </c>
      <c r="CX297" s="542">
        <v>0</v>
      </c>
      <c r="CY297" s="542">
        <v>0</v>
      </c>
      <c r="CZ297" s="542">
        <v>0</v>
      </c>
      <c r="DA297" s="542">
        <v>0</v>
      </c>
      <c r="DB297" s="542">
        <v>0</v>
      </c>
      <c r="DC297" s="542">
        <v>0</v>
      </c>
      <c r="DD297" s="542">
        <v>0</v>
      </c>
      <c r="DE297" s="542">
        <v>0</v>
      </c>
      <c r="DF297" s="542">
        <v>0</v>
      </c>
      <c r="DG297" s="542"/>
      <c r="DH297" s="542">
        <v>0</v>
      </c>
      <c r="DI297" s="542"/>
      <c r="DJ297" s="542">
        <v>0</v>
      </c>
      <c r="DK297" s="542"/>
      <c r="DL297" s="542"/>
      <c r="DM297" s="542">
        <v>-1093499</v>
      </c>
      <c r="DN297" s="542">
        <v>0</v>
      </c>
      <c r="DO297" s="542">
        <v>-1093499</v>
      </c>
      <c r="DP297" s="542">
        <v>0</v>
      </c>
      <c r="DQ297" s="542">
        <v>0</v>
      </c>
      <c r="DR297" s="542">
        <v>0</v>
      </c>
      <c r="DS297" s="542">
        <v>0</v>
      </c>
      <c r="DT297" s="542">
        <v>0</v>
      </c>
      <c r="DU297" s="542">
        <v>0</v>
      </c>
      <c r="DV297" s="542">
        <v>-70852</v>
      </c>
      <c r="DW297" s="542">
        <v>0</v>
      </c>
      <c r="DX297" s="542">
        <v>-70852</v>
      </c>
      <c r="DY297" s="542">
        <v>-1237020</v>
      </c>
      <c r="DZ297" s="542">
        <v>0</v>
      </c>
      <c r="EA297" s="542">
        <v>-1237020</v>
      </c>
      <c r="EB297" s="542">
        <v>0</v>
      </c>
      <c r="EC297" s="542">
        <v>0</v>
      </c>
      <c r="ED297" s="542">
        <v>0</v>
      </c>
      <c r="EE297" s="542">
        <v>0</v>
      </c>
      <c r="EF297" s="542">
        <v>0</v>
      </c>
      <c r="EG297" s="542">
        <v>0</v>
      </c>
      <c r="EH297" s="542">
        <v>-1307872</v>
      </c>
      <c r="EI297" s="542">
        <v>0</v>
      </c>
      <c r="EJ297" s="542">
        <v>-1307872</v>
      </c>
      <c r="EK297" s="542">
        <v>0</v>
      </c>
      <c r="EL297" s="542">
        <v>0</v>
      </c>
      <c r="EM297" s="542">
        <v>0</v>
      </c>
      <c r="EN297" s="542">
        <v>0</v>
      </c>
      <c r="EO297" s="542">
        <v>0</v>
      </c>
      <c r="EP297" s="542">
        <v>0</v>
      </c>
      <c r="EQ297" s="542">
        <v>0</v>
      </c>
      <c r="ER297" s="542">
        <v>0</v>
      </c>
      <c r="ES297" s="542">
        <v>0</v>
      </c>
      <c r="ET297" s="542">
        <v>143053014</v>
      </c>
      <c r="EU297" s="542">
        <v>0</v>
      </c>
      <c r="EV297" s="542">
        <v>143053014</v>
      </c>
      <c r="EW297" s="542">
        <v>-2131</v>
      </c>
      <c r="EX297" s="542">
        <v>0</v>
      </c>
      <c r="EY297" s="542">
        <v>-2131</v>
      </c>
      <c r="EZ297" s="542">
        <v>-11545363</v>
      </c>
      <c r="FA297" s="542">
        <v>0</v>
      </c>
      <c r="FB297" s="542">
        <v>-11545363</v>
      </c>
      <c r="FC297" s="542">
        <v>-6472301</v>
      </c>
      <c r="FD297" s="542">
        <v>0</v>
      </c>
      <c r="FE297" s="542">
        <v>-6472301</v>
      </c>
      <c r="FF297" s="542">
        <v>-1093499</v>
      </c>
      <c r="FG297" s="542">
        <v>0</v>
      </c>
      <c r="FH297" s="542">
        <v>-1093499</v>
      </c>
      <c r="FI297" s="542">
        <v>-1307872</v>
      </c>
      <c r="FJ297" s="542">
        <v>0</v>
      </c>
      <c r="FK297" s="542">
        <v>-1307872</v>
      </c>
      <c r="FL297" s="542">
        <v>0</v>
      </c>
      <c r="FM297" s="542">
        <v>0</v>
      </c>
      <c r="FN297" s="542">
        <v>0</v>
      </c>
      <c r="FO297" s="542">
        <v>-20421166</v>
      </c>
      <c r="FP297" s="542">
        <v>0</v>
      </c>
      <c r="FQ297" s="542">
        <v>-20421166</v>
      </c>
      <c r="FR297" s="542">
        <v>122631848</v>
      </c>
      <c r="FS297" s="542">
        <v>0</v>
      </c>
      <c r="FT297" s="542">
        <v>122631848</v>
      </c>
    </row>
    <row r="298" spans="1:176" ht="12.75" x14ac:dyDescent="0.2">
      <c r="A298" s="93">
        <v>293</v>
      </c>
      <c r="B298" s="145" t="s">
        <v>464</v>
      </c>
      <c r="C298" s="604" t="s">
        <v>873</v>
      </c>
      <c r="D298" s="142" t="s">
        <v>876</v>
      </c>
      <c r="E298" s="149" t="s">
        <v>463</v>
      </c>
      <c r="F298" s="542">
        <v>-156075</v>
      </c>
      <c r="G298" s="542">
        <v>0</v>
      </c>
      <c r="H298" s="542">
        <v>-156075</v>
      </c>
      <c r="I298" s="542">
        <v>181921</v>
      </c>
      <c r="J298" s="542">
        <v>0</v>
      </c>
      <c r="K298" s="542">
        <v>181921</v>
      </c>
      <c r="L298" s="542">
        <v>61470</v>
      </c>
      <c r="M298" s="542">
        <v>0</v>
      </c>
      <c r="N298" s="542">
        <v>61470</v>
      </c>
      <c r="O298" s="542">
        <v>1695444</v>
      </c>
      <c r="P298" s="542">
        <v>64</v>
      </c>
      <c r="Q298" s="542">
        <v>1695508</v>
      </c>
      <c r="R298" s="542">
        <v>1782760</v>
      </c>
      <c r="S298" s="542">
        <v>64</v>
      </c>
      <c r="T298" s="542">
        <v>1782824</v>
      </c>
      <c r="U298" s="542">
        <v>-5559176</v>
      </c>
      <c r="V298" s="542">
        <v>-789</v>
      </c>
      <c r="W298" s="542">
        <v>-5559965</v>
      </c>
      <c r="X298" s="542">
        <v>-9477</v>
      </c>
      <c r="Y298" s="542">
        <v>0</v>
      </c>
      <c r="Z298" s="542">
        <v>-9477</v>
      </c>
      <c r="AA298" s="542">
        <v>-218699</v>
      </c>
      <c r="AB298" s="542">
        <v>91</v>
      </c>
      <c r="AC298" s="542">
        <v>-218608</v>
      </c>
      <c r="AD298" s="542">
        <v>-91098</v>
      </c>
      <c r="AE298" s="542">
        <v>0</v>
      </c>
      <c r="AF298" s="542">
        <v>-91098</v>
      </c>
      <c r="AG298" s="542">
        <v>1650578</v>
      </c>
      <c r="AH298" s="542">
        <v>0</v>
      </c>
      <c r="AI298" s="542">
        <v>1650578</v>
      </c>
      <c r="AJ298" s="542">
        <v>0</v>
      </c>
      <c r="AK298" s="542">
        <v>0</v>
      </c>
      <c r="AL298" s="542">
        <v>0</v>
      </c>
      <c r="AM298" s="542">
        <v>-4786990</v>
      </c>
      <c r="AN298" s="542">
        <v>0</v>
      </c>
      <c r="AO298" s="542">
        <v>-4786990</v>
      </c>
      <c r="AP298" s="542">
        <v>111410</v>
      </c>
      <c r="AQ298" s="542">
        <v>0</v>
      </c>
      <c r="AR298" s="542">
        <v>111410</v>
      </c>
      <c r="AS298" s="542">
        <v>-28766</v>
      </c>
      <c r="AT298" s="542">
        <v>0</v>
      </c>
      <c r="AU298" s="542">
        <v>-28766</v>
      </c>
      <c r="AV298" s="542">
        <v>0</v>
      </c>
      <c r="AW298" s="542">
        <v>0</v>
      </c>
      <c r="AX298" s="542">
        <v>0</v>
      </c>
      <c r="AY298" s="542">
        <v>0</v>
      </c>
      <c r="AZ298" s="542">
        <v>0</v>
      </c>
      <c r="BA298" s="542">
        <v>0</v>
      </c>
      <c r="BB298" s="542">
        <v>0</v>
      </c>
      <c r="BC298" s="542">
        <v>0</v>
      </c>
      <c r="BD298" s="542">
        <v>0</v>
      </c>
      <c r="BE298" s="542">
        <v>-8831643</v>
      </c>
      <c r="BF298" s="542">
        <v>-698</v>
      </c>
      <c r="BG298" s="542">
        <v>-8832341</v>
      </c>
      <c r="BH298" s="542">
        <v>-58169</v>
      </c>
      <c r="BI298" s="542">
        <v>0</v>
      </c>
      <c r="BJ298" s="542">
        <v>-58169</v>
      </c>
      <c r="BK298" s="542">
        <v>-730</v>
      </c>
      <c r="BL298" s="542">
        <v>0</v>
      </c>
      <c r="BM298" s="542">
        <v>-730</v>
      </c>
      <c r="BN298" s="542">
        <v>-2984190</v>
      </c>
      <c r="BO298" s="542">
        <v>0</v>
      </c>
      <c r="BP298" s="542">
        <v>-2984190</v>
      </c>
      <c r="BQ298" s="542">
        <v>-19462</v>
      </c>
      <c r="BR298" s="542">
        <v>0</v>
      </c>
      <c r="BS298" s="542">
        <v>-19462</v>
      </c>
      <c r="BT298" s="542">
        <v>-3062551</v>
      </c>
      <c r="BU298" s="542">
        <v>0</v>
      </c>
      <c r="BV298" s="542">
        <v>-3062551</v>
      </c>
      <c r="BW298" s="542">
        <v>-165340</v>
      </c>
      <c r="BX298" s="542">
        <v>0</v>
      </c>
      <c r="BY298" s="542">
        <v>-165340</v>
      </c>
      <c r="BZ298" s="542">
        <v>3084</v>
      </c>
      <c r="CA298" s="542">
        <v>0</v>
      </c>
      <c r="CB298" s="542">
        <v>3084</v>
      </c>
      <c r="CC298" s="542">
        <v>-47796</v>
      </c>
      <c r="CD298" s="542">
        <v>0</v>
      </c>
      <c r="CE298" s="542">
        <v>-47796</v>
      </c>
      <c r="CF298" s="542">
        <v>369</v>
      </c>
      <c r="CG298" s="542">
        <v>0</v>
      </c>
      <c r="CH298" s="542">
        <v>369</v>
      </c>
      <c r="CI298" s="542">
        <v>-2176</v>
      </c>
      <c r="CJ298" s="542">
        <v>0</v>
      </c>
      <c r="CK298" s="542">
        <v>-2176</v>
      </c>
      <c r="CL298" s="542">
        <v>0</v>
      </c>
      <c r="CM298" s="542">
        <v>0</v>
      </c>
      <c r="CN298" s="542">
        <v>0</v>
      </c>
      <c r="CO298" s="542">
        <v>0</v>
      </c>
      <c r="CP298" s="542">
        <v>0</v>
      </c>
      <c r="CQ298" s="542">
        <v>0</v>
      </c>
      <c r="CR298" s="542">
        <v>0</v>
      </c>
      <c r="CS298" s="542">
        <v>0</v>
      </c>
      <c r="CT298" s="542">
        <v>0</v>
      </c>
      <c r="CU298" s="542">
        <v>0</v>
      </c>
      <c r="CV298" s="542">
        <v>0</v>
      </c>
      <c r="CW298" s="542">
        <v>0</v>
      </c>
      <c r="CX298" s="542">
        <v>0</v>
      </c>
      <c r="CY298" s="542">
        <v>0</v>
      </c>
      <c r="CZ298" s="542">
        <v>0</v>
      </c>
      <c r="DA298" s="542">
        <v>0</v>
      </c>
      <c r="DB298" s="542">
        <v>0</v>
      </c>
      <c r="DC298" s="542">
        <v>0</v>
      </c>
      <c r="DD298" s="542">
        <v>0</v>
      </c>
      <c r="DE298" s="542">
        <v>0</v>
      </c>
      <c r="DF298" s="542">
        <v>0</v>
      </c>
      <c r="DG298" s="542"/>
      <c r="DH298" s="542">
        <v>0</v>
      </c>
      <c r="DI298" s="542"/>
      <c r="DJ298" s="542">
        <v>0</v>
      </c>
      <c r="DK298" s="542"/>
      <c r="DL298" s="542"/>
      <c r="DM298" s="542">
        <v>-211859</v>
      </c>
      <c r="DN298" s="542">
        <v>0</v>
      </c>
      <c r="DO298" s="542">
        <v>-211859</v>
      </c>
      <c r="DP298" s="542">
        <v>0</v>
      </c>
      <c r="DQ298" s="542">
        <v>0</v>
      </c>
      <c r="DR298" s="542">
        <v>0</v>
      </c>
      <c r="DS298" s="542">
        <v>0</v>
      </c>
      <c r="DT298" s="542">
        <v>0</v>
      </c>
      <c r="DU298" s="542">
        <v>0</v>
      </c>
      <c r="DV298" s="542">
        <v>-8461</v>
      </c>
      <c r="DW298" s="542">
        <v>0</v>
      </c>
      <c r="DX298" s="542">
        <v>-8461</v>
      </c>
      <c r="DY298" s="542">
        <v>-674314</v>
      </c>
      <c r="DZ298" s="542">
        <v>0</v>
      </c>
      <c r="EA298" s="542">
        <v>-674314</v>
      </c>
      <c r="EB298" s="542">
        <v>0</v>
      </c>
      <c r="EC298" s="542">
        <v>0</v>
      </c>
      <c r="ED298" s="542">
        <v>0</v>
      </c>
      <c r="EE298" s="542">
        <v>0</v>
      </c>
      <c r="EF298" s="542">
        <v>0</v>
      </c>
      <c r="EG298" s="542">
        <v>0</v>
      </c>
      <c r="EH298" s="542">
        <v>-682775</v>
      </c>
      <c r="EI298" s="542">
        <v>0</v>
      </c>
      <c r="EJ298" s="542">
        <v>-682775</v>
      </c>
      <c r="EK298" s="542">
        <v>0</v>
      </c>
      <c r="EL298" s="542">
        <v>0</v>
      </c>
      <c r="EM298" s="542">
        <v>0</v>
      </c>
      <c r="EN298" s="542">
        <v>0</v>
      </c>
      <c r="EO298" s="542">
        <v>0</v>
      </c>
      <c r="EP298" s="542">
        <v>0</v>
      </c>
      <c r="EQ298" s="542">
        <v>0</v>
      </c>
      <c r="ER298" s="542">
        <v>0</v>
      </c>
      <c r="ES298" s="542">
        <v>0</v>
      </c>
      <c r="ET298" s="542">
        <v>78140682</v>
      </c>
      <c r="EU298" s="542">
        <v>181803</v>
      </c>
      <c r="EV298" s="542">
        <v>78322485</v>
      </c>
      <c r="EW298" s="542">
        <v>1782760</v>
      </c>
      <c r="EX298" s="542">
        <v>64</v>
      </c>
      <c r="EY298" s="542">
        <v>1782824</v>
      </c>
      <c r="EZ298" s="542">
        <v>-8831643</v>
      </c>
      <c r="FA298" s="542">
        <v>-698</v>
      </c>
      <c r="FB298" s="542">
        <v>-8832341</v>
      </c>
      <c r="FC298" s="542">
        <v>-3062551</v>
      </c>
      <c r="FD298" s="542">
        <v>0</v>
      </c>
      <c r="FE298" s="542">
        <v>-3062551</v>
      </c>
      <c r="FF298" s="542">
        <v>-211859</v>
      </c>
      <c r="FG298" s="542">
        <v>0</v>
      </c>
      <c r="FH298" s="542">
        <v>-211859</v>
      </c>
      <c r="FI298" s="542">
        <v>-682775</v>
      </c>
      <c r="FJ298" s="542">
        <v>0</v>
      </c>
      <c r="FK298" s="542">
        <v>-682775</v>
      </c>
      <c r="FL298" s="542">
        <v>0</v>
      </c>
      <c r="FM298" s="542">
        <v>0</v>
      </c>
      <c r="FN298" s="542">
        <v>0</v>
      </c>
      <c r="FO298" s="542">
        <v>-11006068</v>
      </c>
      <c r="FP298" s="542">
        <v>-634</v>
      </c>
      <c r="FQ298" s="542">
        <v>-11006702</v>
      </c>
      <c r="FR298" s="542">
        <v>67134614</v>
      </c>
      <c r="FS298" s="542">
        <v>181169</v>
      </c>
      <c r="FT298" s="542">
        <v>67315783</v>
      </c>
    </row>
    <row r="299" spans="1:176" ht="12.75" x14ac:dyDescent="0.2">
      <c r="A299" s="93">
        <v>294</v>
      </c>
      <c r="B299" s="145" t="s">
        <v>466</v>
      </c>
      <c r="C299" s="604" t="s">
        <v>871</v>
      </c>
      <c r="D299" s="142" t="s">
        <v>872</v>
      </c>
      <c r="E299" s="149" t="s">
        <v>465</v>
      </c>
      <c r="F299" s="542">
        <v>-215792</v>
      </c>
      <c r="G299" s="542">
        <v>0</v>
      </c>
      <c r="H299" s="542">
        <v>-215792</v>
      </c>
      <c r="I299" s="542">
        <v>64084</v>
      </c>
      <c r="J299" s="542">
        <v>0</v>
      </c>
      <c r="K299" s="542">
        <v>64084</v>
      </c>
      <c r="L299" s="542">
        <v>20643</v>
      </c>
      <c r="M299" s="542">
        <v>0</v>
      </c>
      <c r="N299" s="542">
        <v>20643</v>
      </c>
      <c r="O299" s="542">
        <v>1752695</v>
      </c>
      <c r="P299" s="542">
        <v>0</v>
      </c>
      <c r="Q299" s="542">
        <v>1752695</v>
      </c>
      <c r="R299" s="542">
        <v>1621630</v>
      </c>
      <c r="S299" s="542">
        <v>0</v>
      </c>
      <c r="T299" s="542">
        <v>1621630</v>
      </c>
      <c r="U299" s="542">
        <v>-5256749</v>
      </c>
      <c r="V299" s="542">
        <v>0</v>
      </c>
      <c r="W299" s="542">
        <v>-5256749</v>
      </c>
      <c r="X299" s="542">
        <v>-1237</v>
      </c>
      <c r="Y299" s="542">
        <v>0</v>
      </c>
      <c r="Z299" s="542">
        <v>-1237</v>
      </c>
      <c r="AA299" s="542">
        <v>10791</v>
      </c>
      <c r="AB299" s="542">
        <v>0</v>
      </c>
      <c r="AC299" s="542">
        <v>10791</v>
      </c>
      <c r="AD299" s="542">
        <v>11938</v>
      </c>
      <c r="AE299" s="542">
        <v>0</v>
      </c>
      <c r="AF299" s="542">
        <v>11938</v>
      </c>
      <c r="AG299" s="542">
        <v>1133567</v>
      </c>
      <c r="AH299" s="542">
        <v>0</v>
      </c>
      <c r="AI299" s="542">
        <v>1133567</v>
      </c>
      <c r="AJ299" s="542">
        <v>-74779</v>
      </c>
      <c r="AK299" s="542">
        <v>0</v>
      </c>
      <c r="AL299" s="542">
        <v>-74779</v>
      </c>
      <c r="AM299" s="542">
        <v>-4765563</v>
      </c>
      <c r="AN299" s="542">
        <v>0</v>
      </c>
      <c r="AO299" s="542">
        <v>-4765563</v>
      </c>
      <c r="AP299" s="542">
        <v>14364</v>
      </c>
      <c r="AQ299" s="542">
        <v>0</v>
      </c>
      <c r="AR299" s="542">
        <v>14364</v>
      </c>
      <c r="AS299" s="542">
        <v>-41683</v>
      </c>
      <c r="AT299" s="542">
        <v>0</v>
      </c>
      <c r="AU299" s="542">
        <v>-41683</v>
      </c>
      <c r="AV299" s="542">
        <v>0</v>
      </c>
      <c r="AW299" s="542">
        <v>0</v>
      </c>
      <c r="AX299" s="542">
        <v>0</v>
      </c>
      <c r="AY299" s="542">
        <v>0</v>
      </c>
      <c r="AZ299" s="542">
        <v>0</v>
      </c>
      <c r="BA299" s="542">
        <v>0</v>
      </c>
      <c r="BB299" s="542">
        <v>0</v>
      </c>
      <c r="BC299" s="542">
        <v>0</v>
      </c>
      <c r="BD299" s="542">
        <v>0</v>
      </c>
      <c r="BE299" s="542">
        <v>-8980052</v>
      </c>
      <c r="BF299" s="542">
        <v>0</v>
      </c>
      <c r="BG299" s="542">
        <v>-8980052</v>
      </c>
      <c r="BH299" s="542">
        <v>0</v>
      </c>
      <c r="BI299" s="542">
        <v>0</v>
      </c>
      <c r="BJ299" s="542">
        <v>0</v>
      </c>
      <c r="BK299" s="542">
        <v>-11702</v>
      </c>
      <c r="BL299" s="542">
        <v>0</v>
      </c>
      <c r="BM299" s="542">
        <v>-11702</v>
      </c>
      <c r="BN299" s="542">
        <v>-1286953</v>
      </c>
      <c r="BO299" s="542">
        <v>0</v>
      </c>
      <c r="BP299" s="542">
        <v>-1286953</v>
      </c>
      <c r="BQ299" s="542">
        <v>-110237</v>
      </c>
      <c r="BR299" s="542">
        <v>0</v>
      </c>
      <c r="BS299" s="542">
        <v>-110237</v>
      </c>
      <c r="BT299" s="542">
        <v>-1408892</v>
      </c>
      <c r="BU299" s="542">
        <v>0</v>
      </c>
      <c r="BV299" s="542">
        <v>-1408892</v>
      </c>
      <c r="BW299" s="542">
        <v>-145077</v>
      </c>
      <c r="BX299" s="542">
        <v>0</v>
      </c>
      <c r="BY299" s="542">
        <v>-145077</v>
      </c>
      <c r="BZ299" s="542">
        <v>80</v>
      </c>
      <c r="CA299" s="542">
        <v>0</v>
      </c>
      <c r="CB299" s="542">
        <v>80</v>
      </c>
      <c r="CC299" s="542">
        <v>-26063</v>
      </c>
      <c r="CD299" s="542">
        <v>0</v>
      </c>
      <c r="CE299" s="542">
        <v>-26063</v>
      </c>
      <c r="CF299" s="542">
        <v>354</v>
      </c>
      <c r="CG299" s="542">
        <v>0</v>
      </c>
      <c r="CH299" s="542">
        <v>354</v>
      </c>
      <c r="CI299" s="542">
        <v>0</v>
      </c>
      <c r="CJ299" s="542">
        <v>0</v>
      </c>
      <c r="CK299" s="542">
        <v>0</v>
      </c>
      <c r="CL299" s="542">
        <v>0</v>
      </c>
      <c r="CM299" s="542">
        <v>0</v>
      </c>
      <c r="CN299" s="542">
        <v>0</v>
      </c>
      <c r="CO299" s="542">
        <v>0</v>
      </c>
      <c r="CP299" s="542">
        <v>0</v>
      </c>
      <c r="CQ299" s="542">
        <v>0</v>
      </c>
      <c r="CR299" s="542">
        <v>0</v>
      </c>
      <c r="CS299" s="542">
        <v>0</v>
      </c>
      <c r="CT299" s="542">
        <v>0</v>
      </c>
      <c r="CU299" s="542">
        <v>0</v>
      </c>
      <c r="CV299" s="542">
        <v>0</v>
      </c>
      <c r="CW299" s="542">
        <v>0</v>
      </c>
      <c r="CX299" s="542">
        <v>0</v>
      </c>
      <c r="CY299" s="542">
        <v>0</v>
      </c>
      <c r="CZ299" s="542">
        <v>0</v>
      </c>
      <c r="DA299" s="542">
        <v>0</v>
      </c>
      <c r="DB299" s="542">
        <v>0</v>
      </c>
      <c r="DC299" s="542">
        <v>0</v>
      </c>
      <c r="DD299" s="542">
        <v>0</v>
      </c>
      <c r="DE299" s="542">
        <v>0</v>
      </c>
      <c r="DF299" s="542">
        <v>0</v>
      </c>
      <c r="DG299" s="542"/>
      <c r="DH299" s="542">
        <v>0</v>
      </c>
      <c r="DI299" s="542"/>
      <c r="DJ299" s="542">
        <v>0</v>
      </c>
      <c r="DK299" s="542"/>
      <c r="DL299" s="542"/>
      <c r="DM299" s="542">
        <v>-170706</v>
      </c>
      <c r="DN299" s="542">
        <v>0</v>
      </c>
      <c r="DO299" s="542">
        <v>-170706</v>
      </c>
      <c r="DP299" s="542">
        <v>-63730</v>
      </c>
      <c r="DQ299" s="542">
        <v>0</v>
      </c>
      <c r="DR299" s="542">
        <v>-63730</v>
      </c>
      <c r="DS299" s="542">
        <v>-77</v>
      </c>
      <c r="DT299" s="542">
        <v>0</v>
      </c>
      <c r="DU299" s="542">
        <v>-77</v>
      </c>
      <c r="DV299" s="542">
        <v>0</v>
      </c>
      <c r="DW299" s="542">
        <v>0</v>
      </c>
      <c r="DX299" s="542">
        <v>0</v>
      </c>
      <c r="DY299" s="542">
        <v>-1549834</v>
      </c>
      <c r="DZ299" s="542">
        <v>0</v>
      </c>
      <c r="EA299" s="542">
        <v>-1549834</v>
      </c>
      <c r="EB299" s="542">
        <v>0</v>
      </c>
      <c r="EC299" s="542">
        <v>0</v>
      </c>
      <c r="ED299" s="542">
        <v>0</v>
      </c>
      <c r="EE299" s="542">
        <v>0</v>
      </c>
      <c r="EF299" s="542">
        <v>0</v>
      </c>
      <c r="EG299" s="542">
        <v>0</v>
      </c>
      <c r="EH299" s="542">
        <v>-1613641</v>
      </c>
      <c r="EI299" s="542">
        <v>0</v>
      </c>
      <c r="EJ299" s="542">
        <v>-1613641</v>
      </c>
      <c r="EK299" s="542">
        <v>0</v>
      </c>
      <c r="EL299" s="542">
        <v>0</v>
      </c>
      <c r="EM299" s="542">
        <v>0</v>
      </c>
      <c r="EN299" s="542">
        <v>0</v>
      </c>
      <c r="EO299" s="542">
        <v>0</v>
      </c>
      <c r="EP299" s="542">
        <v>0</v>
      </c>
      <c r="EQ299" s="542">
        <v>0</v>
      </c>
      <c r="ER299" s="542">
        <v>0</v>
      </c>
      <c r="ES299" s="542">
        <v>0</v>
      </c>
      <c r="ET299" s="542">
        <v>64405804</v>
      </c>
      <c r="EU299" s="542">
        <v>0</v>
      </c>
      <c r="EV299" s="542">
        <v>64405804</v>
      </c>
      <c r="EW299" s="542">
        <v>1621630</v>
      </c>
      <c r="EX299" s="542">
        <v>0</v>
      </c>
      <c r="EY299" s="542">
        <v>1621630</v>
      </c>
      <c r="EZ299" s="542">
        <v>-8980052</v>
      </c>
      <c r="FA299" s="542">
        <v>0</v>
      </c>
      <c r="FB299" s="542">
        <v>-8980052</v>
      </c>
      <c r="FC299" s="542">
        <v>-1408892</v>
      </c>
      <c r="FD299" s="542">
        <v>0</v>
      </c>
      <c r="FE299" s="542">
        <v>-1408892</v>
      </c>
      <c r="FF299" s="542">
        <v>-170706</v>
      </c>
      <c r="FG299" s="542">
        <v>0</v>
      </c>
      <c r="FH299" s="542">
        <v>-170706</v>
      </c>
      <c r="FI299" s="542">
        <v>-1613641</v>
      </c>
      <c r="FJ299" s="542">
        <v>0</v>
      </c>
      <c r="FK299" s="542">
        <v>-1613641</v>
      </c>
      <c r="FL299" s="542">
        <v>0</v>
      </c>
      <c r="FM299" s="542">
        <v>0</v>
      </c>
      <c r="FN299" s="542">
        <v>0</v>
      </c>
      <c r="FO299" s="542">
        <v>-10551661</v>
      </c>
      <c r="FP299" s="542">
        <v>0</v>
      </c>
      <c r="FQ299" s="542">
        <v>-10551661</v>
      </c>
      <c r="FR299" s="542">
        <v>53854143</v>
      </c>
      <c r="FS299" s="542">
        <v>0</v>
      </c>
      <c r="FT299" s="542">
        <v>53854143</v>
      </c>
    </row>
    <row r="300" spans="1:176" ht="12.75" x14ac:dyDescent="0.2">
      <c r="A300" s="93">
        <v>295</v>
      </c>
      <c r="B300" s="145" t="s">
        <v>468</v>
      </c>
      <c r="C300" s="604" t="s">
        <v>877</v>
      </c>
      <c r="D300" s="142" t="s">
        <v>872</v>
      </c>
      <c r="E300" s="149" t="s">
        <v>467</v>
      </c>
      <c r="F300" s="542">
        <v>-170051</v>
      </c>
      <c r="G300" s="542">
        <v>0</v>
      </c>
      <c r="H300" s="542">
        <v>-170051</v>
      </c>
      <c r="I300" s="542">
        <v>165529.57</v>
      </c>
      <c r="J300" s="542">
        <v>0</v>
      </c>
      <c r="K300" s="542">
        <v>165529.57</v>
      </c>
      <c r="L300" s="542">
        <v>10042</v>
      </c>
      <c r="M300" s="542">
        <v>0</v>
      </c>
      <c r="N300" s="542">
        <v>10042</v>
      </c>
      <c r="O300" s="542">
        <v>108691</v>
      </c>
      <c r="P300" s="542">
        <v>0</v>
      </c>
      <c r="Q300" s="542">
        <v>108691</v>
      </c>
      <c r="R300" s="542">
        <v>114212</v>
      </c>
      <c r="S300" s="542">
        <v>0</v>
      </c>
      <c r="T300" s="542">
        <v>114212</v>
      </c>
      <c r="U300" s="542">
        <v>-3704602</v>
      </c>
      <c r="V300" s="542">
        <v>0</v>
      </c>
      <c r="W300" s="542">
        <v>-3704602</v>
      </c>
      <c r="X300" s="542">
        <v>-7330</v>
      </c>
      <c r="Y300" s="542">
        <v>0</v>
      </c>
      <c r="Z300" s="542">
        <v>-7330</v>
      </c>
      <c r="AA300" s="542">
        <v>-198561</v>
      </c>
      <c r="AB300" s="542">
        <v>0</v>
      </c>
      <c r="AC300" s="542">
        <v>-198561</v>
      </c>
      <c r="AD300" s="542">
        <v>-93533</v>
      </c>
      <c r="AE300" s="542">
        <v>0</v>
      </c>
      <c r="AF300" s="542">
        <v>-93533</v>
      </c>
      <c r="AG300" s="542">
        <v>2237262</v>
      </c>
      <c r="AH300" s="542">
        <v>0</v>
      </c>
      <c r="AI300" s="542">
        <v>2237262</v>
      </c>
      <c r="AJ300" s="542">
        <v>126844</v>
      </c>
      <c r="AK300" s="542">
        <v>0</v>
      </c>
      <c r="AL300" s="542">
        <v>126844</v>
      </c>
      <c r="AM300" s="542">
        <v>-8356685</v>
      </c>
      <c r="AN300" s="542">
        <v>0</v>
      </c>
      <c r="AO300" s="542">
        <v>-8356685</v>
      </c>
      <c r="AP300" s="542">
        <v>509838</v>
      </c>
      <c r="AQ300" s="542">
        <v>0</v>
      </c>
      <c r="AR300" s="542">
        <v>509838</v>
      </c>
      <c r="AS300" s="542">
        <v>-29711</v>
      </c>
      <c r="AT300" s="542">
        <v>0</v>
      </c>
      <c r="AU300" s="542">
        <v>-29711</v>
      </c>
      <c r="AV300" s="542">
        <v>0</v>
      </c>
      <c r="AW300" s="542">
        <v>0</v>
      </c>
      <c r="AX300" s="542">
        <v>0</v>
      </c>
      <c r="AY300" s="542">
        <v>0</v>
      </c>
      <c r="AZ300" s="542">
        <v>0</v>
      </c>
      <c r="BA300" s="542">
        <v>0</v>
      </c>
      <c r="BB300" s="542">
        <v>0</v>
      </c>
      <c r="BC300" s="542">
        <v>0</v>
      </c>
      <c r="BD300" s="542">
        <v>0</v>
      </c>
      <c r="BE300" s="542">
        <v>-9415615</v>
      </c>
      <c r="BF300" s="542">
        <v>0</v>
      </c>
      <c r="BG300" s="542">
        <v>-9415615</v>
      </c>
      <c r="BH300" s="542">
        <v>-73249</v>
      </c>
      <c r="BI300" s="542">
        <v>0</v>
      </c>
      <c r="BJ300" s="542">
        <v>-73249</v>
      </c>
      <c r="BK300" s="542">
        <v>-103871</v>
      </c>
      <c r="BL300" s="542">
        <v>0</v>
      </c>
      <c r="BM300" s="542">
        <v>-103871</v>
      </c>
      <c r="BN300" s="542">
        <v>-4252028</v>
      </c>
      <c r="BO300" s="542">
        <v>0</v>
      </c>
      <c r="BP300" s="542">
        <v>-4252028</v>
      </c>
      <c r="BQ300" s="542">
        <v>-379325</v>
      </c>
      <c r="BR300" s="542">
        <v>0</v>
      </c>
      <c r="BS300" s="542">
        <v>-379325</v>
      </c>
      <c r="BT300" s="542">
        <v>-4808473</v>
      </c>
      <c r="BU300" s="542">
        <v>0</v>
      </c>
      <c r="BV300" s="542">
        <v>-4808473</v>
      </c>
      <c r="BW300" s="542">
        <v>-154620</v>
      </c>
      <c r="BX300" s="542">
        <v>0</v>
      </c>
      <c r="BY300" s="542">
        <v>-154620</v>
      </c>
      <c r="BZ300" s="542">
        <v>-2973</v>
      </c>
      <c r="CA300" s="542">
        <v>0</v>
      </c>
      <c r="CB300" s="542">
        <v>-2973</v>
      </c>
      <c r="CC300" s="542">
        <v>-678545</v>
      </c>
      <c r="CD300" s="542">
        <v>0</v>
      </c>
      <c r="CE300" s="542">
        <v>-678545</v>
      </c>
      <c r="CF300" s="542">
        <v>-71981</v>
      </c>
      <c r="CG300" s="542">
        <v>0</v>
      </c>
      <c r="CH300" s="542">
        <v>-71981</v>
      </c>
      <c r="CI300" s="542">
        <v>-1347</v>
      </c>
      <c r="CJ300" s="542">
        <v>0</v>
      </c>
      <c r="CK300" s="542">
        <v>-1347</v>
      </c>
      <c r="CL300" s="542">
        <v>0</v>
      </c>
      <c r="CM300" s="542">
        <v>0</v>
      </c>
      <c r="CN300" s="542">
        <v>0</v>
      </c>
      <c r="CO300" s="542">
        <v>0</v>
      </c>
      <c r="CP300" s="542">
        <v>0</v>
      </c>
      <c r="CQ300" s="542">
        <v>0</v>
      </c>
      <c r="CR300" s="542">
        <v>0</v>
      </c>
      <c r="CS300" s="542">
        <v>0</v>
      </c>
      <c r="CT300" s="542">
        <v>0</v>
      </c>
      <c r="CU300" s="542">
        <v>0</v>
      </c>
      <c r="CV300" s="542">
        <v>0</v>
      </c>
      <c r="CW300" s="542">
        <v>0</v>
      </c>
      <c r="CX300" s="542">
        <v>0</v>
      </c>
      <c r="CY300" s="542">
        <v>0</v>
      </c>
      <c r="CZ300" s="542">
        <v>0</v>
      </c>
      <c r="DA300" s="542">
        <v>0</v>
      </c>
      <c r="DB300" s="542">
        <v>0</v>
      </c>
      <c r="DC300" s="542">
        <v>0</v>
      </c>
      <c r="DD300" s="542">
        <v>0</v>
      </c>
      <c r="DE300" s="542">
        <v>0</v>
      </c>
      <c r="DF300" s="542">
        <v>0</v>
      </c>
      <c r="DG300" s="542"/>
      <c r="DH300" s="542">
        <v>0</v>
      </c>
      <c r="DI300" s="542"/>
      <c r="DJ300" s="542">
        <v>0</v>
      </c>
      <c r="DK300" s="542"/>
      <c r="DL300" s="542"/>
      <c r="DM300" s="542">
        <v>-909466</v>
      </c>
      <c r="DN300" s="542">
        <v>0</v>
      </c>
      <c r="DO300" s="542">
        <v>-909466</v>
      </c>
      <c r="DP300" s="542">
        <v>0</v>
      </c>
      <c r="DQ300" s="542">
        <v>0</v>
      </c>
      <c r="DR300" s="542">
        <v>0</v>
      </c>
      <c r="DS300" s="542">
        <v>0</v>
      </c>
      <c r="DT300" s="542">
        <v>0</v>
      </c>
      <c r="DU300" s="542">
        <v>0</v>
      </c>
      <c r="DV300" s="542">
        <v>-1595</v>
      </c>
      <c r="DW300" s="542">
        <v>0</v>
      </c>
      <c r="DX300" s="542">
        <v>-1595</v>
      </c>
      <c r="DY300" s="542">
        <v>-1643006</v>
      </c>
      <c r="DZ300" s="542">
        <v>0</v>
      </c>
      <c r="EA300" s="542">
        <v>-1643006</v>
      </c>
      <c r="EB300" s="542">
        <v>0</v>
      </c>
      <c r="EC300" s="542">
        <v>0</v>
      </c>
      <c r="ED300" s="542">
        <v>0</v>
      </c>
      <c r="EE300" s="542">
        <v>0</v>
      </c>
      <c r="EF300" s="542">
        <v>0</v>
      </c>
      <c r="EG300" s="542">
        <v>0</v>
      </c>
      <c r="EH300" s="542">
        <v>-1644601</v>
      </c>
      <c r="EI300" s="542">
        <v>0</v>
      </c>
      <c r="EJ300" s="542">
        <v>-1644601</v>
      </c>
      <c r="EK300" s="542">
        <v>0</v>
      </c>
      <c r="EL300" s="542">
        <v>0</v>
      </c>
      <c r="EM300" s="542">
        <v>0</v>
      </c>
      <c r="EN300" s="542">
        <v>0</v>
      </c>
      <c r="EO300" s="542">
        <v>0</v>
      </c>
      <c r="EP300" s="542">
        <v>0</v>
      </c>
      <c r="EQ300" s="542">
        <v>0</v>
      </c>
      <c r="ER300" s="542">
        <v>0</v>
      </c>
      <c r="ES300" s="542">
        <v>0</v>
      </c>
      <c r="ET300" s="542">
        <v>118867595</v>
      </c>
      <c r="EU300" s="542">
        <v>0</v>
      </c>
      <c r="EV300" s="542">
        <v>118867595</v>
      </c>
      <c r="EW300" s="542">
        <v>114212</v>
      </c>
      <c r="EX300" s="542">
        <v>0</v>
      </c>
      <c r="EY300" s="542">
        <v>114212</v>
      </c>
      <c r="EZ300" s="542">
        <v>-9415615</v>
      </c>
      <c r="FA300" s="542">
        <v>0</v>
      </c>
      <c r="FB300" s="542">
        <v>-9415615</v>
      </c>
      <c r="FC300" s="542">
        <v>-4808473</v>
      </c>
      <c r="FD300" s="542">
        <v>0</v>
      </c>
      <c r="FE300" s="542">
        <v>-4808473</v>
      </c>
      <c r="FF300" s="542">
        <v>-909466</v>
      </c>
      <c r="FG300" s="542">
        <v>0</v>
      </c>
      <c r="FH300" s="542">
        <v>-909466</v>
      </c>
      <c r="FI300" s="542">
        <v>-1644601</v>
      </c>
      <c r="FJ300" s="542">
        <v>0</v>
      </c>
      <c r="FK300" s="542">
        <v>-1644601</v>
      </c>
      <c r="FL300" s="542">
        <v>0</v>
      </c>
      <c r="FM300" s="542">
        <v>0</v>
      </c>
      <c r="FN300" s="542">
        <v>0</v>
      </c>
      <c r="FO300" s="542">
        <v>-16663943</v>
      </c>
      <c r="FP300" s="542">
        <v>0</v>
      </c>
      <c r="FQ300" s="542">
        <v>-16663943</v>
      </c>
      <c r="FR300" s="542">
        <v>102203652</v>
      </c>
      <c r="FS300" s="542">
        <v>0</v>
      </c>
      <c r="FT300" s="542">
        <v>102203652</v>
      </c>
    </row>
    <row r="301" spans="1:176" ht="12.75" x14ac:dyDescent="0.2">
      <c r="A301" s="93">
        <v>296</v>
      </c>
      <c r="B301" s="145" t="s">
        <v>470</v>
      </c>
      <c r="C301" s="604" t="s">
        <v>770</v>
      </c>
      <c r="D301" s="142" t="s">
        <v>868</v>
      </c>
      <c r="E301" s="149" t="s">
        <v>734</v>
      </c>
      <c r="F301" s="542">
        <v>-69920</v>
      </c>
      <c r="G301" s="542">
        <v>0</v>
      </c>
      <c r="H301" s="542">
        <v>-69920</v>
      </c>
      <c r="I301" s="542">
        <v>349707</v>
      </c>
      <c r="J301" s="542">
        <v>0</v>
      </c>
      <c r="K301" s="542">
        <v>349707</v>
      </c>
      <c r="L301" s="542">
        <v>43901</v>
      </c>
      <c r="M301" s="542">
        <v>0</v>
      </c>
      <c r="N301" s="542">
        <v>43901</v>
      </c>
      <c r="O301" s="542">
        <v>884445</v>
      </c>
      <c r="P301" s="542">
        <v>0</v>
      </c>
      <c r="Q301" s="542">
        <v>884445</v>
      </c>
      <c r="R301" s="542">
        <v>1208133</v>
      </c>
      <c r="S301" s="542">
        <v>0</v>
      </c>
      <c r="T301" s="542">
        <v>1208133</v>
      </c>
      <c r="U301" s="542">
        <v>-2930433</v>
      </c>
      <c r="V301" s="542">
        <v>0</v>
      </c>
      <c r="W301" s="542">
        <v>-2930433</v>
      </c>
      <c r="X301" s="542">
        <v>0</v>
      </c>
      <c r="Y301" s="542">
        <v>0</v>
      </c>
      <c r="Z301" s="542">
        <v>0</v>
      </c>
      <c r="AA301" s="542">
        <v>0</v>
      </c>
      <c r="AB301" s="542">
        <v>0</v>
      </c>
      <c r="AC301" s="542">
        <v>0</v>
      </c>
      <c r="AD301" s="542">
        <v>-212205</v>
      </c>
      <c r="AE301" s="542">
        <v>0</v>
      </c>
      <c r="AF301" s="542">
        <v>-212205</v>
      </c>
      <c r="AG301" s="542">
        <v>2607149</v>
      </c>
      <c r="AH301" s="542">
        <v>0</v>
      </c>
      <c r="AI301" s="542">
        <v>2607149</v>
      </c>
      <c r="AJ301" s="542">
        <v>-75126</v>
      </c>
      <c r="AK301" s="542">
        <v>0</v>
      </c>
      <c r="AL301" s="542">
        <v>-75126</v>
      </c>
      <c r="AM301" s="542">
        <v>-3972994</v>
      </c>
      <c r="AN301" s="542">
        <v>0</v>
      </c>
      <c r="AO301" s="542">
        <v>-3972994</v>
      </c>
      <c r="AP301" s="542">
        <v>-159889</v>
      </c>
      <c r="AQ301" s="542">
        <v>0</v>
      </c>
      <c r="AR301" s="542">
        <v>-159889</v>
      </c>
      <c r="AS301" s="542">
        <v>-63217</v>
      </c>
      <c r="AT301" s="542">
        <v>0</v>
      </c>
      <c r="AU301" s="542">
        <v>-63217</v>
      </c>
      <c r="AV301" s="542">
        <v>0</v>
      </c>
      <c r="AW301" s="542">
        <v>0</v>
      </c>
      <c r="AX301" s="542">
        <v>0</v>
      </c>
      <c r="AY301" s="542">
        <v>-1777</v>
      </c>
      <c r="AZ301" s="542">
        <v>0</v>
      </c>
      <c r="BA301" s="542">
        <v>-1777</v>
      </c>
      <c r="BB301" s="542">
        <v>0</v>
      </c>
      <c r="BC301" s="542">
        <v>0</v>
      </c>
      <c r="BD301" s="542">
        <v>0</v>
      </c>
      <c r="BE301" s="542">
        <v>-4596287</v>
      </c>
      <c r="BF301" s="542">
        <v>0</v>
      </c>
      <c r="BG301" s="542">
        <v>-4596287</v>
      </c>
      <c r="BH301" s="542">
        <v>-44178</v>
      </c>
      <c r="BI301" s="542">
        <v>0</v>
      </c>
      <c r="BJ301" s="542">
        <v>-44178</v>
      </c>
      <c r="BK301" s="542">
        <v>-134368</v>
      </c>
      <c r="BL301" s="542">
        <v>0</v>
      </c>
      <c r="BM301" s="542">
        <v>-134368</v>
      </c>
      <c r="BN301" s="542">
        <v>-4583052</v>
      </c>
      <c r="BO301" s="542">
        <v>0</v>
      </c>
      <c r="BP301" s="542">
        <v>-4583052</v>
      </c>
      <c r="BQ301" s="542">
        <v>-105100</v>
      </c>
      <c r="BR301" s="542">
        <v>0</v>
      </c>
      <c r="BS301" s="542">
        <v>-105100</v>
      </c>
      <c r="BT301" s="542">
        <v>-4866698</v>
      </c>
      <c r="BU301" s="542">
        <v>0</v>
      </c>
      <c r="BV301" s="542">
        <v>-4866698</v>
      </c>
      <c r="BW301" s="542">
        <v>-165153</v>
      </c>
      <c r="BX301" s="542">
        <v>0</v>
      </c>
      <c r="BY301" s="542">
        <v>-165153</v>
      </c>
      <c r="BZ301" s="542">
        <v>3382</v>
      </c>
      <c r="CA301" s="542">
        <v>0</v>
      </c>
      <c r="CB301" s="542">
        <v>3382</v>
      </c>
      <c r="CC301" s="542">
        <v>-548021</v>
      </c>
      <c r="CD301" s="542">
        <v>0</v>
      </c>
      <c r="CE301" s="542">
        <v>-548021</v>
      </c>
      <c r="CF301" s="542">
        <v>-8308</v>
      </c>
      <c r="CG301" s="542">
        <v>0</v>
      </c>
      <c r="CH301" s="542">
        <v>-8308</v>
      </c>
      <c r="CI301" s="542">
        <v>-2829</v>
      </c>
      <c r="CJ301" s="542">
        <v>0</v>
      </c>
      <c r="CK301" s="542">
        <v>-2829</v>
      </c>
      <c r="CL301" s="542">
        <v>0</v>
      </c>
      <c r="CM301" s="542">
        <v>0</v>
      </c>
      <c r="CN301" s="542">
        <v>0</v>
      </c>
      <c r="CO301" s="542">
        <v>-889</v>
      </c>
      <c r="CP301" s="542">
        <v>0</v>
      </c>
      <c r="CQ301" s="542">
        <v>-889</v>
      </c>
      <c r="CR301" s="542">
        <v>0</v>
      </c>
      <c r="CS301" s="542">
        <v>0</v>
      </c>
      <c r="CT301" s="542">
        <v>0</v>
      </c>
      <c r="CU301" s="542">
        <v>-3462</v>
      </c>
      <c r="CV301" s="542">
        <v>0</v>
      </c>
      <c r="CW301" s="542">
        <v>-3462</v>
      </c>
      <c r="CX301" s="542">
        <v>0</v>
      </c>
      <c r="CY301" s="542">
        <v>0</v>
      </c>
      <c r="CZ301" s="542">
        <v>0</v>
      </c>
      <c r="DA301" s="542">
        <v>-5619</v>
      </c>
      <c r="DB301" s="542">
        <v>0</v>
      </c>
      <c r="DC301" s="542">
        <v>-5619</v>
      </c>
      <c r="DD301" s="542">
        <v>0</v>
      </c>
      <c r="DE301" s="542">
        <v>0</v>
      </c>
      <c r="DF301" s="542">
        <v>0</v>
      </c>
      <c r="DG301" s="542"/>
      <c r="DH301" s="542">
        <v>0</v>
      </c>
      <c r="DI301" s="542"/>
      <c r="DJ301" s="542">
        <v>0</v>
      </c>
      <c r="DK301" s="542"/>
      <c r="DL301" s="542"/>
      <c r="DM301" s="542">
        <v>-730899</v>
      </c>
      <c r="DN301" s="542">
        <v>0</v>
      </c>
      <c r="DO301" s="542">
        <v>-730899</v>
      </c>
      <c r="DP301" s="542">
        <v>0</v>
      </c>
      <c r="DQ301" s="542">
        <v>0</v>
      </c>
      <c r="DR301" s="542">
        <v>0</v>
      </c>
      <c r="DS301" s="542">
        <v>0</v>
      </c>
      <c r="DT301" s="542">
        <v>0</v>
      </c>
      <c r="DU301" s="542">
        <v>0</v>
      </c>
      <c r="DV301" s="542">
        <v>-6219</v>
      </c>
      <c r="DW301" s="542">
        <v>0</v>
      </c>
      <c r="DX301" s="542">
        <v>-6219</v>
      </c>
      <c r="DY301" s="542">
        <v>-611544</v>
      </c>
      <c r="DZ301" s="542">
        <v>0</v>
      </c>
      <c r="EA301" s="542">
        <v>-611544</v>
      </c>
      <c r="EB301" s="542">
        <v>0</v>
      </c>
      <c r="EC301" s="542">
        <v>0</v>
      </c>
      <c r="ED301" s="542">
        <v>0</v>
      </c>
      <c r="EE301" s="542">
        <v>-14459</v>
      </c>
      <c r="EF301" s="542">
        <v>0</v>
      </c>
      <c r="EG301" s="542">
        <v>-14459</v>
      </c>
      <c r="EH301" s="542">
        <v>-632222</v>
      </c>
      <c r="EI301" s="542">
        <v>0</v>
      </c>
      <c r="EJ301" s="542">
        <v>-632222</v>
      </c>
      <c r="EK301" s="542">
        <v>-6241</v>
      </c>
      <c r="EL301" s="542">
        <v>0</v>
      </c>
      <c r="EM301" s="542">
        <v>-6241</v>
      </c>
      <c r="EN301" s="542">
        <v>0</v>
      </c>
      <c r="EO301" s="542">
        <v>0</v>
      </c>
      <c r="EP301" s="542">
        <v>0</v>
      </c>
      <c r="EQ301" s="542">
        <v>-6241</v>
      </c>
      <c r="ER301" s="542">
        <v>0</v>
      </c>
      <c r="ES301" s="542">
        <v>-6241</v>
      </c>
      <c r="ET301" s="542">
        <v>115342445</v>
      </c>
      <c r="EU301" s="542">
        <v>0</v>
      </c>
      <c r="EV301" s="542">
        <v>115342445</v>
      </c>
      <c r="EW301" s="542">
        <v>1208133</v>
      </c>
      <c r="EX301" s="542">
        <v>0</v>
      </c>
      <c r="EY301" s="542">
        <v>1208133</v>
      </c>
      <c r="EZ301" s="542">
        <v>-4596287</v>
      </c>
      <c r="FA301" s="542">
        <v>0</v>
      </c>
      <c r="FB301" s="542">
        <v>-4596287</v>
      </c>
      <c r="FC301" s="542">
        <v>-4866698</v>
      </c>
      <c r="FD301" s="542">
        <v>0</v>
      </c>
      <c r="FE301" s="542">
        <v>-4866698</v>
      </c>
      <c r="FF301" s="542">
        <v>-730899</v>
      </c>
      <c r="FG301" s="542">
        <v>0</v>
      </c>
      <c r="FH301" s="542">
        <v>-730899</v>
      </c>
      <c r="FI301" s="542">
        <v>-632222</v>
      </c>
      <c r="FJ301" s="542">
        <v>0</v>
      </c>
      <c r="FK301" s="542">
        <v>-632222</v>
      </c>
      <c r="FL301" s="542">
        <v>-6241</v>
      </c>
      <c r="FM301" s="542">
        <v>0</v>
      </c>
      <c r="FN301" s="542">
        <v>-6241</v>
      </c>
      <c r="FO301" s="542">
        <v>-9624214</v>
      </c>
      <c r="FP301" s="542">
        <v>0</v>
      </c>
      <c r="FQ301" s="542">
        <v>-9624214</v>
      </c>
      <c r="FR301" s="542">
        <v>105718231</v>
      </c>
      <c r="FS301" s="542">
        <v>0</v>
      </c>
      <c r="FT301" s="542">
        <v>105718231</v>
      </c>
    </row>
    <row r="302" spans="1:176" ht="12.75" x14ac:dyDescent="0.2">
      <c r="A302" s="93">
        <v>297</v>
      </c>
      <c r="B302" s="145" t="s">
        <v>472</v>
      </c>
      <c r="C302" s="604" t="s">
        <v>866</v>
      </c>
      <c r="D302" s="142" t="s">
        <v>876</v>
      </c>
      <c r="E302" s="149" t="s">
        <v>471</v>
      </c>
      <c r="F302" s="542">
        <v>-35975</v>
      </c>
      <c r="G302" s="542">
        <v>0</v>
      </c>
      <c r="H302" s="542">
        <v>-35975</v>
      </c>
      <c r="I302" s="542">
        <v>70980</v>
      </c>
      <c r="J302" s="542">
        <v>0</v>
      </c>
      <c r="K302" s="542">
        <v>70980</v>
      </c>
      <c r="L302" s="542">
        <v>9045</v>
      </c>
      <c r="M302" s="542">
        <v>0</v>
      </c>
      <c r="N302" s="542">
        <v>9045</v>
      </c>
      <c r="O302" s="542">
        <v>751465</v>
      </c>
      <c r="P302" s="542">
        <v>0</v>
      </c>
      <c r="Q302" s="542">
        <v>751465</v>
      </c>
      <c r="R302" s="542">
        <v>795515</v>
      </c>
      <c r="S302" s="542">
        <v>0</v>
      </c>
      <c r="T302" s="542">
        <v>795515</v>
      </c>
      <c r="U302" s="542">
        <v>-2832502</v>
      </c>
      <c r="V302" s="542">
        <v>0</v>
      </c>
      <c r="W302" s="542">
        <v>-2832502</v>
      </c>
      <c r="X302" s="542">
        <v>-6092</v>
      </c>
      <c r="Y302" s="542">
        <v>0</v>
      </c>
      <c r="Z302" s="542">
        <v>-6092</v>
      </c>
      <c r="AA302" s="542">
        <v>-177537</v>
      </c>
      <c r="AB302" s="542">
        <v>0</v>
      </c>
      <c r="AC302" s="542">
        <v>-177537</v>
      </c>
      <c r="AD302" s="542">
        <v>0</v>
      </c>
      <c r="AE302" s="542">
        <v>0</v>
      </c>
      <c r="AF302" s="542">
        <v>0</v>
      </c>
      <c r="AG302" s="542">
        <v>1575283</v>
      </c>
      <c r="AH302" s="542">
        <v>0</v>
      </c>
      <c r="AI302" s="542">
        <v>1575283</v>
      </c>
      <c r="AJ302" s="542">
        <v>-50923</v>
      </c>
      <c r="AK302" s="542">
        <v>0</v>
      </c>
      <c r="AL302" s="542">
        <v>-50923</v>
      </c>
      <c r="AM302" s="542">
        <v>-4077660</v>
      </c>
      <c r="AN302" s="542">
        <v>0</v>
      </c>
      <c r="AO302" s="542">
        <v>-4077660</v>
      </c>
      <c r="AP302" s="542">
        <v>203773</v>
      </c>
      <c r="AQ302" s="542">
        <v>0</v>
      </c>
      <c r="AR302" s="542">
        <v>203773</v>
      </c>
      <c r="AS302" s="542">
        <v>-62014</v>
      </c>
      <c r="AT302" s="542">
        <v>0</v>
      </c>
      <c r="AU302" s="542">
        <v>-62014</v>
      </c>
      <c r="AV302" s="542">
        <v>0</v>
      </c>
      <c r="AW302" s="542">
        <v>0</v>
      </c>
      <c r="AX302" s="542">
        <v>0</v>
      </c>
      <c r="AY302" s="542">
        <v>-9202</v>
      </c>
      <c r="AZ302" s="542">
        <v>0</v>
      </c>
      <c r="BA302" s="542">
        <v>-9202</v>
      </c>
      <c r="BB302" s="542">
        <v>0</v>
      </c>
      <c r="BC302" s="542">
        <v>0</v>
      </c>
      <c r="BD302" s="542">
        <v>0</v>
      </c>
      <c r="BE302" s="542">
        <v>-5430782</v>
      </c>
      <c r="BF302" s="542">
        <v>0</v>
      </c>
      <c r="BG302" s="542">
        <v>-5430782</v>
      </c>
      <c r="BH302" s="542">
        <v>-31838</v>
      </c>
      <c r="BI302" s="542">
        <v>0</v>
      </c>
      <c r="BJ302" s="542">
        <v>-31838</v>
      </c>
      <c r="BK302" s="542">
        <v>7230</v>
      </c>
      <c r="BL302" s="542">
        <v>0</v>
      </c>
      <c r="BM302" s="542">
        <v>7230</v>
      </c>
      <c r="BN302" s="542">
        <v>-2429055</v>
      </c>
      <c r="BO302" s="542">
        <v>0</v>
      </c>
      <c r="BP302" s="542">
        <v>-2429055</v>
      </c>
      <c r="BQ302" s="542">
        <v>-3672</v>
      </c>
      <c r="BR302" s="542">
        <v>0</v>
      </c>
      <c r="BS302" s="542">
        <v>-3672</v>
      </c>
      <c r="BT302" s="542">
        <v>-2457335</v>
      </c>
      <c r="BU302" s="542">
        <v>0</v>
      </c>
      <c r="BV302" s="542">
        <v>-2457335</v>
      </c>
      <c r="BW302" s="542">
        <v>-6563</v>
      </c>
      <c r="BX302" s="542">
        <v>0</v>
      </c>
      <c r="BY302" s="542">
        <v>-6563</v>
      </c>
      <c r="BZ302" s="542">
        <v>0</v>
      </c>
      <c r="CA302" s="542">
        <v>0</v>
      </c>
      <c r="CB302" s="542">
        <v>0</v>
      </c>
      <c r="CC302" s="542">
        <v>-92396</v>
      </c>
      <c r="CD302" s="542">
        <v>0</v>
      </c>
      <c r="CE302" s="542">
        <v>-92396</v>
      </c>
      <c r="CF302" s="542">
        <v>3185</v>
      </c>
      <c r="CG302" s="542">
        <v>0</v>
      </c>
      <c r="CH302" s="542">
        <v>3185</v>
      </c>
      <c r="CI302" s="542">
        <v>0</v>
      </c>
      <c r="CJ302" s="542">
        <v>0</v>
      </c>
      <c r="CK302" s="542">
        <v>0</v>
      </c>
      <c r="CL302" s="542">
        <v>0</v>
      </c>
      <c r="CM302" s="542">
        <v>0</v>
      </c>
      <c r="CN302" s="542">
        <v>0</v>
      </c>
      <c r="CO302" s="542">
        <v>-11354</v>
      </c>
      <c r="CP302" s="542">
        <v>0</v>
      </c>
      <c r="CQ302" s="542">
        <v>-11354</v>
      </c>
      <c r="CR302" s="542">
        <v>0</v>
      </c>
      <c r="CS302" s="542">
        <v>0</v>
      </c>
      <c r="CT302" s="542">
        <v>0</v>
      </c>
      <c r="CU302" s="542">
        <v>0</v>
      </c>
      <c r="CV302" s="542">
        <v>0</v>
      </c>
      <c r="CW302" s="542">
        <v>0</v>
      </c>
      <c r="CX302" s="542">
        <v>0</v>
      </c>
      <c r="CY302" s="542">
        <v>0</v>
      </c>
      <c r="CZ302" s="542">
        <v>0</v>
      </c>
      <c r="DA302" s="542">
        <v>0</v>
      </c>
      <c r="DB302" s="542">
        <v>0</v>
      </c>
      <c r="DC302" s="542">
        <v>0</v>
      </c>
      <c r="DD302" s="542">
        <v>0</v>
      </c>
      <c r="DE302" s="542">
        <v>0</v>
      </c>
      <c r="DF302" s="542">
        <v>0</v>
      </c>
      <c r="DG302" s="542"/>
      <c r="DH302" s="542">
        <v>0</v>
      </c>
      <c r="DI302" s="542"/>
      <c r="DJ302" s="542">
        <v>0</v>
      </c>
      <c r="DK302" s="542"/>
      <c r="DL302" s="542"/>
      <c r="DM302" s="542">
        <v>-107128</v>
      </c>
      <c r="DN302" s="542">
        <v>0</v>
      </c>
      <c r="DO302" s="542">
        <v>-107128</v>
      </c>
      <c r="DP302" s="542">
        <v>0</v>
      </c>
      <c r="DQ302" s="542">
        <v>0</v>
      </c>
      <c r="DR302" s="542">
        <v>0</v>
      </c>
      <c r="DS302" s="542">
        <v>0</v>
      </c>
      <c r="DT302" s="542">
        <v>0</v>
      </c>
      <c r="DU302" s="542">
        <v>0</v>
      </c>
      <c r="DV302" s="542">
        <v>-8931</v>
      </c>
      <c r="DW302" s="542">
        <v>0</v>
      </c>
      <c r="DX302" s="542">
        <v>-8931</v>
      </c>
      <c r="DY302" s="542">
        <v>-536310</v>
      </c>
      <c r="DZ302" s="542">
        <v>0</v>
      </c>
      <c r="EA302" s="542">
        <v>-536310</v>
      </c>
      <c r="EB302" s="542">
        <v>0</v>
      </c>
      <c r="EC302" s="542">
        <v>0</v>
      </c>
      <c r="ED302" s="542">
        <v>0</v>
      </c>
      <c r="EE302" s="542">
        <v>0</v>
      </c>
      <c r="EF302" s="542">
        <v>0</v>
      </c>
      <c r="EG302" s="542">
        <v>0</v>
      </c>
      <c r="EH302" s="542">
        <v>-545241</v>
      </c>
      <c r="EI302" s="542">
        <v>0</v>
      </c>
      <c r="EJ302" s="542">
        <v>-545241</v>
      </c>
      <c r="EK302" s="542">
        <v>0</v>
      </c>
      <c r="EL302" s="542">
        <v>0</v>
      </c>
      <c r="EM302" s="542">
        <v>0</v>
      </c>
      <c r="EN302" s="542">
        <v>0</v>
      </c>
      <c r="EO302" s="542">
        <v>0</v>
      </c>
      <c r="EP302" s="542">
        <v>0</v>
      </c>
      <c r="EQ302" s="542">
        <v>0</v>
      </c>
      <c r="ER302" s="542">
        <v>0</v>
      </c>
      <c r="ES302" s="542">
        <v>0</v>
      </c>
      <c r="ET302" s="542">
        <v>74125811</v>
      </c>
      <c r="EU302" s="542">
        <v>0</v>
      </c>
      <c r="EV302" s="542">
        <v>74125811</v>
      </c>
      <c r="EW302" s="542">
        <v>795515</v>
      </c>
      <c r="EX302" s="542">
        <v>0</v>
      </c>
      <c r="EY302" s="542">
        <v>795515</v>
      </c>
      <c r="EZ302" s="542">
        <v>-5430782</v>
      </c>
      <c r="FA302" s="542">
        <v>0</v>
      </c>
      <c r="FB302" s="542">
        <v>-5430782</v>
      </c>
      <c r="FC302" s="542">
        <v>-2457335</v>
      </c>
      <c r="FD302" s="542">
        <v>0</v>
      </c>
      <c r="FE302" s="542">
        <v>-2457335</v>
      </c>
      <c r="FF302" s="542">
        <v>-107128</v>
      </c>
      <c r="FG302" s="542">
        <v>0</v>
      </c>
      <c r="FH302" s="542">
        <v>-107128</v>
      </c>
      <c r="FI302" s="542">
        <v>-545241</v>
      </c>
      <c r="FJ302" s="542">
        <v>0</v>
      </c>
      <c r="FK302" s="542">
        <v>-545241</v>
      </c>
      <c r="FL302" s="542">
        <v>0</v>
      </c>
      <c r="FM302" s="542">
        <v>0</v>
      </c>
      <c r="FN302" s="542">
        <v>0</v>
      </c>
      <c r="FO302" s="542">
        <v>-7744971</v>
      </c>
      <c r="FP302" s="542">
        <v>0</v>
      </c>
      <c r="FQ302" s="542">
        <v>-7744971</v>
      </c>
      <c r="FR302" s="542">
        <v>66380840</v>
      </c>
      <c r="FS302" s="542">
        <v>0</v>
      </c>
      <c r="FT302" s="542">
        <v>66380840</v>
      </c>
    </row>
    <row r="303" spans="1:176" ht="12.75" x14ac:dyDescent="0.2">
      <c r="A303" s="93">
        <v>298</v>
      </c>
      <c r="B303" s="145" t="s">
        <v>474</v>
      </c>
      <c r="C303" s="604" t="s">
        <v>866</v>
      </c>
      <c r="D303" s="142" t="s">
        <v>870</v>
      </c>
      <c r="E303" s="149" t="s">
        <v>473</v>
      </c>
      <c r="F303" s="542">
        <v>-300954</v>
      </c>
      <c r="G303" s="542">
        <v>0</v>
      </c>
      <c r="H303" s="542">
        <v>-300954</v>
      </c>
      <c r="I303" s="542">
        <v>432522</v>
      </c>
      <c r="J303" s="542">
        <v>0</v>
      </c>
      <c r="K303" s="542">
        <v>432522</v>
      </c>
      <c r="L303" s="542">
        <v>47521</v>
      </c>
      <c r="M303" s="542">
        <v>0</v>
      </c>
      <c r="N303" s="542">
        <v>47521</v>
      </c>
      <c r="O303" s="542">
        <v>951782</v>
      </c>
      <c r="P303" s="542">
        <v>0</v>
      </c>
      <c r="Q303" s="542">
        <v>951782</v>
      </c>
      <c r="R303" s="542">
        <v>1130871</v>
      </c>
      <c r="S303" s="542">
        <v>0</v>
      </c>
      <c r="T303" s="542">
        <v>1130871</v>
      </c>
      <c r="U303" s="542">
        <v>-1325864</v>
      </c>
      <c r="V303" s="542">
        <v>0</v>
      </c>
      <c r="W303" s="542">
        <v>-1325864</v>
      </c>
      <c r="X303" s="542">
        <v>0</v>
      </c>
      <c r="Y303" s="542">
        <v>0</v>
      </c>
      <c r="Z303" s="542">
        <v>0</v>
      </c>
      <c r="AA303" s="542">
        <v>-145532</v>
      </c>
      <c r="AB303" s="542">
        <v>0</v>
      </c>
      <c r="AC303" s="542">
        <v>-145532</v>
      </c>
      <c r="AD303" s="542">
        <v>-63025</v>
      </c>
      <c r="AE303" s="542">
        <v>0</v>
      </c>
      <c r="AF303" s="542">
        <v>-63025</v>
      </c>
      <c r="AG303" s="542">
        <v>1603743</v>
      </c>
      <c r="AH303" s="542">
        <v>0</v>
      </c>
      <c r="AI303" s="542">
        <v>1603743</v>
      </c>
      <c r="AJ303" s="542">
        <v>-61163</v>
      </c>
      <c r="AK303" s="542">
        <v>0</v>
      </c>
      <c r="AL303" s="542">
        <v>-61163</v>
      </c>
      <c r="AM303" s="542">
        <v>-2608584</v>
      </c>
      <c r="AN303" s="542">
        <v>0</v>
      </c>
      <c r="AO303" s="542">
        <v>-2608584</v>
      </c>
      <c r="AP303" s="542">
        <v>-2970</v>
      </c>
      <c r="AQ303" s="542">
        <v>0</v>
      </c>
      <c r="AR303" s="542">
        <v>-2970</v>
      </c>
      <c r="AS303" s="542">
        <v>0</v>
      </c>
      <c r="AT303" s="542">
        <v>0</v>
      </c>
      <c r="AU303" s="542">
        <v>0</v>
      </c>
      <c r="AV303" s="542">
        <v>0</v>
      </c>
      <c r="AW303" s="542">
        <v>0</v>
      </c>
      <c r="AX303" s="542">
        <v>0</v>
      </c>
      <c r="AY303" s="542">
        <v>0</v>
      </c>
      <c r="AZ303" s="542">
        <v>0</v>
      </c>
      <c r="BA303" s="542">
        <v>0</v>
      </c>
      <c r="BB303" s="542">
        <v>0</v>
      </c>
      <c r="BC303" s="542">
        <v>0</v>
      </c>
      <c r="BD303" s="542">
        <v>0</v>
      </c>
      <c r="BE303" s="542">
        <v>-2540370</v>
      </c>
      <c r="BF303" s="542">
        <v>0</v>
      </c>
      <c r="BG303" s="542">
        <v>-2540370</v>
      </c>
      <c r="BH303" s="542">
        <v>-75744</v>
      </c>
      <c r="BI303" s="542">
        <v>0</v>
      </c>
      <c r="BJ303" s="542">
        <v>-75744</v>
      </c>
      <c r="BK303" s="542">
        <v>-12019</v>
      </c>
      <c r="BL303" s="542">
        <v>0</v>
      </c>
      <c r="BM303" s="542">
        <v>-12019</v>
      </c>
      <c r="BN303" s="542">
        <v>-3030001</v>
      </c>
      <c r="BO303" s="542">
        <v>0</v>
      </c>
      <c r="BP303" s="542">
        <v>-3030001</v>
      </c>
      <c r="BQ303" s="542">
        <v>-189750</v>
      </c>
      <c r="BR303" s="542">
        <v>0</v>
      </c>
      <c r="BS303" s="542">
        <v>-189750</v>
      </c>
      <c r="BT303" s="542">
        <v>-3307514</v>
      </c>
      <c r="BU303" s="542">
        <v>0</v>
      </c>
      <c r="BV303" s="542">
        <v>-3307514</v>
      </c>
      <c r="BW303" s="542">
        <v>-286856</v>
      </c>
      <c r="BX303" s="542">
        <v>0</v>
      </c>
      <c r="BY303" s="542">
        <v>-286856</v>
      </c>
      <c r="BZ303" s="542">
        <v>-24855.54</v>
      </c>
      <c r="CA303" s="542">
        <v>0</v>
      </c>
      <c r="CB303" s="542">
        <v>-24855.54</v>
      </c>
      <c r="CC303" s="542">
        <v>-100771</v>
      </c>
      <c r="CD303" s="542">
        <v>0</v>
      </c>
      <c r="CE303" s="542">
        <v>-100771</v>
      </c>
      <c r="CF303" s="542">
        <v>-45229.55</v>
      </c>
      <c r="CG303" s="542">
        <v>0</v>
      </c>
      <c r="CH303" s="542">
        <v>-45229.55</v>
      </c>
      <c r="CI303" s="542">
        <v>0</v>
      </c>
      <c r="CJ303" s="542">
        <v>0</v>
      </c>
      <c r="CK303" s="542">
        <v>0</v>
      </c>
      <c r="CL303" s="542">
        <v>0</v>
      </c>
      <c r="CM303" s="542">
        <v>0</v>
      </c>
      <c r="CN303" s="542">
        <v>0</v>
      </c>
      <c r="CO303" s="542">
        <v>0</v>
      </c>
      <c r="CP303" s="542">
        <v>0</v>
      </c>
      <c r="CQ303" s="542">
        <v>0</v>
      </c>
      <c r="CR303" s="542">
        <v>0</v>
      </c>
      <c r="CS303" s="542">
        <v>0</v>
      </c>
      <c r="CT303" s="542">
        <v>0</v>
      </c>
      <c r="CU303" s="542">
        <v>0</v>
      </c>
      <c r="CV303" s="542">
        <v>0</v>
      </c>
      <c r="CW303" s="542">
        <v>0</v>
      </c>
      <c r="CX303" s="542">
        <v>0</v>
      </c>
      <c r="CY303" s="542">
        <v>0</v>
      </c>
      <c r="CZ303" s="542">
        <v>0</v>
      </c>
      <c r="DA303" s="542">
        <v>0</v>
      </c>
      <c r="DB303" s="542">
        <v>0</v>
      </c>
      <c r="DC303" s="542">
        <v>0</v>
      </c>
      <c r="DD303" s="542">
        <v>0</v>
      </c>
      <c r="DE303" s="542">
        <v>0</v>
      </c>
      <c r="DF303" s="542">
        <v>0</v>
      </c>
      <c r="DG303" s="542"/>
      <c r="DH303" s="542">
        <v>0</v>
      </c>
      <c r="DI303" s="542"/>
      <c r="DJ303" s="542">
        <v>0</v>
      </c>
      <c r="DK303" s="542"/>
      <c r="DL303" s="542"/>
      <c r="DM303" s="542">
        <v>-457712</v>
      </c>
      <c r="DN303" s="542">
        <v>0</v>
      </c>
      <c r="DO303" s="542">
        <v>-457712</v>
      </c>
      <c r="DP303" s="542">
        <v>0</v>
      </c>
      <c r="DQ303" s="542">
        <v>0</v>
      </c>
      <c r="DR303" s="542">
        <v>0</v>
      </c>
      <c r="DS303" s="542">
        <v>0</v>
      </c>
      <c r="DT303" s="542">
        <v>0</v>
      </c>
      <c r="DU303" s="542">
        <v>0</v>
      </c>
      <c r="DV303" s="542">
        <v>-6097</v>
      </c>
      <c r="DW303" s="542">
        <v>0</v>
      </c>
      <c r="DX303" s="542">
        <v>-6097</v>
      </c>
      <c r="DY303" s="542">
        <v>-505617</v>
      </c>
      <c r="DZ303" s="542">
        <v>0</v>
      </c>
      <c r="EA303" s="542">
        <v>-505617</v>
      </c>
      <c r="EB303" s="542">
        <v>0</v>
      </c>
      <c r="EC303" s="542">
        <v>0</v>
      </c>
      <c r="ED303" s="542">
        <v>0</v>
      </c>
      <c r="EE303" s="542">
        <v>0</v>
      </c>
      <c r="EF303" s="542">
        <v>0</v>
      </c>
      <c r="EG303" s="542">
        <v>0</v>
      </c>
      <c r="EH303" s="542">
        <v>-511714</v>
      </c>
      <c r="EI303" s="542">
        <v>0</v>
      </c>
      <c r="EJ303" s="542">
        <v>-511714</v>
      </c>
      <c r="EK303" s="542">
        <v>0</v>
      </c>
      <c r="EL303" s="542">
        <v>0</v>
      </c>
      <c r="EM303" s="542">
        <v>0</v>
      </c>
      <c r="EN303" s="542">
        <v>0</v>
      </c>
      <c r="EO303" s="542">
        <v>0</v>
      </c>
      <c r="EP303" s="542">
        <v>0</v>
      </c>
      <c r="EQ303" s="542">
        <v>0</v>
      </c>
      <c r="ER303" s="542">
        <v>0</v>
      </c>
      <c r="ES303" s="542">
        <v>0</v>
      </c>
      <c r="ET303" s="542">
        <v>70375683</v>
      </c>
      <c r="EU303" s="542">
        <v>0</v>
      </c>
      <c r="EV303" s="542">
        <v>70375683</v>
      </c>
      <c r="EW303" s="542">
        <v>1130871</v>
      </c>
      <c r="EX303" s="542">
        <v>0</v>
      </c>
      <c r="EY303" s="542">
        <v>1130871</v>
      </c>
      <c r="EZ303" s="542">
        <v>-2540370</v>
      </c>
      <c r="FA303" s="542">
        <v>0</v>
      </c>
      <c r="FB303" s="542">
        <v>-2540370</v>
      </c>
      <c r="FC303" s="542">
        <v>-3307514</v>
      </c>
      <c r="FD303" s="542">
        <v>0</v>
      </c>
      <c r="FE303" s="542">
        <v>-3307514</v>
      </c>
      <c r="FF303" s="542">
        <v>-457712</v>
      </c>
      <c r="FG303" s="542">
        <v>0</v>
      </c>
      <c r="FH303" s="542">
        <v>-457712</v>
      </c>
      <c r="FI303" s="542">
        <v>-511714</v>
      </c>
      <c r="FJ303" s="542">
        <v>0</v>
      </c>
      <c r="FK303" s="542">
        <v>-511714</v>
      </c>
      <c r="FL303" s="542">
        <v>0</v>
      </c>
      <c r="FM303" s="542">
        <v>0</v>
      </c>
      <c r="FN303" s="542">
        <v>0</v>
      </c>
      <c r="FO303" s="542">
        <v>-5686439</v>
      </c>
      <c r="FP303" s="542">
        <v>0</v>
      </c>
      <c r="FQ303" s="542">
        <v>-5686439</v>
      </c>
      <c r="FR303" s="542">
        <v>64689244</v>
      </c>
      <c r="FS303" s="542">
        <v>0</v>
      </c>
      <c r="FT303" s="542">
        <v>64689244</v>
      </c>
    </row>
    <row r="304" spans="1:176" ht="12.75" x14ac:dyDescent="0.2">
      <c r="A304" s="93">
        <v>299</v>
      </c>
      <c r="B304" s="145" t="s">
        <v>476</v>
      </c>
      <c r="C304" s="604" t="s">
        <v>866</v>
      </c>
      <c r="D304" s="142" t="s">
        <v>870</v>
      </c>
      <c r="E304" s="149" t="s">
        <v>475</v>
      </c>
      <c r="F304" s="542">
        <v>-44632</v>
      </c>
      <c r="G304" s="542">
        <v>0</v>
      </c>
      <c r="H304" s="542">
        <v>-44632</v>
      </c>
      <c r="I304" s="542">
        <v>12168</v>
      </c>
      <c r="J304" s="542">
        <v>0</v>
      </c>
      <c r="K304" s="542">
        <v>12168</v>
      </c>
      <c r="L304" s="542">
        <v>22015</v>
      </c>
      <c r="M304" s="542">
        <v>0</v>
      </c>
      <c r="N304" s="542">
        <v>22015</v>
      </c>
      <c r="O304" s="542">
        <v>46732</v>
      </c>
      <c r="P304" s="542">
        <v>0</v>
      </c>
      <c r="Q304" s="542">
        <v>46732</v>
      </c>
      <c r="R304" s="542">
        <v>36283</v>
      </c>
      <c r="S304" s="542">
        <v>0</v>
      </c>
      <c r="T304" s="542">
        <v>36283</v>
      </c>
      <c r="U304" s="542">
        <v>-3144915</v>
      </c>
      <c r="V304" s="542">
        <v>0</v>
      </c>
      <c r="W304" s="542">
        <v>-3144915</v>
      </c>
      <c r="X304" s="542">
        <v>0</v>
      </c>
      <c r="Y304" s="542">
        <v>0</v>
      </c>
      <c r="Z304" s="542">
        <v>0</v>
      </c>
      <c r="AA304" s="542">
        <v>-190864</v>
      </c>
      <c r="AB304" s="542">
        <v>0</v>
      </c>
      <c r="AC304" s="542">
        <v>-190864</v>
      </c>
      <c r="AD304" s="542">
        <v>-78751</v>
      </c>
      <c r="AE304" s="542">
        <v>0</v>
      </c>
      <c r="AF304" s="542">
        <v>-78751</v>
      </c>
      <c r="AG304" s="542">
        <v>604608</v>
      </c>
      <c r="AH304" s="542">
        <v>1593</v>
      </c>
      <c r="AI304" s="542">
        <v>606201</v>
      </c>
      <c r="AJ304" s="542">
        <v>-6897</v>
      </c>
      <c r="AK304" s="542">
        <v>122</v>
      </c>
      <c r="AL304" s="542">
        <v>-6775</v>
      </c>
      <c r="AM304" s="542">
        <v>-1989938</v>
      </c>
      <c r="AN304" s="542">
        <v>0</v>
      </c>
      <c r="AO304" s="542">
        <v>-1989938</v>
      </c>
      <c r="AP304" s="542">
        <v>-84927</v>
      </c>
      <c r="AQ304" s="542">
        <v>0</v>
      </c>
      <c r="AR304" s="542">
        <v>-84927</v>
      </c>
      <c r="AS304" s="542">
        <v>-62818</v>
      </c>
      <c r="AT304" s="542">
        <v>0</v>
      </c>
      <c r="AU304" s="542">
        <v>-62818</v>
      </c>
      <c r="AV304" s="542">
        <v>0</v>
      </c>
      <c r="AW304" s="542">
        <v>0</v>
      </c>
      <c r="AX304" s="542">
        <v>0</v>
      </c>
      <c r="AY304" s="542">
        <v>-19350</v>
      </c>
      <c r="AZ304" s="542">
        <v>0</v>
      </c>
      <c r="BA304" s="542">
        <v>-19350</v>
      </c>
      <c r="BB304" s="542">
        <v>-1575</v>
      </c>
      <c r="BC304" s="542">
        <v>0</v>
      </c>
      <c r="BD304" s="542">
        <v>-1575</v>
      </c>
      <c r="BE304" s="542">
        <v>-4896676</v>
      </c>
      <c r="BF304" s="542">
        <v>1715</v>
      </c>
      <c r="BG304" s="542">
        <v>-4894961</v>
      </c>
      <c r="BH304" s="542">
        <v>-5061</v>
      </c>
      <c r="BI304" s="542">
        <v>0</v>
      </c>
      <c r="BJ304" s="542">
        <v>-5061</v>
      </c>
      <c r="BK304" s="542">
        <v>-15483</v>
      </c>
      <c r="BL304" s="542">
        <v>0</v>
      </c>
      <c r="BM304" s="542">
        <v>-15483</v>
      </c>
      <c r="BN304" s="542">
        <v>-907156</v>
      </c>
      <c r="BO304" s="542">
        <v>-3476</v>
      </c>
      <c r="BP304" s="542">
        <v>-910632</v>
      </c>
      <c r="BQ304" s="542">
        <v>-104778</v>
      </c>
      <c r="BR304" s="542">
        <v>0</v>
      </c>
      <c r="BS304" s="542">
        <v>-104778</v>
      </c>
      <c r="BT304" s="542">
        <v>-1032478</v>
      </c>
      <c r="BU304" s="542">
        <v>-3476</v>
      </c>
      <c r="BV304" s="542">
        <v>-1035954</v>
      </c>
      <c r="BW304" s="542">
        <v>-65314</v>
      </c>
      <c r="BX304" s="542">
        <v>0</v>
      </c>
      <c r="BY304" s="542">
        <v>-65314</v>
      </c>
      <c r="BZ304" s="542">
        <v>-7881</v>
      </c>
      <c r="CA304" s="542">
        <v>0</v>
      </c>
      <c r="CB304" s="542">
        <v>-7881</v>
      </c>
      <c r="CC304" s="542">
        <v>-4999</v>
      </c>
      <c r="CD304" s="542">
        <v>0</v>
      </c>
      <c r="CE304" s="542">
        <v>-4999</v>
      </c>
      <c r="CF304" s="542">
        <v>-36</v>
      </c>
      <c r="CG304" s="542">
        <v>0</v>
      </c>
      <c r="CH304" s="542">
        <v>-36</v>
      </c>
      <c r="CI304" s="542">
        <v>-198</v>
      </c>
      <c r="CJ304" s="542">
        <v>0</v>
      </c>
      <c r="CK304" s="542">
        <v>-198</v>
      </c>
      <c r="CL304" s="542">
        <v>0</v>
      </c>
      <c r="CM304" s="542">
        <v>0</v>
      </c>
      <c r="CN304" s="542">
        <v>0</v>
      </c>
      <c r="CO304" s="542">
        <v>-444</v>
      </c>
      <c r="CP304" s="542">
        <v>0</v>
      </c>
      <c r="CQ304" s="542">
        <v>-444</v>
      </c>
      <c r="CR304" s="542">
        <v>376</v>
      </c>
      <c r="CS304" s="542">
        <v>0</v>
      </c>
      <c r="CT304" s="542">
        <v>376</v>
      </c>
      <c r="CU304" s="542">
        <v>0</v>
      </c>
      <c r="CV304" s="542">
        <v>0</v>
      </c>
      <c r="CW304" s="542">
        <v>0</v>
      </c>
      <c r="CX304" s="542">
        <v>0</v>
      </c>
      <c r="CY304" s="542">
        <v>0</v>
      </c>
      <c r="CZ304" s="542">
        <v>0</v>
      </c>
      <c r="DA304" s="542">
        <v>0</v>
      </c>
      <c r="DB304" s="542">
        <v>-79479</v>
      </c>
      <c r="DC304" s="542">
        <v>-79479</v>
      </c>
      <c r="DD304" s="542">
        <v>0</v>
      </c>
      <c r="DE304" s="542">
        <v>-7934</v>
      </c>
      <c r="DF304" s="542">
        <v>-7934</v>
      </c>
      <c r="DG304" s="542"/>
      <c r="DH304" s="542">
        <v>-87413</v>
      </c>
      <c r="DI304" s="542"/>
      <c r="DJ304" s="542">
        <v>0</v>
      </c>
      <c r="DK304" s="542"/>
      <c r="DL304" s="542"/>
      <c r="DM304" s="542">
        <v>-78496</v>
      </c>
      <c r="DN304" s="542">
        <v>-87413</v>
      </c>
      <c r="DO304" s="542">
        <v>-165909</v>
      </c>
      <c r="DP304" s="542">
        <v>0</v>
      </c>
      <c r="DQ304" s="542">
        <v>0</v>
      </c>
      <c r="DR304" s="542">
        <v>0</v>
      </c>
      <c r="DS304" s="542">
        <v>0</v>
      </c>
      <c r="DT304" s="542">
        <v>0</v>
      </c>
      <c r="DU304" s="542">
        <v>0</v>
      </c>
      <c r="DV304" s="542">
        <v>0</v>
      </c>
      <c r="DW304" s="542">
        <v>0</v>
      </c>
      <c r="DX304" s="542">
        <v>0</v>
      </c>
      <c r="DY304" s="542">
        <v>-488411</v>
      </c>
      <c r="DZ304" s="542">
        <v>0</v>
      </c>
      <c r="EA304" s="542">
        <v>-488411</v>
      </c>
      <c r="EB304" s="542">
        <v>0</v>
      </c>
      <c r="EC304" s="542">
        <v>0</v>
      </c>
      <c r="ED304" s="542">
        <v>0</v>
      </c>
      <c r="EE304" s="542">
        <v>-22024</v>
      </c>
      <c r="EF304" s="542">
        <v>0</v>
      </c>
      <c r="EG304" s="542">
        <v>-22024</v>
      </c>
      <c r="EH304" s="542">
        <v>-510435</v>
      </c>
      <c r="EI304" s="542">
        <v>0</v>
      </c>
      <c r="EJ304" s="542">
        <v>-510435</v>
      </c>
      <c r="EK304" s="542">
        <v>0</v>
      </c>
      <c r="EL304" s="542">
        <v>0</v>
      </c>
      <c r="EM304" s="542">
        <v>0</v>
      </c>
      <c r="EN304" s="542">
        <v>0</v>
      </c>
      <c r="EO304" s="542">
        <v>0</v>
      </c>
      <c r="EP304" s="542">
        <v>0</v>
      </c>
      <c r="EQ304" s="542">
        <v>0</v>
      </c>
      <c r="ER304" s="542">
        <v>0</v>
      </c>
      <c r="ES304" s="542">
        <v>0</v>
      </c>
      <c r="ET304" s="542">
        <v>33176461</v>
      </c>
      <c r="EU304" s="542">
        <v>108661</v>
      </c>
      <c r="EV304" s="542">
        <v>33285122</v>
      </c>
      <c r="EW304" s="542">
        <v>36283</v>
      </c>
      <c r="EX304" s="542">
        <v>0</v>
      </c>
      <c r="EY304" s="542">
        <v>36283</v>
      </c>
      <c r="EZ304" s="542">
        <v>-4896676</v>
      </c>
      <c r="FA304" s="542">
        <v>1715</v>
      </c>
      <c r="FB304" s="542">
        <v>-4894961</v>
      </c>
      <c r="FC304" s="542">
        <v>-1032478</v>
      </c>
      <c r="FD304" s="542">
        <v>-3476</v>
      </c>
      <c r="FE304" s="542">
        <v>-1035954</v>
      </c>
      <c r="FF304" s="542">
        <v>-78496</v>
      </c>
      <c r="FG304" s="542">
        <v>-87413</v>
      </c>
      <c r="FH304" s="542">
        <v>-165909</v>
      </c>
      <c r="FI304" s="542">
        <v>-510435</v>
      </c>
      <c r="FJ304" s="542">
        <v>0</v>
      </c>
      <c r="FK304" s="542">
        <v>-510435</v>
      </c>
      <c r="FL304" s="542">
        <v>0</v>
      </c>
      <c r="FM304" s="542">
        <v>0</v>
      </c>
      <c r="FN304" s="542">
        <v>0</v>
      </c>
      <c r="FO304" s="542">
        <v>-6481802</v>
      </c>
      <c r="FP304" s="542">
        <v>-89174</v>
      </c>
      <c r="FQ304" s="542">
        <v>-6570976</v>
      </c>
      <c r="FR304" s="542">
        <v>26694659</v>
      </c>
      <c r="FS304" s="542">
        <v>19487</v>
      </c>
      <c r="FT304" s="542">
        <v>26714146</v>
      </c>
    </row>
    <row r="305" spans="1:176" ht="12.75" x14ac:dyDescent="0.2">
      <c r="A305" s="93">
        <v>300</v>
      </c>
      <c r="B305" s="145" t="s">
        <v>478</v>
      </c>
      <c r="C305" s="604" t="s">
        <v>866</v>
      </c>
      <c r="D305" s="142" t="s">
        <v>867</v>
      </c>
      <c r="E305" s="149" t="s">
        <v>477</v>
      </c>
      <c r="F305" s="542">
        <v>-27994</v>
      </c>
      <c r="G305" s="542">
        <v>0</v>
      </c>
      <c r="H305" s="542">
        <v>-27994</v>
      </c>
      <c r="I305" s="542">
        <v>8312</v>
      </c>
      <c r="J305" s="542">
        <v>0</v>
      </c>
      <c r="K305" s="542">
        <v>8312</v>
      </c>
      <c r="L305" s="542">
        <v>9982</v>
      </c>
      <c r="M305" s="542">
        <v>0</v>
      </c>
      <c r="N305" s="542">
        <v>9982</v>
      </c>
      <c r="O305" s="542">
        <v>45498</v>
      </c>
      <c r="P305" s="542">
        <v>0</v>
      </c>
      <c r="Q305" s="542">
        <v>45498</v>
      </c>
      <c r="R305" s="542">
        <v>35798</v>
      </c>
      <c r="S305" s="542">
        <v>0</v>
      </c>
      <c r="T305" s="542">
        <v>35798</v>
      </c>
      <c r="U305" s="542">
        <v>-2171479</v>
      </c>
      <c r="V305" s="542">
        <v>0</v>
      </c>
      <c r="W305" s="542">
        <v>-2171479</v>
      </c>
      <c r="X305" s="542">
        <v>-8896</v>
      </c>
      <c r="Y305" s="542">
        <v>0</v>
      </c>
      <c r="Z305" s="542">
        <v>-8896</v>
      </c>
      <c r="AA305" s="542">
        <v>-179038</v>
      </c>
      <c r="AB305" s="542">
        <v>0</v>
      </c>
      <c r="AC305" s="542">
        <v>-179038</v>
      </c>
      <c r="AD305" s="542">
        <v>-78831</v>
      </c>
      <c r="AE305" s="542">
        <v>0</v>
      </c>
      <c r="AF305" s="542">
        <v>-78831</v>
      </c>
      <c r="AG305" s="542">
        <v>871020</v>
      </c>
      <c r="AH305" s="542">
        <v>0</v>
      </c>
      <c r="AI305" s="542">
        <v>871020</v>
      </c>
      <c r="AJ305" s="542">
        <v>-1872</v>
      </c>
      <c r="AK305" s="542">
        <v>0</v>
      </c>
      <c r="AL305" s="542">
        <v>-1872</v>
      </c>
      <c r="AM305" s="542">
        <v>-4784177</v>
      </c>
      <c r="AN305" s="542">
        <v>0</v>
      </c>
      <c r="AO305" s="542">
        <v>-4784177</v>
      </c>
      <c r="AP305" s="542">
        <v>3408</v>
      </c>
      <c r="AQ305" s="542">
        <v>0</v>
      </c>
      <c r="AR305" s="542">
        <v>3408</v>
      </c>
      <c r="AS305" s="542">
        <v>-43650</v>
      </c>
      <c r="AT305" s="542">
        <v>0</v>
      </c>
      <c r="AU305" s="542">
        <v>-43650</v>
      </c>
      <c r="AV305" s="542">
        <v>0</v>
      </c>
      <c r="AW305" s="542">
        <v>0</v>
      </c>
      <c r="AX305" s="542">
        <v>0</v>
      </c>
      <c r="AY305" s="542">
        <v>-6893</v>
      </c>
      <c r="AZ305" s="542">
        <v>0</v>
      </c>
      <c r="BA305" s="542">
        <v>-6893</v>
      </c>
      <c r="BB305" s="542">
        <v>0</v>
      </c>
      <c r="BC305" s="542">
        <v>0</v>
      </c>
      <c r="BD305" s="542">
        <v>0</v>
      </c>
      <c r="BE305" s="542">
        <v>-6312681</v>
      </c>
      <c r="BF305" s="542">
        <v>0</v>
      </c>
      <c r="BG305" s="542">
        <v>-6312681</v>
      </c>
      <c r="BH305" s="542">
        <v>-36902</v>
      </c>
      <c r="BI305" s="542">
        <v>0</v>
      </c>
      <c r="BJ305" s="542">
        <v>-36902</v>
      </c>
      <c r="BK305" s="542">
        <v>-7321</v>
      </c>
      <c r="BL305" s="542">
        <v>0</v>
      </c>
      <c r="BM305" s="542">
        <v>-7321</v>
      </c>
      <c r="BN305" s="542">
        <v>-1149010</v>
      </c>
      <c r="BO305" s="542">
        <v>0</v>
      </c>
      <c r="BP305" s="542">
        <v>-1149010</v>
      </c>
      <c r="BQ305" s="542">
        <v>-44761</v>
      </c>
      <c r="BR305" s="542">
        <v>0</v>
      </c>
      <c r="BS305" s="542">
        <v>-44761</v>
      </c>
      <c r="BT305" s="542">
        <v>-1237994</v>
      </c>
      <c r="BU305" s="542">
        <v>0</v>
      </c>
      <c r="BV305" s="542">
        <v>-1237994</v>
      </c>
      <c r="BW305" s="542">
        <v>-64651</v>
      </c>
      <c r="BX305" s="542">
        <v>0</v>
      </c>
      <c r="BY305" s="542">
        <v>-64651</v>
      </c>
      <c r="BZ305" s="542">
        <v>-262</v>
      </c>
      <c r="CA305" s="542">
        <v>0</v>
      </c>
      <c r="CB305" s="542">
        <v>-262</v>
      </c>
      <c r="CC305" s="542">
        <v>-476299</v>
      </c>
      <c r="CD305" s="542">
        <v>0</v>
      </c>
      <c r="CE305" s="542">
        <v>-476299</v>
      </c>
      <c r="CF305" s="542">
        <v>-149216.23000000001</v>
      </c>
      <c r="CG305" s="542">
        <v>0</v>
      </c>
      <c r="CH305" s="542">
        <v>-149216.23000000001</v>
      </c>
      <c r="CI305" s="542">
        <v>0</v>
      </c>
      <c r="CJ305" s="542">
        <v>0</v>
      </c>
      <c r="CK305" s="542">
        <v>0</v>
      </c>
      <c r="CL305" s="542">
        <v>0</v>
      </c>
      <c r="CM305" s="542">
        <v>0</v>
      </c>
      <c r="CN305" s="542">
        <v>0</v>
      </c>
      <c r="CO305" s="542">
        <v>-4136</v>
      </c>
      <c r="CP305" s="542">
        <v>0</v>
      </c>
      <c r="CQ305" s="542">
        <v>-4136</v>
      </c>
      <c r="CR305" s="542">
        <v>0</v>
      </c>
      <c r="CS305" s="542">
        <v>0</v>
      </c>
      <c r="CT305" s="542">
        <v>0</v>
      </c>
      <c r="CU305" s="542">
        <v>-6519</v>
      </c>
      <c r="CV305" s="542">
        <v>0</v>
      </c>
      <c r="CW305" s="542">
        <v>-6519</v>
      </c>
      <c r="CX305" s="542">
        <v>0</v>
      </c>
      <c r="CY305" s="542">
        <v>0</v>
      </c>
      <c r="CZ305" s="542">
        <v>0</v>
      </c>
      <c r="DA305" s="542">
        <v>0</v>
      </c>
      <c r="DB305" s="542">
        <v>0</v>
      </c>
      <c r="DC305" s="542">
        <v>0</v>
      </c>
      <c r="DD305" s="542">
        <v>0</v>
      </c>
      <c r="DE305" s="542">
        <v>0</v>
      </c>
      <c r="DF305" s="542">
        <v>0</v>
      </c>
      <c r="DG305" s="542"/>
      <c r="DH305" s="542">
        <v>0</v>
      </c>
      <c r="DI305" s="542"/>
      <c r="DJ305" s="542">
        <v>0</v>
      </c>
      <c r="DK305" s="542"/>
      <c r="DL305" s="542"/>
      <c r="DM305" s="542">
        <v>-701083</v>
      </c>
      <c r="DN305" s="542">
        <v>0</v>
      </c>
      <c r="DO305" s="542">
        <v>-701083</v>
      </c>
      <c r="DP305" s="542">
        <v>-20559</v>
      </c>
      <c r="DQ305" s="542">
        <v>0</v>
      </c>
      <c r="DR305" s="542">
        <v>-20559</v>
      </c>
      <c r="DS305" s="542">
        <v>0</v>
      </c>
      <c r="DT305" s="542">
        <v>0</v>
      </c>
      <c r="DU305" s="542">
        <v>0</v>
      </c>
      <c r="DV305" s="542">
        <v>-3510</v>
      </c>
      <c r="DW305" s="542">
        <v>0</v>
      </c>
      <c r="DX305" s="542">
        <v>-3510</v>
      </c>
      <c r="DY305" s="542">
        <v>-777830</v>
      </c>
      <c r="DZ305" s="542">
        <v>0</v>
      </c>
      <c r="EA305" s="542">
        <v>-777830</v>
      </c>
      <c r="EB305" s="542">
        <v>-2195</v>
      </c>
      <c r="EC305" s="542">
        <v>0</v>
      </c>
      <c r="ED305" s="542">
        <v>-2195</v>
      </c>
      <c r="EE305" s="542">
        <v>0</v>
      </c>
      <c r="EF305" s="542">
        <v>0</v>
      </c>
      <c r="EG305" s="542">
        <v>0</v>
      </c>
      <c r="EH305" s="542">
        <v>-804094</v>
      </c>
      <c r="EI305" s="542">
        <v>0</v>
      </c>
      <c r="EJ305" s="542">
        <v>-804094</v>
      </c>
      <c r="EK305" s="542">
        <v>0</v>
      </c>
      <c r="EL305" s="542">
        <v>0</v>
      </c>
      <c r="EM305" s="542">
        <v>0</v>
      </c>
      <c r="EN305" s="542">
        <v>0</v>
      </c>
      <c r="EO305" s="542">
        <v>0</v>
      </c>
      <c r="EP305" s="542">
        <v>0</v>
      </c>
      <c r="EQ305" s="542">
        <v>0</v>
      </c>
      <c r="ER305" s="542">
        <v>0</v>
      </c>
      <c r="ES305" s="542">
        <v>0</v>
      </c>
      <c r="ET305" s="542">
        <v>45115304</v>
      </c>
      <c r="EU305" s="542">
        <v>0</v>
      </c>
      <c r="EV305" s="542">
        <v>45115304</v>
      </c>
      <c r="EW305" s="542">
        <v>35798</v>
      </c>
      <c r="EX305" s="542">
        <v>0</v>
      </c>
      <c r="EY305" s="542">
        <v>35798</v>
      </c>
      <c r="EZ305" s="542">
        <v>-6312681</v>
      </c>
      <c r="FA305" s="542">
        <v>0</v>
      </c>
      <c r="FB305" s="542">
        <v>-6312681</v>
      </c>
      <c r="FC305" s="542">
        <v>-1237994</v>
      </c>
      <c r="FD305" s="542">
        <v>0</v>
      </c>
      <c r="FE305" s="542">
        <v>-1237994</v>
      </c>
      <c r="FF305" s="542">
        <v>-701083</v>
      </c>
      <c r="FG305" s="542">
        <v>0</v>
      </c>
      <c r="FH305" s="542">
        <v>-701083</v>
      </c>
      <c r="FI305" s="542">
        <v>-804094</v>
      </c>
      <c r="FJ305" s="542">
        <v>0</v>
      </c>
      <c r="FK305" s="542">
        <v>-804094</v>
      </c>
      <c r="FL305" s="542">
        <v>0</v>
      </c>
      <c r="FM305" s="542">
        <v>0</v>
      </c>
      <c r="FN305" s="542">
        <v>0</v>
      </c>
      <c r="FO305" s="542">
        <v>-9020054</v>
      </c>
      <c r="FP305" s="542">
        <v>0</v>
      </c>
      <c r="FQ305" s="542">
        <v>-9020054</v>
      </c>
      <c r="FR305" s="542">
        <v>36095250</v>
      </c>
      <c r="FS305" s="542">
        <v>0</v>
      </c>
      <c r="FT305" s="542">
        <v>36095250</v>
      </c>
    </row>
    <row r="306" spans="1:176" ht="12.75" x14ac:dyDescent="0.2">
      <c r="A306" s="93">
        <v>301</v>
      </c>
      <c r="B306" s="145" t="s">
        <v>480</v>
      </c>
      <c r="C306" s="604" t="s">
        <v>866</v>
      </c>
      <c r="D306" s="142" t="s">
        <v>867</v>
      </c>
      <c r="E306" s="149" t="s">
        <v>479</v>
      </c>
      <c r="F306" s="542">
        <v>-88640</v>
      </c>
      <c r="G306" s="542">
        <v>0</v>
      </c>
      <c r="H306" s="542">
        <v>-88640</v>
      </c>
      <c r="I306" s="542">
        <v>100865</v>
      </c>
      <c r="J306" s="542">
        <v>0</v>
      </c>
      <c r="K306" s="542">
        <v>100865</v>
      </c>
      <c r="L306" s="542">
        <v>8031</v>
      </c>
      <c r="M306" s="542">
        <v>0</v>
      </c>
      <c r="N306" s="542">
        <v>8031</v>
      </c>
      <c r="O306" s="542">
        <v>143635</v>
      </c>
      <c r="P306" s="542">
        <v>0</v>
      </c>
      <c r="Q306" s="542">
        <v>143635</v>
      </c>
      <c r="R306" s="542">
        <v>163891</v>
      </c>
      <c r="S306" s="542">
        <v>0</v>
      </c>
      <c r="T306" s="542">
        <v>163891</v>
      </c>
      <c r="U306" s="542">
        <v>-4564336</v>
      </c>
      <c r="V306" s="542">
        <v>0</v>
      </c>
      <c r="W306" s="542">
        <v>-4564336</v>
      </c>
      <c r="X306" s="542">
        <v>-8275</v>
      </c>
      <c r="Y306" s="542">
        <v>0</v>
      </c>
      <c r="Z306" s="542">
        <v>-8275</v>
      </c>
      <c r="AA306" s="542">
        <v>-303922</v>
      </c>
      <c r="AB306" s="542">
        <v>0</v>
      </c>
      <c r="AC306" s="542">
        <v>-303922</v>
      </c>
      <c r="AD306" s="542">
        <v>0</v>
      </c>
      <c r="AE306" s="542">
        <v>0</v>
      </c>
      <c r="AF306" s="542">
        <v>0</v>
      </c>
      <c r="AG306" s="542">
        <v>612633</v>
      </c>
      <c r="AH306" s="542">
        <v>0</v>
      </c>
      <c r="AI306" s="542">
        <v>612633</v>
      </c>
      <c r="AJ306" s="542">
        <v>-9045</v>
      </c>
      <c r="AK306" s="542">
        <v>0</v>
      </c>
      <c r="AL306" s="542">
        <v>-9045</v>
      </c>
      <c r="AM306" s="542">
        <v>-2552208</v>
      </c>
      <c r="AN306" s="542">
        <v>0</v>
      </c>
      <c r="AO306" s="542">
        <v>-2552208</v>
      </c>
      <c r="AP306" s="542">
        <v>28694</v>
      </c>
      <c r="AQ306" s="542">
        <v>0</v>
      </c>
      <c r="AR306" s="542">
        <v>28694</v>
      </c>
      <c r="AS306" s="542">
        <v>-130069</v>
      </c>
      <c r="AT306" s="542">
        <v>0</v>
      </c>
      <c r="AU306" s="542">
        <v>-130069</v>
      </c>
      <c r="AV306" s="542">
        <v>-44</v>
      </c>
      <c r="AW306" s="542">
        <v>0</v>
      </c>
      <c r="AX306" s="542">
        <v>-44</v>
      </c>
      <c r="AY306" s="542">
        <v>-65513</v>
      </c>
      <c r="AZ306" s="542">
        <v>0</v>
      </c>
      <c r="BA306" s="542">
        <v>-65513</v>
      </c>
      <c r="BB306" s="542">
        <v>-13173</v>
      </c>
      <c r="BC306" s="542">
        <v>0</v>
      </c>
      <c r="BD306" s="542">
        <v>-13173</v>
      </c>
      <c r="BE306" s="542">
        <v>-6996983</v>
      </c>
      <c r="BF306" s="542">
        <v>0</v>
      </c>
      <c r="BG306" s="542">
        <v>-6996983</v>
      </c>
      <c r="BH306" s="542">
        <v>-12234</v>
      </c>
      <c r="BI306" s="542">
        <v>0</v>
      </c>
      <c r="BJ306" s="542">
        <v>-12234</v>
      </c>
      <c r="BK306" s="542">
        <v>-2403</v>
      </c>
      <c r="BL306" s="542">
        <v>0</v>
      </c>
      <c r="BM306" s="542">
        <v>-2403</v>
      </c>
      <c r="BN306" s="542">
        <v>-770999</v>
      </c>
      <c r="BO306" s="542">
        <v>0</v>
      </c>
      <c r="BP306" s="542">
        <v>-770999</v>
      </c>
      <c r="BQ306" s="542">
        <v>-37240</v>
      </c>
      <c r="BR306" s="542">
        <v>0</v>
      </c>
      <c r="BS306" s="542">
        <v>-37240</v>
      </c>
      <c r="BT306" s="542">
        <v>-822876</v>
      </c>
      <c r="BU306" s="542">
        <v>0</v>
      </c>
      <c r="BV306" s="542">
        <v>-822876</v>
      </c>
      <c r="BW306" s="542">
        <v>-80130</v>
      </c>
      <c r="BX306" s="542">
        <v>0</v>
      </c>
      <c r="BY306" s="542">
        <v>-80130</v>
      </c>
      <c r="BZ306" s="542">
        <v>-448</v>
      </c>
      <c r="CA306" s="542">
        <v>0</v>
      </c>
      <c r="CB306" s="542">
        <v>-448</v>
      </c>
      <c r="CC306" s="542">
        <v>-10764</v>
      </c>
      <c r="CD306" s="542">
        <v>0</v>
      </c>
      <c r="CE306" s="542">
        <v>-10764</v>
      </c>
      <c r="CF306" s="542">
        <v>55862</v>
      </c>
      <c r="CG306" s="542">
        <v>0</v>
      </c>
      <c r="CH306" s="542">
        <v>55862</v>
      </c>
      <c r="CI306" s="542">
        <v>0</v>
      </c>
      <c r="CJ306" s="542">
        <v>0</v>
      </c>
      <c r="CK306" s="542">
        <v>0</v>
      </c>
      <c r="CL306" s="542">
        <v>0</v>
      </c>
      <c r="CM306" s="542">
        <v>0</v>
      </c>
      <c r="CN306" s="542">
        <v>0</v>
      </c>
      <c r="CO306" s="542">
        <v>-9626</v>
      </c>
      <c r="CP306" s="542">
        <v>0</v>
      </c>
      <c r="CQ306" s="542">
        <v>-9626</v>
      </c>
      <c r="CR306" s="542">
        <v>-1172</v>
      </c>
      <c r="CS306" s="542">
        <v>0</v>
      </c>
      <c r="CT306" s="542">
        <v>-1172</v>
      </c>
      <c r="CU306" s="542">
        <v>-20610</v>
      </c>
      <c r="CV306" s="542">
        <v>0</v>
      </c>
      <c r="CW306" s="542">
        <v>-20610</v>
      </c>
      <c r="CX306" s="542">
        <v>0</v>
      </c>
      <c r="CY306" s="542">
        <v>0</v>
      </c>
      <c r="CZ306" s="542">
        <v>0</v>
      </c>
      <c r="DA306" s="542">
        <v>0</v>
      </c>
      <c r="DB306" s="542">
        <v>0</v>
      </c>
      <c r="DC306" s="542">
        <v>0</v>
      </c>
      <c r="DD306" s="542">
        <v>99</v>
      </c>
      <c r="DE306" s="542">
        <v>0</v>
      </c>
      <c r="DF306" s="542">
        <v>99</v>
      </c>
      <c r="DG306" s="542"/>
      <c r="DH306" s="542">
        <v>0</v>
      </c>
      <c r="DI306" s="542"/>
      <c r="DJ306" s="542">
        <v>0</v>
      </c>
      <c r="DK306" s="542"/>
      <c r="DL306" s="542"/>
      <c r="DM306" s="542">
        <v>-66789</v>
      </c>
      <c r="DN306" s="542">
        <v>0</v>
      </c>
      <c r="DO306" s="542">
        <v>-66789</v>
      </c>
      <c r="DP306" s="542">
        <v>0</v>
      </c>
      <c r="DQ306" s="542">
        <v>0</v>
      </c>
      <c r="DR306" s="542">
        <v>0</v>
      </c>
      <c r="DS306" s="542">
        <v>0</v>
      </c>
      <c r="DT306" s="542">
        <v>0</v>
      </c>
      <c r="DU306" s="542">
        <v>0</v>
      </c>
      <c r="DV306" s="542">
        <v>-4614</v>
      </c>
      <c r="DW306" s="542">
        <v>0</v>
      </c>
      <c r="DX306" s="542">
        <v>-4614</v>
      </c>
      <c r="DY306" s="542">
        <v>-734578</v>
      </c>
      <c r="DZ306" s="542">
        <v>0</v>
      </c>
      <c r="EA306" s="542">
        <v>-734578</v>
      </c>
      <c r="EB306" s="542">
        <v>0</v>
      </c>
      <c r="EC306" s="542">
        <v>0</v>
      </c>
      <c r="ED306" s="542">
        <v>0</v>
      </c>
      <c r="EE306" s="542">
        <v>0</v>
      </c>
      <c r="EF306" s="542">
        <v>0</v>
      </c>
      <c r="EG306" s="542">
        <v>0</v>
      </c>
      <c r="EH306" s="542">
        <v>-739192</v>
      </c>
      <c r="EI306" s="542">
        <v>0</v>
      </c>
      <c r="EJ306" s="542">
        <v>-739192</v>
      </c>
      <c r="EK306" s="542">
        <v>0</v>
      </c>
      <c r="EL306" s="542">
        <v>0</v>
      </c>
      <c r="EM306" s="542">
        <v>0</v>
      </c>
      <c r="EN306" s="542">
        <v>0</v>
      </c>
      <c r="EO306" s="542">
        <v>0</v>
      </c>
      <c r="EP306" s="542">
        <v>0</v>
      </c>
      <c r="EQ306" s="542">
        <v>0</v>
      </c>
      <c r="ER306" s="542">
        <v>0</v>
      </c>
      <c r="ES306" s="542">
        <v>0</v>
      </c>
      <c r="ET306" s="542">
        <v>37735609</v>
      </c>
      <c r="EU306" s="542">
        <v>0</v>
      </c>
      <c r="EV306" s="542">
        <v>37735609</v>
      </c>
      <c r="EW306" s="542">
        <v>163891</v>
      </c>
      <c r="EX306" s="542">
        <v>0</v>
      </c>
      <c r="EY306" s="542">
        <v>163891</v>
      </c>
      <c r="EZ306" s="542">
        <v>-6996983</v>
      </c>
      <c r="FA306" s="542">
        <v>0</v>
      </c>
      <c r="FB306" s="542">
        <v>-6996983</v>
      </c>
      <c r="FC306" s="542">
        <v>-822876</v>
      </c>
      <c r="FD306" s="542">
        <v>0</v>
      </c>
      <c r="FE306" s="542">
        <v>-822876</v>
      </c>
      <c r="FF306" s="542">
        <v>-66789</v>
      </c>
      <c r="FG306" s="542">
        <v>0</v>
      </c>
      <c r="FH306" s="542">
        <v>-66789</v>
      </c>
      <c r="FI306" s="542">
        <v>-739192</v>
      </c>
      <c r="FJ306" s="542">
        <v>0</v>
      </c>
      <c r="FK306" s="542">
        <v>-739192</v>
      </c>
      <c r="FL306" s="542">
        <v>0</v>
      </c>
      <c r="FM306" s="542">
        <v>0</v>
      </c>
      <c r="FN306" s="542">
        <v>0</v>
      </c>
      <c r="FO306" s="542">
        <v>-8461949</v>
      </c>
      <c r="FP306" s="542">
        <v>0</v>
      </c>
      <c r="FQ306" s="542">
        <v>-8461949</v>
      </c>
      <c r="FR306" s="542">
        <v>29273660</v>
      </c>
      <c r="FS306" s="542">
        <v>0</v>
      </c>
      <c r="FT306" s="542">
        <v>29273660</v>
      </c>
    </row>
    <row r="307" spans="1:176" ht="12.75" x14ac:dyDescent="0.2">
      <c r="A307" s="93">
        <v>302</v>
      </c>
      <c r="B307" s="145" t="s">
        <v>482</v>
      </c>
      <c r="C307" s="604" t="s">
        <v>866</v>
      </c>
      <c r="D307" s="142" t="s">
        <v>869</v>
      </c>
      <c r="E307" s="149" t="s">
        <v>481</v>
      </c>
      <c r="F307" s="542">
        <v>-12510</v>
      </c>
      <c r="G307" s="542">
        <v>0</v>
      </c>
      <c r="H307" s="542">
        <v>-12510</v>
      </c>
      <c r="I307" s="542">
        <v>-5151</v>
      </c>
      <c r="J307" s="542">
        <v>0</v>
      </c>
      <c r="K307" s="542">
        <v>-5151</v>
      </c>
      <c r="L307" s="542">
        <v>11</v>
      </c>
      <c r="M307" s="542">
        <v>0</v>
      </c>
      <c r="N307" s="542">
        <v>11</v>
      </c>
      <c r="O307" s="542">
        <v>80654</v>
      </c>
      <c r="P307" s="542">
        <v>0</v>
      </c>
      <c r="Q307" s="542">
        <v>80654</v>
      </c>
      <c r="R307" s="542">
        <v>63004</v>
      </c>
      <c r="S307" s="542">
        <v>0</v>
      </c>
      <c r="T307" s="542">
        <v>63004</v>
      </c>
      <c r="U307" s="542">
        <v>-1904345</v>
      </c>
      <c r="V307" s="542">
        <v>0</v>
      </c>
      <c r="W307" s="542">
        <v>-1904345</v>
      </c>
      <c r="X307" s="542">
        <v>0</v>
      </c>
      <c r="Y307" s="542">
        <v>0</v>
      </c>
      <c r="Z307" s="542">
        <v>0</v>
      </c>
      <c r="AA307" s="542">
        <v>-48280</v>
      </c>
      <c r="AB307" s="542">
        <v>0</v>
      </c>
      <c r="AC307" s="542">
        <v>-48280</v>
      </c>
      <c r="AD307" s="542">
        <v>-42222</v>
      </c>
      <c r="AE307" s="542">
        <v>0</v>
      </c>
      <c r="AF307" s="542">
        <v>-42222</v>
      </c>
      <c r="AG307" s="542">
        <v>676616</v>
      </c>
      <c r="AH307" s="542">
        <v>0</v>
      </c>
      <c r="AI307" s="542">
        <v>676616</v>
      </c>
      <c r="AJ307" s="542">
        <v>-2935</v>
      </c>
      <c r="AK307" s="542">
        <v>0</v>
      </c>
      <c r="AL307" s="542">
        <v>-2935</v>
      </c>
      <c r="AM307" s="542">
        <v>-1701768</v>
      </c>
      <c r="AN307" s="542">
        <v>0</v>
      </c>
      <c r="AO307" s="542">
        <v>-1701768</v>
      </c>
      <c r="AP307" s="542">
        <v>48000</v>
      </c>
      <c r="AQ307" s="542">
        <v>0</v>
      </c>
      <c r="AR307" s="542">
        <v>48000</v>
      </c>
      <c r="AS307" s="542">
        <v>-8175</v>
      </c>
      <c r="AT307" s="542">
        <v>0</v>
      </c>
      <c r="AU307" s="542">
        <v>-8175</v>
      </c>
      <c r="AV307" s="542">
        <v>0</v>
      </c>
      <c r="AW307" s="542">
        <v>0</v>
      </c>
      <c r="AX307" s="542">
        <v>0</v>
      </c>
      <c r="AY307" s="542">
        <v>-2470</v>
      </c>
      <c r="AZ307" s="542">
        <v>0</v>
      </c>
      <c r="BA307" s="542">
        <v>-2470</v>
      </c>
      <c r="BB307" s="542">
        <v>0</v>
      </c>
      <c r="BC307" s="542">
        <v>0</v>
      </c>
      <c r="BD307" s="542">
        <v>0</v>
      </c>
      <c r="BE307" s="542">
        <v>-2943357</v>
      </c>
      <c r="BF307" s="542">
        <v>0</v>
      </c>
      <c r="BG307" s="542">
        <v>-2943357</v>
      </c>
      <c r="BH307" s="542">
        <v>-113929</v>
      </c>
      <c r="BI307" s="542">
        <v>0</v>
      </c>
      <c r="BJ307" s="542">
        <v>-113929</v>
      </c>
      <c r="BK307" s="542">
        <v>-41802</v>
      </c>
      <c r="BL307" s="542">
        <v>0</v>
      </c>
      <c r="BM307" s="542">
        <v>-41802</v>
      </c>
      <c r="BN307" s="542">
        <v>-1154573</v>
      </c>
      <c r="BO307" s="542">
        <v>0</v>
      </c>
      <c r="BP307" s="542">
        <v>-1154573</v>
      </c>
      <c r="BQ307" s="542">
        <v>-173905</v>
      </c>
      <c r="BR307" s="542">
        <v>0</v>
      </c>
      <c r="BS307" s="542">
        <v>-173905</v>
      </c>
      <c r="BT307" s="542">
        <v>-1484209</v>
      </c>
      <c r="BU307" s="542">
        <v>0</v>
      </c>
      <c r="BV307" s="542">
        <v>-1484209</v>
      </c>
      <c r="BW307" s="542">
        <v>-100916</v>
      </c>
      <c r="BX307" s="542">
        <v>0</v>
      </c>
      <c r="BY307" s="542">
        <v>-100916</v>
      </c>
      <c r="BZ307" s="542">
        <v>503</v>
      </c>
      <c r="CA307" s="542">
        <v>0</v>
      </c>
      <c r="CB307" s="542">
        <v>503</v>
      </c>
      <c r="CC307" s="542">
        <v>-11481</v>
      </c>
      <c r="CD307" s="542">
        <v>0</v>
      </c>
      <c r="CE307" s="542">
        <v>-11481</v>
      </c>
      <c r="CF307" s="542">
        <v>0</v>
      </c>
      <c r="CG307" s="542">
        <v>0</v>
      </c>
      <c r="CH307" s="542">
        <v>0</v>
      </c>
      <c r="CI307" s="542">
        <v>-366</v>
      </c>
      <c r="CJ307" s="542">
        <v>0</v>
      </c>
      <c r="CK307" s="542">
        <v>-366</v>
      </c>
      <c r="CL307" s="542">
        <v>0</v>
      </c>
      <c r="CM307" s="542">
        <v>0</v>
      </c>
      <c r="CN307" s="542">
        <v>0</v>
      </c>
      <c r="CO307" s="542">
        <v>0</v>
      </c>
      <c r="CP307" s="542">
        <v>0</v>
      </c>
      <c r="CQ307" s="542">
        <v>0</v>
      </c>
      <c r="CR307" s="542">
        <v>0</v>
      </c>
      <c r="CS307" s="542">
        <v>0</v>
      </c>
      <c r="CT307" s="542">
        <v>0</v>
      </c>
      <c r="CU307" s="542">
        <v>0</v>
      </c>
      <c r="CV307" s="542">
        <v>0</v>
      </c>
      <c r="CW307" s="542">
        <v>0</v>
      </c>
      <c r="CX307" s="542">
        <v>0</v>
      </c>
      <c r="CY307" s="542">
        <v>0</v>
      </c>
      <c r="CZ307" s="542">
        <v>0</v>
      </c>
      <c r="DA307" s="542">
        <v>0</v>
      </c>
      <c r="DB307" s="542">
        <v>0</v>
      </c>
      <c r="DC307" s="542">
        <v>0</v>
      </c>
      <c r="DD307" s="542">
        <v>0</v>
      </c>
      <c r="DE307" s="542">
        <v>0</v>
      </c>
      <c r="DF307" s="542">
        <v>0</v>
      </c>
      <c r="DG307" s="542"/>
      <c r="DH307" s="542">
        <v>0</v>
      </c>
      <c r="DI307" s="542"/>
      <c r="DJ307" s="542">
        <v>0</v>
      </c>
      <c r="DK307" s="542"/>
      <c r="DL307" s="542"/>
      <c r="DM307" s="542">
        <v>-112260</v>
      </c>
      <c r="DN307" s="542">
        <v>0</v>
      </c>
      <c r="DO307" s="542">
        <v>-112260</v>
      </c>
      <c r="DP307" s="542">
        <v>0</v>
      </c>
      <c r="DQ307" s="542">
        <v>0</v>
      </c>
      <c r="DR307" s="542">
        <v>0</v>
      </c>
      <c r="DS307" s="542">
        <v>0</v>
      </c>
      <c r="DT307" s="542">
        <v>0</v>
      </c>
      <c r="DU307" s="542">
        <v>0</v>
      </c>
      <c r="DV307" s="542">
        <v>-22758</v>
      </c>
      <c r="DW307" s="542">
        <v>0</v>
      </c>
      <c r="DX307" s="542">
        <v>-22758</v>
      </c>
      <c r="DY307" s="542">
        <v>-258659</v>
      </c>
      <c r="DZ307" s="542">
        <v>0</v>
      </c>
      <c r="EA307" s="542">
        <v>-258659</v>
      </c>
      <c r="EB307" s="542">
        <v>0</v>
      </c>
      <c r="EC307" s="542">
        <v>0</v>
      </c>
      <c r="ED307" s="542">
        <v>0</v>
      </c>
      <c r="EE307" s="542">
        <v>0</v>
      </c>
      <c r="EF307" s="542">
        <v>0</v>
      </c>
      <c r="EG307" s="542">
        <v>0</v>
      </c>
      <c r="EH307" s="542">
        <v>-281417</v>
      </c>
      <c r="EI307" s="542">
        <v>0</v>
      </c>
      <c r="EJ307" s="542">
        <v>-281417</v>
      </c>
      <c r="EK307" s="542">
        <v>0</v>
      </c>
      <c r="EL307" s="542">
        <v>0</v>
      </c>
      <c r="EM307" s="542">
        <v>0</v>
      </c>
      <c r="EN307" s="542">
        <v>0</v>
      </c>
      <c r="EO307" s="542">
        <v>0</v>
      </c>
      <c r="EP307" s="542">
        <v>0</v>
      </c>
      <c r="EQ307" s="542">
        <v>0</v>
      </c>
      <c r="ER307" s="542">
        <v>0</v>
      </c>
      <c r="ES307" s="542">
        <v>0</v>
      </c>
      <c r="ET307" s="542">
        <v>33943117</v>
      </c>
      <c r="EU307" s="542">
        <v>0</v>
      </c>
      <c r="EV307" s="542">
        <v>33943117</v>
      </c>
      <c r="EW307" s="542">
        <v>63004</v>
      </c>
      <c r="EX307" s="542">
        <v>0</v>
      </c>
      <c r="EY307" s="542">
        <v>63004</v>
      </c>
      <c r="EZ307" s="542">
        <v>-2943357</v>
      </c>
      <c r="FA307" s="542">
        <v>0</v>
      </c>
      <c r="FB307" s="542">
        <v>-2943357</v>
      </c>
      <c r="FC307" s="542">
        <v>-1484209</v>
      </c>
      <c r="FD307" s="542">
        <v>0</v>
      </c>
      <c r="FE307" s="542">
        <v>-1484209</v>
      </c>
      <c r="FF307" s="542">
        <v>-112260</v>
      </c>
      <c r="FG307" s="542">
        <v>0</v>
      </c>
      <c r="FH307" s="542">
        <v>-112260</v>
      </c>
      <c r="FI307" s="542">
        <v>-281417</v>
      </c>
      <c r="FJ307" s="542">
        <v>0</v>
      </c>
      <c r="FK307" s="542">
        <v>-281417</v>
      </c>
      <c r="FL307" s="542">
        <v>0</v>
      </c>
      <c r="FM307" s="542">
        <v>0</v>
      </c>
      <c r="FN307" s="542">
        <v>0</v>
      </c>
      <c r="FO307" s="542">
        <v>-4758239</v>
      </c>
      <c r="FP307" s="542">
        <v>0</v>
      </c>
      <c r="FQ307" s="542">
        <v>-4758239</v>
      </c>
      <c r="FR307" s="542">
        <v>29184878</v>
      </c>
      <c r="FS307" s="542">
        <v>0</v>
      </c>
      <c r="FT307" s="542">
        <v>29184878</v>
      </c>
    </row>
    <row r="308" spans="1:176" ht="12.75" x14ac:dyDescent="0.2">
      <c r="A308" s="93">
        <v>303</v>
      </c>
      <c r="B308" s="145" t="s">
        <v>484</v>
      </c>
      <c r="C308" s="604" t="s">
        <v>866</v>
      </c>
      <c r="D308" s="142" t="s">
        <v>870</v>
      </c>
      <c r="E308" s="149" t="s">
        <v>483</v>
      </c>
      <c r="F308" s="542">
        <v>-43297</v>
      </c>
      <c r="G308" s="542">
        <v>0</v>
      </c>
      <c r="H308" s="542">
        <v>-43297</v>
      </c>
      <c r="I308" s="542">
        <v>126801</v>
      </c>
      <c r="J308" s="542">
        <v>0</v>
      </c>
      <c r="K308" s="542">
        <v>126801</v>
      </c>
      <c r="L308" s="542">
        <v>5044</v>
      </c>
      <c r="M308" s="542">
        <v>0</v>
      </c>
      <c r="N308" s="542">
        <v>5044</v>
      </c>
      <c r="O308" s="542">
        <v>132273</v>
      </c>
      <c r="P308" s="542">
        <v>0</v>
      </c>
      <c r="Q308" s="542">
        <v>132273</v>
      </c>
      <c r="R308" s="542">
        <v>220821</v>
      </c>
      <c r="S308" s="542">
        <v>0</v>
      </c>
      <c r="T308" s="542">
        <v>220821</v>
      </c>
      <c r="U308" s="542">
        <v>-1284915</v>
      </c>
      <c r="V308" s="542">
        <v>0</v>
      </c>
      <c r="W308" s="542">
        <v>-1284915</v>
      </c>
      <c r="X308" s="542">
        <v>-2779</v>
      </c>
      <c r="Y308" s="542">
        <v>0</v>
      </c>
      <c r="Z308" s="542">
        <v>-2779</v>
      </c>
      <c r="AA308" s="542">
        <v>-102960</v>
      </c>
      <c r="AB308" s="542">
        <v>0</v>
      </c>
      <c r="AC308" s="542">
        <v>-102960</v>
      </c>
      <c r="AD308" s="542">
        <v>-50506</v>
      </c>
      <c r="AE308" s="542">
        <v>0</v>
      </c>
      <c r="AF308" s="542">
        <v>-50506</v>
      </c>
      <c r="AG308" s="542">
        <v>1462391</v>
      </c>
      <c r="AH308" s="542">
        <v>0</v>
      </c>
      <c r="AI308" s="542">
        <v>1462391</v>
      </c>
      <c r="AJ308" s="542">
        <v>-8333</v>
      </c>
      <c r="AK308" s="542">
        <v>0</v>
      </c>
      <c r="AL308" s="542">
        <v>-8333</v>
      </c>
      <c r="AM308" s="542">
        <v>-5498851</v>
      </c>
      <c r="AN308" s="542">
        <v>0</v>
      </c>
      <c r="AO308" s="542">
        <v>-5498851</v>
      </c>
      <c r="AP308" s="542">
        <v>-8633</v>
      </c>
      <c r="AQ308" s="542">
        <v>0</v>
      </c>
      <c r="AR308" s="542">
        <v>-8633</v>
      </c>
      <c r="AS308" s="542">
        <v>-44440</v>
      </c>
      <c r="AT308" s="542">
        <v>0</v>
      </c>
      <c r="AU308" s="542">
        <v>-44440</v>
      </c>
      <c r="AV308" s="542">
        <v>0</v>
      </c>
      <c r="AW308" s="542">
        <v>0</v>
      </c>
      <c r="AX308" s="542">
        <v>0</v>
      </c>
      <c r="AY308" s="542">
        <v>0</v>
      </c>
      <c r="AZ308" s="542">
        <v>0</v>
      </c>
      <c r="BA308" s="542">
        <v>0</v>
      </c>
      <c r="BB308" s="542">
        <v>0</v>
      </c>
      <c r="BC308" s="542">
        <v>0</v>
      </c>
      <c r="BD308" s="542">
        <v>0</v>
      </c>
      <c r="BE308" s="542">
        <v>-5485741</v>
      </c>
      <c r="BF308" s="542">
        <v>0</v>
      </c>
      <c r="BG308" s="542">
        <v>-5485741</v>
      </c>
      <c r="BH308" s="542">
        <v>-110134</v>
      </c>
      <c r="BI308" s="542">
        <v>0</v>
      </c>
      <c r="BJ308" s="542">
        <v>-110134</v>
      </c>
      <c r="BK308" s="542">
        <v>-345164</v>
      </c>
      <c r="BL308" s="542">
        <v>0</v>
      </c>
      <c r="BM308" s="542">
        <v>-345164</v>
      </c>
      <c r="BN308" s="542">
        <v>-1682116</v>
      </c>
      <c r="BO308" s="542">
        <v>0</v>
      </c>
      <c r="BP308" s="542">
        <v>-1682116</v>
      </c>
      <c r="BQ308" s="542">
        <v>-215929</v>
      </c>
      <c r="BR308" s="542">
        <v>0</v>
      </c>
      <c r="BS308" s="542">
        <v>-215929</v>
      </c>
      <c r="BT308" s="542">
        <v>-2353343</v>
      </c>
      <c r="BU308" s="542">
        <v>0</v>
      </c>
      <c r="BV308" s="542">
        <v>-2353343</v>
      </c>
      <c r="BW308" s="542">
        <v>-231713</v>
      </c>
      <c r="BX308" s="542">
        <v>0</v>
      </c>
      <c r="BY308" s="542">
        <v>-231713</v>
      </c>
      <c r="BZ308" s="542">
        <v>-1291</v>
      </c>
      <c r="CA308" s="542">
        <v>0</v>
      </c>
      <c r="CB308" s="542">
        <v>-1291</v>
      </c>
      <c r="CC308" s="542">
        <v>-47884</v>
      </c>
      <c r="CD308" s="542">
        <v>0</v>
      </c>
      <c r="CE308" s="542">
        <v>-47884</v>
      </c>
      <c r="CF308" s="542">
        <v>0</v>
      </c>
      <c r="CG308" s="542">
        <v>0</v>
      </c>
      <c r="CH308" s="542">
        <v>0</v>
      </c>
      <c r="CI308" s="542">
        <v>-5645</v>
      </c>
      <c r="CJ308" s="542">
        <v>0</v>
      </c>
      <c r="CK308" s="542">
        <v>-5645</v>
      </c>
      <c r="CL308" s="542">
        <v>0</v>
      </c>
      <c r="CM308" s="542">
        <v>0</v>
      </c>
      <c r="CN308" s="542">
        <v>0</v>
      </c>
      <c r="CO308" s="542">
        <v>0</v>
      </c>
      <c r="CP308" s="542">
        <v>0</v>
      </c>
      <c r="CQ308" s="542">
        <v>0</v>
      </c>
      <c r="CR308" s="542">
        <v>0</v>
      </c>
      <c r="CS308" s="542">
        <v>0</v>
      </c>
      <c r="CT308" s="542">
        <v>0</v>
      </c>
      <c r="CU308" s="542">
        <v>0</v>
      </c>
      <c r="CV308" s="542">
        <v>0</v>
      </c>
      <c r="CW308" s="542">
        <v>0</v>
      </c>
      <c r="CX308" s="542">
        <v>0</v>
      </c>
      <c r="CY308" s="542">
        <v>0</v>
      </c>
      <c r="CZ308" s="542">
        <v>0</v>
      </c>
      <c r="DA308" s="542">
        <v>0</v>
      </c>
      <c r="DB308" s="542">
        <v>0</v>
      </c>
      <c r="DC308" s="542">
        <v>0</v>
      </c>
      <c r="DD308" s="542">
        <v>0</v>
      </c>
      <c r="DE308" s="542">
        <v>0</v>
      </c>
      <c r="DF308" s="542">
        <v>0</v>
      </c>
      <c r="DG308" s="542"/>
      <c r="DH308" s="542">
        <v>0</v>
      </c>
      <c r="DI308" s="542"/>
      <c r="DJ308" s="542">
        <v>0</v>
      </c>
      <c r="DK308" s="542"/>
      <c r="DL308" s="542"/>
      <c r="DM308" s="542">
        <v>-286533</v>
      </c>
      <c r="DN308" s="542">
        <v>0</v>
      </c>
      <c r="DO308" s="542">
        <v>-286533</v>
      </c>
      <c r="DP308" s="542">
        <v>-3442</v>
      </c>
      <c r="DQ308" s="542">
        <v>0</v>
      </c>
      <c r="DR308" s="542">
        <v>-3442</v>
      </c>
      <c r="DS308" s="542">
        <v>0</v>
      </c>
      <c r="DT308" s="542">
        <v>0</v>
      </c>
      <c r="DU308" s="542">
        <v>0</v>
      </c>
      <c r="DV308" s="542">
        <v>0</v>
      </c>
      <c r="DW308" s="542">
        <v>0</v>
      </c>
      <c r="DX308" s="542">
        <v>0</v>
      </c>
      <c r="DY308" s="542">
        <v>-327519</v>
      </c>
      <c r="DZ308" s="542">
        <v>0</v>
      </c>
      <c r="EA308" s="542">
        <v>-327519</v>
      </c>
      <c r="EB308" s="542">
        <v>0</v>
      </c>
      <c r="EC308" s="542">
        <v>0</v>
      </c>
      <c r="ED308" s="542">
        <v>0</v>
      </c>
      <c r="EE308" s="542">
        <v>0</v>
      </c>
      <c r="EF308" s="542">
        <v>0</v>
      </c>
      <c r="EG308" s="542">
        <v>0</v>
      </c>
      <c r="EH308" s="542">
        <v>-330961</v>
      </c>
      <c r="EI308" s="542">
        <v>0</v>
      </c>
      <c r="EJ308" s="542">
        <v>-330961</v>
      </c>
      <c r="EK308" s="542">
        <v>0</v>
      </c>
      <c r="EL308" s="542">
        <v>0</v>
      </c>
      <c r="EM308" s="542">
        <v>0</v>
      </c>
      <c r="EN308" s="542">
        <v>0</v>
      </c>
      <c r="EO308" s="542">
        <v>0</v>
      </c>
      <c r="EP308" s="542">
        <v>0</v>
      </c>
      <c r="EQ308" s="542">
        <v>0</v>
      </c>
      <c r="ER308" s="542">
        <v>0</v>
      </c>
      <c r="ES308" s="542">
        <v>0</v>
      </c>
      <c r="ET308" s="542">
        <v>67458119</v>
      </c>
      <c r="EU308" s="542">
        <v>0</v>
      </c>
      <c r="EV308" s="542">
        <v>67458119</v>
      </c>
      <c r="EW308" s="542">
        <v>220821</v>
      </c>
      <c r="EX308" s="542">
        <v>0</v>
      </c>
      <c r="EY308" s="542">
        <v>220821</v>
      </c>
      <c r="EZ308" s="542">
        <v>-5485741</v>
      </c>
      <c r="FA308" s="542">
        <v>0</v>
      </c>
      <c r="FB308" s="542">
        <v>-5485741</v>
      </c>
      <c r="FC308" s="542">
        <v>-2353343</v>
      </c>
      <c r="FD308" s="542">
        <v>0</v>
      </c>
      <c r="FE308" s="542">
        <v>-2353343</v>
      </c>
      <c r="FF308" s="542">
        <v>-286533</v>
      </c>
      <c r="FG308" s="542">
        <v>0</v>
      </c>
      <c r="FH308" s="542">
        <v>-286533</v>
      </c>
      <c r="FI308" s="542">
        <v>-330961</v>
      </c>
      <c r="FJ308" s="542">
        <v>0</v>
      </c>
      <c r="FK308" s="542">
        <v>-330961</v>
      </c>
      <c r="FL308" s="542">
        <v>0</v>
      </c>
      <c r="FM308" s="542">
        <v>0</v>
      </c>
      <c r="FN308" s="542">
        <v>0</v>
      </c>
      <c r="FO308" s="542">
        <v>-8235757</v>
      </c>
      <c r="FP308" s="542">
        <v>0</v>
      </c>
      <c r="FQ308" s="542">
        <v>-8235757</v>
      </c>
      <c r="FR308" s="542">
        <v>59222362</v>
      </c>
      <c r="FS308" s="542">
        <v>0</v>
      </c>
      <c r="FT308" s="542">
        <v>59222362</v>
      </c>
    </row>
    <row r="309" spans="1:176" ht="12.75" x14ac:dyDescent="0.2">
      <c r="A309" s="93">
        <v>304</v>
      </c>
      <c r="B309" s="145" t="s">
        <v>486</v>
      </c>
      <c r="C309" s="604" t="s">
        <v>770</v>
      </c>
      <c r="D309" s="142" t="s">
        <v>867</v>
      </c>
      <c r="E309" s="149" t="s">
        <v>735</v>
      </c>
      <c r="F309" s="542">
        <v>-80833</v>
      </c>
      <c r="G309" s="542">
        <v>0</v>
      </c>
      <c r="H309" s="542">
        <v>-80833</v>
      </c>
      <c r="I309" s="542">
        <v>81538</v>
      </c>
      <c r="J309" s="542">
        <v>0</v>
      </c>
      <c r="K309" s="542">
        <v>81538</v>
      </c>
      <c r="L309" s="542">
        <v>5466</v>
      </c>
      <c r="M309" s="542">
        <v>0</v>
      </c>
      <c r="N309" s="542">
        <v>5466</v>
      </c>
      <c r="O309" s="542">
        <v>-4493</v>
      </c>
      <c r="P309" s="542">
        <v>0</v>
      </c>
      <c r="Q309" s="542">
        <v>-4493</v>
      </c>
      <c r="R309" s="542">
        <v>1678</v>
      </c>
      <c r="S309" s="542">
        <v>0</v>
      </c>
      <c r="T309" s="542">
        <v>1678</v>
      </c>
      <c r="U309" s="542">
        <v>-2228725</v>
      </c>
      <c r="V309" s="542">
        <v>0</v>
      </c>
      <c r="W309" s="542">
        <v>-2228725</v>
      </c>
      <c r="X309" s="542">
        <v>-7179</v>
      </c>
      <c r="Y309" s="542">
        <v>0</v>
      </c>
      <c r="Z309" s="542">
        <v>-7179</v>
      </c>
      <c r="AA309" s="542">
        <v>-143224</v>
      </c>
      <c r="AB309" s="542">
        <v>0</v>
      </c>
      <c r="AC309" s="542">
        <v>-143224</v>
      </c>
      <c r="AD309" s="542">
        <v>-64462</v>
      </c>
      <c r="AE309" s="542">
        <v>0</v>
      </c>
      <c r="AF309" s="542">
        <v>-64462</v>
      </c>
      <c r="AG309" s="542">
        <v>1896211</v>
      </c>
      <c r="AH309" s="542">
        <v>0</v>
      </c>
      <c r="AI309" s="542">
        <v>1896211</v>
      </c>
      <c r="AJ309" s="542">
        <v>170217</v>
      </c>
      <c r="AK309" s="542">
        <v>0</v>
      </c>
      <c r="AL309" s="542">
        <v>170217</v>
      </c>
      <c r="AM309" s="542">
        <v>-3984195</v>
      </c>
      <c r="AN309" s="542">
        <v>0</v>
      </c>
      <c r="AO309" s="542">
        <v>-3984195</v>
      </c>
      <c r="AP309" s="542">
        <v>14233</v>
      </c>
      <c r="AQ309" s="542">
        <v>0</v>
      </c>
      <c r="AR309" s="542">
        <v>14233</v>
      </c>
      <c r="AS309" s="542">
        <v>-34180</v>
      </c>
      <c r="AT309" s="542">
        <v>0</v>
      </c>
      <c r="AU309" s="542">
        <v>-34180</v>
      </c>
      <c r="AV309" s="542">
        <v>0</v>
      </c>
      <c r="AW309" s="542">
        <v>0</v>
      </c>
      <c r="AX309" s="542">
        <v>0</v>
      </c>
      <c r="AY309" s="542">
        <v>-31684</v>
      </c>
      <c r="AZ309" s="542">
        <v>0</v>
      </c>
      <c r="BA309" s="542">
        <v>-31684</v>
      </c>
      <c r="BB309" s="542">
        <v>0</v>
      </c>
      <c r="BC309" s="542">
        <v>0</v>
      </c>
      <c r="BD309" s="542">
        <v>0</v>
      </c>
      <c r="BE309" s="542">
        <v>-4341347</v>
      </c>
      <c r="BF309" s="542">
        <v>0</v>
      </c>
      <c r="BG309" s="542">
        <v>-4341347</v>
      </c>
      <c r="BH309" s="542">
        <v>-2496</v>
      </c>
      <c r="BI309" s="542">
        <v>0</v>
      </c>
      <c r="BJ309" s="542">
        <v>-2496</v>
      </c>
      <c r="BK309" s="542">
        <v>-7229</v>
      </c>
      <c r="BL309" s="542">
        <v>0</v>
      </c>
      <c r="BM309" s="542">
        <v>-7229</v>
      </c>
      <c r="BN309" s="542">
        <v>-2527846</v>
      </c>
      <c r="BO309" s="542">
        <v>0</v>
      </c>
      <c r="BP309" s="542">
        <v>-2527846</v>
      </c>
      <c r="BQ309" s="542">
        <v>-148899</v>
      </c>
      <c r="BR309" s="542">
        <v>0</v>
      </c>
      <c r="BS309" s="542">
        <v>-148899</v>
      </c>
      <c r="BT309" s="542">
        <v>-2686470</v>
      </c>
      <c r="BU309" s="542">
        <v>0</v>
      </c>
      <c r="BV309" s="542">
        <v>-2686470</v>
      </c>
      <c r="BW309" s="542">
        <v>-42175</v>
      </c>
      <c r="BX309" s="542">
        <v>0</v>
      </c>
      <c r="BY309" s="542">
        <v>-42175</v>
      </c>
      <c r="BZ309" s="542">
        <v>702</v>
      </c>
      <c r="CA309" s="542">
        <v>0</v>
      </c>
      <c r="CB309" s="542">
        <v>702</v>
      </c>
      <c r="CC309" s="542">
        <v>-34497</v>
      </c>
      <c r="CD309" s="542">
        <v>0</v>
      </c>
      <c r="CE309" s="542">
        <v>-34497</v>
      </c>
      <c r="CF309" s="542">
        <v>-42</v>
      </c>
      <c r="CG309" s="542">
        <v>0</v>
      </c>
      <c r="CH309" s="542">
        <v>-42</v>
      </c>
      <c r="CI309" s="542">
        <v>0</v>
      </c>
      <c r="CJ309" s="542">
        <v>0</v>
      </c>
      <c r="CK309" s="542">
        <v>0</v>
      </c>
      <c r="CL309" s="542">
        <v>0</v>
      </c>
      <c r="CM309" s="542">
        <v>0</v>
      </c>
      <c r="CN309" s="542">
        <v>0</v>
      </c>
      <c r="CO309" s="542">
        <v>-8015</v>
      </c>
      <c r="CP309" s="542">
        <v>0</v>
      </c>
      <c r="CQ309" s="542">
        <v>-8015</v>
      </c>
      <c r="CR309" s="542">
        <v>2000</v>
      </c>
      <c r="CS309" s="542">
        <v>0</v>
      </c>
      <c r="CT309" s="542">
        <v>2000</v>
      </c>
      <c r="CU309" s="542">
        <v>-36925</v>
      </c>
      <c r="CV309" s="542">
        <v>0</v>
      </c>
      <c r="CW309" s="542">
        <v>-36925</v>
      </c>
      <c r="CX309" s="542">
        <v>0</v>
      </c>
      <c r="CY309" s="542">
        <v>0</v>
      </c>
      <c r="CZ309" s="542">
        <v>0</v>
      </c>
      <c r="DA309" s="542">
        <v>0</v>
      </c>
      <c r="DB309" s="542">
        <v>0</v>
      </c>
      <c r="DC309" s="542">
        <v>0</v>
      </c>
      <c r="DD309" s="542">
        <v>0</v>
      </c>
      <c r="DE309" s="542">
        <v>0</v>
      </c>
      <c r="DF309" s="542">
        <v>0</v>
      </c>
      <c r="DG309" s="542"/>
      <c r="DH309" s="542">
        <v>0</v>
      </c>
      <c r="DI309" s="542"/>
      <c r="DJ309" s="542">
        <v>0</v>
      </c>
      <c r="DK309" s="542"/>
      <c r="DL309" s="542"/>
      <c r="DM309" s="542">
        <v>-118952</v>
      </c>
      <c r="DN309" s="542">
        <v>0</v>
      </c>
      <c r="DO309" s="542">
        <v>-118952</v>
      </c>
      <c r="DP309" s="542">
        <v>-6900</v>
      </c>
      <c r="DQ309" s="542">
        <v>0</v>
      </c>
      <c r="DR309" s="542">
        <v>-6900</v>
      </c>
      <c r="DS309" s="542">
        <v>-76</v>
      </c>
      <c r="DT309" s="542">
        <v>0</v>
      </c>
      <c r="DU309" s="542">
        <v>-76</v>
      </c>
      <c r="DV309" s="542">
        <v>-58</v>
      </c>
      <c r="DW309" s="542">
        <v>0</v>
      </c>
      <c r="DX309" s="542">
        <v>-58</v>
      </c>
      <c r="DY309" s="542">
        <v>-320525</v>
      </c>
      <c r="DZ309" s="542">
        <v>0</v>
      </c>
      <c r="EA309" s="542">
        <v>-320525</v>
      </c>
      <c r="EB309" s="542">
        <v>-17411</v>
      </c>
      <c r="EC309" s="542">
        <v>0</v>
      </c>
      <c r="ED309" s="542">
        <v>-17411</v>
      </c>
      <c r="EE309" s="542">
        <v>-75838</v>
      </c>
      <c r="EF309" s="542">
        <v>0</v>
      </c>
      <c r="EG309" s="542">
        <v>-75838</v>
      </c>
      <c r="EH309" s="542">
        <v>-420808</v>
      </c>
      <c r="EI309" s="542">
        <v>0</v>
      </c>
      <c r="EJ309" s="542">
        <v>-420808</v>
      </c>
      <c r="EK309" s="542">
        <v>0</v>
      </c>
      <c r="EL309" s="542">
        <v>0</v>
      </c>
      <c r="EM309" s="542">
        <v>0</v>
      </c>
      <c r="EN309" s="542">
        <v>-2071</v>
      </c>
      <c r="EO309" s="542">
        <v>0</v>
      </c>
      <c r="EP309" s="542">
        <v>-2071</v>
      </c>
      <c r="EQ309" s="542">
        <v>-2071</v>
      </c>
      <c r="ER309" s="542">
        <v>0</v>
      </c>
      <c r="ES309" s="542">
        <v>-2071</v>
      </c>
      <c r="ET309" s="542">
        <v>90172192</v>
      </c>
      <c r="EU309" s="542">
        <v>0</v>
      </c>
      <c r="EV309" s="542">
        <v>90172192</v>
      </c>
      <c r="EW309" s="542">
        <v>1678</v>
      </c>
      <c r="EX309" s="542">
        <v>0</v>
      </c>
      <c r="EY309" s="542">
        <v>1678</v>
      </c>
      <c r="EZ309" s="542">
        <v>-4341347</v>
      </c>
      <c r="FA309" s="542">
        <v>0</v>
      </c>
      <c r="FB309" s="542">
        <v>-4341347</v>
      </c>
      <c r="FC309" s="542">
        <v>-2686470</v>
      </c>
      <c r="FD309" s="542">
        <v>0</v>
      </c>
      <c r="FE309" s="542">
        <v>-2686470</v>
      </c>
      <c r="FF309" s="542">
        <v>-118952</v>
      </c>
      <c r="FG309" s="542">
        <v>0</v>
      </c>
      <c r="FH309" s="542">
        <v>-118952</v>
      </c>
      <c r="FI309" s="542">
        <v>-420808</v>
      </c>
      <c r="FJ309" s="542">
        <v>0</v>
      </c>
      <c r="FK309" s="542">
        <v>-420808</v>
      </c>
      <c r="FL309" s="542">
        <v>-2071</v>
      </c>
      <c r="FM309" s="542">
        <v>0</v>
      </c>
      <c r="FN309" s="542">
        <v>-2071</v>
      </c>
      <c r="FO309" s="542">
        <v>-7567970</v>
      </c>
      <c r="FP309" s="542">
        <v>0</v>
      </c>
      <c r="FQ309" s="542">
        <v>-7567970</v>
      </c>
      <c r="FR309" s="542">
        <v>82604222</v>
      </c>
      <c r="FS309" s="542">
        <v>0</v>
      </c>
      <c r="FT309" s="542">
        <v>82604222</v>
      </c>
    </row>
    <row r="310" spans="1:176" ht="12.75" x14ac:dyDescent="0.2">
      <c r="A310" s="93">
        <v>305</v>
      </c>
      <c r="B310" s="145" t="s">
        <v>488</v>
      </c>
      <c r="C310" s="604" t="s">
        <v>866</v>
      </c>
      <c r="D310" s="142" t="s">
        <v>875</v>
      </c>
      <c r="E310" s="149" t="s">
        <v>487</v>
      </c>
      <c r="F310" s="542">
        <v>-63476</v>
      </c>
      <c r="G310" s="542">
        <v>0</v>
      </c>
      <c r="H310" s="542">
        <v>-63476</v>
      </c>
      <c r="I310" s="542">
        <v>48685</v>
      </c>
      <c r="J310" s="542">
        <v>0</v>
      </c>
      <c r="K310" s="542">
        <v>48685</v>
      </c>
      <c r="L310" s="542">
        <v>2197</v>
      </c>
      <c r="M310" s="542">
        <v>0</v>
      </c>
      <c r="N310" s="542">
        <v>2197</v>
      </c>
      <c r="O310" s="542">
        <v>53264</v>
      </c>
      <c r="P310" s="542">
        <v>0</v>
      </c>
      <c r="Q310" s="542">
        <v>53264</v>
      </c>
      <c r="R310" s="542">
        <v>40670</v>
      </c>
      <c r="S310" s="542">
        <v>0</v>
      </c>
      <c r="T310" s="542">
        <v>40670</v>
      </c>
      <c r="U310" s="542">
        <v>-1430307</v>
      </c>
      <c r="V310" s="542">
        <v>0</v>
      </c>
      <c r="W310" s="542">
        <v>-1430307</v>
      </c>
      <c r="X310" s="542">
        <v>0</v>
      </c>
      <c r="Y310" s="542">
        <v>0</v>
      </c>
      <c r="Z310" s="542">
        <v>0</v>
      </c>
      <c r="AA310" s="542">
        <v>-130107</v>
      </c>
      <c r="AB310" s="542">
        <v>0</v>
      </c>
      <c r="AC310" s="542">
        <v>-130107</v>
      </c>
      <c r="AD310" s="542">
        <v>-48513</v>
      </c>
      <c r="AE310" s="542">
        <v>0</v>
      </c>
      <c r="AF310" s="542">
        <v>-48513</v>
      </c>
      <c r="AG310" s="542">
        <v>214015</v>
      </c>
      <c r="AH310" s="542">
        <v>0</v>
      </c>
      <c r="AI310" s="542">
        <v>214015</v>
      </c>
      <c r="AJ310" s="542">
        <v>-3001</v>
      </c>
      <c r="AK310" s="542">
        <v>0</v>
      </c>
      <c r="AL310" s="542">
        <v>-3001</v>
      </c>
      <c r="AM310" s="542">
        <v>-752899</v>
      </c>
      <c r="AN310" s="542">
        <v>0</v>
      </c>
      <c r="AO310" s="542">
        <v>-752899</v>
      </c>
      <c r="AP310" s="542">
        <v>-1596</v>
      </c>
      <c r="AQ310" s="542">
        <v>0</v>
      </c>
      <c r="AR310" s="542">
        <v>-1596</v>
      </c>
      <c r="AS310" s="542">
        <v>-67684</v>
      </c>
      <c r="AT310" s="542">
        <v>0</v>
      </c>
      <c r="AU310" s="542">
        <v>-67684</v>
      </c>
      <c r="AV310" s="542">
        <v>3187</v>
      </c>
      <c r="AW310" s="542">
        <v>0</v>
      </c>
      <c r="AX310" s="542">
        <v>3187</v>
      </c>
      <c r="AY310" s="542">
        <v>-44994</v>
      </c>
      <c r="AZ310" s="542">
        <v>0</v>
      </c>
      <c r="BA310" s="542">
        <v>-44994</v>
      </c>
      <c r="BB310" s="542">
        <v>-1344</v>
      </c>
      <c r="BC310" s="542">
        <v>0</v>
      </c>
      <c r="BD310" s="542">
        <v>-1344</v>
      </c>
      <c r="BE310" s="542">
        <v>-2214730</v>
      </c>
      <c r="BF310" s="542">
        <v>0</v>
      </c>
      <c r="BG310" s="542">
        <v>-2214730</v>
      </c>
      <c r="BH310" s="542">
        <v>-957</v>
      </c>
      <c r="BI310" s="542">
        <v>0</v>
      </c>
      <c r="BJ310" s="542">
        <v>-957</v>
      </c>
      <c r="BK310" s="542">
        <v>0</v>
      </c>
      <c r="BL310" s="542">
        <v>0</v>
      </c>
      <c r="BM310" s="542">
        <v>0</v>
      </c>
      <c r="BN310" s="542">
        <v>-298659</v>
      </c>
      <c r="BO310" s="542">
        <v>0</v>
      </c>
      <c r="BP310" s="542">
        <v>-298659</v>
      </c>
      <c r="BQ310" s="542">
        <v>17196</v>
      </c>
      <c r="BR310" s="542">
        <v>0</v>
      </c>
      <c r="BS310" s="542">
        <v>17196</v>
      </c>
      <c r="BT310" s="542">
        <v>-282420</v>
      </c>
      <c r="BU310" s="542">
        <v>0</v>
      </c>
      <c r="BV310" s="542">
        <v>-282420</v>
      </c>
      <c r="BW310" s="542">
        <v>-68354</v>
      </c>
      <c r="BX310" s="542">
        <v>0</v>
      </c>
      <c r="BY310" s="542">
        <v>-68354</v>
      </c>
      <c r="BZ310" s="542">
        <v>13</v>
      </c>
      <c r="CA310" s="542">
        <v>0</v>
      </c>
      <c r="CB310" s="542">
        <v>13</v>
      </c>
      <c r="CC310" s="542">
        <v>-18149</v>
      </c>
      <c r="CD310" s="542">
        <v>0</v>
      </c>
      <c r="CE310" s="542">
        <v>-18149</v>
      </c>
      <c r="CF310" s="542">
        <v>8889</v>
      </c>
      <c r="CG310" s="542">
        <v>0</v>
      </c>
      <c r="CH310" s="542">
        <v>8889</v>
      </c>
      <c r="CI310" s="542">
        <v>-4540</v>
      </c>
      <c r="CJ310" s="542">
        <v>0</v>
      </c>
      <c r="CK310" s="542">
        <v>-4540</v>
      </c>
      <c r="CL310" s="542">
        <v>-568</v>
      </c>
      <c r="CM310" s="542">
        <v>0</v>
      </c>
      <c r="CN310" s="542">
        <v>-568</v>
      </c>
      <c r="CO310" s="542">
        <v>-15571</v>
      </c>
      <c r="CP310" s="542">
        <v>0</v>
      </c>
      <c r="CQ310" s="542">
        <v>-15571</v>
      </c>
      <c r="CR310" s="542">
        <v>-5654</v>
      </c>
      <c r="CS310" s="542">
        <v>0</v>
      </c>
      <c r="CT310" s="542">
        <v>-5654</v>
      </c>
      <c r="CU310" s="542">
        <v>0</v>
      </c>
      <c r="CV310" s="542">
        <v>0</v>
      </c>
      <c r="CW310" s="542">
        <v>0</v>
      </c>
      <c r="CX310" s="542">
        <v>0</v>
      </c>
      <c r="CY310" s="542">
        <v>0</v>
      </c>
      <c r="CZ310" s="542">
        <v>0</v>
      </c>
      <c r="DA310" s="542">
        <v>0</v>
      </c>
      <c r="DB310" s="542">
        <v>0</v>
      </c>
      <c r="DC310" s="542">
        <v>0</v>
      </c>
      <c r="DD310" s="542">
        <v>0</v>
      </c>
      <c r="DE310" s="542">
        <v>0</v>
      </c>
      <c r="DF310" s="542">
        <v>0</v>
      </c>
      <c r="DG310" s="542"/>
      <c r="DH310" s="542">
        <v>0</v>
      </c>
      <c r="DI310" s="542"/>
      <c r="DJ310" s="542">
        <v>0</v>
      </c>
      <c r="DK310" s="542"/>
      <c r="DL310" s="542"/>
      <c r="DM310" s="542">
        <v>-103934</v>
      </c>
      <c r="DN310" s="542">
        <v>0</v>
      </c>
      <c r="DO310" s="542">
        <v>-103934</v>
      </c>
      <c r="DP310" s="542">
        <v>0</v>
      </c>
      <c r="DQ310" s="542">
        <v>0</v>
      </c>
      <c r="DR310" s="542">
        <v>0</v>
      </c>
      <c r="DS310" s="542">
        <v>0</v>
      </c>
      <c r="DT310" s="542">
        <v>0</v>
      </c>
      <c r="DU310" s="542">
        <v>0</v>
      </c>
      <c r="DV310" s="542">
        <v>0</v>
      </c>
      <c r="DW310" s="542">
        <v>0</v>
      </c>
      <c r="DX310" s="542">
        <v>0</v>
      </c>
      <c r="DY310" s="542">
        <v>-336297</v>
      </c>
      <c r="DZ310" s="542">
        <v>0</v>
      </c>
      <c r="EA310" s="542">
        <v>-336297</v>
      </c>
      <c r="EB310" s="542">
        <v>-142</v>
      </c>
      <c r="EC310" s="542">
        <v>0</v>
      </c>
      <c r="ED310" s="542">
        <v>-142</v>
      </c>
      <c r="EE310" s="542">
        <v>-4882</v>
      </c>
      <c r="EF310" s="542">
        <v>0</v>
      </c>
      <c r="EG310" s="542">
        <v>-4882</v>
      </c>
      <c r="EH310" s="542">
        <v>-341321</v>
      </c>
      <c r="EI310" s="542">
        <v>0</v>
      </c>
      <c r="EJ310" s="542">
        <v>-341321</v>
      </c>
      <c r="EK310" s="542">
        <v>-12289</v>
      </c>
      <c r="EL310" s="542">
        <v>0</v>
      </c>
      <c r="EM310" s="542">
        <v>-12289</v>
      </c>
      <c r="EN310" s="542">
        <v>-2099</v>
      </c>
      <c r="EO310" s="542">
        <v>0</v>
      </c>
      <c r="EP310" s="542">
        <v>-2099</v>
      </c>
      <c r="EQ310" s="542">
        <v>-14388</v>
      </c>
      <c r="ER310" s="542">
        <v>0</v>
      </c>
      <c r="ES310" s="542">
        <v>-14388</v>
      </c>
      <c r="ET310" s="542">
        <v>13333380</v>
      </c>
      <c r="EU310" s="542">
        <v>0</v>
      </c>
      <c r="EV310" s="542">
        <v>13333380</v>
      </c>
      <c r="EW310" s="542">
        <v>40670</v>
      </c>
      <c r="EX310" s="542">
        <v>0</v>
      </c>
      <c r="EY310" s="542">
        <v>40670</v>
      </c>
      <c r="EZ310" s="542">
        <v>-2214730</v>
      </c>
      <c r="FA310" s="542">
        <v>0</v>
      </c>
      <c r="FB310" s="542">
        <v>-2214730</v>
      </c>
      <c r="FC310" s="542">
        <v>-282420</v>
      </c>
      <c r="FD310" s="542">
        <v>0</v>
      </c>
      <c r="FE310" s="542">
        <v>-282420</v>
      </c>
      <c r="FF310" s="542">
        <v>-103934</v>
      </c>
      <c r="FG310" s="542">
        <v>0</v>
      </c>
      <c r="FH310" s="542">
        <v>-103934</v>
      </c>
      <c r="FI310" s="542">
        <v>-341321</v>
      </c>
      <c r="FJ310" s="542">
        <v>0</v>
      </c>
      <c r="FK310" s="542">
        <v>-341321</v>
      </c>
      <c r="FL310" s="542">
        <v>-14388</v>
      </c>
      <c r="FM310" s="542">
        <v>0</v>
      </c>
      <c r="FN310" s="542">
        <v>-14388</v>
      </c>
      <c r="FO310" s="542">
        <v>-2916123</v>
      </c>
      <c r="FP310" s="542">
        <v>0</v>
      </c>
      <c r="FQ310" s="542">
        <v>-2916123</v>
      </c>
      <c r="FR310" s="542">
        <v>10417257</v>
      </c>
      <c r="FS310" s="542">
        <v>0</v>
      </c>
      <c r="FT310" s="542">
        <v>10417257</v>
      </c>
    </row>
    <row r="311" spans="1:176" ht="12.75" x14ac:dyDescent="0.2">
      <c r="A311" s="93">
        <v>306</v>
      </c>
      <c r="B311" s="145" t="s">
        <v>490</v>
      </c>
      <c r="C311" s="604" t="s">
        <v>866</v>
      </c>
      <c r="D311" s="142" t="s">
        <v>875</v>
      </c>
      <c r="E311" s="149" t="s">
        <v>489</v>
      </c>
      <c r="F311" s="542">
        <v>-44287</v>
      </c>
      <c r="G311" s="542">
        <v>0</v>
      </c>
      <c r="H311" s="542">
        <v>-44287</v>
      </c>
      <c r="I311" s="542">
        <v>9846</v>
      </c>
      <c r="J311" s="542">
        <v>0</v>
      </c>
      <c r="K311" s="542">
        <v>9846</v>
      </c>
      <c r="L311" s="542">
        <v>9822</v>
      </c>
      <c r="M311" s="542">
        <v>0</v>
      </c>
      <c r="N311" s="542">
        <v>9822</v>
      </c>
      <c r="O311" s="542">
        <v>80954</v>
      </c>
      <c r="P311" s="542">
        <v>0</v>
      </c>
      <c r="Q311" s="542">
        <v>80954</v>
      </c>
      <c r="R311" s="542">
        <v>56335</v>
      </c>
      <c r="S311" s="542">
        <v>0</v>
      </c>
      <c r="T311" s="542">
        <v>56335</v>
      </c>
      <c r="U311" s="542">
        <v>-3791810</v>
      </c>
      <c r="V311" s="542">
        <v>0</v>
      </c>
      <c r="W311" s="542">
        <v>-3791810</v>
      </c>
      <c r="X311" s="542">
        <v>-7515</v>
      </c>
      <c r="Y311" s="542">
        <v>0</v>
      </c>
      <c r="Z311" s="542">
        <v>-7515</v>
      </c>
      <c r="AA311" s="542">
        <v>-115098</v>
      </c>
      <c r="AB311" s="542">
        <v>0</v>
      </c>
      <c r="AC311" s="542">
        <v>-115098</v>
      </c>
      <c r="AD311" s="542">
        <v>-74451</v>
      </c>
      <c r="AE311" s="542">
        <v>0</v>
      </c>
      <c r="AF311" s="542">
        <v>-74451</v>
      </c>
      <c r="AG311" s="542">
        <v>657199</v>
      </c>
      <c r="AH311" s="542">
        <v>0</v>
      </c>
      <c r="AI311" s="542">
        <v>657199</v>
      </c>
      <c r="AJ311" s="542">
        <v>-6289</v>
      </c>
      <c r="AK311" s="542">
        <v>0</v>
      </c>
      <c r="AL311" s="542">
        <v>-6289</v>
      </c>
      <c r="AM311" s="542">
        <v>-2856754</v>
      </c>
      <c r="AN311" s="542">
        <v>0</v>
      </c>
      <c r="AO311" s="542">
        <v>-2856754</v>
      </c>
      <c r="AP311" s="542">
        <v>-18125</v>
      </c>
      <c r="AQ311" s="542">
        <v>0</v>
      </c>
      <c r="AR311" s="542">
        <v>-18125</v>
      </c>
      <c r="AS311" s="542">
        <v>-104976</v>
      </c>
      <c r="AT311" s="542">
        <v>0</v>
      </c>
      <c r="AU311" s="542">
        <v>-104976</v>
      </c>
      <c r="AV311" s="542">
        <v>0</v>
      </c>
      <c r="AW311" s="542">
        <v>0</v>
      </c>
      <c r="AX311" s="542">
        <v>0</v>
      </c>
      <c r="AY311" s="542">
        <v>-85656</v>
      </c>
      <c r="AZ311" s="542">
        <v>0</v>
      </c>
      <c r="BA311" s="542">
        <v>-85656</v>
      </c>
      <c r="BB311" s="542">
        <v>489</v>
      </c>
      <c r="BC311" s="542">
        <v>0</v>
      </c>
      <c r="BD311" s="542">
        <v>489</v>
      </c>
      <c r="BE311" s="542">
        <v>-6321020</v>
      </c>
      <c r="BF311" s="542">
        <v>0</v>
      </c>
      <c r="BG311" s="542">
        <v>-6321020</v>
      </c>
      <c r="BH311" s="542">
        <v>-12369</v>
      </c>
      <c r="BI311" s="542">
        <v>0</v>
      </c>
      <c r="BJ311" s="542">
        <v>-12369</v>
      </c>
      <c r="BK311" s="542">
        <v>0</v>
      </c>
      <c r="BL311" s="542">
        <v>0</v>
      </c>
      <c r="BM311" s="542">
        <v>0</v>
      </c>
      <c r="BN311" s="542">
        <v>-833056</v>
      </c>
      <c r="BO311" s="542">
        <v>0</v>
      </c>
      <c r="BP311" s="542">
        <v>-833056</v>
      </c>
      <c r="BQ311" s="542">
        <v>85252</v>
      </c>
      <c r="BR311" s="542">
        <v>0</v>
      </c>
      <c r="BS311" s="542">
        <v>85252</v>
      </c>
      <c r="BT311" s="542">
        <v>-760173</v>
      </c>
      <c r="BU311" s="542">
        <v>0</v>
      </c>
      <c r="BV311" s="542">
        <v>-760173</v>
      </c>
      <c r="BW311" s="542">
        <v>-157878</v>
      </c>
      <c r="BX311" s="542">
        <v>0</v>
      </c>
      <c r="BY311" s="542">
        <v>-157878</v>
      </c>
      <c r="BZ311" s="542">
        <v>-837</v>
      </c>
      <c r="CA311" s="542">
        <v>0</v>
      </c>
      <c r="CB311" s="542">
        <v>-837</v>
      </c>
      <c r="CC311" s="542">
        <v>-7662</v>
      </c>
      <c r="CD311" s="542">
        <v>0</v>
      </c>
      <c r="CE311" s="542">
        <v>-7662</v>
      </c>
      <c r="CF311" s="542">
        <v>0</v>
      </c>
      <c r="CG311" s="542">
        <v>0</v>
      </c>
      <c r="CH311" s="542">
        <v>0</v>
      </c>
      <c r="CI311" s="542">
        <v>-1485</v>
      </c>
      <c r="CJ311" s="542">
        <v>0</v>
      </c>
      <c r="CK311" s="542">
        <v>-1485</v>
      </c>
      <c r="CL311" s="542">
        <v>0</v>
      </c>
      <c r="CM311" s="542">
        <v>0</v>
      </c>
      <c r="CN311" s="542">
        <v>0</v>
      </c>
      <c r="CO311" s="542">
        <v>-65489</v>
      </c>
      <c r="CP311" s="542">
        <v>0</v>
      </c>
      <c r="CQ311" s="542">
        <v>-65489</v>
      </c>
      <c r="CR311" s="542">
        <v>48</v>
      </c>
      <c r="CS311" s="542">
        <v>0</v>
      </c>
      <c r="CT311" s="542">
        <v>48</v>
      </c>
      <c r="CU311" s="542">
        <v>0</v>
      </c>
      <c r="CV311" s="542">
        <v>0</v>
      </c>
      <c r="CW311" s="542">
        <v>0</v>
      </c>
      <c r="CX311" s="542">
        <v>0</v>
      </c>
      <c r="CY311" s="542">
        <v>0</v>
      </c>
      <c r="CZ311" s="542">
        <v>0</v>
      </c>
      <c r="DA311" s="542">
        <v>0</v>
      </c>
      <c r="DB311" s="542">
        <v>0</v>
      </c>
      <c r="DC311" s="542">
        <v>0</v>
      </c>
      <c r="DD311" s="542">
        <v>0</v>
      </c>
      <c r="DE311" s="542">
        <v>0</v>
      </c>
      <c r="DF311" s="542">
        <v>0</v>
      </c>
      <c r="DG311" s="542"/>
      <c r="DH311" s="542">
        <v>0</v>
      </c>
      <c r="DI311" s="542"/>
      <c r="DJ311" s="542">
        <v>0</v>
      </c>
      <c r="DK311" s="542"/>
      <c r="DL311" s="542"/>
      <c r="DM311" s="542">
        <v>-233303</v>
      </c>
      <c r="DN311" s="542">
        <v>0</v>
      </c>
      <c r="DO311" s="542">
        <v>-233303</v>
      </c>
      <c r="DP311" s="542">
        <v>-82937</v>
      </c>
      <c r="DQ311" s="542">
        <v>0</v>
      </c>
      <c r="DR311" s="542">
        <v>-82937</v>
      </c>
      <c r="DS311" s="542">
        <v>-680</v>
      </c>
      <c r="DT311" s="542">
        <v>0</v>
      </c>
      <c r="DU311" s="542">
        <v>-680</v>
      </c>
      <c r="DV311" s="542">
        <v>-4254</v>
      </c>
      <c r="DW311" s="542">
        <v>0</v>
      </c>
      <c r="DX311" s="542">
        <v>-4254</v>
      </c>
      <c r="DY311" s="542">
        <v>-726714</v>
      </c>
      <c r="DZ311" s="542">
        <v>0</v>
      </c>
      <c r="EA311" s="542">
        <v>-726714</v>
      </c>
      <c r="EB311" s="542">
        <v>0</v>
      </c>
      <c r="EC311" s="542">
        <v>0</v>
      </c>
      <c r="ED311" s="542">
        <v>0</v>
      </c>
      <c r="EE311" s="542">
        <v>-10685</v>
      </c>
      <c r="EF311" s="542">
        <v>0</v>
      </c>
      <c r="EG311" s="542">
        <v>-10685</v>
      </c>
      <c r="EH311" s="542">
        <v>-825270</v>
      </c>
      <c r="EI311" s="542">
        <v>0</v>
      </c>
      <c r="EJ311" s="542">
        <v>-825270</v>
      </c>
      <c r="EK311" s="542">
        <v>-12618</v>
      </c>
      <c r="EL311" s="542">
        <v>0</v>
      </c>
      <c r="EM311" s="542">
        <v>-12618</v>
      </c>
      <c r="EN311" s="542">
        <v>-8326</v>
      </c>
      <c r="EO311" s="542">
        <v>0</v>
      </c>
      <c r="EP311" s="542">
        <v>-8326</v>
      </c>
      <c r="EQ311" s="542">
        <v>-20944</v>
      </c>
      <c r="ER311" s="542">
        <v>0</v>
      </c>
      <c r="ES311" s="542">
        <v>-20944</v>
      </c>
      <c r="ET311" s="542">
        <v>37995803</v>
      </c>
      <c r="EU311" s="542">
        <v>0</v>
      </c>
      <c r="EV311" s="542">
        <v>37995803</v>
      </c>
      <c r="EW311" s="542">
        <v>56335</v>
      </c>
      <c r="EX311" s="542">
        <v>0</v>
      </c>
      <c r="EY311" s="542">
        <v>56335</v>
      </c>
      <c r="EZ311" s="542">
        <v>-6321020</v>
      </c>
      <c r="FA311" s="542">
        <v>0</v>
      </c>
      <c r="FB311" s="542">
        <v>-6321020</v>
      </c>
      <c r="FC311" s="542">
        <v>-760173</v>
      </c>
      <c r="FD311" s="542">
        <v>0</v>
      </c>
      <c r="FE311" s="542">
        <v>-760173</v>
      </c>
      <c r="FF311" s="542">
        <v>-233303</v>
      </c>
      <c r="FG311" s="542">
        <v>0</v>
      </c>
      <c r="FH311" s="542">
        <v>-233303</v>
      </c>
      <c r="FI311" s="542">
        <v>-825270</v>
      </c>
      <c r="FJ311" s="542">
        <v>0</v>
      </c>
      <c r="FK311" s="542">
        <v>-825270</v>
      </c>
      <c r="FL311" s="542">
        <v>-20944</v>
      </c>
      <c r="FM311" s="542">
        <v>0</v>
      </c>
      <c r="FN311" s="542">
        <v>-20944</v>
      </c>
      <c r="FO311" s="542">
        <v>-8104375</v>
      </c>
      <c r="FP311" s="542">
        <v>0</v>
      </c>
      <c r="FQ311" s="542">
        <v>-8104375</v>
      </c>
      <c r="FR311" s="542">
        <v>29891428</v>
      </c>
      <c r="FS311" s="542">
        <v>0</v>
      </c>
      <c r="FT311" s="542">
        <v>29891428</v>
      </c>
    </row>
    <row r="312" spans="1:176" ht="12.75" x14ac:dyDescent="0.2">
      <c r="A312" s="93">
        <v>307</v>
      </c>
      <c r="B312" s="145" t="s">
        <v>492</v>
      </c>
      <c r="C312" s="604" t="s">
        <v>866</v>
      </c>
      <c r="D312" s="142" t="s">
        <v>868</v>
      </c>
      <c r="E312" s="149" t="s">
        <v>491</v>
      </c>
      <c r="F312" s="542">
        <v>-61747</v>
      </c>
      <c r="G312" s="542">
        <v>0</v>
      </c>
      <c r="H312" s="542">
        <v>-61747</v>
      </c>
      <c r="I312" s="542">
        <v>86826</v>
      </c>
      <c r="J312" s="542">
        <v>0</v>
      </c>
      <c r="K312" s="542">
        <v>86826</v>
      </c>
      <c r="L312" s="542">
        <v>3734</v>
      </c>
      <c r="M312" s="542">
        <v>0</v>
      </c>
      <c r="N312" s="542">
        <v>3734</v>
      </c>
      <c r="O312" s="542">
        <v>107541</v>
      </c>
      <c r="P312" s="542">
        <v>0</v>
      </c>
      <c r="Q312" s="542">
        <v>107541</v>
      </c>
      <c r="R312" s="542">
        <v>136354</v>
      </c>
      <c r="S312" s="542">
        <v>0</v>
      </c>
      <c r="T312" s="542">
        <v>136354</v>
      </c>
      <c r="U312" s="542">
        <v>-1997458</v>
      </c>
      <c r="V312" s="542">
        <v>0</v>
      </c>
      <c r="W312" s="542">
        <v>-1997458</v>
      </c>
      <c r="X312" s="542">
        <v>-2382</v>
      </c>
      <c r="Y312" s="542">
        <v>0</v>
      </c>
      <c r="Z312" s="542">
        <v>-2382</v>
      </c>
      <c r="AA312" s="542">
        <v>-151397</v>
      </c>
      <c r="AB312" s="542">
        <v>0</v>
      </c>
      <c r="AC312" s="542">
        <v>-151397</v>
      </c>
      <c r="AD312" s="542">
        <v>-59462</v>
      </c>
      <c r="AE312" s="542">
        <v>0</v>
      </c>
      <c r="AF312" s="542">
        <v>-59462</v>
      </c>
      <c r="AG312" s="542">
        <v>741901</v>
      </c>
      <c r="AH312" s="542">
        <v>0</v>
      </c>
      <c r="AI312" s="542">
        <v>741901</v>
      </c>
      <c r="AJ312" s="542">
        <v>-8869</v>
      </c>
      <c r="AK312" s="542">
        <v>0</v>
      </c>
      <c r="AL312" s="542">
        <v>-8869</v>
      </c>
      <c r="AM312" s="542">
        <v>-2393154</v>
      </c>
      <c r="AN312" s="542">
        <v>0</v>
      </c>
      <c r="AO312" s="542">
        <v>-2393154</v>
      </c>
      <c r="AP312" s="542">
        <v>-1789</v>
      </c>
      <c r="AQ312" s="542">
        <v>0</v>
      </c>
      <c r="AR312" s="542">
        <v>-1789</v>
      </c>
      <c r="AS312" s="542">
        <v>0</v>
      </c>
      <c r="AT312" s="542">
        <v>0</v>
      </c>
      <c r="AU312" s="542">
        <v>0</v>
      </c>
      <c r="AV312" s="542">
        <v>0</v>
      </c>
      <c r="AW312" s="542">
        <v>0</v>
      </c>
      <c r="AX312" s="542">
        <v>0</v>
      </c>
      <c r="AY312" s="542">
        <v>-5386</v>
      </c>
      <c r="AZ312" s="542">
        <v>0</v>
      </c>
      <c r="BA312" s="542">
        <v>-5386</v>
      </c>
      <c r="BB312" s="542">
        <v>0</v>
      </c>
      <c r="BC312" s="542">
        <v>0</v>
      </c>
      <c r="BD312" s="542">
        <v>0</v>
      </c>
      <c r="BE312" s="542">
        <v>-3816152</v>
      </c>
      <c r="BF312" s="542">
        <v>0</v>
      </c>
      <c r="BG312" s="542">
        <v>-3816152</v>
      </c>
      <c r="BH312" s="542">
        <v>0</v>
      </c>
      <c r="BI312" s="542">
        <v>0</v>
      </c>
      <c r="BJ312" s="542">
        <v>0</v>
      </c>
      <c r="BK312" s="542">
        <v>12325</v>
      </c>
      <c r="BL312" s="542">
        <v>0</v>
      </c>
      <c r="BM312" s="542">
        <v>12325</v>
      </c>
      <c r="BN312" s="542">
        <v>-1481303</v>
      </c>
      <c r="BO312" s="542">
        <v>0</v>
      </c>
      <c r="BP312" s="542">
        <v>-1481303</v>
      </c>
      <c r="BQ312" s="542">
        <v>100506</v>
      </c>
      <c r="BR312" s="542">
        <v>0</v>
      </c>
      <c r="BS312" s="542">
        <v>100506</v>
      </c>
      <c r="BT312" s="542">
        <v>-1368472</v>
      </c>
      <c r="BU312" s="542">
        <v>0</v>
      </c>
      <c r="BV312" s="542">
        <v>-1368472</v>
      </c>
      <c r="BW312" s="542">
        <v>-9139</v>
      </c>
      <c r="BX312" s="542">
        <v>0</v>
      </c>
      <c r="BY312" s="542">
        <v>-9139</v>
      </c>
      <c r="BZ312" s="542">
        <v>0</v>
      </c>
      <c r="CA312" s="542">
        <v>0</v>
      </c>
      <c r="CB312" s="542">
        <v>0</v>
      </c>
      <c r="CC312" s="542">
        <v>-25760</v>
      </c>
      <c r="CD312" s="542">
        <v>0</v>
      </c>
      <c r="CE312" s="542">
        <v>-25760</v>
      </c>
      <c r="CF312" s="542">
        <v>5768</v>
      </c>
      <c r="CG312" s="542">
        <v>0</v>
      </c>
      <c r="CH312" s="542">
        <v>5768</v>
      </c>
      <c r="CI312" s="542">
        <v>0</v>
      </c>
      <c r="CJ312" s="542">
        <v>0</v>
      </c>
      <c r="CK312" s="542">
        <v>0</v>
      </c>
      <c r="CL312" s="542">
        <v>0</v>
      </c>
      <c r="CM312" s="542">
        <v>0</v>
      </c>
      <c r="CN312" s="542">
        <v>0</v>
      </c>
      <c r="CO312" s="542">
        <v>0</v>
      </c>
      <c r="CP312" s="542">
        <v>0</v>
      </c>
      <c r="CQ312" s="542">
        <v>0</v>
      </c>
      <c r="CR312" s="542">
        <v>0</v>
      </c>
      <c r="CS312" s="542">
        <v>0</v>
      </c>
      <c r="CT312" s="542">
        <v>0</v>
      </c>
      <c r="CU312" s="542">
        <v>0</v>
      </c>
      <c r="CV312" s="542">
        <v>0</v>
      </c>
      <c r="CW312" s="542">
        <v>0</v>
      </c>
      <c r="CX312" s="542">
        <v>0</v>
      </c>
      <c r="CY312" s="542">
        <v>0</v>
      </c>
      <c r="CZ312" s="542">
        <v>0</v>
      </c>
      <c r="DA312" s="542">
        <v>0</v>
      </c>
      <c r="DB312" s="542">
        <v>0</v>
      </c>
      <c r="DC312" s="542">
        <v>0</v>
      </c>
      <c r="DD312" s="542">
        <v>0</v>
      </c>
      <c r="DE312" s="542">
        <v>0</v>
      </c>
      <c r="DF312" s="542">
        <v>0</v>
      </c>
      <c r="DG312" s="542"/>
      <c r="DH312" s="542">
        <v>0</v>
      </c>
      <c r="DI312" s="542"/>
      <c r="DJ312" s="542">
        <v>0</v>
      </c>
      <c r="DK312" s="542"/>
      <c r="DL312" s="542"/>
      <c r="DM312" s="542">
        <v>-29131</v>
      </c>
      <c r="DN312" s="542">
        <v>0</v>
      </c>
      <c r="DO312" s="542">
        <v>-29131</v>
      </c>
      <c r="DP312" s="542">
        <v>-8797</v>
      </c>
      <c r="DQ312" s="542">
        <v>0</v>
      </c>
      <c r="DR312" s="542">
        <v>-8797</v>
      </c>
      <c r="DS312" s="542">
        <v>0</v>
      </c>
      <c r="DT312" s="542">
        <v>0</v>
      </c>
      <c r="DU312" s="542">
        <v>0</v>
      </c>
      <c r="DV312" s="542">
        <v>-12201</v>
      </c>
      <c r="DW312" s="542">
        <v>0</v>
      </c>
      <c r="DX312" s="542">
        <v>-12201</v>
      </c>
      <c r="DY312" s="542">
        <v>-256662</v>
      </c>
      <c r="DZ312" s="542">
        <v>0</v>
      </c>
      <c r="EA312" s="542">
        <v>-256662</v>
      </c>
      <c r="EB312" s="542">
        <v>0</v>
      </c>
      <c r="EC312" s="542">
        <v>0</v>
      </c>
      <c r="ED312" s="542">
        <v>0</v>
      </c>
      <c r="EE312" s="542">
        <v>0</v>
      </c>
      <c r="EF312" s="542">
        <v>0</v>
      </c>
      <c r="EG312" s="542">
        <v>0</v>
      </c>
      <c r="EH312" s="542">
        <v>-277660</v>
      </c>
      <c r="EI312" s="542">
        <v>0</v>
      </c>
      <c r="EJ312" s="542">
        <v>-277660</v>
      </c>
      <c r="EK312" s="542">
        <v>0</v>
      </c>
      <c r="EL312" s="542">
        <v>0</v>
      </c>
      <c r="EM312" s="542">
        <v>0</v>
      </c>
      <c r="EN312" s="542">
        <v>0</v>
      </c>
      <c r="EO312" s="542">
        <v>0</v>
      </c>
      <c r="EP312" s="542">
        <v>0</v>
      </c>
      <c r="EQ312" s="542">
        <v>0</v>
      </c>
      <c r="ER312" s="542">
        <v>0</v>
      </c>
      <c r="ES312" s="542">
        <v>0</v>
      </c>
      <c r="ET312" s="542">
        <v>36349472</v>
      </c>
      <c r="EU312" s="542">
        <v>0</v>
      </c>
      <c r="EV312" s="542">
        <v>36349472</v>
      </c>
      <c r="EW312" s="542">
        <v>136354</v>
      </c>
      <c r="EX312" s="542">
        <v>0</v>
      </c>
      <c r="EY312" s="542">
        <v>136354</v>
      </c>
      <c r="EZ312" s="542">
        <v>-3816152</v>
      </c>
      <c r="FA312" s="542">
        <v>0</v>
      </c>
      <c r="FB312" s="542">
        <v>-3816152</v>
      </c>
      <c r="FC312" s="542">
        <v>-1368472</v>
      </c>
      <c r="FD312" s="542">
        <v>0</v>
      </c>
      <c r="FE312" s="542">
        <v>-1368472</v>
      </c>
      <c r="FF312" s="542">
        <v>-29131</v>
      </c>
      <c r="FG312" s="542">
        <v>0</v>
      </c>
      <c r="FH312" s="542">
        <v>-29131</v>
      </c>
      <c r="FI312" s="542">
        <v>-277660</v>
      </c>
      <c r="FJ312" s="542">
        <v>0</v>
      </c>
      <c r="FK312" s="542">
        <v>-277660</v>
      </c>
      <c r="FL312" s="542">
        <v>0</v>
      </c>
      <c r="FM312" s="542">
        <v>0</v>
      </c>
      <c r="FN312" s="542">
        <v>0</v>
      </c>
      <c r="FO312" s="542">
        <v>-5355061</v>
      </c>
      <c r="FP312" s="542">
        <v>0</v>
      </c>
      <c r="FQ312" s="542">
        <v>-5355061</v>
      </c>
      <c r="FR312" s="542">
        <v>30994411</v>
      </c>
      <c r="FS312" s="542">
        <v>0</v>
      </c>
      <c r="FT312" s="542">
        <v>30994411</v>
      </c>
    </row>
    <row r="313" spans="1:176" ht="12.75" x14ac:dyDescent="0.2">
      <c r="A313" s="93">
        <v>308</v>
      </c>
      <c r="B313" s="145" t="s">
        <v>494</v>
      </c>
      <c r="C313" s="604" t="s">
        <v>866</v>
      </c>
      <c r="D313" s="142" t="s">
        <v>869</v>
      </c>
      <c r="E313" s="149" t="s">
        <v>493</v>
      </c>
      <c r="F313" s="542">
        <v>-21470</v>
      </c>
      <c r="G313" s="542">
        <v>0</v>
      </c>
      <c r="H313" s="542">
        <v>-21470</v>
      </c>
      <c r="I313" s="542">
        <v>55151</v>
      </c>
      <c r="J313" s="542">
        <v>0</v>
      </c>
      <c r="K313" s="542">
        <v>55151</v>
      </c>
      <c r="L313" s="542">
        <v>0</v>
      </c>
      <c r="M313" s="542">
        <v>0</v>
      </c>
      <c r="N313" s="542">
        <v>0</v>
      </c>
      <c r="O313" s="542">
        <v>41862</v>
      </c>
      <c r="P313" s="542">
        <v>0</v>
      </c>
      <c r="Q313" s="542">
        <v>41862</v>
      </c>
      <c r="R313" s="542">
        <v>75543</v>
      </c>
      <c r="S313" s="542">
        <v>0</v>
      </c>
      <c r="T313" s="542">
        <v>75543</v>
      </c>
      <c r="U313" s="542">
        <v>-1699233</v>
      </c>
      <c r="V313" s="542">
        <v>0</v>
      </c>
      <c r="W313" s="542">
        <v>-1699233</v>
      </c>
      <c r="X313" s="542">
        <v>-1696</v>
      </c>
      <c r="Y313" s="542">
        <v>0</v>
      </c>
      <c r="Z313" s="542">
        <v>-1696</v>
      </c>
      <c r="AA313" s="542">
        <v>-74680</v>
      </c>
      <c r="AB313" s="542">
        <v>0</v>
      </c>
      <c r="AC313" s="542">
        <v>-74680</v>
      </c>
      <c r="AD313" s="542">
        <v>-32585</v>
      </c>
      <c r="AE313" s="542">
        <v>0</v>
      </c>
      <c r="AF313" s="542">
        <v>-32585</v>
      </c>
      <c r="AG313" s="542">
        <v>365626</v>
      </c>
      <c r="AH313" s="542">
        <v>0</v>
      </c>
      <c r="AI313" s="542">
        <v>365626</v>
      </c>
      <c r="AJ313" s="542">
        <v>31761</v>
      </c>
      <c r="AK313" s="542">
        <v>0</v>
      </c>
      <c r="AL313" s="542">
        <v>31761</v>
      </c>
      <c r="AM313" s="542">
        <v>-1368274</v>
      </c>
      <c r="AN313" s="542">
        <v>0</v>
      </c>
      <c r="AO313" s="542">
        <v>-1368274</v>
      </c>
      <c r="AP313" s="542">
        <v>-11085</v>
      </c>
      <c r="AQ313" s="542">
        <v>0</v>
      </c>
      <c r="AR313" s="542">
        <v>-11085</v>
      </c>
      <c r="AS313" s="542">
        <v>-40189</v>
      </c>
      <c r="AT313" s="542">
        <v>0</v>
      </c>
      <c r="AU313" s="542">
        <v>-40189</v>
      </c>
      <c r="AV313" s="542">
        <v>-6045</v>
      </c>
      <c r="AW313" s="542">
        <v>0</v>
      </c>
      <c r="AX313" s="542">
        <v>-6045</v>
      </c>
      <c r="AY313" s="542">
        <v>-34831</v>
      </c>
      <c r="AZ313" s="542">
        <v>0</v>
      </c>
      <c r="BA313" s="542">
        <v>-34831</v>
      </c>
      <c r="BB313" s="542">
        <v>-229</v>
      </c>
      <c r="BC313" s="542">
        <v>0</v>
      </c>
      <c r="BD313" s="542">
        <v>-229</v>
      </c>
      <c r="BE313" s="542">
        <v>-2837179</v>
      </c>
      <c r="BF313" s="542">
        <v>0</v>
      </c>
      <c r="BG313" s="542">
        <v>-2837179</v>
      </c>
      <c r="BH313" s="542">
        <v>0</v>
      </c>
      <c r="BI313" s="542">
        <v>0</v>
      </c>
      <c r="BJ313" s="542">
        <v>0</v>
      </c>
      <c r="BK313" s="542">
        <v>15770</v>
      </c>
      <c r="BL313" s="542">
        <v>0</v>
      </c>
      <c r="BM313" s="542">
        <v>15770</v>
      </c>
      <c r="BN313" s="542">
        <v>-722522</v>
      </c>
      <c r="BO313" s="542">
        <v>0</v>
      </c>
      <c r="BP313" s="542">
        <v>-722522</v>
      </c>
      <c r="BQ313" s="542">
        <v>-55490</v>
      </c>
      <c r="BR313" s="542">
        <v>0</v>
      </c>
      <c r="BS313" s="542">
        <v>-55490</v>
      </c>
      <c r="BT313" s="542">
        <v>-762242</v>
      </c>
      <c r="BU313" s="542">
        <v>0</v>
      </c>
      <c r="BV313" s="542">
        <v>-762242</v>
      </c>
      <c r="BW313" s="542">
        <v>-32760</v>
      </c>
      <c r="BX313" s="542">
        <v>0</v>
      </c>
      <c r="BY313" s="542">
        <v>-32760</v>
      </c>
      <c r="BZ313" s="542">
        <v>4</v>
      </c>
      <c r="CA313" s="542">
        <v>0</v>
      </c>
      <c r="CB313" s="542">
        <v>4</v>
      </c>
      <c r="CC313" s="542">
        <v>-29032</v>
      </c>
      <c r="CD313" s="542">
        <v>0</v>
      </c>
      <c r="CE313" s="542">
        <v>-29032</v>
      </c>
      <c r="CF313" s="542">
        <v>505</v>
      </c>
      <c r="CG313" s="542">
        <v>0</v>
      </c>
      <c r="CH313" s="542">
        <v>505</v>
      </c>
      <c r="CI313" s="542">
        <v>-3275</v>
      </c>
      <c r="CJ313" s="542">
        <v>0</v>
      </c>
      <c r="CK313" s="542">
        <v>-3275</v>
      </c>
      <c r="CL313" s="542">
        <v>0</v>
      </c>
      <c r="CM313" s="542">
        <v>0</v>
      </c>
      <c r="CN313" s="542">
        <v>0</v>
      </c>
      <c r="CO313" s="542">
        <v>-6447</v>
      </c>
      <c r="CP313" s="542">
        <v>0</v>
      </c>
      <c r="CQ313" s="542">
        <v>-6447</v>
      </c>
      <c r="CR313" s="542">
        <v>-55</v>
      </c>
      <c r="CS313" s="542">
        <v>0</v>
      </c>
      <c r="CT313" s="542">
        <v>-55</v>
      </c>
      <c r="CU313" s="542">
        <v>-238</v>
      </c>
      <c r="CV313" s="542">
        <v>0</v>
      </c>
      <c r="CW313" s="542">
        <v>-238</v>
      </c>
      <c r="CX313" s="542">
        <v>0</v>
      </c>
      <c r="CY313" s="542">
        <v>0</v>
      </c>
      <c r="CZ313" s="542">
        <v>0</v>
      </c>
      <c r="DA313" s="542">
        <v>0</v>
      </c>
      <c r="DB313" s="542">
        <v>0</v>
      </c>
      <c r="DC313" s="542">
        <v>0</v>
      </c>
      <c r="DD313" s="542">
        <v>0</v>
      </c>
      <c r="DE313" s="542">
        <v>0</v>
      </c>
      <c r="DF313" s="542">
        <v>0</v>
      </c>
      <c r="DG313" s="542"/>
      <c r="DH313" s="542">
        <v>0</v>
      </c>
      <c r="DI313" s="542"/>
      <c r="DJ313" s="542">
        <v>0</v>
      </c>
      <c r="DK313" s="542"/>
      <c r="DL313" s="542"/>
      <c r="DM313" s="542">
        <v>-71298</v>
      </c>
      <c r="DN313" s="542">
        <v>0</v>
      </c>
      <c r="DO313" s="542">
        <v>-71298</v>
      </c>
      <c r="DP313" s="542">
        <v>-13491</v>
      </c>
      <c r="DQ313" s="542">
        <v>0</v>
      </c>
      <c r="DR313" s="542">
        <v>-13491</v>
      </c>
      <c r="DS313" s="542">
        <v>0</v>
      </c>
      <c r="DT313" s="542">
        <v>0</v>
      </c>
      <c r="DU313" s="542">
        <v>0</v>
      </c>
      <c r="DV313" s="542">
        <v>-1723</v>
      </c>
      <c r="DW313" s="542">
        <v>0</v>
      </c>
      <c r="DX313" s="542">
        <v>-1723</v>
      </c>
      <c r="DY313" s="542">
        <v>-198301</v>
      </c>
      <c r="DZ313" s="542">
        <v>0</v>
      </c>
      <c r="EA313" s="542">
        <v>-198301</v>
      </c>
      <c r="EB313" s="542">
        <v>0</v>
      </c>
      <c r="EC313" s="542">
        <v>0</v>
      </c>
      <c r="ED313" s="542">
        <v>0</v>
      </c>
      <c r="EE313" s="542">
        <v>0</v>
      </c>
      <c r="EF313" s="542">
        <v>0</v>
      </c>
      <c r="EG313" s="542">
        <v>0</v>
      </c>
      <c r="EH313" s="542">
        <v>-213515</v>
      </c>
      <c r="EI313" s="542">
        <v>0</v>
      </c>
      <c r="EJ313" s="542">
        <v>-213515</v>
      </c>
      <c r="EK313" s="542">
        <v>0</v>
      </c>
      <c r="EL313" s="542">
        <v>0</v>
      </c>
      <c r="EM313" s="542">
        <v>0</v>
      </c>
      <c r="EN313" s="542">
        <v>0</v>
      </c>
      <c r="EO313" s="542">
        <v>0</v>
      </c>
      <c r="EP313" s="542">
        <v>0</v>
      </c>
      <c r="EQ313" s="542">
        <v>0</v>
      </c>
      <c r="ER313" s="542">
        <v>0</v>
      </c>
      <c r="ES313" s="542">
        <v>0</v>
      </c>
      <c r="ET313" s="542">
        <v>19544356</v>
      </c>
      <c r="EU313" s="542">
        <v>0</v>
      </c>
      <c r="EV313" s="542">
        <v>19544356</v>
      </c>
      <c r="EW313" s="542">
        <v>75543</v>
      </c>
      <c r="EX313" s="542">
        <v>0</v>
      </c>
      <c r="EY313" s="542">
        <v>75543</v>
      </c>
      <c r="EZ313" s="542">
        <v>-2837179</v>
      </c>
      <c r="FA313" s="542">
        <v>0</v>
      </c>
      <c r="FB313" s="542">
        <v>-2837179</v>
      </c>
      <c r="FC313" s="542">
        <v>-762242</v>
      </c>
      <c r="FD313" s="542">
        <v>0</v>
      </c>
      <c r="FE313" s="542">
        <v>-762242</v>
      </c>
      <c r="FF313" s="542">
        <v>-71298</v>
      </c>
      <c r="FG313" s="542">
        <v>0</v>
      </c>
      <c r="FH313" s="542">
        <v>-71298</v>
      </c>
      <c r="FI313" s="542">
        <v>-213515</v>
      </c>
      <c r="FJ313" s="542">
        <v>0</v>
      </c>
      <c r="FK313" s="542">
        <v>-213515</v>
      </c>
      <c r="FL313" s="542">
        <v>0</v>
      </c>
      <c r="FM313" s="542">
        <v>0</v>
      </c>
      <c r="FN313" s="542">
        <v>0</v>
      </c>
      <c r="FO313" s="542">
        <v>-3808691</v>
      </c>
      <c r="FP313" s="542">
        <v>0</v>
      </c>
      <c r="FQ313" s="542">
        <v>-3808691</v>
      </c>
      <c r="FR313" s="542">
        <v>15735665</v>
      </c>
      <c r="FS313" s="542">
        <v>0</v>
      </c>
      <c r="FT313" s="542">
        <v>15735665</v>
      </c>
    </row>
    <row r="314" spans="1:176" ht="12.75" x14ac:dyDescent="0.2">
      <c r="A314" s="93">
        <v>309</v>
      </c>
      <c r="B314" s="145" t="s">
        <v>496</v>
      </c>
      <c r="C314" s="604" t="s">
        <v>866</v>
      </c>
      <c r="D314" s="142" t="s">
        <v>867</v>
      </c>
      <c r="E314" s="149" t="s">
        <v>495</v>
      </c>
      <c r="F314" s="542">
        <v>-72465</v>
      </c>
      <c r="G314" s="542">
        <v>0</v>
      </c>
      <c r="H314" s="542">
        <v>-72465</v>
      </c>
      <c r="I314" s="542">
        <v>36229</v>
      </c>
      <c r="J314" s="542">
        <v>0</v>
      </c>
      <c r="K314" s="542">
        <v>36229</v>
      </c>
      <c r="L314" s="542">
        <v>6682</v>
      </c>
      <c r="M314" s="542">
        <v>0</v>
      </c>
      <c r="N314" s="542">
        <v>6682</v>
      </c>
      <c r="O314" s="542">
        <v>-38741</v>
      </c>
      <c r="P314" s="542">
        <v>0</v>
      </c>
      <c r="Q314" s="542">
        <v>-38741</v>
      </c>
      <c r="R314" s="542">
        <v>-68295</v>
      </c>
      <c r="S314" s="542">
        <v>0</v>
      </c>
      <c r="T314" s="542">
        <v>-68295</v>
      </c>
      <c r="U314" s="542">
        <v>-2323698</v>
      </c>
      <c r="V314" s="542">
        <v>0</v>
      </c>
      <c r="W314" s="542">
        <v>-2323698</v>
      </c>
      <c r="X314" s="542">
        <v>-5159</v>
      </c>
      <c r="Y314" s="542">
        <v>0</v>
      </c>
      <c r="Z314" s="542">
        <v>-5159</v>
      </c>
      <c r="AA314" s="542">
        <v>-71326</v>
      </c>
      <c r="AB314" s="542">
        <v>0</v>
      </c>
      <c r="AC314" s="542">
        <v>-71326</v>
      </c>
      <c r="AD314" s="542">
        <v>-32082</v>
      </c>
      <c r="AE314" s="542">
        <v>0</v>
      </c>
      <c r="AF314" s="542">
        <v>-32082</v>
      </c>
      <c r="AG314" s="542">
        <v>720501</v>
      </c>
      <c r="AH314" s="542">
        <v>0</v>
      </c>
      <c r="AI314" s="542">
        <v>720501</v>
      </c>
      <c r="AJ314" s="542">
        <v>51296</v>
      </c>
      <c r="AK314" s="542">
        <v>0</v>
      </c>
      <c r="AL314" s="542">
        <v>51296</v>
      </c>
      <c r="AM314" s="542">
        <v>-2357110</v>
      </c>
      <c r="AN314" s="542">
        <v>0</v>
      </c>
      <c r="AO314" s="542">
        <v>-2357110</v>
      </c>
      <c r="AP314" s="542">
        <v>-67016</v>
      </c>
      <c r="AQ314" s="542">
        <v>0</v>
      </c>
      <c r="AR314" s="542">
        <v>-67016</v>
      </c>
      <c r="AS314" s="542">
        <v>-57283</v>
      </c>
      <c r="AT314" s="542">
        <v>0</v>
      </c>
      <c r="AU314" s="542">
        <v>-57283</v>
      </c>
      <c r="AV314" s="542">
        <v>5021</v>
      </c>
      <c r="AW314" s="542">
        <v>0</v>
      </c>
      <c r="AX314" s="542">
        <v>5021</v>
      </c>
      <c r="AY314" s="542">
        <v>-44886</v>
      </c>
      <c r="AZ314" s="542">
        <v>0</v>
      </c>
      <c r="BA314" s="542">
        <v>-44886</v>
      </c>
      <c r="BB314" s="542">
        <v>7730</v>
      </c>
      <c r="BC314" s="542">
        <v>0</v>
      </c>
      <c r="BD314" s="542">
        <v>7730</v>
      </c>
      <c r="BE314" s="542">
        <v>-4136771</v>
      </c>
      <c r="BF314" s="542">
        <v>0</v>
      </c>
      <c r="BG314" s="542">
        <v>-4136771</v>
      </c>
      <c r="BH314" s="542">
        <v>-4687</v>
      </c>
      <c r="BI314" s="542">
        <v>0</v>
      </c>
      <c r="BJ314" s="542">
        <v>-4687</v>
      </c>
      <c r="BK314" s="542">
        <v>0</v>
      </c>
      <c r="BL314" s="542">
        <v>0</v>
      </c>
      <c r="BM314" s="542">
        <v>0</v>
      </c>
      <c r="BN314" s="542">
        <v>-816462</v>
      </c>
      <c r="BO314" s="542">
        <v>0</v>
      </c>
      <c r="BP314" s="542">
        <v>-816462</v>
      </c>
      <c r="BQ314" s="542">
        <v>-80358</v>
      </c>
      <c r="BR314" s="542">
        <v>0</v>
      </c>
      <c r="BS314" s="542">
        <v>-80358</v>
      </c>
      <c r="BT314" s="542">
        <v>-901507</v>
      </c>
      <c r="BU314" s="542">
        <v>0</v>
      </c>
      <c r="BV314" s="542">
        <v>-901507</v>
      </c>
      <c r="BW314" s="542">
        <v>-79993</v>
      </c>
      <c r="BX314" s="542">
        <v>0</v>
      </c>
      <c r="BY314" s="542">
        <v>-79993</v>
      </c>
      <c r="BZ314" s="542">
        <v>-320</v>
      </c>
      <c r="CA314" s="542">
        <v>0</v>
      </c>
      <c r="CB314" s="542">
        <v>-320</v>
      </c>
      <c r="CC314" s="542">
        <v>0</v>
      </c>
      <c r="CD314" s="542">
        <v>0</v>
      </c>
      <c r="CE314" s="542">
        <v>0</v>
      </c>
      <c r="CF314" s="542">
        <v>0</v>
      </c>
      <c r="CG314" s="542">
        <v>0</v>
      </c>
      <c r="CH314" s="542">
        <v>0</v>
      </c>
      <c r="CI314" s="542">
        <v>0</v>
      </c>
      <c r="CJ314" s="542">
        <v>0</v>
      </c>
      <c r="CK314" s="542">
        <v>0</v>
      </c>
      <c r="CL314" s="542">
        <v>0</v>
      </c>
      <c r="CM314" s="542">
        <v>0</v>
      </c>
      <c r="CN314" s="542">
        <v>0</v>
      </c>
      <c r="CO314" s="542">
        <v>-3452</v>
      </c>
      <c r="CP314" s="542">
        <v>0</v>
      </c>
      <c r="CQ314" s="542">
        <v>-3452</v>
      </c>
      <c r="CR314" s="542">
        <v>0</v>
      </c>
      <c r="CS314" s="542">
        <v>0</v>
      </c>
      <c r="CT314" s="542">
        <v>0</v>
      </c>
      <c r="CU314" s="542">
        <v>0</v>
      </c>
      <c r="CV314" s="542">
        <v>0</v>
      </c>
      <c r="CW314" s="542">
        <v>0</v>
      </c>
      <c r="CX314" s="542">
        <v>0</v>
      </c>
      <c r="CY314" s="542">
        <v>0</v>
      </c>
      <c r="CZ314" s="542">
        <v>0</v>
      </c>
      <c r="DA314" s="542">
        <v>0</v>
      </c>
      <c r="DB314" s="542">
        <v>0</v>
      </c>
      <c r="DC314" s="542">
        <v>0</v>
      </c>
      <c r="DD314" s="542">
        <v>0</v>
      </c>
      <c r="DE314" s="542">
        <v>0</v>
      </c>
      <c r="DF314" s="542">
        <v>0</v>
      </c>
      <c r="DG314" s="542"/>
      <c r="DH314" s="542">
        <v>0</v>
      </c>
      <c r="DI314" s="542"/>
      <c r="DJ314" s="542">
        <v>0</v>
      </c>
      <c r="DK314" s="542"/>
      <c r="DL314" s="542"/>
      <c r="DM314" s="542">
        <v>-83765</v>
      </c>
      <c r="DN314" s="542">
        <v>0</v>
      </c>
      <c r="DO314" s="542">
        <v>-83765</v>
      </c>
      <c r="DP314" s="542">
        <v>0</v>
      </c>
      <c r="DQ314" s="542">
        <v>0</v>
      </c>
      <c r="DR314" s="542">
        <v>0</v>
      </c>
      <c r="DS314" s="542">
        <v>0</v>
      </c>
      <c r="DT314" s="542">
        <v>0</v>
      </c>
      <c r="DU314" s="542">
        <v>0</v>
      </c>
      <c r="DV314" s="542">
        <v>-6681</v>
      </c>
      <c r="DW314" s="542">
        <v>0</v>
      </c>
      <c r="DX314" s="542">
        <v>-6681</v>
      </c>
      <c r="DY314" s="542">
        <v>-427537</v>
      </c>
      <c r="DZ314" s="542">
        <v>0</v>
      </c>
      <c r="EA314" s="542">
        <v>-427537</v>
      </c>
      <c r="EB314" s="542">
        <v>0</v>
      </c>
      <c r="EC314" s="542">
        <v>0</v>
      </c>
      <c r="ED314" s="542">
        <v>0</v>
      </c>
      <c r="EE314" s="542">
        <v>0</v>
      </c>
      <c r="EF314" s="542">
        <v>0</v>
      </c>
      <c r="EG314" s="542">
        <v>0</v>
      </c>
      <c r="EH314" s="542">
        <v>-434218</v>
      </c>
      <c r="EI314" s="542">
        <v>0</v>
      </c>
      <c r="EJ314" s="542">
        <v>-434218</v>
      </c>
      <c r="EK314" s="542">
        <v>0</v>
      </c>
      <c r="EL314" s="542">
        <v>0</v>
      </c>
      <c r="EM314" s="542">
        <v>0</v>
      </c>
      <c r="EN314" s="542">
        <v>0</v>
      </c>
      <c r="EO314" s="542">
        <v>0</v>
      </c>
      <c r="EP314" s="542">
        <v>0</v>
      </c>
      <c r="EQ314" s="542">
        <v>0</v>
      </c>
      <c r="ER314" s="542">
        <v>0</v>
      </c>
      <c r="ES314" s="542">
        <v>0</v>
      </c>
      <c r="ET314" s="542">
        <v>38357549</v>
      </c>
      <c r="EU314" s="542">
        <v>0</v>
      </c>
      <c r="EV314" s="542">
        <v>38357549</v>
      </c>
      <c r="EW314" s="542">
        <v>-68295</v>
      </c>
      <c r="EX314" s="542">
        <v>0</v>
      </c>
      <c r="EY314" s="542">
        <v>-68295</v>
      </c>
      <c r="EZ314" s="542">
        <v>-4136771</v>
      </c>
      <c r="FA314" s="542">
        <v>0</v>
      </c>
      <c r="FB314" s="542">
        <v>-4136771</v>
      </c>
      <c r="FC314" s="542">
        <v>-901507</v>
      </c>
      <c r="FD314" s="542">
        <v>0</v>
      </c>
      <c r="FE314" s="542">
        <v>-901507</v>
      </c>
      <c r="FF314" s="542">
        <v>-83765</v>
      </c>
      <c r="FG314" s="542">
        <v>0</v>
      </c>
      <c r="FH314" s="542">
        <v>-83765</v>
      </c>
      <c r="FI314" s="542">
        <v>-434218</v>
      </c>
      <c r="FJ314" s="542">
        <v>0</v>
      </c>
      <c r="FK314" s="542">
        <v>-434218</v>
      </c>
      <c r="FL314" s="542">
        <v>0</v>
      </c>
      <c r="FM314" s="542">
        <v>0</v>
      </c>
      <c r="FN314" s="542">
        <v>0</v>
      </c>
      <c r="FO314" s="542">
        <v>-5624556</v>
      </c>
      <c r="FP314" s="542">
        <v>0</v>
      </c>
      <c r="FQ314" s="542">
        <v>-5624556</v>
      </c>
      <c r="FR314" s="542">
        <v>32732993</v>
      </c>
      <c r="FS314" s="542">
        <v>0</v>
      </c>
      <c r="FT314" s="542">
        <v>32732993</v>
      </c>
    </row>
    <row r="315" spans="1:176" ht="12.75" x14ac:dyDescent="0.2">
      <c r="A315" s="93">
        <v>310</v>
      </c>
      <c r="B315" s="145" t="s">
        <v>498</v>
      </c>
      <c r="C315" s="604" t="s">
        <v>866</v>
      </c>
      <c r="D315" s="142" t="s">
        <v>875</v>
      </c>
      <c r="E315" s="149" t="s">
        <v>497</v>
      </c>
      <c r="F315" s="542">
        <v>-38600</v>
      </c>
      <c r="G315" s="542">
        <v>0</v>
      </c>
      <c r="H315" s="542">
        <v>-38600</v>
      </c>
      <c r="I315" s="542">
        <v>15000.37</v>
      </c>
      <c r="J315" s="542">
        <v>0</v>
      </c>
      <c r="K315" s="542">
        <v>15000.37</v>
      </c>
      <c r="L315" s="542">
        <v>23600</v>
      </c>
      <c r="M315" s="542">
        <v>0</v>
      </c>
      <c r="N315" s="542">
        <v>23600</v>
      </c>
      <c r="O315" s="542">
        <v>13936</v>
      </c>
      <c r="P315" s="542">
        <v>0</v>
      </c>
      <c r="Q315" s="542">
        <v>13936</v>
      </c>
      <c r="R315" s="542">
        <v>13936</v>
      </c>
      <c r="S315" s="542">
        <v>0</v>
      </c>
      <c r="T315" s="542">
        <v>13936</v>
      </c>
      <c r="U315" s="542">
        <v>-1365130</v>
      </c>
      <c r="V315" s="542">
        <v>0</v>
      </c>
      <c r="W315" s="542">
        <v>-1365130</v>
      </c>
      <c r="X315" s="542">
        <v>-15984</v>
      </c>
      <c r="Y315" s="542">
        <v>0</v>
      </c>
      <c r="Z315" s="542">
        <v>-15984</v>
      </c>
      <c r="AA315" s="542">
        <v>-135851</v>
      </c>
      <c r="AB315" s="542">
        <v>0</v>
      </c>
      <c r="AC315" s="542">
        <v>-135851</v>
      </c>
      <c r="AD315" s="542">
        <v>-55692</v>
      </c>
      <c r="AE315" s="542">
        <v>0</v>
      </c>
      <c r="AF315" s="542">
        <v>-55692</v>
      </c>
      <c r="AG315" s="542">
        <v>268328</v>
      </c>
      <c r="AH315" s="542">
        <v>0</v>
      </c>
      <c r="AI315" s="542">
        <v>268328</v>
      </c>
      <c r="AJ315" s="542">
        <v>-23196</v>
      </c>
      <c r="AK315" s="542">
        <v>0</v>
      </c>
      <c r="AL315" s="542">
        <v>-23196</v>
      </c>
      <c r="AM315" s="542">
        <v>-595527</v>
      </c>
      <c r="AN315" s="542">
        <v>0</v>
      </c>
      <c r="AO315" s="542">
        <v>-595527</v>
      </c>
      <c r="AP315" s="542">
        <v>-30579</v>
      </c>
      <c r="AQ315" s="542">
        <v>0</v>
      </c>
      <c r="AR315" s="542">
        <v>-30579</v>
      </c>
      <c r="AS315" s="542">
        <v>-11394</v>
      </c>
      <c r="AT315" s="542">
        <v>0</v>
      </c>
      <c r="AU315" s="542">
        <v>-11394</v>
      </c>
      <c r="AV315" s="542">
        <v>0</v>
      </c>
      <c r="AW315" s="542">
        <v>0</v>
      </c>
      <c r="AX315" s="542">
        <v>0</v>
      </c>
      <c r="AY315" s="542">
        <v>-47947</v>
      </c>
      <c r="AZ315" s="542">
        <v>0</v>
      </c>
      <c r="BA315" s="542">
        <v>-47947</v>
      </c>
      <c r="BB315" s="542">
        <v>-10352.82</v>
      </c>
      <c r="BC315" s="542">
        <v>0</v>
      </c>
      <c r="BD315" s="542">
        <v>-10352.82</v>
      </c>
      <c r="BE315" s="542">
        <v>-1951649</v>
      </c>
      <c r="BF315" s="542">
        <v>0</v>
      </c>
      <c r="BG315" s="542">
        <v>-1951649</v>
      </c>
      <c r="BH315" s="542">
        <v>0</v>
      </c>
      <c r="BI315" s="542">
        <v>0</v>
      </c>
      <c r="BJ315" s="542">
        <v>0</v>
      </c>
      <c r="BK315" s="542">
        <v>0</v>
      </c>
      <c r="BL315" s="542">
        <v>0</v>
      </c>
      <c r="BM315" s="542">
        <v>0</v>
      </c>
      <c r="BN315" s="542">
        <v>-107230</v>
      </c>
      <c r="BO315" s="542">
        <v>0</v>
      </c>
      <c r="BP315" s="542">
        <v>-107230</v>
      </c>
      <c r="BQ315" s="542">
        <v>-789</v>
      </c>
      <c r="BR315" s="542">
        <v>0</v>
      </c>
      <c r="BS315" s="542">
        <v>-789</v>
      </c>
      <c r="BT315" s="542">
        <v>-108019</v>
      </c>
      <c r="BU315" s="542">
        <v>0</v>
      </c>
      <c r="BV315" s="542">
        <v>-108019</v>
      </c>
      <c r="BW315" s="542">
        <v>-30492</v>
      </c>
      <c r="BX315" s="542">
        <v>0</v>
      </c>
      <c r="BY315" s="542">
        <v>-30492</v>
      </c>
      <c r="BZ315" s="542">
        <v>-3227.06</v>
      </c>
      <c r="CA315" s="542">
        <v>0</v>
      </c>
      <c r="CB315" s="542">
        <v>-3227.06</v>
      </c>
      <c r="CC315" s="542">
        <v>-82584</v>
      </c>
      <c r="CD315" s="542">
        <v>0</v>
      </c>
      <c r="CE315" s="542">
        <v>-82584</v>
      </c>
      <c r="CF315" s="542">
        <v>0</v>
      </c>
      <c r="CG315" s="542">
        <v>0</v>
      </c>
      <c r="CH315" s="542">
        <v>0</v>
      </c>
      <c r="CI315" s="542">
        <v>-2357</v>
      </c>
      <c r="CJ315" s="542">
        <v>0</v>
      </c>
      <c r="CK315" s="542">
        <v>-2357</v>
      </c>
      <c r="CL315" s="542">
        <v>0</v>
      </c>
      <c r="CM315" s="542">
        <v>0</v>
      </c>
      <c r="CN315" s="542">
        <v>0</v>
      </c>
      <c r="CO315" s="542">
        <v>-95799</v>
      </c>
      <c r="CP315" s="542">
        <v>0</v>
      </c>
      <c r="CQ315" s="542">
        <v>-95799</v>
      </c>
      <c r="CR315" s="542">
        <v>-10445</v>
      </c>
      <c r="CS315" s="542">
        <v>0</v>
      </c>
      <c r="CT315" s="542">
        <v>-10445</v>
      </c>
      <c r="CU315" s="542">
        <v>-36724</v>
      </c>
      <c r="CV315" s="542">
        <v>0</v>
      </c>
      <c r="CW315" s="542">
        <v>-36724</v>
      </c>
      <c r="CX315" s="542">
        <v>3327</v>
      </c>
      <c r="CY315" s="542">
        <v>0</v>
      </c>
      <c r="CZ315" s="542">
        <v>3327</v>
      </c>
      <c r="DA315" s="542">
        <v>0</v>
      </c>
      <c r="DB315" s="542">
        <v>0</v>
      </c>
      <c r="DC315" s="542">
        <v>0</v>
      </c>
      <c r="DD315" s="542">
        <v>0</v>
      </c>
      <c r="DE315" s="542">
        <v>0</v>
      </c>
      <c r="DF315" s="542">
        <v>0</v>
      </c>
      <c r="DG315" s="542"/>
      <c r="DH315" s="542">
        <v>0</v>
      </c>
      <c r="DI315" s="542"/>
      <c r="DJ315" s="542">
        <v>0</v>
      </c>
      <c r="DK315" s="542"/>
      <c r="DL315" s="542"/>
      <c r="DM315" s="542">
        <v>-258301</v>
      </c>
      <c r="DN315" s="542">
        <v>0</v>
      </c>
      <c r="DO315" s="542">
        <v>-258301</v>
      </c>
      <c r="DP315" s="542">
        <v>0</v>
      </c>
      <c r="DQ315" s="542">
        <v>0</v>
      </c>
      <c r="DR315" s="542">
        <v>0</v>
      </c>
      <c r="DS315" s="542">
        <v>0</v>
      </c>
      <c r="DT315" s="542">
        <v>0</v>
      </c>
      <c r="DU315" s="542">
        <v>0</v>
      </c>
      <c r="DV315" s="542">
        <v>0</v>
      </c>
      <c r="DW315" s="542">
        <v>0</v>
      </c>
      <c r="DX315" s="542">
        <v>0</v>
      </c>
      <c r="DY315" s="542">
        <v>-170482</v>
      </c>
      <c r="DZ315" s="542">
        <v>0</v>
      </c>
      <c r="EA315" s="542">
        <v>-170482</v>
      </c>
      <c r="EB315" s="542">
        <v>0</v>
      </c>
      <c r="EC315" s="542">
        <v>0</v>
      </c>
      <c r="ED315" s="542">
        <v>0</v>
      </c>
      <c r="EE315" s="542">
        <v>0</v>
      </c>
      <c r="EF315" s="542">
        <v>0</v>
      </c>
      <c r="EG315" s="542">
        <v>0</v>
      </c>
      <c r="EH315" s="542">
        <v>-170482</v>
      </c>
      <c r="EI315" s="542">
        <v>0</v>
      </c>
      <c r="EJ315" s="542">
        <v>-170482</v>
      </c>
      <c r="EK315" s="542">
        <v>-559</v>
      </c>
      <c r="EL315" s="542">
        <v>0</v>
      </c>
      <c r="EM315" s="542">
        <v>-559</v>
      </c>
      <c r="EN315" s="542">
        <v>0</v>
      </c>
      <c r="EO315" s="542">
        <v>0</v>
      </c>
      <c r="EP315" s="542">
        <v>0</v>
      </c>
      <c r="EQ315" s="542">
        <v>-559</v>
      </c>
      <c r="ER315" s="542">
        <v>0</v>
      </c>
      <c r="ES315" s="542">
        <v>-559</v>
      </c>
      <c r="ET315" s="542">
        <v>14645058</v>
      </c>
      <c r="EU315" s="542">
        <v>0</v>
      </c>
      <c r="EV315" s="542">
        <v>14645058</v>
      </c>
      <c r="EW315" s="542">
        <v>13936</v>
      </c>
      <c r="EX315" s="542">
        <v>0</v>
      </c>
      <c r="EY315" s="542">
        <v>13936</v>
      </c>
      <c r="EZ315" s="542">
        <v>-1951649</v>
      </c>
      <c r="FA315" s="542">
        <v>0</v>
      </c>
      <c r="FB315" s="542">
        <v>-1951649</v>
      </c>
      <c r="FC315" s="542">
        <v>-108019</v>
      </c>
      <c r="FD315" s="542">
        <v>0</v>
      </c>
      <c r="FE315" s="542">
        <v>-108019</v>
      </c>
      <c r="FF315" s="542">
        <v>-258301</v>
      </c>
      <c r="FG315" s="542">
        <v>0</v>
      </c>
      <c r="FH315" s="542">
        <v>-258301</v>
      </c>
      <c r="FI315" s="542">
        <v>-170482</v>
      </c>
      <c r="FJ315" s="542">
        <v>0</v>
      </c>
      <c r="FK315" s="542">
        <v>-170482</v>
      </c>
      <c r="FL315" s="542">
        <v>-559</v>
      </c>
      <c r="FM315" s="542">
        <v>0</v>
      </c>
      <c r="FN315" s="542">
        <v>-559</v>
      </c>
      <c r="FO315" s="542">
        <v>-2475074</v>
      </c>
      <c r="FP315" s="542">
        <v>0</v>
      </c>
      <c r="FQ315" s="542">
        <v>-2475074</v>
      </c>
      <c r="FR315" s="542">
        <v>12169984</v>
      </c>
      <c r="FS315" s="542">
        <v>0</v>
      </c>
      <c r="FT315" s="542">
        <v>12169984</v>
      </c>
    </row>
    <row r="316" spans="1:176" ht="12.75" x14ac:dyDescent="0.2">
      <c r="A316" s="93">
        <v>311</v>
      </c>
      <c r="B316" s="145" t="s">
        <v>500</v>
      </c>
      <c r="C316" s="604" t="s">
        <v>877</v>
      </c>
      <c r="D316" s="142" t="s">
        <v>872</v>
      </c>
      <c r="E316" s="149" t="s">
        <v>499</v>
      </c>
      <c r="F316" s="542">
        <v>-3403575</v>
      </c>
      <c r="G316" s="542">
        <v>0</v>
      </c>
      <c r="H316" s="542">
        <v>-3403575</v>
      </c>
      <c r="I316" s="542">
        <v>45040103</v>
      </c>
      <c r="J316" s="542">
        <v>0</v>
      </c>
      <c r="K316" s="542">
        <v>45040103</v>
      </c>
      <c r="L316" s="542">
        <v>201834</v>
      </c>
      <c r="M316" s="542">
        <v>0</v>
      </c>
      <c r="N316" s="542">
        <v>201834</v>
      </c>
      <c r="O316" s="542">
        <v>1962149</v>
      </c>
      <c r="P316" s="542">
        <v>0</v>
      </c>
      <c r="Q316" s="542">
        <v>1962149</v>
      </c>
      <c r="R316" s="542">
        <v>43800511</v>
      </c>
      <c r="S316" s="542">
        <v>0</v>
      </c>
      <c r="T316" s="542">
        <v>43800511</v>
      </c>
      <c r="U316" s="542">
        <v>-2142899</v>
      </c>
      <c r="V316" s="542">
        <v>0</v>
      </c>
      <c r="W316" s="542">
        <v>-2142899</v>
      </c>
      <c r="X316" s="542">
        <v>0</v>
      </c>
      <c r="Y316" s="542">
        <v>0</v>
      </c>
      <c r="Z316" s="542">
        <v>0</v>
      </c>
      <c r="AA316" s="542">
        <v>-219407</v>
      </c>
      <c r="AB316" s="542">
        <v>0</v>
      </c>
      <c r="AC316" s="542">
        <v>-219407</v>
      </c>
      <c r="AD316" s="542">
        <v>-132392</v>
      </c>
      <c r="AE316" s="542">
        <v>0</v>
      </c>
      <c r="AF316" s="542">
        <v>-132392</v>
      </c>
      <c r="AG316" s="542">
        <v>43667280</v>
      </c>
      <c r="AH316" s="542">
        <v>0</v>
      </c>
      <c r="AI316" s="542">
        <v>43667280</v>
      </c>
      <c r="AJ316" s="542">
        <v>-2018848</v>
      </c>
      <c r="AK316" s="542">
        <v>0</v>
      </c>
      <c r="AL316" s="542">
        <v>-2018848</v>
      </c>
      <c r="AM316" s="542">
        <v>-64371698</v>
      </c>
      <c r="AN316" s="542">
        <v>0</v>
      </c>
      <c r="AO316" s="542">
        <v>-64371698</v>
      </c>
      <c r="AP316" s="542">
        <v>1020639</v>
      </c>
      <c r="AQ316" s="542">
        <v>0</v>
      </c>
      <c r="AR316" s="542">
        <v>1020639</v>
      </c>
      <c r="AS316" s="542">
        <v>-22750</v>
      </c>
      <c r="AT316" s="542">
        <v>0</v>
      </c>
      <c r="AU316" s="542">
        <v>-22750</v>
      </c>
      <c r="AV316" s="542">
        <v>0</v>
      </c>
      <c r="AW316" s="542">
        <v>0</v>
      </c>
      <c r="AX316" s="542">
        <v>0</v>
      </c>
      <c r="AY316" s="542">
        <v>0</v>
      </c>
      <c r="AZ316" s="542">
        <v>0</v>
      </c>
      <c r="BA316" s="542">
        <v>0</v>
      </c>
      <c r="BB316" s="542">
        <v>0</v>
      </c>
      <c r="BC316" s="542">
        <v>0</v>
      </c>
      <c r="BD316" s="542">
        <v>0</v>
      </c>
      <c r="BE316" s="542">
        <v>-24087683</v>
      </c>
      <c r="BF316" s="542">
        <v>0</v>
      </c>
      <c r="BG316" s="542">
        <v>-24087683</v>
      </c>
      <c r="BH316" s="542">
        <v>-5296206</v>
      </c>
      <c r="BI316" s="542">
        <v>0</v>
      </c>
      <c r="BJ316" s="542">
        <v>-5296206</v>
      </c>
      <c r="BK316" s="542">
        <v>-198823</v>
      </c>
      <c r="BL316" s="542">
        <v>0</v>
      </c>
      <c r="BM316" s="542">
        <v>-198823</v>
      </c>
      <c r="BN316" s="542">
        <v>-109672119</v>
      </c>
      <c r="BO316" s="542">
        <v>0</v>
      </c>
      <c r="BP316" s="542">
        <v>-109672119</v>
      </c>
      <c r="BQ316" s="542">
        <v>6483777</v>
      </c>
      <c r="BR316" s="542">
        <v>0</v>
      </c>
      <c r="BS316" s="542">
        <v>6483777</v>
      </c>
      <c r="BT316" s="542">
        <v>-108683371</v>
      </c>
      <c r="BU316" s="542">
        <v>0</v>
      </c>
      <c r="BV316" s="542">
        <v>-108683371</v>
      </c>
      <c r="BW316" s="542">
        <v>-353682</v>
      </c>
      <c r="BX316" s="542">
        <v>0</v>
      </c>
      <c r="BY316" s="542">
        <v>-353682</v>
      </c>
      <c r="BZ316" s="542">
        <v>10027</v>
      </c>
      <c r="CA316" s="542">
        <v>0</v>
      </c>
      <c r="CB316" s="542">
        <v>10027</v>
      </c>
      <c r="CC316" s="542">
        <v>-36194</v>
      </c>
      <c r="CD316" s="542">
        <v>0</v>
      </c>
      <c r="CE316" s="542">
        <v>-36194</v>
      </c>
      <c r="CF316" s="542">
        <v>-13296</v>
      </c>
      <c r="CG316" s="542">
        <v>0</v>
      </c>
      <c r="CH316" s="542">
        <v>-13296</v>
      </c>
      <c r="CI316" s="542">
        <v>-5688</v>
      </c>
      <c r="CJ316" s="542">
        <v>0</v>
      </c>
      <c r="CK316" s="542">
        <v>-5688</v>
      </c>
      <c r="CL316" s="542">
        <v>0</v>
      </c>
      <c r="CM316" s="542">
        <v>0</v>
      </c>
      <c r="CN316" s="542">
        <v>0</v>
      </c>
      <c r="CO316" s="542">
        <v>0</v>
      </c>
      <c r="CP316" s="542">
        <v>0</v>
      </c>
      <c r="CQ316" s="542">
        <v>0</v>
      </c>
      <c r="CR316" s="542">
        <v>0</v>
      </c>
      <c r="CS316" s="542">
        <v>0</v>
      </c>
      <c r="CT316" s="542">
        <v>0</v>
      </c>
      <c r="CU316" s="542">
        <v>0</v>
      </c>
      <c r="CV316" s="542">
        <v>0</v>
      </c>
      <c r="CW316" s="542">
        <v>0</v>
      </c>
      <c r="CX316" s="542">
        <v>0</v>
      </c>
      <c r="CY316" s="542">
        <v>0</v>
      </c>
      <c r="CZ316" s="542">
        <v>0</v>
      </c>
      <c r="DA316" s="542">
        <v>0</v>
      </c>
      <c r="DB316" s="542">
        <v>0</v>
      </c>
      <c r="DC316" s="542">
        <v>0</v>
      </c>
      <c r="DD316" s="542">
        <v>0</v>
      </c>
      <c r="DE316" s="542">
        <v>0</v>
      </c>
      <c r="DF316" s="542">
        <v>0</v>
      </c>
      <c r="DG316" s="542"/>
      <c r="DH316" s="542">
        <v>0</v>
      </c>
      <c r="DI316" s="542"/>
      <c r="DJ316" s="542">
        <v>0</v>
      </c>
      <c r="DK316" s="542"/>
      <c r="DL316" s="542"/>
      <c r="DM316" s="542">
        <v>-398833</v>
      </c>
      <c r="DN316" s="542">
        <v>0</v>
      </c>
      <c r="DO316" s="542">
        <v>-398833</v>
      </c>
      <c r="DP316" s="542">
        <v>0</v>
      </c>
      <c r="DQ316" s="542">
        <v>0</v>
      </c>
      <c r="DR316" s="542">
        <v>0</v>
      </c>
      <c r="DS316" s="542">
        <v>0</v>
      </c>
      <c r="DT316" s="542">
        <v>0</v>
      </c>
      <c r="DU316" s="542">
        <v>0</v>
      </c>
      <c r="DV316" s="542">
        <v>-22323</v>
      </c>
      <c r="DW316" s="542">
        <v>0</v>
      </c>
      <c r="DX316" s="542">
        <v>-22323</v>
      </c>
      <c r="DY316" s="542">
        <v>-2285724</v>
      </c>
      <c r="DZ316" s="542">
        <v>0</v>
      </c>
      <c r="EA316" s="542">
        <v>-2285724</v>
      </c>
      <c r="EB316" s="542">
        <v>0</v>
      </c>
      <c r="EC316" s="542">
        <v>0</v>
      </c>
      <c r="ED316" s="542">
        <v>0</v>
      </c>
      <c r="EE316" s="542">
        <v>0</v>
      </c>
      <c r="EF316" s="542">
        <v>0</v>
      </c>
      <c r="EG316" s="542">
        <v>0</v>
      </c>
      <c r="EH316" s="542">
        <v>-2308047</v>
      </c>
      <c r="EI316" s="542">
        <v>0</v>
      </c>
      <c r="EJ316" s="542">
        <v>-2308047</v>
      </c>
      <c r="EK316" s="542">
        <v>-7449</v>
      </c>
      <c r="EL316" s="542">
        <v>0</v>
      </c>
      <c r="EM316" s="542">
        <v>-7449</v>
      </c>
      <c r="EN316" s="542">
        <v>-7171</v>
      </c>
      <c r="EO316" s="542">
        <v>0</v>
      </c>
      <c r="EP316" s="542">
        <v>-7171</v>
      </c>
      <c r="EQ316" s="542">
        <v>-14620</v>
      </c>
      <c r="ER316" s="542">
        <v>0</v>
      </c>
      <c r="ES316" s="542">
        <v>-14620</v>
      </c>
      <c r="ET316" s="542">
        <v>1820994092</v>
      </c>
      <c r="EU316" s="542">
        <v>0</v>
      </c>
      <c r="EV316" s="542">
        <v>1820994092</v>
      </c>
      <c r="EW316" s="542">
        <v>43800511</v>
      </c>
      <c r="EX316" s="542">
        <v>0</v>
      </c>
      <c r="EY316" s="542">
        <v>43800511</v>
      </c>
      <c r="EZ316" s="542">
        <v>-24087683</v>
      </c>
      <c r="FA316" s="542">
        <v>0</v>
      </c>
      <c r="FB316" s="542">
        <v>-24087683</v>
      </c>
      <c r="FC316" s="542">
        <v>-108683371</v>
      </c>
      <c r="FD316" s="542">
        <v>0</v>
      </c>
      <c r="FE316" s="542">
        <v>-108683371</v>
      </c>
      <c r="FF316" s="542">
        <v>-398833</v>
      </c>
      <c r="FG316" s="542">
        <v>0</v>
      </c>
      <c r="FH316" s="542">
        <v>-398833</v>
      </c>
      <c r="FI316" s="542">
        <v>-2308047</v>
      </c>
      <c r="FJ316" s="542">
        <v>0</v>
      </c>
      <c r="FK316" s="542">
        <v>-2308047</v>
      </c>
      <c r="FL316" s="542">
        <v>-14620</v>
      </c>
      <c r="FM316" s="542">
        <v>0</v>
      </c>
      <c r="FN316" s="542">
        <v>-14620</v>
      </c>
      <c r="FO316" s="542">
        <v>-91692043</v>
      </c>
      <c r="FP316" s="542">
        <v>0</v>
      </c>
      <c r="FQ316" s="542">
        <v>-91692043</v>
      </c>
      <c r="FR316" s="542">
        <v>1729302049</v>
      </c>
      <c r="FS316" s="542">
        <v>0</v>
      </c>
      <c r="FT316" s="542">
        <v>1729302049</v>
      </c>
    </row>
    <row r="317" spans="1:176" ht="12.75" x14ac:dyDescent="0.2">
      <c r="A317" s="93">
        <v>312</v>
      </c>
      <c r="B317" s="145" t="s">
        <v>502</v>
      </c>
      <c r="C317" s="604" t="s">
        <v>866</v>
      </c>
      <c r="D317" s="142" t="s">
        <v>875</v>
      </c>
      <c r="E317" s="149" t="s">
        <v>736</v>
      </c>
      <c r="F317" s="542">
        <v>-32627</v>
      </c>
      <c r="G317" s="542">
        <v>0</v>
      </c>
      <c r="H317" s="542">
        <v>-32627</v>
      </c>
      <c r="I317" s="542">
        <v>56676</v>
      </c>
      <c r="J317" s="542">
        <v>0</v>
      </c>
      <c r="K317" s="542">
        <v>56676</v>
      </c>
      <c r="L317" s="542">
        <v>13110</v>
      </c>
      <c r="M317" s="542">
        <v>0</v>
      </c>
      <c r="N317" s="542">
        <v>13110</v>
      </c>
      <c r="O317" s="542">
        <v>40820</v>
      </c>
      <c r="P317" s="542">
        <v>0</v>
      </c>
      <c r="Q317" s="542">
        <v>40820</v>
      </c>
      <c r="R317" s="542">
        <v>77979</v>
      </c>
      <c r="S317" s="542">
        <v>0</v>
      </c>
      <c r="T317" s="542">
        <v>77979</v>
      </c>
      <c r="U317" s="542">
        <v>-1559849</v>
      </c>
      <c r="V317" s="542">
        <v>0</v>
      </c>
      <c r="W317" s="542">
        <v>-1559849</v>
      </c>
      <c r="X317" s="542">
        <v>0</v>
      </c>
      <c r="Y317" s="542">
        <v>0</v>
      </c>
      <c r="Z317" s="542">
        <v>0</v>
      </c>
      <c r="AA317" s="542">
        <v>-30048</v>
      </c>
      <c r="AB317" s="542">
        <v>0</v>
      </c>
      <c r="AC317" s="542">
        <v>-30048</v>
      </c>
      <c r="AD317" s="542">
        <v>-14994</v>
      </c>
      <c r="AE317" s="542">
        <v>0</v>
      </c>
      <c r="AF317" s="542">
        <v>-14994</v>
      </c>
      <c r="AG317" s="542">
        <v>395921</v>
      </c>
      <c r="AH317" s="542">
        <v>0</v>
      </c>
      <c r="AI317" s="542">
        <v>395921</v>
      </c>
      <c r="AJ317" s="542">
        <v>3367</v>
      </c>
      <c r="AK317" s="542">
        <v>0</v>
      </c>
      <c r="AL317" s="542">
        <v>3367</v>
      </c>
      <c r="AM317" s="542">
        <v>-1174318</v>
      </c>
      <c r="AN317" s="542">
        <v>0</v>
      </c>
      <c r="AO317" s="542">
        <v>-1174318</v>
      </c>
      <c r="AP317" s="542">
        <v>-46883</v>
      </c>
      <c r="AQ317" s="542">
        <v>0</v>
      </c>
      <c r="AR317" s="542">
        <v>-46883</v>
      </c>
      <c r="AS317" s="542">
        <v>-71286</v>
      </c>
      <c r="AT317" s="542">
        <v>0</v>
      </c>
      <c r="AU317" s="542">
        <v>-71286</v>
      </c>
      <c r="AV317" s="542">
        <v>0</v>
      </c>
      <c r="AW317" s="542">
        <v>0</v>
      </c>
      <c r="AX317" s="542">
        <v>0</v>
      </c>
      <c r="AY317" s="542">
        <v>0</v>
      </c>
      <c r="AZ317" s="542">
        <v>0</v>
      </c>
      <c r="BA317" s="542">
        <v>0</v>
      </c>
      <c r="BB317" s="542">
        <v>0</v>
      </c>
      <c r="BC317" s="542">
        <v>0</v>
      </c>
      <c r="BD317" s="542">
        <v>0</v>
      </c>
      <c r="BE317" s="542">
        <v>-2483096</v>
      </c>
      <c r="BF317" s="542">
        <v>0</v>
      </c>
      <c r="BG317" s="542">
        <v>-2483096</v>
      </c>
      <c r="BH317" s="542">
        <v>0</v>
      </c>
      <c r="BI317" s="542">
        <v>0</v>
      </c>
      <c r="BJ317" s="542">
        <v>0</v>
      </c>
      <c r="BK317" s="542">
        <v>0</v>
      </c>
      <c r="BL317" s="542">
        <v>0</v>
      </c>
      <c r="BM317" s="542">
        <v>0</v>
      </c>
      <c r="BN317" s="542">
        <v>-599902</v>
      </c>
      <c r="BO317" s="542">
        <v>0</v>
      </c>
      <c r="BP317" s="542">
        <v>-599902</v>
      </c>
      <c r="BQ317" s="542">
        <v>-45638</v>
      </c>
      <c r="BR317" s="542">
        <v>0</v>
      </c>
      <c r="BS317" s="542">
        <v>-45638</v>
      </c>
      <c r="BT317" s="542">
        <v>-645540</v>
      </c>
      <c r="BU317" s="542">
        <v>0</v>
      </c>
      <c r="BV317" s="542">
        <v>-645540</v>
      </c>
      <c r="BW317" s="542">
        <v>-25546</v>
      </c>
      <c r="BX317" s="542">
        <v>0</v>
      </c>
      <c r="BY317" s="542">
        <v>-25546</v>
      </c>
      <c r="BZ317" s="542">
        <v>165</v>
      </c>
      <c r="CA317" s="542">
        <v>0</v>
      </c>
      <c r="CB317" s="542">
        <v>165</v>
      </c>
      <c r="CC317" s="542">
        <v>-95341</v>
      </c>
      <c r="CD317" s="542">
        <v>0</v>
      </c>
      <c r="CE317" s="542">
        <v>-95341</v>
      </c>
      <c r="CF317" s="542">
        <v>0</v>
      </c>
      <c r="CG317" s="542">
        <v>0</v>
      </c>
      <c r="CH317" s="542">
        <v>0</v>
      </c>
      <c r="CI317" s="542">
        <v>0</v>
      </c>
      <c r="CJ317" s="542">
        <v>0</v>
      </c>
      <c r="CK317" s="542">
        <v>0</v>
      </c>
      <c r="CL317" s="542">
        <v>0</v>
      </c>
      <c r="CM317" s="542">
        <v>0</v>
      </c>
      <c r="CN317" s="542">
        <v>0</v>
      </c>
      <c r="CO317" s="542">
        <v>0</v>
      </c>
      <c r="CP317" s="542">
        <v>0</v>
      </c>
      <c r="CQ317" s="542">
        <v>0</v>
      </c>
      <c r="CR317" s="542">
        <v>0</v>
      </c>
      <c r="CS317" s="542">
        <v>0</v>
      </c>
      <c r="CT317" s="542">
        <v>0</v>
      </c>
      <c r="CU317" s="542">
        <v>0</v>
      </c>
      <c r="CV317" s="542">
        <v>0</v>
      </c>
      <c r="CW317" s="542">
        <v>0</v>
      </c>
      <c r="CX317" s="542">
        <v>0</v>
      </c>
      <c r="CY317" s="542">
        <v>0</v>
      </c>
      <c r="CZ317" s="542">
        <v>0</v>
      </c>
      <c r="DA317" s="542">
        <v>0</v>
      </c>
      <c r="DB317" s="542">
        <v>0</v>
      </c>
      <c r="DC317" s="542">
        <v>0</v>
      </c>
      <c r="DD317" s="542">
        <v>0</v>
      </c>
      <c r="DE317" s="542">
        <v>0</v>
      </c>
      <c r="DF317" s="542">
        <v>0</v>
      </c>
      <c r="DG317" s="542"/>
      <c r="DH317" s="542">
        <v>0</v>
      </c>
      <c r="DI317" s="542"/>
      <c r="DJ317" s="542">
        <v>0</v>
      </c>
      <c r="DK317" s="542"/>
      <c r="DL317" s="542"/>
      <c r="DM317" s="542">
        <v>-120722</v>
      </c>
      <c r="DN317" s="542">
        <v>0</v>
      </c>
      <c r="DO317" s="542">
        <v>-120722</v>
      </c>
      <c r="DP317" s="542">
        <v>0</v>
      </c>
      <c r="DQ317" s="542">
        <v>0</v>
      </c>
      <c r="DR317" s="542">
        <v>0</v>
      </c>
      <c r="DS317" s="542">
        <v>0</v>
      </c>
      <c r="DT317" s="542">
        <v>0</v>
      </c>
      <c r="DU317" s="542">
        <v>0</v>
      </c>
      <c r="DV317" s="542">
        <v>-10644</v>
      </c>
      <c r="DW317" s="542">
        <v>0</v>
      </c>
      <c r="DX317" s="542">
        <v>-10644</v>
      </c>
      <c r="DY317" s="542">
        <v>-396247</v>
      </c>
      <c r="DZ317" s="542">
        <v>0</v>
      </c>
      <c r="EA317" s="542">
        <v>-396247</v>
      </c>
      <c r="EB317" s="542">
        <v>-1790</v>
      </c>
      <c r="EC317" s="542">
        <v>0</v>
      </c>
      <c r="ED317" s="542">
        <v>-1790</v>
      </c>
      <c r="EE317" s="542">
        <v>-3024</v>
      </c>
      <c r="EF317" s="542">
        <v>0</v>
      </c>
      <c r="EG317" s="542">
        <v>-3024</v>
      </c>
      <c r="EH317" s="542">
        <v>-411705</v>
      </c>
      <c r="EI317" s="542">
        <v>0</v>
      </c>
      <c r="EJ317" s="542">
        <v>-411705</v>
      </c>
      <c r="EK317" s="542">
        <v>-6009</v>
      </c>
      <c r="EL317" s="542">
        <v>0</v>
      </c>
      <c r="EM317" s="542">
        <v>-6009</v>
      </c>
      <c r="EN317" s="542">
        <v>-1102</v>
      </c>
      <c r="EO317" s="542">
        <v>0</v>
      </c>
      <c r="EP317" s="542">
        <v>-1102</v>
      </c>
      <c r="EQ317" s="542">
        <v>-7111</v>
      </c>
      <c r="ER317" s="542">
        <v>0</v>
      </c>
      <c r="ES317" s="542">
        <v>-7111</v>
      </c>
      <c r="ET317" s="542">
        <v>21049489</v>
      </c>
      <c r="EU317" s="542">
        <v>0</v>
      </c>
      <c r="EV317" s="542">
        <v>21049489</v>
      </c>
      <c r="EW317" s="542">
        <v>77979</v>
      </c>
      <c r="EX317" s="542">
        <v>0</v>
      </c>
      <c r="EY317" s="542">
        <v>77979</v>
      </c>
      <c r="EZ317" s="542">
        <v>-2483096</v>
      </c>
      <c r="FA317" s="542">
        <v>0</v>
      </c>
      <c r="FB317" s="542">
        <v>-2483096</v>
      </c>
      <c r="FC317" s="542">
        <v>-645540</v>
      </c>
      <c r="FD317" s="542">
        <v>0</v>
      </c>
      <c r="FE317" s="542">
        <v>-645540</v>
      </c>
      <c r="FF317" s="542">
        <v>-120722</v>
      </c>
      <c r="FG317" s="542">
        <v>0</v>
      </c>
      <c r="FH317" s="542">
        <v>-120722</v>
      </c>
      <c r="FI317" s="542">
        <v>-411705</v>
      </c>
      <c r="FJ317" s="542">
        <v>0</v>
      </c>
      <c r="FK317" s="542">
        <v>-411705</v>
      </c>
      <c r="FL317" s="542">
        <v>-7111</v>
      </c>
      <c r="FM317" s="542">
        <v>0</v>
      </c>
      <c r="FN317" s="542">
        <v>-7111</v>
      </c>
      <c r="FO317" s="542">
        <v>-3590195</v>
      </c>
      <c r="FP317" s="542">
        <v>0</v>
      </c>
      <c r="FQ317" s="542">
        <v>-3590195</v>
      </c>
      <c r="FR317" s="542">
        <v>17459294</v>
      </c>
      <c r="FS317" s="542">
        <v>0</v>
      </c>
      <c r="FT317" s="542">
        <v>17459294</v>
      </c>
    </row>
    <row r="318" spans="1:176" ht="12.75" x14ac:dyDescent="0.2">
      <c r="A318" s="93">
        <v>313</v>
      </c>
      <c r="B318" s="150" t="s">
        <v>504</v>
      </c>
      <c r="C318" s="605" t="s">
        <v>873</v>
      </c>
      <c r="D318" s="144" t="s">
        <v>868</v>
      </c>
      <c r="E318" s="151" t="s">
        <v>503</v>
      </c>
      <c r="F318" s="542">
        <v>-271840</v>
      </c>
      <c r="G318" s="542">
        <v>0</v>
      </c>
      <c r="H318" s="542">
        <v>-271840</v>
      </c>
      <c r="I318" s="542">
        <v>1037534</v>
      </c>
      <c r="J318" s="542">
        <v>0</v>
      </c>
      <c r="K318" s="542">
        <v>1037534</v>
      </c>
      <c r="L318" s="542">
        <v>97808</v>
      </c>
      <c r="M318" s="542">
        <v>0</v>
      </c>
      <c r="N318" s="542">
        <v>97808</v>
      </c>
      <c r="O318" s="542">
        <v>1118747</v>
      </c>
      <c r="P318" s="542">
        <v>0</v>
      </c>
      <c r="Q318" s="542">
        <v>1118747</v>
      </c>
      <c r="R318" s="542">
        <v>1982249</v>
      </c>
      <c r="S318" s="542">
        <v>0</v>
      </c>
      <c r="T318" s="542">
        <v>1982249</v>
      </c>
      <c r="U318" s="542">
        <v>-6772779</v>
      </c>
      <c r="V318" s="542">
        <v>0</v>
      </c>
      <c r="W318" s="542">
        <v>-6772779</v>
      </c>
      <c r="X318" s="542">
        <v>-15182</v>
      </c>
      <c r="Y318" s="542">
        <v>0</v>
      </c>
      <c r="Z318" s="542">
        <v>-15182</v>
      </c>
      <c r="AA318" s="542">
        <v>-177764</v>
      </c>
      <c r="AB318" s="542">
        <v>0</v>
      </c>
      <c r="AC318" s="542">
        <v>-177764</v>
      </c>
      <c r="AD318" s="542">
        <v>-177764</v>
      </c>
      <c r="AE318" s="542">
        <v>0</v>
      </c>
      <c r="AF318" s="542">
        <v>-177764</v>
      </c>
      <c r="AG318" s="542">
        <v>1889996</v>
      </c>
      <c r="AH318" s="542">
        <v>0</v>
      </c>
      <c r="AI318" s="542">
        <v>1889996</v>
      </c>
      <c r="AJ318" s="542">
        <v>312079</v>
      </c>
      <c r="AK318" s="542">
        <v>0</v>
      </c>
      <c r="AL318" s="542">
        <v>312079</v>
      </c>
      <c r="AM318" s="542">
        <v>-5063348</v>
      </c>
      <c r="AN318" s="542">
        <v>0</v>
      </c>
      <c r="AO318" s="542">
        <v>-5063348</v>
      </c>
      <c r="AP318" s="542">
        <v>91025</v>
      </c>
      <c r="AQ318" s="542">
        <v>0</v>
      </c>
      <c r="AR318" s="542">
        <v>91025</v>
      </c>
      <c r="AS318" s="542">
        <v>-156399</v>
      </c>
      <c r="AT318" s="542">
        <v>0</v>
      </c>
      <c r="AU318" s="542">
        <v>-156399</v>
      </c>
      <c r="AV318" s="542">
        <v>0</v>
      </c>
      <c r="AW318" s="542">
        <v>0</v>
      </c>
      <c r="AX318" s="542">
        <v>0</v>
      </c>
      <c r="AY318" s="542">
        <v>0</v>
      </c>
      <c r="AZ318" s="542">
        <v>0</v>
      </c>
      <c r="BA318" s="542">
        <v>0</v>
      </c>
      <c r="BB318" s="542">
        <v>0</v>
      </c>
      <c r="BC318" s="542">
        <v>0</v>
      </c>
      <c r="BD318" s="542">
        <v>0</v>
      </c>
      <c r="BE318" s="542">
        <v>-9877190</v>
      </c>
      <c r="BF318" s="542">
        <v>0</v>
      </c>
      <c r="BG318" s="542">
        <v>-9877190</v>
      </c>
      <c r="BH318" s="542">
        <v>0</v>
      </c>
      <c r="BI318" s="542">
        <v>0</v>
      </c>
      <c r="BJ318" s="542">
        <v>0</v>
      </c>
      <c r="BK318" s="542">
        <v>54248</v>
      </c>
      <c r="BL318" s="542">
        <v>0</v>
      </c>
      <c r="BM318" s="542">
        <v>54248</v>
      </c>
      <c r="BN318" s="542">
        <v>-4287668</v>
      </c>
      <c r="BO318" s="542">
        <v>0</v>
      </c>
      <c r="BP318" s="542">
        <v>-4287668</v>
      </c>
      <c r="BQ318" s="542">
        <v>682396</v>
      </c>
      <c r="BR318" s="542">
        <v>0</v>
      </c>
      <c r="BS318" s="542">
        <v>682396</v>
      </c>
      <c r="BT318" s="542">
        <v>-3551024</v>
      </c>
      <c r="BU318" s="542">
        <v>0</v>
      </c>
      <c r="BV318" s="542">
        <v>-3551024</v>
      </c>
      <c r="BW318" s="542">
        <v>-772519</v>
      </c>
      <c r="BX318" s="542">
        <v>0</v>
      </c>
      <c r="BY318" s="542">
        <v>-772519</v>
      </c>
      <c r="BZ318" s="542">
        <v>27507</v>
      </c>
      <c r="CA318" s="542">
        <v>0</v>
      </c>
      <c r="CB318" s="542">
        <v>27507</v>
      </c>
      <c r="CC318" s="542">
        <v>-439388</v>
      </c>
      <c r="CD318" s="542">
        <v>0</v>
      </c>
      <c r="CE318" s="542">
        <v>-439388</v>
      </c>
      <c r="CF318" s="542">
        <v>31522</v>
      </c>
      <c r="CG318" s="542">
        <v>0</v>
      </c>
      <c r="CH318" s="542">
        <v>31522</v>
      </c>
      <c r="CI318" s="542">
        <v>-27484</v>
      </c>
      <c r="CJ318" s="542">
        <v>0</v>
      </c>
      <c r="CK318" s="542">
        <v>-27484</v>
      </c>
      <c r="CL318" s="542">
        <v>0</v>
      </c>
      <c r="CM318" s="542">
        <v>0</v>
      </c>
      <c r="CN318" s="542">
        <v>0</v>
      </c>
      <c r="CO318" s="542">
        <v>0</v>
      </c>
      <c r="CP318" s="542">
        <v>0</v>
      </c>
      <c r="CQ318" s="542">
        <v>0</v>
      </c>
      <c r="CR318" s="542">
        <v>0</v>
      </c>
      <c r="CS318" s="542">
        <v>0</v>
      </c>
      <c r="CT318" s="542">
        <v>0</v>
      </c>
      <c r="CU318" s="542">
        <v>0</v>
      </c>
      <c r="CV318" s="542">
        <v>0</v>
      </c>
      <c r="CW318" s="542">
        <v>0</v>
      </c>
      <c r="CX318" s="542">
        <v>0</v>
      </c>
      <c r="CY318" s="542">
        <v>0</v>
      </c>
      <c r="CZ318" s="542">
        <v>0</v>
      </c>
      <c r="DA318" s="542">
        <v>0</v>
      </c>
      <c r="DB318" s="542">
        <v>0</v>
      </c>
      <c r="DC318" s="542">
        <v>0</v>
      </c>
      <c r="DD318" s="542">
        <v>0</v>
      </c>
      <c r="DE318" s="542">
        <v>0</v>
      </c>
      <c r="DF318" s="542">
        <v>0</v>
      </c>
      <c r="DG318" s="542"/>
      <c r="DH318" s="542">
        <v>0</v>
      </c>
      <c r="DI318" s="542"/>
      <c r="DJ318" s="542">
        <v>0</v>
      </c>
      <c r="DK318" s="542"/>
      <c r="DL318" s="542"/>
      <c r="DM318" s="542">
        <v>-1180362</v>
      </c>
      <c r="DN318" s="542">
        <v>0</v>
      </c>
      <c r="DO318" s="542">
        <v>-1180362</v>
      </c>
      <c r="DP318" s="542">
        <v>0</v>
      </c>
      <c r="DQ318" s="542">
        <v>0</v>
      </c>
      <c r="DR318" s="542">
        <v>0</v>
      </c>
      <c r="DS318" s="542">
        <v>0</v>
      </c>
      <c r="DT318" s="542">
        <v>0</v>
      </c>
      <c r="DU318" s="542">
        <v>0</v>
      </c>
      <c r="DV318" s="542">
        <v>-10747</v>
      </c>
      <c r="DW318" s="542">
        <v>0</v>
      </c>
      <c r="DX318" s="542">
        <v>-10747</v>
      </c>
      <c r="DY318" s="542">
        <v>-1183146</v>
      </c>
      <c r="DZ318" s="542">
        <v>0</v>
      </c>
      <c r="EA318" s="542">
        <v>-1183146</v>
      </c>
      <c r="EB318" s="542">
        <v>0</v>
      </c>
      <c r="EC318" s="542">
        <v>0</v>
      </c>
      <c r="ED318" s="542">
        <v>0</v>
      </c>
      <c r="EE318" s="542">
        <v>0</v>
      </c>
      <c r="EF318" s="542">
        <v>0</v>
      </c>
      <c r="EG318" s="542">
        <v>0</v>
      </c>
      <c r="EH318" s="542">
        <v>-1193893</v>
      </c>
      <c r="EI318" s="542">
        <v>0</v>
      </c>
      <c r="EJ318" s="542">
        <v>-1193893</v>
      </c>
      <c r="EK318" s="542">
        <v>0</v>
      </c>
      <c r="EL318" s="542">
        <v>0</v>
      </c>
      <c r="EM318" s="542">
        <v>0</v>
      </c>
      <c r="EN318" s="542">
        <v>0</v>
      </c>
      <c r="EO318" s="542">
        <v>0</v>
      </c>
      <c r="EP318" s="542">
        <v>0</v>
      </c>
      <c r="EQ318" s="542">
        <v>0</v>
      </c>
      <c r="ER318" s="542">
        <v>0</v>
      </c>
      <c r="ES318" s="542">
        <v>0</v>
      </c>
      <c r="ET318" s="542">
        <v>92403579</v>
      </c>
      <c r="EU318" s="542">
        <v>0</v>
      </c>
      <c r="EV318" s="542">
        <v>92403579</v>
      </c>
      <c r="EW318" s="542">
        <v>1982249</v>
      </c>
      <c r="EX318" s="542">
        <v>0</v>
      </c>
      <c r="EY318" s="542">
        <v>1982249</v>
      </c>
      <c r="EZ318" s="542">
        <v>-9877190</v>
      </c>
      <c r="FA318" s="542">
        <v>0</v>
      </c>
      <c r="FB318" s="542">
        <v>-9877190</v>
      </c>
      <c r="FC318" s="542">
        <v>-3551024</v>
      </c>
      <c r="FD318" s="542">
        <v>0</v>
      </c>
      <c r="FE318" s="542">
        <v>-3551024</v>
      </c>
      <c r="FF318" s="542">
        <v>-1180362</v>
      </c>
      <c r="FG318" s="542">
        <v>0</v>
      </c>
      <c r="FH318" s="542">
        <v>-1180362</v>
      </c>
      <c r="FI318" s="542">
        <v>-1193893</v>
      </c>
      <c r="FJ318" s="542">
        <v>0</v>
      </c>
      <c r="FK318" s="542">
        <v>-1193893</v>
      </c>
      <c r="FL318" s="542">
        <v>0</v>
      </c>
      <c r="FM318" s="542">
        <v>0</v>
      </c>
      <c r="FN318" s="542">
        <v>0</v>
      </c>
      <c r="FO318" s="542">
        <v>-13820220</v>
      </c>
      <c r="FP318" s="542">
        <v>0</v>
      </c>
      <c r="FQ318" s="542">
        <v>-13820220</v>
      </c>
      <c r="FR318" s="542">
        <v>78583359</v>
      </c>
      <c r="FS318" s="542">
        <v>0</v>
      </c>
      <c r="FT318" s="542">
        <v>78583359</v>
      </c>
    </row>
    <row r="319" spans="1:176" ht="12.75" x14ac:dyDescent="0.2">
      <c r="A319" s="93">
        <v>314</v>
      </c>
      <c r="B319" s="145" t="s">
        <v>506</v>
      </c>
      <c r="C319" s="604" t="s">
        <v>770</v>
      </c>
      <c r="D319" s="142" t="s">
        <v>875</v>
      </c>
      <c r="E319" s="149" t="s">
        <v>505</v>
      </c>
      <c r="F319" s="542">
        <v>-194817</v>
      </c>
      <c r="G319" s="542">
        <v>0</v>
      </c>
      <c r="H319" s="542">
        <v>-194817</v>
      </c>
      <c r="I319" s="542">
        <v>-520722</v>
      </c>
      <c r="J319" s="542">
        <v>0</v>
      </c>
      <c r="K319" s="542">
        <v>-520722</v>
      </c>
      <c r="L319" s="542">
        <v>11266</v>
      </c>
      <c r="M319" s="542">
        <v>0</v>
      </c>
      <c r="N319" s="542">
        <v>11266</v>
      </c>
      <c r="O319" s="542">
        <v>342630</v>
      </c>
      <c r="P319" s="542">
        <v>0</v>
      </c>
      <c r="Q319" s="542">
        <v>342630</v>
      </c>
      <c r="R319" s="542">
        <v>-361643</v>
      </c>
      <c r="S319" s="542">
        <v>0</v>
      </c>
      <c r="T319" s="542">
        <v>-361643</v>
      </c>
      <c r="U319" s="542">
        <v>-9524616</v>
      </c>
      <c r="V319" s="542">
        <v>0</v>
      </c>
      <c r="W319" s="542">
        <v>-9524616</v>
      </c>
      <c r="X319" s="542">
        <v>-21349</v>
      </c>
      <c r="Y319" s="542">
        <v>0</v>
      </c>
      <c r="Z319" s="542">
        <v>-21349</v>
      </c>
      <c r="AA319" s="542">
        <v>-829334</v>
      </c>
      <c r="AB319" s="542">
        <v>0</v>
      </c>
      <c r="AC319" s="542">
        <v>-829334</v>
      </c>
      <c r="AD319" s="542">
        <v>-298666</v>
      </c>
      <c r="AE319" s="542">
        <v>0</v>
      </c>
      <c r="AF319" s="542">
        <v>-298666</v>
      </c>
      <c r="AG319" s="542">
        <v>3288852</v>
      </c>
      <c r="AH319" s="542">
        <v>0</v>
      </c>
      <c r="AI319" s="542">
        <v>3288852</v>
      </c>
      <c r="AJ319" s="542">
        <v>22276</v>
      </c>
      <c r="AK319" s="542">
        <v>0</v>
      </c>
      <c r="AL319" s="542">
        <v>22276</v>
      </c>
      <c r="AM319" s="542">
        <v>-10009813</v>
      </c>
      <c r="AN319" s="542">
        <v>0</v>
      </c>
      <c r="AO319" s="542">
        <v>-10009813</v>
      </c>
      <c r="AP319" s="542">
        <v>52575</v>
      </c>
      <c r="AQ319" s="542">
        <v>0</v>
      </c>
      <c r="AR319" s="542">
        <v>52575</v>
      </c>
      <c r="AS319" s="542">
        <v>-181646</v>
      </c>
      <c r="AT319" s="542">
        <v>0</v>
      </c>
      <c r="AU319" s="542">
        <v>-181646</v>
      </c>
      <c r="AV319" s="542">
        <v>-3283</v>
      </c>
      <c r="AW319" s="542">
        <v>0</v>
      </c>
      <c r="AX319" s="542">
        <v>-3283</v>
      </c>
      <c r="AY319" s="542">
        <v>-240817</v>
      </c>
      <c r="AZ319" s="542">
        <v>0</v>
      </c>
      <c r="BA319" s="542">
        <v>-240817</v>
      </c>
      <c r="BB319" s="542">
        <v>-6576</v>
      </c>
      <c r="BC319" s="542">
        <v>0</v>
      </c>
      <c r="BD319" s="542">
        <v>-6576</v>
      </c>
      <c r="BE319" s="542">
        <v>-17432382</v>
      </c>
      <c r="BF319" s="542">
        <v>0</v>
      </c>
      <c r="BG319" s="542">
        <v>-17432382</v>
      </c>
      <c r="BH319" s="542">
        <v>-286320</v>
      </c>
      <c r="BI319" s="542">
        <v>0</v>
      </c>
      <c r="BJ319" s="542">
        <v>-286320</v>
      </c>
      <c r="BK319" s="542">
        <v>-467590</v>
      </c>
      <c r="BL319" s="542">
        <v>0</v>
      </c>
      <c r="BM319" s="542">
        <v>-467590</v>
      </c>
      <c r="BN319" s="542">
        <v>-4887673</v>
      </c>
      <c r="BO319" s="542">
        <v>0</v>
      </c>
      <c r="BP319" s="542">
        <v>-4887673</v>
      </c>
      <c r="BQ319" s="542">
        <v>-284387</v>
      </c>
      <c r="BR319" s="542">
        <v>0</v>
      </c>
      <c r="BS319" s="542">
        <v>-284387</v>
      </c>
      <c r="BT319" s="542">
        <v>-5925970</v>
      </c>
      <c r="BU319" s="542">
        <v>0</v>
      </c>
      <c r="BV319" s="542">
        <v>-5925970</v>
      </c>
      <c r="BW319" s="542">
        <v>-331130</v>
      </c>
      <c r="BX319" s="542">
        <v>0</v>
      </c>
      <c r="BY319" s="542">
        <v>-331130</v>
      </c>
      <c r="BZ319" s="542">
        <v>-12993</v>
      </c>
      <c r="CA319" s="542">
        <v>0</v>
      </c>
      <c r="CB319" s="542">
        <v>-12993</v>
      </c>
      <c r="CC319" s="542">
        <v>-61498</v>
      </c>
      <c r="CD319" s="542">
        <v>0</v>
      </c>
      <c r="CE319" s="542">
        <v>-61498</v>
      </c>
      <c r="CF319" s="542">
        <v>-24725</v>
      </c>
      <c r="CG319" s="542">
        <v>0</v>
      </c>
      <c r="CH319" s="542">
        <v>-24725</v>
      </c>
      <c r="CI319" s="542">
        <v>-638</v>
      </c>
      <c r="CJ319" s="542">
        <v>0</v>
      </c>
      <c r="CK319" s="542">
        <v>-638</v>
      </c>
      <c r="CL319" s="542">
        <v>0</v>
      </c>
      <c r="CM319" s="542">
        <v>0</v>
      </c>
      <c r="CN319" s="542">
        <v>0</v>
      </c>
      <c r="CO319" s="542">
        <v>-249902</v>
      </c>
      <c r="CP319" s="542">
        <v>0</v>
      </c>
      <c r="CQ319" s="542">
        <v>-249902</v>
      </c>
      <c r="CR319" s="542">
        <v>-17023</v>
      </c>
      <c r="CS319" s="542">
        <v>0</v>
      </c>
      <c r="CT319" s="542">
        <v>-17023</v>
      </c>
      <c r="CU319" s="542">
        <v>0</v>
      </c>
      <c r="CV319" s="542">
        <v>0</v>
      </c>
      <c r="CW319" s="542">
        <v>0</v>
      </c>
      <c r="CX319" s="542">
        <v>0</v>
      </c>
      <c r="CY319" s="542">
        <v>0</v>
      </c>
      <c r="CZ319" s="542">
        <v>0</v>
      </c>
      <c r="DA319" s="542">
        <v>0</v>
      </c>
      <c r="DB319" s="542">
        <v>0</v>
      </c>
      <c r="DC319" s="542">
        <v>0</v>
      </c>
      <c r="DD319" s="542">
        <v>0</v>
      </c>
      <c r="DE319" s="542">
        <v>0</v>
      </c>
      <c r="DF319" s="542">
        <v>0</v>
      </c>
      <c r="DG319" s="542"/>
      <c r="DH319" s="542">
        <v>0</v>
      </c>
      <c r="DI319" s="542"/>
      <c r="DJ319" s="542">
        <v>0</v>
      </c>
      <c r="DK319" s="542"/>
      <c r="DL319" s="542"/>
      <c r="DM319" s="542">
        <v>-697909</v>
      </c>
      <c r="DN319" s="542">
        <v>0</v>
      </c>
      <c r="DO319" s="542">
        <v>-697909</v>
      </c>
      <c r="DP319" s="542">
        <v>-183876</v>
      </c>
      <c r="DQ319" s="542">
        <v>0</v>
      </c>
      <c r="DR319" s="542">
        <v>-183876</v>
      </c>
      <c r="DS319" s="542">
        <v>0</v>
      </c>
      <c r="DT319" s="542">
        <v>0</v>
      </c>
      <c r="DU319" s="542">
        <v>0</v>
      </c>
      <c r="DV319" s="542">
        <v>-16431</v>
      </c>
      <c r="DW319" s="542">
        <v>0</v>
      </c>
      <c r="DX319" s="542">
        <v>-16431</v>
      </c>
      <c r="DY319" s="542">
        <v>-1671391</v>
      </c>
      <c r="DZ319" s="542">
        <v>0</v>
      </c>
      <c r="EA319" s="542">
        <v>-1671391</v>
      </c>
      <c r="EB319" s="542">
        <v>-1588</v>
      </c>
      <c r="EC319" s="542">
        <v>0</v>
      </c>
      <c r="ED319" s="542">
        <v>-1588</v>
      </c>
      <c r="EE319" s="542">
        <v>-11429</v>
      </c>
      <c r="EF319" s="542">
        <v>0</v>
      </c>
      <c r="EG319" s="542">
        <v>-11429</v>
      </c>
      <c r="EH319" s="542">
        <v>-1884715</v>
      </c>
      <c r="EI319" s="542">
        <v>0</v>
      </c>
      <c r="EJ319" s="542">
        <v>-1884715</v>
      </c>
      <c r="EK319" s="542">
        <v>-40698</v>
      </c>
      <c r="EL319" s="542">
        <v>0</v>
      </c>
      <c r="EM319" s="542">
        <v>-40698</v>
      </c>
      <c r="EN319" s="542">
        <v>-14597</v>
      </c>
      <c r="EO319" s="542">
        <v>0</v>
      </c>
      <c r="EP319" s="542">
        <v>-14597</v>
      </c>
      <c r="EQ319" s="542">
        <v>-55295</v>
      </c>
      <c r="ER319" s="542">
        <v>0</v>
      </c>
      <c r="ES319" s="542">
        <v>-55295</v>
      </c>
      <c r="ET319" s="542">
        <v>164611489</v>
      </c>
      <c r="EU319" s="542">
        <v>0</v>
      </c>
      <c r="EV319" s="542">
        <v>164611489</v>
      </c>
      <c r="EW319" s="542">
        <v>-361643</v>
      </c>
      <c r="EX319" s="542">
        <v>0</v>
      </c>
      <c r="EY319" s="542">
        <v>-361643</v>
      </c>
      <c r="EZ319" s="542">
        <v>-17432382</v>
      </c>
      <c r="FA319" s="542">
        <v>0</v>
      </c>
      <c r="FB319" s="542">
        <v>-17432382</v>
      </c>
      <c r="FC319" s="542">
        <v>-5925970</v>
      </c>
      <c r="FD319" s="542">
        <v>0</v>
      </c>
      <c r="FE319" s="542">
        <v>-5925970</v>
      </c>
      <c r="FF319" s="542">
        <v>-697909</v>
      </c>
      <c r="FG319" s="542">
        <v>0</v>
      </c>
      <c r="FH319" s="542">
        <v>-697909</v>
      </c>
      <c r="FI319" s="542">
        <v>-1884715</v>
      </c>
      <c r="FJ319" s="542">
        <v>0</v>
      </c>
      <c r="FK319" s="542">
        <v>-1884715</v>
      </c>
      <c r="FL319" s="542">
        <v>-55295</v>
      </c>
      <c r="FM319" s="542">
        <v>0</v>
      </c>
      <c r="FN319" s="542">
        <v>-55295</v>
      </c>
      <c r="FO319" s="542">
        <v>-26357914</v>
      </c>
      <c r="FP319" s="542">
        <v>0</v>
      </c>
      <c r="FQ319" s="542">
        <v>-26357914</v>
      </c>
      <c r="FR319" s="542">
        <v>138253575</v>
      </c>
      <c r="FS319" s="542">
        <v>0</v>
      </c>
      <c r="FT319" s="542">
        <v>138253575</v>
      </c>
    </row>
    <row r="320" spans="1:176" ht="12.75" x14ac:dyDescent="0.2">
      <c r="A320" s="93">
        <v>315</v>
      </c>
      <c r="B320" s="145" t="s">
        <v>508</v>
      </c>
      <c r="C320" s="604" t="s">
        <v>866</v>
      </c>
      <c r="D320" s="142" t="s">
        <v>867</v>
      </c>
      <c r="E320" s="149" t="s">
        <v>507</v>
      </c>
      <c r="F320" s="542">
        <v>-49324</v>
      </c>
      <c r="G320" s="542">
        <v>0</v>
      </c>
      <c r="H320" s="542">
        <v>-49324</v>
      </c>
      <c r="I320" s="542">
        <v>206560</v>
      </c>
      <c r="J320" s="542">
        <v>0</v>
      </c>
      <c r="K320" s="542">
        <v>206560</v>
      </c>
      <c r="L320" s="542">
        <v>4353</v>
      </c>
      <c r="M320" s="542">
        <v>0</v>
      </c>
      <c r="N320" s="542">
        <v>4353</v>
      </c>
      <c r="O320" s="542">
        <v>38623</v>
      </c>
      <c r="P320" s="542">
        <v>0</v>
      </c>
      <c r="Q320" s="542">
        <v>38623</v>
      </c>
      <c r="R320" s="542">
        <v>200212</v>
      </c>
      <c r="S320" s="542">
        <v>0</v>
      </c>
      <c r="T320" s="542">
        <v>200212</v>
      </c>
      <c r="U320" s="542">
        <v>-2445067</v>
      </c>
      <c r="V320" s="542">
        <v>0</v>
      </c>
      <c r="W320" s="542">
        <v>-2445067</v>
      </c>
      <c r="X320" s="542">
        <v>0</v>
      </c>
      <c r="Y320" s="542">
        <v>0</v>
      </c>
      <c r="Z320" s="542">
        <v>0</v>
      </c>
      <c r="AA320" s="542">
        <v>-318352</v>
      </c>
      <c r="AB320" s="542">
        <v>0</v>
      </c>
      <c r="AC320" s="542">
        <v>-318352</v>
      </c>
      <c r="AD320" s="542">
        <v>-122636</v>
      </c>
      <c r="AE320" s="542">
        <v>0</v>
      </c>
      <c r="AF320" s="542">
        <v>-122636</v>
      </c>
      <c r="AG320" s="542">
        <v>1285628</v>
      </c>
      <c r="AH320" s="542">
        <v>0</v>
      </c>
      <c r="AI320" s="542">
        <v>1285628</v>
      </c>
      <c r="AJ320" s="542">
        <v>132307</v>
      </c>
      <c r="AK320" s="542">
        <v>0</v>
      </c>
      <c r="AL320" s="542">
        <v>132307</v>
      </c>
      <c r="AM320" s="542">
        <v>-3296239</v>
      </c>
      <c r="AN320" s="542">
        <v>0</v>
      </c>
      <c r="AO320" s="542">
        <v>-3296239</v>
      </c>
      <c r="AP320" s="542">
        <v>-79759</v>
      </c>
      <c r="AQ320" s="542">
        <v>0</v>
      </c>
      <c r="AR320" s="542">
        <v>-79759</v>
      </c>
      <c r="AS320" s="542">
        <v>-44010</v>
      </c>
      <c r="AT320" s="542">
        <v>0</v>
      </c>
      <c r="AU320" s="542">
        <v>-44010</v>
      </c>
      <c r="AV320" s="542">
        <v>0</v>
      </c>
      <c r="AW320" s="542">
        <v>0</v>
      </c>
      <c r="AX320" s="542">
        <v>0</v>
      </c>
      <c r="AY320" s="542">
        <v>-14896</v>
      </c>
      <c r="AZ320" s="542">
        <v>0</v>
      </c>
      <c r="BA320" s="542">
        <v>-14896</v>
      </c>
      <c r="BB320" s="542">
        <v>-359</v>
      </c>
      <c r="BC320" s="542">
        <v>0</v>
      </c>
      <c r="BD320" s="542">
        <v>-359</v>
      </c>
      <c r="BE320" s="542">
        <v>-4780747</v>
      </c>
      <c r="BF320" s="542">
        <v>0</v>
      </c>
      <c r="BG320" s="542">
        <v>-4780747</v>
      </c>
      <c r="BH320" s="542">
        <v>-15051</v>
      </c>
      <c r="BI320" s="542">
        <v>0</v>
      </c>
      <c r="BJ320" s="542">
        <v>-15051</v>
      </c>
      <c r="BK320" s="542">
        <v>-24518</v>
      </c>
      <c r="BL320" s="542">
        <v>0</v>
      </c>
      <c r="BM320" s="542">
        <v>-24518</v>
      </c>
      <c r="BN320" s="542">
        <v>-1514962</v>
      </c>
      <c r="BO320" s="542">
        <v>0</v>
      </c>
      <c r="BP320" s="542">
        <v>-1514962</v>
      </c>
      <c r="BQ320" s="542">
        <v>-288929</v>
      </c>
      <c r="BR320" s="542">
        <v>0</v>
      </c>
      <c r="BS320" s="542">
        <v>-288929</v>
      </c>
      <c r="BT320" s="542">
        <v>-1843460</v>
      </c>
      <c r="BU320" s="542">
        <v>0</v>
      </c>
      <c r="BV320" s="542">
        <v>-1843460</v>
      </c>
      <c r="BW320" s="542">
        <v>-72743</v>
      </c>
      <c r="BX320" s="542">
        <v>0</v>
      </c>
      <c r="BY320" s="542">
        <v>-72743</v>
      </c>
      <c r="BZ320" s="542">
        <v>-330</v>
      </c>
      <c r="CA320" s="542">
        <v>0</v>
      </c>
      <c r="CB320" s="542">
        <v>-330</v>
      </c>
      <c r="CC320" s="542">
        <v>-182377</v>
      </c>
      <c r="CD320" s="542">
        <v>0</v>
      </c>
      <c r="CE320" s="542">
        <v>-182377</v>
      </c>
      <c r="CF320" s="542">
        <v>330</v>
      </c>
      <c r="CG320" s="542">
        <v>0</v>
      </c>
      <c r="CH320" s="542">
        <v>330</v>
      </c>
      <c r="CI320" s="542">
        <v>-3996</v>
      </c>
      <c r="CJ320" s="542">
        <v>0</v>
      </c>
      <c r="CK320" s="542">
        <v>-3996</v>
      </c>
      <c r="CL320" s="542">
        <v>0</v>
      </c>
      <c r="CM320" s="542">
        <v>0</v>
      </c>
      <c r="CN320" s="542">
        <v>0</v>
      </c>
      <c r="CO320" s="542">
        <v>-8828</v>
      </c>
      <c r="CP320" s="542">
        <v>0</v>
      </c>
      <c r="CQ320" s="542">
        <v>-8828</v>
      </c>
      <c r="CR320" s="542">
        <v>-359</v>
      </c>
      <c r="CS320" s="542">
        <v>0</v>
      </c>
      <c r="CT320" s="542">
        <v>-359</v>
      </c>
      <c r="CU320" s="542">
        <v>-8557</v>
      </c>
      <c r="CV320" s="542">
        <v>0</v>
      </c>
      <c r="CW320" s="542">
        <v>-8557</v>
      </c>
      <c r="CX320" s="542">
        <v>601.23</v>
      </c>
      <c r="CY320" s="542">
        <v>0</v>
      </c>
      <c r="CZ320" s="542">
        <v>601.23</v>
      </c>
      <c r="DA320" s="542">
        <v>-4529</v>
      </c>
      <c r="DB320" s="542">
        <v>0</v>
      </c>
      <c r="DC320" s="542">
        <v>-4529</v>
      </c>
      <c r="DD320" s="542">
        <v>-1373</v>
      </c>
      <c r="DE320" s="542">
        <v>0</v>
      </c>
      <c r="DF320" s="542">
        <v>-1373</v>
      </c>
      <c r="DG320" s="542"/>
      <c r="DH320" s="542">
        <v>0</v>
      </c>
      <c r="DI320" s="542"/>
      <c r="DJ320" s="542">
        <v>0</v>
      </c>
      <c r="DK320" s="542"/>
      <c r="DL320" s="542"/>
      <c r="DM320" s="542">
        <v>-282161</v>
      </c>
      <c r="DN320" s="542">
        <v>0</v>
      </c>
      <c r="DO320" s="542">
        <v>-282161</v>
      </c>
      <c r="DP320" s="542">
        <v>0</v>
      </c>
      <c r="DQ320" s="542">
        <v>0</v>
      </c>
      <c r="DR320" s="542">
        <v>0</v>
      </c>
      <c r="DS320" s="542">
        <v>0</v>
      </c>
      <c r="DT320" s="542">
        <v>0</v>
      </c>
      <c r="DU320" s="542">
        <v>0</v>
      </c>
      <c r="DV320" s="542">
        <v>0</v>
      </c>
      <c r="DW320" s="542">
        <v>0</v>
      </c>
      <c r="DX320" s="542">
        <v>0</v>
      </c>
      <c r="DY320" s="542">
        <v>-445636</v>
      </c>
      <c r="DZ320" s="542">
        <v>0</v>
      </c>
      <c r="EA320" s="542">
        <v>-445636</v>
      </c>
      <c r="EB320" s="542">
        <v>-9040</v>
      </c>
      <c r="EC320" s="542">
        <v>0</v>
      </c>
      <c r="ED320" s="542">
        <v>-9040</v>
      </c>
      <c r="EE320" s="542">
        <v>-20343</v>
      </c>
      <c r="EF320" s="542">
        <v>0</v>
      </c>
      <c r="EG320" s="542">
        <v>-20343</v>
      </c>
      <c r="EH320" s="542">
        <v>-475019</v>
      </c>
      <c r="EI320" s="542">
        <v>0</v>
      </c>
      <c r="EJ320" s="542">
        <v>-475019</v>
      </c>
      <c r="EK320" s="542">
        <v>-1659</v>
      </c>
      <c r="EL320" s="542">
        <v>0</v>
      </c>
      <c r="EM320" s="542">
        <v>-1659</v>
      </c>
      <c r="EN320" s="542">
        <v>-7184</v>
      </c>
      <c r="EO320" s="542">
        <v>0</v>
      </c>
      <c r="EP320" s="542">
        <v>-7184</v>
      </c>
      <c r="EQ320" s="542">
        <v>-8843</v>
      </c>
      <c r="ER320" s="542">
        <v>0</v>
      </c>
      <c r="ES320" s="542">
        <v>-8843</v>
      </c>
      <c r="ET320" s="542">
        <v>62304525</v>
      </c>
      <c r="EU320" s="542">
        <v>0</v>
      </c>
      <c r="EV320" s="542">
        <v>62304525</v>
      </c>
      <c r="EW320" s="542">
        <v>200212</v>
      </c>
      <c r="EX320" s="542">
        <v>0</v>
      </c>
      <c r="EY320" s="542">
        <v>200212</v>
      </c>
      <c r="EZ320" s="542">
        <v>-4780747</v>
      </c>
      <c r="FA320" s="542">
        <v>0</v>
      </c>
      <c r="FB320" s="542">
        <v>-4780747</v>
      </c>
      <c r="FC320" s="542">
        <v>-1843460</v>
      </c>
      <c r="FD320" s="542">
        <v>0</v>
      </c>
      <c r="FE320" s="542">
        <v>-1843460</v>
      </c>
      <c r="FF320" s="542">
        <v>-282161</v>
      </c>
      <c r="FG320" s="542">
        <v>0</v>
      </c>
      <c r="FH320" s="542">
        <v>-282161</v>
      </c>
      <c r="FI320" s="542">
        <v>-475019</v>
      </c>
      <c r="FJ320" s="542">
        <v>0</v>
      </c>
      <c r="FK320" s="542">
        <v>-475019</v>
      </c>
      <c r="FL320" s="542">
        <v>-8843</v>
      </c>
      <c r="FM320" s="542">
        <v>0</v>
      </c>
      <c r="FN320" s="542">
        <v>-8843</v>
      </c>
      <c r="FO320" s="542">
        <v>-7190018</v>
      </c>
      <c r="FP320" s="542">
        <v>0</v>
      </c>
      <c r="FQ320" s="542">
        <v>-7190018</v>
      </c>
      <c r="FR320" s="542">
        <v>55114507</v>
      </c>
      <c r="FS320" s="542">
        <v>0</v>
      </c>
      <c r="FT320" s="542">
        <v>55114507</v>
      </c>
    </row>
    <row r="321" spans="1:176" ht="12.75" x14ac:dyDescent="0.2">
      <c r="A321" s="93">
        <v>316</v>
      </c>
      <c r="B321" s="145" t="s">
        <v>510</v>
      </c>
      <c r="C321" s="604" t="s">
        <v>770</v>
      </c>
      <c r="D321" s="142" t="s">
        <v>867</v>
      </c>
      <c r="E321" s="149" t="s">
        <v>737</v>
      </c>
      <c r="F321" s="542">
        <v>-62685</v>
      </c>
      <c r="G321" s="542">
        <v>0</v>
      </c>
      <c r="H321" s="542">
        <v>-62685</v>
      </c>
      <c r="I321" s="542">
        <v>198656</v>
      </c>
      <c r="J321" s="542">
        <v>0</v>
      </c>
      <c r="K321" s="542">
        <v>198656</v>
      </c>
      <c r="L321" s="542">
        <v>27860</v>
      </c>
      <c r="M321" s="542">
        <v>0</v>
      </c>
      <c r="N321" s="542">
        <v>27860</v>
      </c>
      <c r="O321" s="542">
        <v>194990</v>
      </c>
      <c r="P321" s="542">
        <v>0</v>
      </c>
      <c r="Q321" s="542">
        <v>194990</v>
      </c>
      <c r="R321" s="542">
        <v>358821</v>
      </c>
      <c r="S321" s="542">
        <v>0</v>
      </c>
      <c r="T321" s="542">
        <v>358821</v>
      </c>
      <c r="U321" s="542">
        <v>-1764177</v>
      </c>
      <c r="V321" s="542">
        <v>0</v>
      </c>
      <c r="W321" s="542">
        <v>-1764177</v>
      </c>
      <c r="X321" s="542">
        <v>0</v>
      </c>
      <c r="Y321" s="542">
        <v>0</v>
      </c>
      <c r="Z321" s="542">
        <v>0</v>
      </c>
      <c r="AA321" s="542">
        <v>-120833</v>
      </c>
      <c r="AB321" s="542">
        <v>0</v>
      </c>
      <c r="AC321" s="542">
        <v>-120833</v>
      </c>
      <c r="AD321" s="542">
        <v>0</v>
      </c>
      <c r="AE321" s="542">
        <v>0</v>
      </c>
      <c r="AF321" s="542">
        <v>0</v>
      </c>
      <c r="AG321" s="542">
        <v>1902230</v>
      </c>
      <c r="AH321" s="542">
        <v>0</v>
      </c>
      <c r="AI321" s="542">
        <v>1902230</v>
      </c>
      <c r="AJ321" s="542">
        <v>-24179</v>
      </c>
      <c r="AK321" s="542">
        <v>0</v>
      </c>
      <c r="AL321" s="542">
        <v>-24179</v>
      </c>
      <c r="AM321" s="542">
        <v>-5765049</v>
      </c>
      <c r="AN321" s="542">
        <v>0</v>
      </c>
      <c r="AO321" s="542">
        <v>-5765049</v>
      </c>
      <c r="AP321" s="542">
        <v>-63795</v>
      </c>
      <c r="AQ321" s="542">
        <v>0</v>
      </c>
      <c r="AR321" s="542">
        <v>-63795</v>
      </c>
      <c r="AS321" s="542">
        <v>0</v>
      </c>
      <c r="AT321" s="542">
        <v>0</v>
      </c>
      <c r="AU321" s="542">
        <v>0</v>
      </c>
      <c r="AV321" s="542">
        <v>0</v>
      </c>
      <c r="AW321" s="542">
        <v>0</v>
      </c>
      <c r="AX321" s="542">
        <v>0</v>
      </c>
      <c r="AY321" s="542">
        <v>-6001</v>
      </c>
      <c r="AZ321" s="542">
        <v>0</v>
      </c>
      <c r="BA321" s="542">
        <v>-6001</v>
      </c>
      <c r="BB321" s="542">
        <v>0</v>
      </c>
      <c r="BC321" s="542">
        <v>0</v>
      </c>
      <c r="BD321" s="542">
        <v>0</v>
      </c>
      <c r="BE321" s="542">
        <v>-5841804</v>
      </c>
      <c r="BF321" s="542">
        <v>0</v>
      </c>
      <c r="BG321" s="542">
        <v>-5841804</v>
      </c>
      <c r="BH321" s="542">
        <v>-149346</v>
      </c>
      <c r="BI321" s="542">
        <v>0</v>
      </c>
      <c r="BJ321" s="542">
        <v>-149346</v>
      </c>
      <c r="BK321" s="542">
        <v>-188834</v>
      </c>
      <c r="BL321" s="542">
        <v>0</v>
      </c>
      <c r="BM321" s="542">
        <v>-188834</v>
      </c>
      <c r="BN321" s="542">
        <v>-3829155</v>
      </c>
      <c r="BO321" s="542">
        <v>0</v>
      </c>
      <c r="BP321" s="542">
        <v>-3829155</v>
      </c>
      <c r="BQ321" s="542">
        <v>-145733</v>
      </c>
      <c r="BR321" s="542">
        <v>0</v>
      </c>
      <c r="BS321" s="542">
        <v>-145733</v>
      </c>
      <c r="BT321" s="542">
        <v>-4313068</v>
      </c>
      <c r="BU321" s="542">
        <v>0</v>
      </c>
      <c r="BV321" s="542">
        <v>-4313068</v>
      </c>
      <c r="BW321" s="542">
        <v>-317945</v>
      </c>
      <c r="BX321" s="542">
        <v>0</v>
      </c>
      <c r="BY321" s="542">
        <v>-317945</v>
      </c>
      <c r="BZ321" s="542">
        <v>-89667</v>
      </c>
      <c r="CA321" s="542">
        <v>0</v>
      </c>
      <c r="CB321" s="542">
        <v>-89667</v>
      </c>
      <c r="CC321" s="542">
        <v>-175314</v>
      </c>
      <c r="CD321" s="542">
        <v>0</v>
      </c>
      <c r="CE321" s="542">
        <v>-175314</v>
      </c>
      <c r="CF321" s="542">
        <v>1077</v>
      </c>
      <c r="CG321" s="542">
        <v>0</v>
      </c>
      <c r="CH321" s="542">
        <v>1077</v>
      </c>
      <c r="CI321" s="542">
        <v>0</v>
      </c>
      <c r="CJ321" s="542">
        <v>0</v>
      </c>
      <c r="CK321" s="542">
        <v>0</v>
      </c>
      <c r="CL321" s="542">
        <v>0</v>
      </c>
      <c r="CM321" s="542">
        <v>0</v>
      </c>
      <c r="CN321" s="542">
        <v>0</v>
      </c>
      <c r="CO321" s="542">
        <v>0</v>
      </c>
      <c r="CP321" s="542">
        <v>0</v>
      </c>
      <c r="CQ321" s="542">
        <v>0</v>
      </c>
      <c r="CR321" s="542">
        <v>0</v>
      </c>
      <c r="CS321" s="542">
        <v>0</v>
      </c>
      <c r="CT321" s="542">
        <v>0</v>
      </c>
      <c r="CU321" s="542">
        <v>-31442</v>
      </c>
      <c r="CV321" s="542">
        <v>0</v>
      </c>
      <c r="CW321" s="542">
        <v>-31442</v>
      </c>
      <c r="CX321" s="542">
        <v>-8738</v>
      </c>
      <c r="CY321" s="542">
        <v>0</v>
      </c>
      <c r="CZ321" s="542">
        <v>-8738</v>
      </c>
      <c r="DA321" s="542">
        <v>0</v>
      </c>
      <c r="DB321" s="542">
        <v>0</v>
      </c>
      <c r="DC321" s="542">
        <v>0</v>
      </c>
      <c r="DD321" s="542">
        <v>0</v>
      </c>
      <c r="DE321" s="542">
        <v>0</v>
      </c>
      <c r="DF321" s="542">
        <v>0</v>
      </c>
      <c r="DG321" s="542"/>
      <c r="DH321" s="542">
        <v>0</v>
      </c>
      <c r="DI321" s="542"/>
      <c r="DJ321" s="542">
        <v>0</v>
      </c>
      <c r="DK321" s="542"/>
      <c r="DL321" s="542"/>
      <c r="DM321" s="542">
        <v>-622029</v>
      </c>
      <c r="DN321" s="542">
        <v>0</v>
      </c>
      <c r="DO321" s="542">
        <v>-622029</v>
      </c>
      <c r="DP321" s="542">
        <v>0</v>
      </c>
      <c r="DQ321" s="542">
        <v>0</v>
      </c>
      <c r="DR321" s="542">
        <v>0</v>
      </c>
      <c r="DS321" s="542">
        <v>0</v>
      </c>
      <c r="DT321" s="542">
        <v>0</v>
      </c>
      <c r="DU321" s="542">
        <v>0</v>
      </c>
      <c r="DV321" s="542">
        <v>-3758</v>
      </c>
      <c r="DW321" s="542">
        <v>0</v>
      </c>
      <c r="DX321" s="542">
        <v>-3758</v>
      </c>
      <c r="DY321" s="542">
        <v>-883840</v>
      </c>
      <c r="DZ321" s="542">
        <v>0</v>
      </c>
      <c r="EA321" s="542">
        <v>-883840</v>
      </c>
      <c r="EB321" s="542">
        <v>-59221</v>
      </c>
      <c r="EC321" s="542">
        <v>0</v>
      </c>
      <c r="ED321" s="542">
        <v>-59221</v>
      </c>
      <c r="EE321" s="542">
        <v>-137768</v>
      </c>
      <c r="EF321" s="542">
        <v>0</v>
      </c>
      <c r="EG321" s="542">
        <v>-137768</v>
      </c>
      <c r="EH321" s="542">
        <v>-1084587</v>
      </c>
      <c r="EI321" s="542">
        <v>0</v>
      </c>
      <c r="EJ321" s="542">
        <v>-1084587</v>
      </c>
      <c r="EK321" s="542">
        <v>-32501</v>
      </c>
      <c r="EL321" s="542">
        <v>0</v>
      </c>
      <c r="EM321" s="542">
        <v>-32501</v>
      </c>
      <c r="EN321" s="542">
        <v>-3482</v>
      </c>
      <c r="EO321" s="542">
        <v>0</v>
      </c>
      <c r="EP321" s="542">
        <v>-3482</v>
      </c>
      <c r="EQ321" s="542">
        <v>-35983</v>
      </c>
      <c r="ER321" s="542">
        <v>0</v>
      </c>
      <c r="ES321" s="542">
        <v>-35983</v>
      </c>
      <c r="ET321" s="542">
        <v>89016972</v>
      </c>
      <c r="EU321" s="542">
        <v>0</v>
      </c>
      <c r="EV321" s="542">
        <v>89016972</v>
      </c>
      <c r="EW321" s="542">
        <v>358821</v>
      </c>
      <c r="EX321" s="542">
        <v>0</v>
      </c>
      <c r="EY321" s="542">
        <v>358821</v>
      </c>
      <c r="EZ321" s="542">
        <v>-5841804</v>
      </c>
      <c r="FA321" s="542">
        <v>0</v>
      </c>
      <c r="FB321" s="542">
        <v>-5841804</v>
      </c>
      <c r="FC321" s="542">
        <v>-4313068</v>
      </c>
      <c r="FD321" s="542">
        <v>0</v>
      </c>
      <c r="FE321" s="542">
        <v>-4313068</v>
      </c>
      <c r="FF321" s="542">
        <v>-622029</v>
      </c>
      <c r="FG321" s="542">
        <v>0</v>
      </c>
      <c r="FH321" s="542">
        <v>-622029</v>
      </c>
      <c r="FI321" s="542">
        <v>-1084587</v>
      </c>
      <c r="FJ321" s="542">
        <v>0</v>
      </c>
      <c r="FK321" s="542">
        <v>-1084587</v>
      </c>
      <c r="FL321" s="542">
        <v>-35983</v>
      </c>
      <c r="FM321" s="542">
        <v>0</v>
      </c>
      <c r="FN321" s="542">
        <v>-35983</v>
      </c>
      <c r="FO321" s="542">
        <v>-11538650</v>
      </c>
      <c r="FP321" s="542">
        <v>0</v>
      </c>
      <c r="FQ321" s="542">
        <v>-11538650</v>
      </c>
      <c r="FR321" s="542">
        <v>77478322</v>
      </c>
      <c r="FS321" s="542">
        <v>0</v>
      </c>
      <c r="FT321" s="542">
        <v>77478322</v>
      </c>
    </row>
    <row r="322" spans="1:176" ht="12.75" x14ac:dyDescent="0.2">
      <c r="A322" s="93">
        <v>317</v>
      </c>
      <c r="B322" s="145" t="s">
        <v>512</v>
      </c>
      <c r="C322" s="604" t="s">
        <v>873</v>
      </c>
      <c r="D322" s="142" t="s">
        <v>868</v>
      </c>
      <c r="E322" s="149" t="s">
        <v>511</v>
      </c>
      <c r="F322" s="542">
        <v>-108928</v>
      </c>
      <c r="G322" s="542">
        <v>0</v>
      </c>
      <c r="H322" s="542">
        <v>-108928</v>
      </c>
      <c r="I322" s="542">
        <v>69601</v>
      </c>
      <c r="J322" s="542">
        <v>0</v>
      </c>
      <c r="K322" s="542">
        <v>69601</v>
      </c>
      <c r="L322" s="542">
        <v>40024</v>
      </c>
      <c r="M322" s="542">
        <v>0</v>
      </c>
      <c r="N322" s="542">
        <v>40024</v>
      </c>
      <c r="O322" s="542">
        <v>374179</v>
      </c>
      <c r="P322" s="542">
        <v>0</v>
      </c>
      <c r="Q322" s="542">
        <v>374179</v>
      </c>
      <c r="R322" s="542">
        <v>374876</v>
      </c>
      <c r="S322" s="542">
        <v>0</v>
      </c>
      <c r="T322" s="542">
        <v>374876</v>
      </c>
      <c r="U322" s="542">
        <v>-6164520</v>
      </c>
      <c r="V322" s="542">
        <v>0</v>
      </c>
      <c r="W322" s="542">
        <v>-6164520</v>
      </c>
      <c r="X322" s="542">
        <v>-16419</v>
      </c>
      <c r="Y322" s="542">
        <v>0</v>
      </c>
      <c r="Z322" s="542">
        <v>-16419</v>
      </c>
      <c r="AA322" s="542">
        <v>-175391</v>
      </c>
      <c r="AB322" s="542">
        <v>0</v>
      </c>
      <c r="AC322" s="542">
        <v>-175391</v>
      </c>
      <c r="AD322" s="542">
        <v>-76299</v>
      </c>
      <c r="AE322" s="542">
        <v>0</v>
      </c>
      <c r="AF322" s="542">
        <v>-76299</v>
      </c>
      <c r="AG322" s="542">
        <v>1637643</v>
      </c>
      <c r="AH322" s="542">
        <v>0</v>
      </c>
      <c r="AI322" s="542">
        <v>1637643</v>
      </c>
      <c r="AJ322" s="542">
        <v>-10220</v>
      </c>
      <c r="AK322" s="542">
        <v>0</v>
      </c>
      <c r="AL322" s="542">
        <v>-10220</v>
      </c>
      <c r="AM322" s="542">
        <v>-4634280</v>
      </c>
      <c r="AN322" s="542">
        <v>0</v>
      </c>
      <c r="AO322" s="542">
        <v>-4634280</v>
      </c>
      <c r="AP322" s="542">
        <v>90152</v>
      </c>
      <c r="AQ322" s="542">
        <v>0</v>
      </c>
      <c r="AR322" s="542">
        <v>90152</v>
      </c>
      <c r="AS322" s="542">
        <v>-30274</v>
      </c>
      <c r="AT322" s="542">
        <v>0</v>
      </c>
      <c r="AU322" s="542">
        <v>-30274</v>
      </c>
      <c r="AV322" s="542">
        <v>0</v>
      </c>
      <c r="AW322" s="542">
        <v>0</v>
      </c>
      <c r="AX322" s="542">
        <v>0</v>
      </c>
      <c r="AY322" s="542">
        <v>-578</v>
      </c>
      <c r="AZ322" s="542">
        <v>0</v>
      </c>
      <c r="BA322" s="542">
        <v>-578</v>
      </c>
      <c r="BB322" s="542">
        <v>0</v>
      </c>
      <c r="BC322" s="542">
        <v>0</v>
      </c>
      <c r="BD322" s="542">
        <v>0</v>
      </c>
      <c r="BE322" s="542">
        <v>-9287468</v>
      </c>
      <c r="BF322" s="542">
        <v>0</v>
      </c>
      <c r="BG322" s="542">
        <v>-9287468</v>
      </c>
      <c r="BH322" s="542">
        <v>-61310</v>
      </c>
      <c r="BI322" s="542">
        <v>0</v>
      </c>
      <c r="BJ322" s="542">
        <v>-61310</v>
      </c>
      <c r="BK322" s="542">
        <v>-15518</v>
      </c>
      <c r="BL322" s="542">
        <v>0</v>
      </c>
      <c r="BM322" s="542">
        <v>-15518</v>
      </c>
      <c r="BN322" s="542">
        <v>-4029461</v>
      </c>
      <c r="BO322" s="542">
        <v>0</v>
      </c>
      <c r="BP322" s="542">
        <v>-4029461</v>
      </c>
      <c r="BQ322" s="542">
        <v>173185</v>
      </c>
      <c r="BR322" s="542">
        <v>0</v>
      </c>
      <c r="BS322" s="542">
        <v>173185</v>
      </c>
      <c r="BT322" s="542">
        <v>-3933104</v>
      </c>
      <c r="BU322" s="542">
        <v>0</v>
      </c>
      <c r="BV322" s="542">
        <v>-3933104</v>
      </c>
      <c r="BW322" s="542">
        <v>-570308</v>
      </c>
      <c r="BX322" s="542">
        <v>0</v>
      </c>
      <c r="BY322" s="542">
        <v>-570308</v>
      </c>
      <c r="BZ322" s="542">
        <v>8066</v>
      </c>
      <c r="CA322" s="542">
        <v>0</v>
      </c>
      <c r="CB322" s="542">
        <v>8066</v>
      </c>
      <c r="CC322" s="542">
        <v>-130926</v>
      </c>
      <c r="CD322" s="542">
        <v>0</v>
      </c>
      <c r="CE322" s="542">
        <v>-130926</v>
      </c>
      <c r="CF322" s="542">
        <v>5485</v>
      </c>
      <c r="CG322" s="542">
        <v>0</v>
      </c>
      <c r="CH322" s="542">
        <v>5485</v>
      </c>
      <c r="CI322" s="542">
        <v>-7568</v>
      </c>
      <c r="CJ322" s="542">
        <v>0</v>
      </c>
      <c r="CK322" s="542">
        <v>-7568</v>
      </c>
      <c r="CL322" s="542">
        <v>0</v>
      </c>
      <c r="CM322" s="542">
        <v>0</v>
      </c>
      <c r="CN322" s="542">
        <v>0</v>
      </c>
      <c r="CO322" s="542">
        <v>0</v>
      </c>
      <c r="CP322" s="542">
        <v>0</v>
      </c>
      <c r="CQ322" s="542">
        <v>0</v>
      </c>
      <c r="CR322" s="542">
        <v>0</v>
      </c>
      <c r="CS322" s="542">
        <v>0</v>
      </c>
      <c r="CT322" s="542">
        <v>0</v>
      </c>
      <c r="CU322" s="542">
        <v>0</v>
      </c>
      <c r="CV322" s="542">
        <v>0</v>
      </c>
      <c r="CW322" s="542">
        <v>0</v>
      </c>
      <c r="CX322" s="542">
        <v>0</v>
      </c>
      <c r="CY322" s="542">
        <v>0</v>
      </c>
      <c r="CZ322" s="542">
        <v>0</v>
      </c>
      <c r="DA322" s="542">
        <v>0</v>
      </c>
      <c r="DB322" s="542">
        <v>0</v>
      </c>
      <c r="DC322" s="542">
        <v>0</v>
      </c>
      <c r="DD322" s="542">
        <v>0</v>
      </c>
      <c r="DE322" s="542">
        <v>0</v>
      </c>
      <c r="DF322" s="542">
        <v>0</v>
      </c>
      <c r="DG322" s="542"/>
      <c r="DH322" s="542">
        <v>0</v>
      </c>
      <c r="DI322" s="542"/>
      <c r="DJ322" s="542">
        <v>0</v>
      </c>
      <c r="DK322" s="542"/>
      <c r="DL322" s="542"/>
      <c r="DM322" s="542">
        <v>-695251</v>
      </c>
      <c r="DN322" s="542">
        <v>0</v>
      </c>
      <c r="DO322" s="542">
        <v>-695251</v>
      </c>
      <c r="DP322" s="542">
        <v>0</v>
      </c>
      <c r="DQ322" s="542">
        <v>0</v>
      </c>
      <c r="DR322" s="542">
        <v>0</v>
      </c>
      <c r="DS322" s="542">
        <v>0</v>
      </c>
      <c r="DT322" s="542">
        <v>0</v>
      </c>
      <c r="DU322" s="542">
        <v>0</v>
      </c>
      <c r="DV322" s="542">
        <v>-35725</v>
      </c>
      <c r="DW322" s="542">
        <v>0</v>
      </c>
      <c r="DX322" s="542">
        <v>-35725</v>
      </c>
      <c r="DY322" s="542">
        <v>-1001007</v>
      </c>
      <c r="DZ322" s="542">
        <v>0</v>
      </c>
      <c r="EA322" s="542">
        <v>-1001007</v>
      </c>
      <c r="EB322" s="542">
        <v>0</v>
      </c>
      <c r="EC322" s="542">
        <v>0</v>
      </c>
      <c r="ED322" s="542">
        <v>0</v>
      </c>
      <c r="EE322" s="542">
        <v>-294618</v>
      </c>
      <c r="EF322" s="542">
        <v>0</v>
      </c>
      <c r="EG322" s="542">
        <v>-294618</v>
      </c>
      <c r="EH322" s="542">
        <v>-1331350</v>
      </c>
      <c r="EI322" s="542">
        <v>0</v>
      </c>
      <c r="EJ322" s="542">
        <v>-1331350</v>
      </c>
      <c r="EK322" s="542">
        <v>0</v>
      </c>
      <c r="EL322" s="542">
        <v>0</v>
      </c>
      <c r="EM322" s="542">
        <v>0</v>
      </c>
      <c r="EN322" s="542">
        <v>0</v>
      </c>
      <c r="EO322" s="542">
        <v>0</v>
      </c>
      <c r="EP322" s="542">
        <v>0</v>
      </c>
      <c r="EQ322" s="542">
        <v>0</v>
      </c>
      <c r="ER322" s="542">
        <v>0</v>
      </c>
      <c r="ES322" s="542">
        <v>0</v>
      </c>
      <c r="ET322" s="542">
        <v>84095656</v>
      </c>
      <c r="EU322" s="542">
        <v>0</v>
      </c>
      <c r="EV322" s="542">
        <v>84095656</v>
      </c>
      <c r="EW322" s="542">
        <v>374876</v>
      </c>
      <c r="EX322" s="542">
        <v>0</v>
      </c>
      <c r="EY322" s="542">
        <v>374876</v>
      </c>
      <c r="EZ322" s="542">
        <v>-9287468</v>
      </c>
      <c r="FA322" s="542">
        <v>0</v>
      </c>
      <c r="FB322" s="542">
        <v>-9287468</v>
      </c>
      <c r="FC322" s="542">
        <v>-3933104</v>
      </c>
      <c r="FD322" s="542">
        <v>0</v>
      </c>
      <c r="FE322" s="542">
        <v>-3933104</v>
      </c>
      <c r="FF322" s="542">
        <v>-695251</v>
      </c>
      <c r="FG322" s="542">
        <v>0</v>
      </c>
      <c r="FH322" s="542">
        <v>-695251</v>
      </c>
      <c r="FI322" s="542">
        <v>-1331350</v>
      </c>
      <c r="FJ322" s="542">
        <v>0</v>
      </c>
      <c r="FK322" s="542">
        <v>-1331350</v>
      </c>
      <c r="FL322" s="542">
        <v>0</v>
      </c>
      <c r="FM322" s="542">
        <v>0</v>
      </c>
      <c r="FN322" s="542">
        <v>0</v>
      </c>
      <c r="FO322" s="542">
        <v>-14872297</v>
      </c>
      <c r="FP322" s="542">
        <v>0</v>
      </c>
      <c r="FQ322" s="542">
        <v>-14872297</v>
      </c>
      <c r="FR322" s="542">
        <v>69223359</v>
      </c>
      <c r="FS322" s="542">
        <v>0</v>
      </c>
      <c r="FT322" s="542">
        <v>69223359</v>
      </c>
    </row>
    <row r="323" spans="1:176" ht="12.75" x14ac:dyDescent="0.2">
      <c r="A323" s="93">
        <v>318</v>
      </c>
      <c r="B323" s="145" t="s">
        <v>514</v>
      </c>
      <c r="C323" s="604" t="s">
        <v>866</v>
      </c>
      <c r="D323" s="142" t="s">
        <v>867</v>
      </c>
      <c r="E323" s="149" t="s">
        <v>513</v>
      </c>
      <c r="F323" s="542">
        <v>-22343</v>
      </c>
      <c r="G323" s="542">
        <v>0</v>
      </c>
      <c r="H323" s="542">
        <v>-22343</v>
      </c>
      <c r="I323" s="542">
        <v>-48332</v>
      </c>
      <c r="J323" s="542">
        <v>0</v>
      </c>
      <c r="K323" s="542">
        <v>-48332</v>
      </c>
      <c r="L323" s="542">
        <v>65445</v>
      </c>
      <c r="M323" s="542">
        <v>0</v>
      </c>
      <c r="N323" s="542">
        <v>65445</v>
      </c>
      <c r="O323" s="542">
        <v>268417</v>
      </c>
      <c r="P323" s="542">
        <v>0</v>
      </c>
      <c r="Q323" s="542">
        <v>268417</v>
      </c>
      <c r="R323" s="542">
        <v>263187</v>
      </c>
      <c r="S323" s="542">
        <v>0</v>
      </c>
      <c r="T323" s="542">
        <v>263187</v>
      </c>
      <c r="U323" s="542">
        <v>-1022771</v>
      </c>
      <c r="V323" s="542">
        <v>0</v>
      </c>
      <c r="W323" s="542">
        <v>-1022771</v>
      </c>
      <c r="X323" s="542">
        <v>0</v>
      </c>
      <c r="Y323" s="542">
        <v>0</v>
      </c>
      <c r="Z323" s="542">
        <v>0</v>
      </c>
      <c r="AA323" s="542">
        <v>-23327</v>
      </c>
      <c r="AB323" s="542">
        <v>0</v>
      </c>
      <c r="AC323" s="542">
        <v>-23327</v>
      </c>
      <c r="AD323" s="542">
        <v>0</v>
      </c>
      <c r="AE323" s="542">
        <v>0</v>
      </c>
      <c r="AF323" s="542">
        <v>0</v>
      </c>
      <c r="AG323" s="542">
        <v>1089277</v>
      </c>
      <c r="AH323" s="542">
        <v>0</v>
      </c>
      <c r="AI323" s="542">
        <v>1089277</v>
      </c>
      <c r="AJ323" s="542">
        <v>-18172</v>
      </c>
      <c r="AK323" s="542">
        <v>0</v>
      </c>
      <c r="AL323" s="542">
        <v>-18172</v>
      </c>
      <c r="AM323" s="542">
        <v>-2599948</v>
      </c>
      <c r="AN323" s="542">
        <v>0</v>
      </c>
      <c r="AO323" s="542">
        <v>-2599948</v>
      </c>
      <c r="AP323" s="542">
        <v>-58845</v>
      </c>
      <c r="AQ323" s="542">
        <v>0</v>
      </c>
      <c r="AR323" s="542">
        <v>-58845</v>
      </c>
      <c r="AS323" s="542">
        <v>0</v>
      </c>
      <c r="AT323" s="542">
        <v>0</v>
      </c>
      <c r="AU323" s="542">
        <v>0</v>
      </c>
      <c r="AV323" s="542">
        <v>0</v>
      </c>
      <c r="AW323" s="542">
        <v>0</v>
      </c>
      <c r="AX323" s="542">
        <v>0</v>
      </c>
      <c r="AY323" s="542">
        <v>-699</v>
      </c>
      <c r="AZ323" s="542">
        <v>0</v>
      </c>
      <c r="BA323" s="542">
        <v>-699</v>
      </c>
      <c r="BB323" s="542">
        <v>0</v>
      </c>
      <c r="BC323" s="542">
        <v>0</v>
      </c>
      <c r="BD323" s="542">
        <v>0</v>
      </c>
      <c r="BE323" s="542">
        <v>-2634485</v>
      </c>
      <c r="BF323" s="542">
        <v>0</v>
      </c>
      <c r="BG323" s="542">
        <v>-2634485</v>
      </c>
      <c r="BH323" s="542">
        <v>-28893</v>
      </c>
      <c r="BI323" s="542">
        <v>0</v>
      </c>
      <c r="BJ323" s="542">
        <v>-28893</v>
      </c>
      <c r="BK323" s="542">
        <v>-1888</v>
      </c>
      <c r="BL323" s="542">
        <v>0</v>
      </c>
      <c r="BM323" s="542">
        <v>-1888</v>
      </c>
      <c r="BN323" s="542">
        <v>-1643207</v>
      </c>
      <c r="BO323" s="542">
        <v>0</v>
      </c>
      <c r="BP323" s="542">
        <v>-1643207</v>
      </c>
      <c r="BQ323" s="542">
        <v>-128004</v>
      </c>
      <c r="BR323" s="542">
        <v>0</v>
      </c>
      <c r="BS323" s="542">
        <v>-128004</v>
      </c>
      <c r="BT323" s="542">
        <v>-1801992</v>
      </c>
      <c r="BU323" s="542">
        <v>0</v>
      </c>
      <c r="BV323" s="542">
        <v>-1801992</v>
      </c>
      <c r="BW323" s="542">
        <v>-306987</v>
      </c>
      <c r="BX323" s="542">
        <v>0</v>
      </c>
      <c r="BY323" s="542">
        <v>-306987</v>
      </c>
      <c r="BZ323" s="542">
        <v>3285</v>
      </c>
      <c r="CA323" s="542">
        <v>0</v>
      </c>
      <c r="CB323" s="542">
        <v>3285</v>
      </c>
      <c r="CC323" s="542">
        <v>-64432</v>
      </c>
      <c r="CD323" s="542">
        <v>0</v>
      </c>
      <c r="CE323" s="542">
        <v>-64432</v>
      </c>
      <c r="CF323" s="542">
        <v>-11554</v>
      </c>
      <c r="CG323" s="542">
        <v>0</v>
      </c>
      <c r="CH323" s="542">
        <v>-11554</v>
      </c>
      <c r="CI323" s="542">
        <v>0</v>
      </c>
      <c r="CJ323" s="542">
        <v>0</v>
      </c>
      <c r="CK323" s="542">
        <v>0</v>
      </c>
      <c r="CL323" s="542">
        <v>0</v>
      </c>
      <c r="CM323" s="542">
        <v>0</v>
      </c>
      <c r="CN323" s="542">
        <v>0</v>
      </c>
      <c r="CO323" s="542">
        <v>0</v>
      </c>
      <c r="CP323" s="542">
        <v>0</v>
      </c>
      <c r="CQ323" s="542">
        <v>0</v>
      </c>
      <c r="CR323" s="542">
        <v>0</v>
      </c>
      <c r="CS323" s="542">
        <v>0</v>
      </c>
      <c r="CT323" s="542">
        <v>0</v>
      </c>
      <c r="CU323" s="542">
        <v>0</v>
      </c>
      <c r="CV323" s="542">
        <v>0</v>
      </c>
      <c r="CW323" s="542">
        <v>0</v>
      </c>
      <c r="CX323" s="542">
        <v>0</v>
      </c>
      <c r="CY323" s="542">
        <v>0</v>
      </c>
      <c r="CZ323" s="542">
        <v>0</v>
      </c>
      <c r="DA323" s="542">
        <v>-17304</v>
      </c>
      <c r="DB323" s="542">
        <v>0</v>
      </c>
      <c r="DC323" s="542">
        <v>-17304</v>
      </c>
      <c r="DD323" s="542">
        <v>0</v>
      </c>
      <c r="DE323" s="542">
        <v>0</v>
      </c>
      <c r="DF323" s="542">
        <v>0</v>
      </c>
      <c r="DG323" s="542"/>
      <c r="DH323" s="542">
        <v>0</v>
      </c>
      <c r="DI323" s="542"/>
      <c r="DJ323" s="542">
        <v>0</v>
      </c>
      <c r="DK323" s="542"/>
      <c r="DL323" s="542"/>
      <c r="DM323" s="542">
        <v>-396992</v>
      </c>
      <c r="DN323" s="542">
        <v>0</v>
      </c>
      <c r="DO323" s="542">
        <v>-396992</v>
      </c>
      <c r="DP323" s="542">
        <v>0</v>
      </c>
      <c r="DQ323" s="542">
        <v>0</v>
      </c>
      <c r="DR323" s="542">
        <v>0</v>
      </c>
      <c r="DS323" s="542">
        <v>0</v>
      </c>
      <c r="DT323" s="542">
        <v>0</v>
      </c>
      <c r="DU323" s="542">
        <v>0</v>
      </c>
      <c r="DV323" s="542">
        <v>-3179</v>
      </c>
      <c r="DW323" s="542">
        <v>0</v>
      </c>
      <c r="DX323" s="542">
        <v>-3179</v>
      </c>
      <c r="DY323" s="542">
        <v>-235606</v>
      </c>
      <c r="DZ323" s="542">
        <v>0</v>
      </c>
      <c r="EA323" s="542">
        <v>-235606</v>
      </c>
      <c r="EB323" s="542">
        <v>0</v>
      </c>
      <c r="EC323" s="542">
        <v>0</v>
      </c>
      <c r="ED323" s="542">
        <v>0</v>
      </c>
      <c r="EE323" s="542">
        <v>0</v>
      </c>
      <c r="EF323" s="542">
        <v>0</v>
      </c>
      <c r="EG323" s="542">
        <v>0</v>
      </c>
      <c r="EH323" s="542">
        <v>-238785</v>
      </c>
      <c r="EI323" s="542">
        <v>0</v>
      </c>
      <c r="EJ323" s="542">
        <v>-238785</v>
      </c>
      <c r="EK323" s="542">
        <v>-323053</v>
      </c>
      <c r="EL323" s="542">
        <v>0</v>
      </c>
      <c r="EM323" s="542">
        <v>-323053</v>
      </c>
      <c r="EN323" s="542">
        <v>609</v>
      </c>
      <c r="EO323" s="542">
        <v>0</v>
      </c>
      <c r="EP323" s="542">
        <v>609</v>
      </c>
      <c r="EQ323" s="542">
        <v>-322444</v>
      </c>
      <c r="ER323" s="542">
        <v>0</v>
      </c>
      <c r="ES323" s="542">
        <v>-322444</v>
      </c>
      <c r="ET323" s="542">
        <v>50306251</v>
      </c>
      <c r="EU323" s="542">
        <v>0</v>
      </c>
      <c r="EV323" s="542">
        <v>50306251</v>
      </c>
      <c r="EW323" s="542">
        <v>263187</v>
      </c>
      <c r="EX323" s="542">
        <v>0</v>
      </c>
      <c r="EY323" s="542">
        <v>263187</v>
      </c>
      <c r="EZ323" s="542">
        <v>-2634485</v>
      </c>
      <c r="FA323" s="542">
        <v>0</v>
      </c>
      <c r="FB323" s="542">
        <v>-2634485</v>
      </c>
      <c r="FC323" s="542">
        <v>-1801992</v>
      </c>
      <c r="FD323" s="542">
        <v>0</v>
      </c>
      <c r="FE323" s="542">
        <v>-1801992</v>
      </c>
      <c r="FF323" s="542">
        <v>-396992</v>
      </c>
      <c r="FG323" s="542">
        <v>0</v>
      </c>
      <c r="FH323" s="542">
        <v>-396992</v>
      </c>
      <c r="FI323" s="542">
        <v>-238785</v>
      </c>
      <c r="FJ323" s="542">
        <v>0</v>
      </c>
      <c r="FK323" s="542">
        <v>-238785</v>
      </c>
      <c r="FL323" s="542">
        <v>-322444</v>
      </c>
      <c r="FM323" s="542">
        <v>0</v>
      </c>
      <c r="FN323" s="542">
        <v>-322444</v>
      </c>
      <c r="FO323" s="542">
        <v>-5131511</v>
      </c>
      <c r="FP323" s="542">
        <v>0</v>
      </c>
      <c r="FQ323" s="542">
        <v>-5131511</v>
      </c>
      <c r="FR323" s="542">
        <v>45174740</v>
      </c>
      <c r="FS323" s="542">
        <v>0</v>
      </c>
      <c r="FT323" s="542">
        <v>45174740</v>
      </c>
    </row>
    <row r="324" spans="1:176" ht="12.75" x14ac:dyDescent="0.2">
      <c r="A324" s="93">
        <v>319</v>
      </c>
      <c r="B324" s="145" t="s">
        <v>516</v>
      </c>
      <c r="C324" s="604" t="s">
        <v>770</v>
      </c>
      <c r="D324" s="142" t="s">
        <v>867</v>
      </c>
      <c r="E324" s="149" t="s">
        <v>738</v>
      </c>
      <c r="F324" s="542">
        <v>-41386</v>
      </c>
      <c r="G324" s="542">
        <v>0</v>
      </c>
      <c r="H324" s="542">
        <v>-41386</v>
      </c>
      <c r="I324" s="542">
        <v>112313</v>
      </c>
      <c r="J324" s="542">
        <v>0</v>
      </c>
      <c r="K324" s="542">
        <v>112313</v>
      </c>
      <c r="L324" s="542">
        <v>17037</v>
      </c>
      <c r="M324" s="542">
        <v>0</v>
      </c>
      <c r="N324" s="542">
        <v>17037</v>
      </c>
      <c r="O324" s="542">
        <v>161476</v>
      </c>
      <c r="P324" s="542">
        <v>0</v>
      </c>
      <c r="Q324" s="542">
        <v>161476</v>
      </c>
      <c r="R324" s="542">
        <v>249440</v>
      </c>
      <c r="S324" s="542">
        <v>0</v>
      </c>
      <c r="T324" s="542">
        <v>249440</v>
      </c>
      <c r="U324" s="542">
        <v>-1820842</v>
      </c>
      <c r="V324" s="542">
        <v>0</v>
      </c>
      <c r="W324" s="542">
        <v>-1820842</v>
      </c>
      <c r="X324" s="542">
        <v>-4025</v>
      </c>
      <c r="Y324" s="542">
        <v>0</v>
      </c>
      <c r="Z324" s="542">
        <v>-4025</v>
      </c>
      <c r="AA324" s="542">
        <v>-312503</v>
      </c>
      <c r="AB324" s="542">
        <v>0</v>
      </c>
      <c r="AC324" s="542">
        <v>-312503</v>
      </c>
      <c r="AD324" s="542">
        <v>-152155</v>
      </c>
      <c r="AE324" s="542">
        <v>0</v>
      </c>
      <c r="AF324" s="542">
        <v>-152155</v>
      </c>
      <c r="AG324" s="542">
        <v>1363807</v>
      </c>
      <c r="AH324" s="542">
        <v>0</v>
      </c>
      <c r="AI324" s="542">
        <v>1363807</v>
      </c>
      <c r="AJ324" s="542">
        <v>76534</v>
      </c>
      <c r="AK324" s="542">
        <v>0</v>
      </c>
      <c r="AL324" s="542">
        <v>76534</v>
      </c>
      <c r="AM324" s="542">
        <v>-5075582</v>
      </c>
      <c r="AN324" s="542">
        <v>0</v>
      </c>
      <c r="AO324" s="542">
        <v>-5075582</v>
      </c>
      <c r="AP324" s="542">
        <v>-1078011</v>
      </c>
      <c r="AQ324" s="542">
        <v>0</v>
      </c>
      <c r="AR324" s="542">
        <v>-1078011</v>
      </c>
      <c r="AS324" s="542">
        <v>-54138</v>
      </c>
      <c r="AT324" s="542">
        <v>0</v>
      </c>
      <c r="AU324" s="542">
        <v>-54138</v>
      </c>
      <c r="AV324" s="542">
        <v>0</v>
      </c>
      <c r="AW324" s="542">
        <v>0</v>
      </c>
      <c r="AX324" s="542">
        <v>0</v>
      </c>
      <c r="AY324" s="542">
        <v>-4037</v>
      </c>
      <c r="AZ324" s="542">
        <v>0</v>
      </c>
      <c r="BA324" s="542">
        <v>-4037</v>
      </c>
      <c r="BB324" s="542">
        <v>3600</v>
      </c>
      <c r="BC324" s="542">
        <v>0</v>
      </c>
      <c r="BD324" s="542">
        <v>3600</v>
      </c>
      <c r="BE324" s="542">
        <v>-6901172</v>
      </c>
      <c r="BF324" s="542">
        <v>0</v>
      </c>
      <c r="BG324" s="542">
        <v>-6901172</v>
      </c>
      <c r="BH324" s="542">
        <v>-59505</v>
      </c>
      <c r="BI324" s="542">
        <v>0</v>
      </c>
      <c r="BJ324" s="542">
        <v>-59505</v>
      </c>
      <c r="BK324" s="542">
        <v>-49770</v>
      </c>
      <c r="BL324" s="542">
        <v>0</v>
      </c>
      <c r="BM324" s="542">
        <v>-49770</v>
      </c>
      <c r="BN324" s="542">
        <v>-2159400</v>
      </c>
      <c r="BO324" s="542">
        <v>0</v>
      </c>
      <c r="BP324" s="542">
        <v>-2159400</v>
      </c>
      <c r="BQ324" s="542">
        <v>-51693</v>
      </c>
      <c r="BR324" s="542">
        <v>0</v>
      </c>
      <c r="BS324" s="542">
        <v>-51693</v>
      </c>
      <c r="BT324" s="542">
        <v>-2320368</v>
      </c>
      <c r="BU324" s="542">
        <v>0</v>
      </c>
      <c r="BV324" s="542">
        <v>-2320368</v>
      </c>
      <c r="BW324" s="542">
        <v>-6052</v>
      </c>
      <c r="BX324" s="542">
        <v>0</v>
      </c>
      <c r="BY324" s="542">
        <v>-6052</v>
      </c>
      <c r="BZ324" s="542">
        <v>-29</v>
      </c>
      <c r="CA324" s="542">
        <v>0</v>
      </c>
      <c r="CB324" s="542">
        <v>-29</v>
      </c>
      <c r="CC324" s="542">
        <v>-36729</v>
      </c>
      <c r="CD324" s="542">
        <v>0</v>
      </c>
      <c r="CE324" s="542">
        <v>-36729</v>
      </c>
      <c r="CF324" s="542">
        <v>-4299</v>
      </c>
      <c r="CG324" s="542">
        <v>0</v>
      </c>
      <c r="CH324" s="542">
        <v>-4299</v>
      </c>
      <c r="CI324" s="542">
        <v>-815</v>
      </c>
      <c r="CJ324" s="542">
        <v>0</v>
      </c>
      <c r="CK324" s="542">
        <v>-815</v>
      </c>
      <c r="CL324" s="542">
        <v>0</v>
      </c>
      <c r="CM324" s="542">
        <v>0</v>
      </c>
      <c r="CN324" s="542">
        <v>0</v>
      </c>
      <c r="CO324" s="542">
        <v>-819</v>
      </c>
      <c r="CP324" s="542">
        <v>0</v>
      </c>
      <c r="CQ324" s="542">
        <v>-819</v>
      </c>
      <c r="CR324" s="542">
        <v>0</v>
      </c>
      <c r="CS324" s="542">
        <v>0</v>
      </c>
      <c r="CT324" s="542">
        <v>0</v>
      </c>
      <c r="CU324" s="542">
        <v>0</v>
      </c>
      <c r="CV324" s="542">
        <v>0</v>
      </c>
      <c r="CW324" s="542">
        <v>0</v>
      </c>
      <c r="CX324" s="542">
        <v>0</v>
      </c>
      <c r="CY324" s="542">
        <v>0</v>
      </c>
      <c r="CZ324" s="542">
        <v>0</v>
      </c>
      <c r="DA324" s="542">
        <v>-5356</v>
      </c>
      <c r="DB324" s="542">
        <v>0</v>
      </c>
      <c r="DC324" s="542">
        <v>-5356</v>
      </c>
      <c r="DD324" s="542">
        <v>-17703</v>
      </c>
      <c r="DE324" s="542">
        <v>0</v>
      </c>
      <c r="DF324" s="542">
        <v>-17703</v>
      </c>
      <c r="DG324" s="542"/>
      <c r="DH324" s="542">
        <v>0</v>
      </c>
      <c r="DI324" s="542"/>
      <c r="DJ324" s="542">
        <v>0</v>
      </c>
      <c r="DK324" s="542"/>
      <c r="DL324" s="542"/>
      <c r="DM324" s="542">
        <v>-71802</v>
      </c>
      <c r="DN324" s="542">
        <v>0</v>
      </c>
      <c r="DO324" s="542">
        <v>-71802</v>
      </c>
      <c r="DP324" s="542">
        <v>0</v>
      </c>
      <c r="DQ324" s="542">
        <v>0</v>
      </c>
      <c r="DR324" s="542">
        <v>0</v>
      </c>
      <c r="DS324" s="542">
        <v>0</v>
      </c>
      <c r="DT324" s="542">
        <v>0</v>
      </c>
      <c r="DU324" s="542">
        <v>0</v>
      </c>
      <c r="DV324" s="542">
        <v>-12245</v>
      </c>
      <c r="DW324" s="542">
        <v>0</v>
      </c>
      <c r="DX324" s="542">
        <v>-12245</v>
      </c>
      <c r="DY324" s="542">
        <v>-280308</v>
      </c>
      <c r="DZ324" s="542">
        <v>0</v>
      </c>
      <c r="EA324" s="542">
        <v>-280308</v>
      </c>
      <c r="EB324" s="542">
        <v>-15773</v>
      </c>
      <c r="EC324" s="542">
        <v>0</v>
      </c>
      <c r="ED324" s="542">
        <v>-15773</v>
      </c>
      <c r="EE324" s="542">
        <v>-118030</v>
      </c>
      <c r="EF324" s="542">
        <v>0</v>
      </c>
      <c r="EG324" s="542">
        <v>-118030</v>
      </c>
      <c r="EH324" s="542">
        <v>-426356</v>
      </c>
      <c r="EI324" s="542">
        <v>0</v>
      </c>
      <c r="EJ324" s="542">
        <v>-426356</v>
      </c>
      <c r="EK324" s="542">
        <v>0</v>
      </c>
      <c r="EL324" s="542">
        <v>0</v>
      </c>
      <c r="EM324" s="542">
        <v>0</v>
      </c>
      <c r="EN324" s="542">
        <v>0</v>
      </c>
      <c r="EO324" s="542">
        <v>0</v>
      </c>
      <c r="EP324" s="542">
        <v>0</v>
      </c>
      <c r="EQ324" s="542">
        <v>0</v>
      </c>
      <c r="ER324" s="542">
        <v>0</v>
      </c>
      <c r="ES324" s="542">
        <v>0</v>
      </c>
      <c r="ET324" s="542">
        <v>66359971</v>
      </c>
      <c r="EU324" s="542">
        <v>0</v>
      </c>
      <c r="EV324" s="542">
        <v>66359971</v>
      </c>
      <c r="EW324" s="542">
        <v>249440</v>
      </c>
      <c r="EX324" s="542">
        <v>0</v>
      </c>
      <c r="EY324" s="542">
        <v>249440</v>
      </c>
      <c r="EZ324" s="542">
        <v>-6901172</v>
      </c>
      <c r="FA324" s="542">
        <v>0</v>
      </c>
      <c r="FB324" s="542">
        <v>-6901172</v>
      </c>
      <c r="FC324" s="542">
        <v>-2320368</v>
      </c>
      <c r="FD324" s="542">
        <v>0</v>
      </c>
      <c r="FE324" s="542">
        <v>-2320368</v>
      </c>
      <c r="FF324" s="542">
        <v>-71802</v>
      </c>
      <c r="FG324" s="542">
        <v>0</v>
      </c>
      <c r="FH324" s="542">
        <v>-71802</v>
      </c>
      <c r="FI324" s="542">
        <v>-426356</v>
      </c>
      <c r="FJ324" s="542">
        <v>0</v>
      </c>
      <c r="FK324" s="542">
        <v>-426356</v>
      </c>
      <c r="FL324" s="542">
        <v>0</v>
      </c>
      <c r="FM324" s="542">
        <v>0</v>
      </c>
      <c r="FN324" s="542">
        <v>0</v>
      </c>
      <c r="FO324" s="542">
        <v>-9470258</v>
      </c>
      <c r="FP324" s="542">
        <v>0</v>
      </c>
      <c r="FQ324" s="542">
        <v>-9470258</v>
      </c>
      <c r="FR324" s="542">
        <v>56889713</v>
      </c>
      <c r="FS324" s="542">
        <v>0</v>
      </c>
      <c r="FT324" s="542">
        <v>56889713</v>
      </c>
    </row>
    <row r="325" spans="1:176" ht="12.75" x14ac:dyDescent="0.2">
      <c r="A325" s="93">
        <v>320</v>
      </c>
      <c r="B325" s="145" t="s">
        <v>518</v>
      </c>
      <c r="C325" s="604" t="s">
        <v>873</v>
      </c>
      <c r="D325" s="142" t="s">
        <v>876</v>
      </c>
      <c r="E325" s="149" t="s">
        <v>517</v>
      </c>
      <c r="F325" s="542">
        <v>-315213</v>
      </c>
      <c r="G325" s="542">
        <v>0</v>
      </c>
      <c r="H325" s="542">
        <v>-315213</v>
      </c>
      <c r="I325" s="542">
        <v>66804</v>
      </c>
      <c r="J325" s="542">
        <v>0</v>
      </c>
      <c r="K325" s="542">
        <v>66804</v>
      </c>
      <c r="L325" s="542">
        <v>11503</v>
      </c>
      <c r="M325" s="542">
        <v>0</v>
      </c>
      <c r="N325" s="542">
        <v>11503</v>
      </c>
      <c r="O325" s="542">
        <v>312589</v>
      </c>
      <c r="P325" s="542">
        <v>0</v>
      </c>
      <c r="Q325" s="542">
        <v>312589</v>
      </c>
      <c r="R325" s="542">
        <v>75683</v>
      </c>
      <c r="S325" s="542">
        <v>0</v>
      </c>
      <c r="T325" s="542">
        <v>75683</v>
      </c>
      <c r="U325" s="542">
        <v>-5299107</v>
      </c>
      <c r="V325" s="542">
        <v>0</v>
      </c>
      <c r="W325" s="542">
        <v>-5299107</v>
      </c>
      <c r="X325" s="542">
        <v>-11204</v>
      </c>
      <c r="Y325" s="542">
        <v>0</v>
      </c>
      <c r="Z325" s="542">
        <v>-11204</v>
      </c>
      <c r="AA325" s="542">
        <v>-392646</v>
      </c>
      <c r="AB325" s="542">
        <v>0</v>
      </c>
      <c r="AC325" s="542">
        <v>-392646</v>
      </c>
      <c r="AD325" s="542">
        <v>-195258</v>
      </c>
      <c r="AE325" s="542">
        <v>0</v>
      </c>
      <c r="AF325" s="542">
        <v>-195258</v>
      </c>
      <c r="AG325" s="542">
        <v>1771874</v>
      </c>
      <c r="AH325" s="542">
        <v>0</v>
      </c>
      <c r="AI325" s="542">
        <v>1771874</v>
      </c>
      <c r="AJ325" s="542">
        <v>49138</v>
      </c>
      <c r="AK325" s="542">
        <v>0</v>
      </c>
      <c r="AL325" s="542">
        <v>49138</v>
      </c>
      <c r="AM325" s="542">
        <v>-4381865</v>
      </c>
      <c r="AN325" s="542">
        <v>0</v>
      </c>
      <c r="AO325" s="542">
        <v>-4381865</v>
      </c>
      <c r="AP325" s="542">
        <v>88029</v>
      </c>
      <c r="AQ325" s="542">
        <v>0</v>
      </c>
      <c r="AR325" s="542">
        <v>88029</v>
      </c>
      <c r="AS325" s="542">
        <v>-20514</v>
      </c>
      <c r="AT325" s="542">
        <v>0</v>
      </c>
      <c r="AU325" s="542">
        <v>-20514</v>
      </c>
      <c r="AV325" s="542">
        <v>0</v>
      </c>
      <c r="AW325" s="542">
        <v>0</v>
      </c>
      <c r="AX325" s="542">
        <v>0</v>
      </c>
      <c r="AY325" s="542">
        <v>0</v>
      </c>
      <c r="AZ325" s="542">
        <v>0</v>
      </c>
      <c r="BA325" s="542">
        <v>0</v>
      </c>
      <c r="BB325" s="542">
        <v>0</v>
      </c>
      <c r="BC325" s="542">
        <v>0</v>
      </c>
      <c r="BD325" s="542">
        <v>0</v>
      </c>
      <c r="BE325" s="542">
        <v>-8185091</v>
      </c>
      <c r="BF325" s="542">
        <v>0</v>
      </c>
      <c r="BG325" s="542">
        <v>-8185091</v>
      </c>
      <c r="BH325" s="542">
        <v>-454</v>
      </c>
      <c r="BI325" s="542">
        <v>0</v>
      </c>
      <c r="BJ325" s="542">
        <v>-454</v>
      </c>
      <c r="BK325" s="542">
        <v>-295376</v>
      </c>
      <c r="BL325" s="542">
        <v>0</v>
      </c>
      <c r="BM325" s="542">
        <v>-295376</v>
      </c>
      <c r="BN325" s="542">
        <v>-3774615</v>
      </c>
      <c r="BO325" s="542">
        <v>0</v>
      </c>
      <c r="BP325" s="542">
        <v>-3774615</v>
      </c>
      <c r="BQ325" s="542">
        <v>-100032</v>
      </c>
      <c r="BR325" s="542">
        <v>0</v>
      </c>
      <c r="BS325" s="542">
        <v>-100032</v>
      </c>
      <c r="BT325" s="542">
        <v>-4170477</v>
      </c>
      <c r="BU325" s="542">
        <v>0</v>
      </c>
      <c r="BV325" s="542">
        <v>-4170477</v>
      </c>
      <c r="BW325" s="542">
        <v>-272478</v>
      </c>
      <c r="BX325" s="542">
        <v>0</v>
      </c>
      <c r="BY325" s="542">
        <v>-272478</v>
      </c>
      <c r="BZ325" s="542">
        <v>14879</v>
      </c>
      <c r="CA325" s="542">
        <v>0</v>
      </c>
      <c r="CB325" s="542">
        <v>14879</v>
      </c>
      <c r="CC325" s="542">
        <v>-386436</v>
      </c>
      <c r="CD325" s="542">
        <v>0</v>
      </c>
      <c r="CE325" s="542">
        <v>-386436</v>
      </c>
      <c r="CF325" s="542">
        <v>-13238</v>
      </c>
      <c r="CG325" s="542">
        <v>0</v>
      </c>
      <c r="CH325" s="542">
        <v>-13238</v>
      </c>
      <c r="CI325" s="542">
        <v>-2659</v>
      </c>
      <c r="CJ325" s="542">
        <v>0</v>
      </c>
      <c r="CK325" s="542">
        <v>-2659</v>
      </c>
      <c r="CL325" s="542">
        <v>0</v>
      </c>
      <c r="CM325" s="542">
        <v>0</v>
      </c>
      <c r="CN325" s="542">
        <v>0</v>
      </c>
      <c r="CO325" s="542">
        <v>0</v>
      </c>
      <c r="CP325" s="542">
        <v>0</v>
      </c>
      <c r="CQ325" s="542">
        <v>0</v>
      </c>
      <c r="CR325" s="542">
        <v>0</v>
      </c>
      <c r="CS325" s="542">
        <v>0</v>
      </c>
      <c r="CT325" s="542">
        <v>0</v>
      </c>
      <c r="CU325" s="542">
        <v>0</v>
      </c>
      <c r="CV325" s="542">
        <v>0</v>
      </c>
      <c r="CW325" s="542">
        <v>0</v>
      </c>
      <c r="CX325" s="542">
        <v>0</v>
      </c>
      <c r="CY325" s="542">
        <v>0</v>
      </c>
      <c r="CZ325" s="542">
        <v>0</v>
      </c>
      <c r="DA325" s="542">
        <v>0</v>
      </c>
      <c r="DB325" s="542">
        <v>0</v>
      </c>
      <c r="DC325" s="542">
        <v>0</v>
      </c>
      <c r="DD325" s="542">
        <v>0</v>
      </c>
      <c r="DE325" s="542">
        <v>0</v>
      </c>
      <c r="DF325" s="542">
        <v>0</v>
      </c>
      <c r="DG325" s="542"/>
      <c r="DH325" s="542">
        <v>0</v>
      </c>
      <c r="DI325" s="542"/>
      <c r="DJ325" s="542">
        <v>0</v>
      </c>
      <c r="DK325" s="542"/>
      <c r="DL325" s="542"/>
      <c r="DM325" s="542">
        <v>-659932</v>
      </c>
      <c r="DN325" s="542">
        <v>0</v>
      </c>
      <c r="DO325" s="542">
        <v>-659932</v>
      </c>
      <c r="DP325" s="542">
        <v>0</v>
      </c>
      <c r="DQ325" s="542">
        <v>0</v>
      </c>
      <c r="DR325" s="542">
        <v>0</v>
      </c>
      <c r="DS325" s="542">
        <v>0</v>
      </c>
      <c r="DT325" s="542">
        <v>0</v>
      </c>
      <c r="DU325" s="542">
        <v>0</v>
      </c>
      <c r="DV325" s="542">
        <v>-32926</v>
      </c>
      <c r="DW325" s="542">
        <v>0</v>
      </c>
      <c r="DX325" s="542">
        <v>-32926</v>
      </c>
      <c r="DY325" s="542">
        <v>-495053</v>
      </c>
      <c r="DZ325" s="542">
        <v>0</v>
      </c>
      <c r="EA325" s="542">
        <v>-495053</v>
      </c>
      <c r="EB325" s="542">
        <v>0</v>
      </c>
      <c r="EC325" s="542">
        <v>0</v>
      </c>
      <c r="ED325" s="542">
        <v>0</v>
      </c>
      <c r="EE325" s="542">
        <v>0</v>
      </c>
      <c r="EF325" s="542">
        <v>0</v>
      </c>
      <c r="EG325" s="542">
        <v>0</v>
      </c>
      <c r="EH325" s="542">
        <v>-527979</v>
      </c>
      <c r="EI325" s="542">
        <v>0</v>
      </c>
      <c r="EJ325" s="542">
        <v>-527979</v>
      </c>
      <c r="EK325" s="542">
        <v>0</v>
      </c>
      <c r="EL325" s="542">
        <v>0</v>
      </c>
      <c r="EM325" s="542">
        <v>0</v>
      </c>
      <c r="EN325" s="542">
        <v>0</v>
      </c>
      <c r="EO325" s="542">
        <v>0</v>
      </c>
      <c r="EP325" s="542">
        <v>0</v>
      </c>
      <c r="EQ325" s="542">
        <v>0</v>
      </c>
      <c r="ER325" s="542">
        <v>0</v>
      </c>
      <c r="ES325" s="542">
        <v>0</v>
      </c>
      <c r="ET325" s="542">
        <v>87247179</v>
      </c>
      <c r="EU325" s="542">
        <v>87362</v>
      </c>
      <c r="EV325" s="542">
        <v>87334541</v>
      </c>
      <c r="EW325" s="542">
        <v>75683</v>
      </c>
      <c r="EX325" s="542">
        <v>0</v>
      </c>
      <c r="EY325" s="542">
        <v>75683</v>
      </c>
      <c r="EZ325" s="542">
        <v>-8185091</v>
      </c>
      <c r="FA325" s="542">
        <v>0</v>
      </c>
      <c r="FB325" s="542">
        <v>-8185091</v>
      </c>
      <c r="FC325" s="542">
        <v>-4170477</v>
      </c>
      <c r="FD325" s="542">
        <v>0</v>
      </c>
      <c r="FE325" s="542">
        <v>-4170477</v>
      </c>
      <c r="FF325" s="542">
        <v>-659932</v>
      </c>
      <c r="FG325" s="542">
        <v>0</v>
      </c>
      <c r="FH325" s="542">
        <v>-659932</v>
      </c>
      <c r="FI325" s="542">
        <v>-527979</v>
      </c>
      <c r="FJ325" s="542">
        <v>0</v>
      </c>
      <c r="FK325" s="542">
        <v>-527979</v>
      </c>
      <c r="FL325" s="542">
        <v>0</v>
      </c>
      <c r="FM325" s="542">
        <v>0</v>
      </c>
      <c r="FN325" s="542">
        <v>0</v>
      </c>
      <c r="FO325" s="542">
        <v>-13467796</v>
      </c>
      <c r="FP325" s="542">
        <v>0</v>
      </c>
      <c r="FQ325" s="542">
        <v>-13467796</v>
      </c>
      <c r="FR325" s="542">
        <v>73779383</v>
      </c>
      <c r="FS325" s="542">
        <v>87362</v>
      </c>
      <c r="FT325" s="542">
        <v>73866745</v>
      </c>
    </row>
    <row r="326" spans="1:176" ht="12.75" x14ac:dyDescent="0.2">
      <c r="A326" s="93">
        <v>321</v>
      </c>
      <c r="B326" s="145" t="s">
        <v>520</v>
      </c>
      <c r="C326" s="604" t="s">
        <v>866</v>
      </c>
      <c r="D326" s="142" t="s">
        <v>876</v>
      </c>
      <c r="E326" s="149" t="s">
        <v>519</v>
      </c>
      <c r="F326" s="542">
        <v>-42796</v>
      </c>
      <c r="G326" s="542">
        <v>0</v>
      </c>
      <c r="H326" s="542">
        <v>-42796</v>
      </c>
      <c r="I326" s="542">
        <v>6876</v>
      </c>
      <c r="J326" s="542">
        <v>0</v>
      </c>
      <c r="K326" s="542">
        <v>6876</v>
      </c>
      <c r="L326" s="542">
        <v>12674</v>
      </c>
      <c r="M326" s="542">
        <v>0</v>
      </c>
      <c r="N326" s="542">
        <v>12674</v>
      </c>
      <c r="O326" s="542">
        <v>212078</v>
      </c>
      <c r="P326" s="542">
        <v>0</v>
      </c>
      <c r="Q326" s="542">
        <v>212078</v>
      </c>
      <c r="R326" s="542">
        <v>188832</v>
      </c>
      <c r="S326" s="542">
        <v>0</v>
      </c>
      <c r="T326" s="542">
        <v>188832</v>
      </c>
      <c r="U326" s="542">
        <v>-1799707</v>
      </c>
      <c r="V326" s="542">
        <v>0</v>
      </c>
      <c r="W326" s="542">
        <v>-1799707</v>
      </c>
      <c r="X326" s="542">
        <v>-2226</v>
      </c>
      <c r="Y326" s="542">
        <v>0</v>
      </c>
      <c r="Z326" s="542">
        <v>-2226</v>
      </c>
      <c r="AA326" s="542">
        <v>-95700</v>
      </c>
      <c r="AB326" s="542">
        <v>0</v>
      </c>
      <c r="AC326" s="542">
        <v>-95700</v>
      </c>
      <c r="AD326" s="542">
        <v>-40472</v>
      </c>
      <c r="AE326" s="542">
        <v>0</v>
      </c>
      <c r="AF326" s="542">
        <v>-40472</v>
      </c>
      <c r="AG326" s="542">
        <v>986512</v>
      </c>
      <c r="AH326" s="542">
        <v>0</v>
      </c>
      <c r="AI326" s="542">
        <v>986512</v>
      </c>
      <c r="AJ326" s="542">
        <v>-20460</v>
      </c>
      <c r="AK326" s="542">
        <v>0</v>
      </c>
      <c r="AL326" s="542">
        <v>-20460</v>
      </c>
      <c r="AM326" s="542">
        <v>-3319927</v>
      </c>
      <c r="AN326" s="542">
        <v>0</v>
      </c>
      <c r="AO326" s="542">
        <v>-3319927</v>
      </c>
      <c r="AP326" s="542">
        <v>58435</v>
      </c>
      <c r="AQ326" s="542">
        <v>0</v>
      </c>
      <c r="AR326" s="542">
        <v>58435</v>
      </c>
      <c r="AS326" s="542">
        <v>-17641</v>
      </c>
      <c r="AT326" s="542">
        <v>0</v>
      </c>
      <c r="AU326" s="542">
        <v>-17641</v>
      </c>
      <c r="AV326" s="542">
        <v>0</v>
      </c>
      <c r="AW326" s="542">
        <v>0</v>
      </c>
      <c r="AX326" s="542">
        <v>0</v>
      </c>
      <c r="AY326" s="542">
        <v>0</v>
      </c>
      <c r="AZ326" s="542">
        <v>0</v>
      </c>
      <c r="BA326" s="542">
        <v>0</v>
      </c>
      <c r="BB326" s="542">
        <v>0</v>
      </c>
      <c r="BC326" s="542">
        <v>0</v>
      </c>
      <c r="BD326" s="542">
        <v>0</v>
      </c>
      <c r="BE326" s="542">
        <v>-4208488</v>
      </c>
      <c r="BF326" s="542">
        <v>0</v>
      </c>
      <c r="BG326" s="542">
        <v>-4208488</v>
      </c>
      <c r="BH326" s="542">
        <v>-214719</v>
      </c>
      <c r="BI326" s="542">
        <v>0</v>
      </c>
      <c r="BJ326" s="542">
        <v>-214719</v>
      </c>
      <c r="BK326" s="542">
        <v>-70493</v>
      </c>
      <c r="BL326" s="542">
        <v>0</v>
      </c>
      <c r="BM326" s="542">
        <v>-70493</v>
      </c>
      <c r="BN326" s="542">
        <v>-1783278</v>
      </c>
      <c r="BO326" s="542">
        <v>0</v>
      </c>
      <c r="BP326" s="542">
        <v>-1783278</v>
      </c>
      <c r="BQ326" s="542">
        <v>-91265</v>
      </c>
      <c r="BR326" s="542">
        <v>0</v>
      </c>
      <c r="BS326" s="542">
        <v>-91265</v>
      </c>
      <c r="BT326" s="542">
        <v>-2159755</v>
      </c>
      <c r="BU326" s="542">
        <v>0</v>
      </c>
      <c r="BV326" s="542">
        <v>-2159755</v>
      </c>
      <c r="BW326" s="542">
        <v>-201865</v>
      </c>
      <c r="BX326" s="542">
        <v>0</v>
      </c>
      <c r="BY326" s="542">
        <v>-201865</v>
      </c>
      <c r="BZ326" s="542">
        <v>1854</v>
      </c>
      <c r="CA326" s="542">
        <v>0</v>
      </c>
      <c r="CB326" s="542">
        <v>1854</v>
      </c>
      <c r="CC326" s="542">
        <v>-16784</v>
      </c>
      <c r="CD326" s="542">
        <v>0</v>
      </c>
      <c r="CE326" s="542">
        <v>-16784</v>
      </c>
      <c r="CF326" s="542">
        <v>-5916</v>
      </c>
      <c r="CG326" s="542">
        <v>0</v>
      </c>
      <c r="CH326" s="542">
        <v>-5916</v>
      </c>
      <c r="CI326" s="542">
        <v>-4410</v>
      </c>
      <c r="CJ326" s="542">
        <v>0</v>
      </c>
      <c r="CK326" s="542">
        <v>-4410</v>
      </c>
      <c r="CL326" s="542">
        <v>0</v>
      </c>
      <c r="CM326" s="542">
        <v>0</v>
      </c>
      <c r="CN326" s="542">
        <v>0</v>
      </c>
      <c r="CO326" s="542">
        <v>0</v>
      </c>
      <c r="CP326" s="542">
        <v>0</v>
      </c>
      <c r="CQ326" s="542">
        <v>0</v>
      </c>
      <c r="CR326" s="542">
        <v>0</v>
      </c>
      <c r="CS326" s="542">
        <v>0</v>
      </c>
      <c r="CT326" s="542">
        <v>0</v>
      </c>
      <c r="CU326" s="542">
        <v>0</v>
      </c>
      <c r="CV326" s="542">
        <v>0</v>
      </c>
      <c r="CW326" s="542">
        <v>0</v>
      </c>
      <c r="CX326" s="542">
        <v>0</v>
      </c>
      <c r="CY326" s="542">
        <v>0</v>
      </c>
      <c r="CZ326" s="542">
        <v>0</v>
      </c>
      <c r="DA326" s="542">
        <v>0</v>
      </c>
      <c r="DB326" s="542">
        <v>0</v>
      </c>
      <c r="DC326" s="542">
        <v>0</v>
      </c>
      <c r="DD326" s="542">
        <v>0</v>
      </c>
      <c r="DE326" s="542">
        <v>0</v>
      </c>
      <c r="DF326" s="542">
        <v>0</v>
      </c>
      <c r="DG326" s="542"/>
      <c r="DH326" s="542">
        <v>0</v>
      </c>
      <c r="DI326" s="542"/>
      <c r="DJ326" s="542">
        <v>0</v>
      </c>
      <c r="DK326" s="542"/>
      <c r="DL326" s="542"/>
      <c r="DM326" s="542">
        <v>-227121</v>
      </c>
      <c r="DN326" s="542">
        <v>0</v>
      </c>
      <c r="DO326" s="542">
        <v>-227121</v>
      </c>
      <c r="DP326" s="542">
        <v>0</v>
      </c>
      <c r="DQ326" s="542">
        <v>0</v>
      </c>
      <c r="DR326" s="542">
        <v>0</v>
      </c>
      <c r="DS326" s="542">
        <v>0</v>
      </c>
      <c r="DT326" s="542">
        <v>0</v>
      </c>
      <c r="DU326" s="542">
        <v>0</v>
      </c>
      <c r="DV326" s="542">
        <v>-7620</v>
      </c>
      <c r="DW326" s="542">
        <v>0</v>
      </c>
      <c r="DX326" s="542">
        <v>-7620</v>
      </c>
      <c r="DY326" s="542">
        <v>-488024</v>
      </c>
      <c r="DZ326" s="542">
        <v>0</v>
      </c>
      <c r="EA326" s="542">
        <v>-488024</v>
      </c>
      <c r="EB326" s="542">
        <v>-35988</v>
      </c>
      <c r="EC326" s="542">
        <v>0</v>
      </c>
      <c r="ED326" s="542">
        <v>-35988</v>
      </c>
      <c r="EE326" s="542">
        <v>-22141</v>
      </c>
      <c r="EF326" s="542">
        <v>0</v>
      </c>
      <c r="EG326" s="542">
        <v>-22141</v>
      </c>
      <c r="EH326" s="542">
        <v>-553773</v>
      </c>
      <c r="EI326" s="542">
        <v>0</v>
      </c>
      <c r="EJ326" s="542">
        <v>-553773</v>
      </c>
      <c r="EK326" s="542">
        <v>-6782</v>
      </c>
      <c r="EL326" s="542">
        <v>0</v>
      </c>
      <c r="EM326" s="542">
        <v>-6782</v>
      </c>
      <c r="EN326" s="542">
        <v>0</v>
      </c>
      <c r="EO326" s="542">
        <v>0</v>
      </c>
      <c r="EP326" s="542">
        <v>0</v>
      </c>
      <c r="EQ326" s="542">
        <v>-6782</v>
      </c>
      <c r="ER326" s="542">
        <v>0</v>
      </c>
      <c r="ES326" s="542">
        <v>-6782</v>
      </c>
      <c r="ET326" s="542">
        <v>46834847</v>
      </c>
      <c r="EU326" s="542">
        <v>0</v>
      </c>
      <c r="EV326" s="542">
        <v>46834847</v>
      </c>
      <c r="EW326" s="542">
        <v>188832</v>
      </c>
      <c r="EX326" s="542">
        <v>0</v>
      </c>
      <c r="EY326" s="542">
        <v>188832</v>
      </c>
      <c r="EZ326" s="542">
        <v>-4208488</v>
      </c>
      <c r="FA326" s="542">
        <v>0</v>
      </c>
      <c r="FB326" s="542">
        <v>-4208488</v>
      </c>
      <c r="FC326" s="542">
        <v>-2159755</v>
      </c>
      <c r="FD326" s="542">
        <v>0</v>
      </c>
      <c r="FE326" s="542">
        <v>-2159755</v>
      </c>
      <c r="FF326" s="542">
        <v>-227121</v>
      </c>
      <c r="FG326" s="542">
        <v>0</v>
      </c>
      <c r="FH326" s="542">
        <v>-227121</v>
      </c>
      <c r="FI326" s="542">
        <v>-553773</v>
      </c>
      <c r="FJ326" s="542">
        <v>0</v>
      </c>
      <c r="FK326" s="542">
        <v>-553773</v>
      </c>
      <c r="FL326" s="542">
        <v>-6782</v>
      </c>
      <c r="FM326" s="542">
        <v>0</v>
      </c>
      <c r="FN326" s="542">
        <v>-6782</v>
      </c>
      <c r="FO326" s="542">
        <v>-6967087</v>
      </c>
      <c r="FP326" s="542">
        <v>0</v>
      </c>
      <c r="FQ326" s="542">
        <v>-6967087</v>
      </c>
      <c r="FR326" s="542">
        <v>39867760</v>
      </c>
      <c r="FS326" s="542">
        <v>0</v>
      </c>
      <c r="FT326" s="542">
        <v>39867760</v>
      </c>
    </row>
    <row r="327" spans="1:176" ht="12.75" x14ac:dyDescent="0.2">
      <c r="A327" s="93">
        <v>322</v>
      </c>
      <c r="B327" s="145" t="s">
        <v>522</v>
      </c>
      <c r="C327" s="604" t="s">
        <v>866</v>
      </c>
      <c r="D327" s="142" t="s">
        <v>867</v>
      </c>
      <c r="E327" s="149" t="s">
        <v>521</v>
      </c>
      <c r="F327" s="542">
        <v>-30222</v>
      </c>
      <c r="G327" s="542">
        <v>0</v>
      </c>
      <c r="H327" s="542">
        <v>-30222</v>
      </c>
      <c r="I327" s="542">
        <v>83804</v>
      </c>
      <c r="J327" s="542">
        <v>0</v>
      </c>
      <c r="K327" s="542">
        <v>83804</v>
      </c>
      <c r="L327" s="542">
        <v>8425</v>
      </c>
      <c r="M327" s="542">
        <v>0</v>
      </c>
      <c r="N327" s="542">
        <v>8425</v>
      </c>
      <c r="O327" s="542">
        <v>10797</v>
      </c>
      <c r="P327" s="542">
        <v>0</v>
      </c>
      <c r="Q327" s="542">
        <v>10797</v>
      </c>
      <c r="R327" s="542">
        <v>72804</v>
      </c>
      <c r="S327" s="542">
        <v>0</v>
      </c>
      <c r="T327" s="542">
        <v>72804</v>
      </c>
      <c r="U327" s="542">
        <v>-2043353</v>
      </c>
      <c r="V327" s="542">
        <v>0</v>
      </c>
      <c r="W327" s="542">
        <v>-2043353</v>
      </c>
      <c r="X327" s="542">
        <v>0</v>
      </c>
      <c r="Y327" s="542">
        <v>0</v>
      </c>
      <c r="Z327" s="542">
        <v>0</v>
      </c>
      <c r="AA327" s="542">
        <v>-82400</v>
      </c>
      <c r="AB327" s="542">
        <v>0</v>
      </c>
      <c r="AC327" s="542">
        <v>-82400</v>
      </c>
      <c r="AD327" s="542">
        <v>0</v>
      </c>
      <c r="AE327" s="542">
        <v>0</v>
      </c>
      <c r="AF327" s="542">
        <v>0</v>
      </c>
      <c r="AG327" s="542">
        <v>719639</v>
      </c>
      <c r="AH327" s="542">
        <v>0</v>
      </c>
      <c r="AI327" s="542">
        <v>719639</v>
      </c>
      <c r="AJ327" s="542">
        <v>-18132</v>
      </c>
      <c r="AK327" s="542">
        <v>0</v>
      </c>
      <c r="AL327" s="542">
        <v>-18132</v>
      </c>
      <c r="AM327" s="542">
        <v>-1983923</v>
      </c>
      <c r="AN327" s="542">
        <v>0</v>
      </c>
      <c r="AO327" s="542">
        <v>-1983923</v>
      </c>
      <c r="AP327" s="542">
        <v>-53544</v>
      </c>
      <c r="AQ327" s="542">
        <v>0</v>
      </c>
      <c r="AR327" s="542">
        <v>-53544</v>
      </c>
      <c r="AS327" s="542">
        <v>-34762</v>
      </c>
      <c r="AT327" s="542">
        <v>0</v>
      </c>
      <c r="AU327" s="542">
        <v>-34762</v>
      </c>
      <c r="AV327" s="542">
        <v>0</v>
      </c>
      <c r="AW327" s="542">
        <v>0</v>
      </c>
      <c r="AX327" s="542">
        <v>0</v>
      </c>
      <c r="AY327" s="542">
        <v>0</v>
      </c>
      <c r="AZ327" s="542">
        <v>0</v>
      </c>
      <c r="BA327" s="542">
        <v>0</v>
      </c>
      <c r="BB327" s="542">
        <v>0</v>
      </c>
      <c r="BC327" s="542">
        <v>0</v>
      </c>
      <c r="BD327" s="542">
        <v>0</v>
      </c>
      <c r="BE327" s="542">
        <v>-3496475</v>
      </c>
      <c r="BF327" s="542">
        <v>0</v>
      </c>
      <c r="BG327" s="542">
        <v>-3496475</v>
      </c>
      <c r="BH327" s="542">
        <v>-3786</v>
      </c>
      <c r="BI327" s="542">
        <v>0</v>
      </c>
      <c r="BJ327" s="542">
        <v>-3786</v>
      </c>
      <c r="BK327" s="542">
        <v>-2587</v>
      </c>
      <c r="BL327" s="542">
        <v>0</v>
      </c>
      <c r="BM327" s="542">
        <v>-2587</v>
      </c>
      <c r="BN327" s="542">
        <v>-982342</v>
      </c>
      <c r="BO327" s="542">
        <v>0</v>
      </c>
      <c r="BP327" s="542">
        <v>-982342</v>
      </c>
      <c r="BQ327" s="542">
        <v>26957</v>
      </c>
      <c r="BR327" s="542">
        <v>0</v>
      </c>
      <c r="BS327" s="542">
        <v>26957</v>
      </c>
      <c r="BT327" s="542">
        <v>-961758</v>
      </c>
      <c r="BU327" s="542">
        <v>0</v>
      </c>
      <c r="BV327" s="542">
        <v>-961758</v>
      </c>
      <c r="BW327" s="542">
        <v>-90543</v>
      </c>
      <c r="BX327" s="542">
        <v>0</v>
      </c>
      <c r="BY327" s="542">
        <v>-90543</v>
      </c>
      <c r="BZ327" s="542">
        <v>-1577</v>
      </c>
      <c r="CA327" s="542">
        <v>0</v>
      </c>
      <c r="CB327" s="542">
        <v>-1577</v>
      </c>
      <c r="CC327" s="542">
        <v>-5422</v>
      </c>
      <c r="CD327" s="542">
        <v>0</v>
      </c>
      <c r="CE327" s="542">
        <v>-5422</v>
      </c>
      <c r="CF327" s="542">
        <v>-1729</v>
      </c>
      <c r="CG327" s="542">
        <v>0</v>
      </c>
      <c r="CH327" s="542">
        <v>-1729</v>
      </c>
      <c r="CI327" s="542">
        <v>0</v>
      </c>
      <c r="CJ327" s="542">
        <v>0</v>
      </c>
      <c r="CK327" s="542">
        <v>0</v>
      </c>
      <c r="CL327" s="542">
        <v>0</v>
      </c>
      <c r="CM327" s="542">
        <v>0</v>
      </c>
      <c r="CN327" s="542">
        <v>0</v>
      </c>
      <c r="CO327" s="542">
        <v>0</v>
      </c>
      <c r="CP327" s="542">
        <v>0</v>
      </c>
      <c r="CQ327" s="542">
        <v>0</v>
      </c>
      <c r="CR327" s="542">
        <v>0</v>
      </c>
      <c r="CS327" s="542">
        <v>0</v>
      </c>
      <c r="CT327" s="542">
        <v>0</v>
      </c>
      <c r="CU327" s="542">
        <v>0</v>
      </c>
      <c r="CV327" s="542">
        <v>0</v>
      </c>
      <c r="CW327" s="542">
        <v>0</v>
      </c>
      <c r="CX327" s="542">
        <v>0</v>
      </c>
      <c r="CY327" s="542">
        <v>0</v>
      </c>
      <c r="CZ327" s="542">
        <v>0</v>
      </c>
      <c r="DA327" s="542">
        <v>0</v>
      </c>
      <c r="DB327" s="542">
        <v>0</v>
      </c>
      <c r="DC327" s="542">
        <v>0</v>
      </c>
      <c r="DD327" s="542">
        <v>0</v>
      </c>
      <c r="DE327" s="542">
        <v>0</v>
      </c>
      <c r="DF327" s="542">
        <v>0</v>
      </c>
      <c r="DG327" s="542"/>
      <c r="DH327" s="542">
        <v>0</v>
      </c>
      <c r="DI327" s="542"/>
      <c r="DJ327" s="542">
        <v>0</v>
      </c>
      <c r="DK327" s="542"/>
      <c r="DL327" s="542"/>
      <c r="DM327" s="542">
        <v>-99271</v>
      </c>
      <c r="DN327" s="542">
        <v>0</v>
      </c>
      <c r="DO327" s="542">
        <v>-99271</v>
      </c>
      <c r="DP327" s="542">
        <v>-5529</v>
      </c>
      <c r="DQ327" s="542">
        <v>0</v>
      </c>
      <c r="DR327" s="542">
        <v>-5529</v>
      </c>
      <c r="DS327" s="542">
        <v>0</v>
      </c>
      <c r="DT327" s="542">
        <v>0</v>
      </c>
      <c r="DU327" s="542">
        <v>0</v>
      </c>
      <c r="DV327" s="542">
        <v>0</v>
      </c>
      <c r="DW327" s="542">
        <v>0</v>
      </c>
      <c r="DX327" s="542">
        <v>0</v>
      </c>
      <c r="DY327" s="542">
        <v>-535188</v>
      </c>
      <c r="DZ327" s="542">
        <v>0</v>
      </c>
      <c r="EA327" s="542">
        <v>-535188</v>
      </c>
      <c r="EB327" s="542">
        <v>0</v>
      </c>
      <c r="EC327" s="542">
        <v>0</v>
      </c>
      <c r="ED327" s="542">
        <v>0</v>
      </c>
      <c r="EE327" s="542">
        <v>0</v>
      </c>
      <c r="EF327" s="542">
        <v>0</v>
      </c>
      <c r="EG327" s="542">
        <v>0</v>
      </c>
      <c r="EH327" s="542">
        <v>-540717</v>
      </c>
      <c r="EI327" s="542">
        <v>0</v>
      </c>
      <c r="EJ327" s="542">
        <v>-540717</v>
      </c>
      <c r="EK327" s="542">
        <v>0</v>
      </c>
      <c r="EL327" s="542">
        <v>0</v>
      </c>
      <c r="EM327" s="542">
        <v>0</v>
      </c>
      <c r="EN327" s="542">
        <v>0</v>
      </c>
      <c r="EO327" s="542">
        <v>0</v>
      </c>
      <c r="EP327" s="542">
        <v>0</v>
      </c>
      <c r="EQ327" s="542">
        <v>0</v>
      </c>
      <c r="ER327" s="542">
        <v>0</v>
      </c>
      <c r="ES327" s="542">
        <v>0</v>
      </c>
      <c r="ET327" s="542">
        <v>35722302</v>
      </c>
      <c r="EU327" s="542">
        <v>0</v>
      </c>
      <c r="EV327" s="542">
        <v>35722302</v>
      </c>
      <c r="EW327" s="542">
        <v>72804</v>
      </c>
      <c r="EX327" s="542">
        <v>0</v>
      </c>
      <c r="EY327" s="542">
        <v>72804</v>
      </c>
      <c r="EZ327" s="542">
        <v>-3496475</v>
      </c>
      <c r="FA327" s="542">
        <v>0</v>
      </c>
      <c r="FB327" s="542">
        <v>-3496475</v>
      </c>
      <c r="FC327" s="542">
        <v>-961758</v>
      </c>
      <c r="FD327" s="542">
        <v>0</v>
      </c>
      <c r="FE327" s="542">
        <v>-961758</v>
      </c>
      <c r="FF327" s="542">
        <v>-99271</v>
      </c>
      <c r="FG327" s="542">
        <v>0</v>
      </c>
      <c r="FH327" s="542">
        <v>-99271</v>
      </c>
      <c r="FI327" s="542">
        <v>-540717</v>
      </c>
      <c r="FJ327" s="542">
        <v>0</v>
      </c>
      <c r="FK327" s="542">
        <v>-540717</v>
      </c>
      <c r="FL327" s="542">
        <v>0</v>
      </c>
      <c r="FM327" s="542">
        <v>0</v>
      </c>
      <c r="FN327" s="542">
        <v>0</v>
      </c>
      <c r="FO327" s="542">
        <v>-5025417</v>
      </c>
      <c r="FP327" s="542">
        <v>0</v>
      </c>
      <c r="FQ327" s="542">
        <v>-5025417</v>
      </c>
      <c r="FR327" s="542">
        <v>30696885</v>
      </c>
      <c r="FS327" s="542">
        <v>0</v>
      </c>
      <c r="FT327" s="542">
        <v>30696885</v>
      </c>
    </row>
    <row r="328" spans="1:176" ht="12.75" x14ac:dyDescent="0.2">
      <c r="A328" s="93">
        <v>323</v>
      </c>
      <c r="B328" s="145" t="s">
        <v>524</v>
      </c>
      <c r="C328" s="604" t="s">
        <v>866</v>
      </c>
      <c r="D328" s="142" t="s">
        <v>876</v>
      </c>
      <c r="E328" s="149" t="s">
        <v>523</v>
      </c>
      <c r="F328" s="542">
        <v>-39964</v>
      </c>
      <c r="G328" s="542">
        <v>0</v>
      </c>
      <c r="H328" s="542">
        <v>-39964</v>
      </c>
      <c r="I328" s="542">
        <v>6379</v>
      </c>
      <c r="J328" s="542">
        <v>0</v>
      </c>
      <c r="K328" s="542">
        <v>6379</v>
      </c>
      <c r="L328" s="542">
        <v>9371</v>
      </c>
      <c r="M328" s="542">
        <v>0</v>
      </c>
      <c r="N328" s="542">
        <v>9371</v>
      </c>
      <c r="O328" s="542">
        <v>15054</v>
      </c>
      <c r="P328" s="542">
        <v>0</v>
      </c>
      <c r="Q328" s="542">
        <v>15054</v>
      </c>
      <c r="R328" s="542">
        <v>-9160</v>
      </c>
      <c r="S328" s="542">
        <v>0</v>
      </c>
      <c r="T328" s="542">
        <v>-9160</v>
      </c>
      <c r="U328" s="542">
        <v>-3076094</v>
      </c>
      <c r="V328" s="542">
        <v>0</v>
      </c>
      <c r="W328" s="542">
        <v>-3076094</v>
      </c>
      <c r="X328" s="542">
        <v>-1833</v>
      </c>
      <c r="Y328" s="542">
        <v>0</v>
      </c>
      <c r="Z328" s="542">
        <v>-1833</v>
      </c>
      <c r="AA328" s="542">
        <v>-172992</v>
      </c>
      <c r="AB328" s="542">
        <v>0</v>
      </c>
      <c r="AC328" s="542">
        <v>-172992</v>
      </c>
      <c r="AD328" s="542">
        <v>-77675</v>
      </c>
      <c r="AE328" s="542">
        <v>0</v>
      </c>
      <c r="AF328" s="542">
        <v>-77675</v>
      </c>
      <c r="AG328" s="542">
        <v>906299</v>
      </c>
      <c r="AH328" s="542">
        <v>0</v>
      </c>
      <c r="AI328" s="542">
        <v>906299</v>
      </c>
      <c r="AJ328" s="542">
        <v>-7011</v>
      </c>
      <c r="AK328" s="542">
        <v>0</v>
      </c>
      <c r="AL328" s="542">
        <v>-7011</v>
      </c>
      <c r="AM328" s="542">
        <v>-1832260</v>
      </c>
      <c r="AN328" s="542">
        <v>0</v>
      </c>
      <c r="AO328" s="542">
        <v>-1832260</v>
      </c>
      <c r="AP328" s="542">
        <v>9398</v>
      </c>
      <c r="AQ328" s="542">
        <v>0</v>
      </c>
      <c r="AR328" s="542">
        <v>9398</v>
      </c>
      <c r="AS328" s="542">
        <v>-41751</v>
      </c>
      <c r="AT328" s="542">
        <v>0</v>
      </c>
      <c r="AU328" s="542">
        <v>-41751</v>
      </c>
      <c r="AV328" s="542">
        <v>0</v>
      </c>
      <c r="AW328" s="542">
        <v>0</v>
      </c>
      <c r="AX328" s="542">
        <v>0</v>
      </c>
      <c r="AY328" s="542">
        <v>-65651</v>
      </c>
      <c r="AZ328" s="542">
        <v>0</v>
      </c>
      <c r="BA328" s="542">
        <v>-65651</v>
      </c>
      <c r="BB328" s="542">
        <v>47</v>
      </c>
      <c r="BC328" s="542">
        <v>0</v>
      </c>
      <c r="BD328" s="542">
        <v>47</v>
      </c>
      <c r="BE328" s="542">
        <v>-4280015</v>
      </c>
      <c r="BF328" s="542">
        <v>0</v>
      </c>
      <c r="BG328" s="542">
        <v>-4280015</v>
      </c>
      <c r="BH328" s="542">
        <v>-220959</v>
      </c>
      <c r="BI328" s="542">
        <v>0</v>
      </c>
      <c r="BJ328" s="542">
        <v>-220959</v>
      </c>
      <c r="BK328" s="542">
        <v>-5755</v>
      </c>
      <c r="BL328" s="542">
        <v>0</v>
      </c>
      <c r="BM328" s="542">
        <v>-5755</v>
      </c>
      <c r="BN328" s="542">
        <v>-1772936</v>
      </c>
      <c r="BO328" s="542">
        <v>0</v>
      </c>
      <c r="BP328" s="542">
        <v>-1772936</v>
      </c>
      <c r="BQ328" s="542">
        <v>-24443</v>
      </c>
      <c r="BR328" s="542">
        <v>0</v>
      </c>
      <c r="BS328" s="542">
        <v>-24443</v>
      </c>
      <c r="BT328" s="542">
        <v>-2024093</v>
      </c>
      <c r="BU328" s="542">
        <v>0</v>
      </c>
      <c r="BV328" s="542">
        <v>-2024093</v>
      </c>
      <c r="BW328" s="542">
        <v>-202120</v>
      </c>
      <c r="BX328" s="542">
        <v>0</v>
      </c>
      <c r="BY328" s="542">
        <v>-202120</v>
      </c>
      <c r="BZ328" s="542">
        <v>3103</v>
      </c>
      <c r="CA328" s="542">
        <v>0</v>
      </c>
      <c r="CB328" s="542">
        <v>3103</v>
      </c>
      <c r="CC328" s="542">
        <v>-64359</v>
      </c>
      <c r="CD328" s="542">
        <v>0</v>
      </c>
      <c r="CE328" s="542">
        <v>-64359</v>
      </c>
      <c r="CF328" s="542">
        <v>-1064</v>
      </c>
      <c r="CG328" s="542">
        <v>0</v>
      </c>
      <c r="CH328" s="542">
        <v>-1064</v>
      </c>
      <c r="CI328" s="542">
        <v>-9949</v>
      </c>
      <c r="CJ328" s="542">
        <v>0</v>
      </c>
      <c r="CK328" s="542">
        <v>-9949</v>
      </c>
      <c r="CL328" s="542">
        <v>0</v>
      </c>
      <c r="CM328" s="542">
        <v>0</v>
      </c>
      <c r="CN328" s="542">
        <v>0</v>
      </c>
      <c r="CO328" s="542">
        <v>-51510</v>
      </c>
      <c r="CP328" s="542">
        <v>0</v>
      </c>
      <c r="CQ328" s="542">
        <v>-51510</v>
      </c>
      <c r="CR328" s="542">
        <v>-2693</v>
      </c>
      <c r="CS328" s="542">
        <v>0</v>
      </c>
      <c r="CT328" s="542">
        <v>-2693</v>
      </c>
      <c r="CU328" s="542">
        <v>-27655</v>
      </c>
      <c r="CV328" s="542">
        <v>0</v>
      </c>
      <c r="CW328" s="542">
        <v>-27655</v>
      </c>
      <c r="CX328" s="542">
        <v>-480</v>
      </c>
      <c r="CY328" s="542">
        <v>0</v>
      </c>
      <c r="CZ328" s="542">
        <v>-480</v>
      </c>
      <c r="DA328" s="542">
        <v>0</v>
      </c>
      <c r="DB328" s="542">
        <v>0</v>
      </c>
      <c r="DC328" s="542">
        <v>0</v>
      </c>
      <c r="DD328" s="542">
        <v>0</v>
      </c>
      <c r="DE328" s="542">
        <v>0</v>
      </c>
      <c r="DF328" s="542">
        <v>0</v>
      </c>
      <c r="DG328" s="542"/>
      <c r="DH328" s="542">
        <v>0</v>
      </c>
      <c r="DI328" s="542"/>
      <c r="DJ328" s="542">
        <v>0</v>
      </c>
      <c r="DK328" s="542"/>
      <c r="DL328" s="542"/>
      <c r="DM328" s="542">
        <v>-356727</v>
      </c>
      <c r="DN328" s="542">
        <v>0</v>
      </c>
      <c r="DO328" s="542">
        <v>-356727</v>
      </c>
      <c r="DP328" s="542">
        <v>-1928</v>
      </c>
      <c r="DQ328" s="542">
        <v>0</v>
      </c>
      <c r="DR328" s="542">
        <v>-1928</v>
      </c>
      <c r="DS328" s="542">
        <v>0</v>
      </c>
      <c r="DT328" s="542">
        <v>0</v>
      </c>
      <c r="DU328" s="542">
        <v>0</v>
      </c>
      <c r="DV328" s="542">
        <v>-6317</v>
      </c>
      <c r="DW328" s="542">
        <v>0</v>
      </c>
      <c r="DX328" s="542">
        <v>-6317</v>
      </c>
      <c r="DY328" s="542">
        <v>-507877</v>
      </c>
      <c r="DZ328" s="542">
        <v>0</v>
      </c>
      <c r="EA328" s="542">
        <v>-507877</v>
      </c>
      <c r="EB328" s="542">
        <v>-3295</v>
      </c>
      <c r="EC328" s="542">
        <v>0</v>
      </c>
      <c r="ED328" s="542">
        <v>-3295</v>
      </c>
      <c r="EE328" s="542">
        <v>-1728</v>
      </c>
      <c r="EF328" s="542">
        <v>0</v>
      </c>
      <c r="EG328" s="542">
        <v>-1728</v>
      </c>
      <c r="EH328" s="542">
        <v>-521145</v>
      </c>
      <c r="EI328" s="542">
        <v>0</v>
      </c>
      <c r="EJ328" s="542">
        <v>-521145</v>
      </c>
      <c r="EK328" s="542">
        <v>0</v>
      </c>
      <c r="EL328" s="542">
        <v>0</v>
      </c>
      <c r="EM328" s="542">
        <v>0</v>
      </c>
      <c r="EN328" s="542">
        <v>-3119</v>
      </c>
      <c r="EO328" s="542">
        <v>0</v>
      </c>
      <c r="EP328" s="542">
        <v>-3119</v>
      </c>
      <c r="EQ328" s="542">
        <v>-3119</v>
      </c>
      <c r="ER328" s="542">
        <v>0</v>
      </c>
      <c r="ES328" s="542">
        <v>-3119</v>
      </c>
      <c r="ET328" s="542">
        <v>46616257</v>
      </c>
      <c r="EU328" s="542">
        <v>0</v>
      </c>
      <c r="EV328" s="542">
        <v>46616257</v>
      </c>
      <c r="EW328" s="542">
        <v>-9160</v>
      </c>
      <c r="EX328" s="542">
        <v>0</v>
      </c>
      <c r="EY328" s="542">
        <v>-9160</v>
      </c>
      <c r="EZ328" s="542">
        <v>-4280015</v>
      </c>
      <c r="FA328" s="542">
        <v>0</v>
      </c>
      <c r="FB328" s="542">
        <v>-4280015</v>
      </c>
      <c r="FC328" s="542">
        <v>-2024093</v>
      </c>
      <c r="FD328" s="542">
        <v>0</v>
      </c>
      <c r="FE328" s="542">
        <v>-2024093</v>
      </c>
      <c r="FF328" s="542">
        <v>-356727</v>
      </c>
      <c r="FG328" s="542">
        <v>0</v>
      </c>
      <c r="FH328" s="542">
        <v>-356727</v>
      </c>
      <c r="FI328" s="542">
        <v>-521145</v>
      </c>
      <c r="FJ328" s="542">
        <v>0</v>
      </c>
      <c r="FK328" s="542">
        <v>-521145</v>
      </c>
      <c r="FL328" s="542">
        <v>-3119</v>
      </c>
      <c r="FM328" s="542">
        <v>0</v>
      </c>
      <c r="FN328" s="542">
        <v>-3119</v>
      </c>
      <c r="FO328" s="542">
        <v>-7194259</v>
      </c>
      <c r="FP328" s="542">
        <v>0</v>
      </c>
      <c r="FQ328" s="542">
        <v>-7194259</v>
      </c>
      <c r="FR328" s="542">
        <v>39421998</v>
      </c>
      <c r="FS328" s="542">
        <v>0</v>
      </c>
      <c r="FT328" s="542">
        <v>39421998</v>
      </c>
    </row>
    <row r="329" spans="1:176" ht="12.75" x14ac:dyDescent="0.2">
      <c r="A329" s="93">
        <v>324</v>
      </c>
      <c r="B329" s="145" t="s">
        <v>526</v>
      </c>
      <c r="C329" s="604" t="s">
        <v>866</v>
      </c>
      <c r="D329" s="142" t="s">
        <v>867</v>
      </c>
      <c r="E329" s="149" t="s">
        <v>525</v>
      </c>
      <c r="F329" s="542">
        <v>-42597</v>
      </c>
      <c r="G329" s="542">
        <v>0</v>
      </c>
      <c r="H329" s="542">
        <v>-42597</v>
      </c>
      <c r="I329" s="542">
        <v>69305.86</v>
      </c>
      <c r="J329" s="542">
        <v>0</v>
      </c>
      <c r="K329" s="542">
        <v>69305.86</v>
      </c>
      <c r="L329" s="542">
        <v>6417</v>
      </c>
      <c r="M329" s="542">
        <v>0</v>
      </c>
      <c r="N329" s="542">
        <v>6417</v>
      </c>
      <c r="O329" s="542">
        <v>-63824.52</v>
      </c>
      <c r="P329" s="542">
        <v>0</v>
      </c>
      <c r="Q329" s="542">
        <v>-63824.52</v>
      </c>
      <c r="R329" s="542">
        <v>-30699</v>
      </c>
      <c r="S329" s="542">
        <v>0</v>
      </c>
      <c r="T329" s="542">
        <v>-30699</v>
      </c>
      <c r="U329" s="542">
        <v>-2303512</v>
      </c>
      <c r="V329" s="542">
        <v>0</v>
      </c>
      <c r="W329" s="542">
        <v>-2303512</v>
      </c>
      <c r="X329" s="542">
        <v>0</v>
      </c>
      <c r="Y329" s="542">
        <v>0</v>
      </c>
      <c r="Z329" s="542">
        <v>0</v>
      </c>
      <c r="AA329" s="542">
        <v>-179611.9</v>
      </c>
      <c r="AB329" s="542">
        <v>0</v>
      </c>
      <c r="AC329" s="542">
        <v>-179611.9</v>
      </c>
      <c r="AD329" s="542">
        <v>0</v>
      </c>
      <c r="AE329" s="542">
        <v>0</v>
      </c>
      <c r="AF329" s="542">
        <v>0</v>
      </c>
      <c r="AG329" s="542">
        <v>1658671</v>
      </c>
      <c r="AH329" s="542">
        <v>0</v>
      </c>
      <c r="AI329" s="542">
        <v>1658671</v>
      </c>
      <c r="AJ329" s="542">
        <v>98063</v>
      </c>
      <c r="AK329" s="542">
        <v>0</v>
      </c>
      <c r="AL329" s="542">
        <v>98063</v>
      </c>
      <c r="AM329" s="542">
        <v>-4261251</v>
      </c>
      <c r="AN329" s="542">
        <v>0</v>
      </c>
      <c r="AO329" s="542">
        <v>-4261251</v>
      </c>
      <c r="AP329" s="542">
        <v>114745.93</v>
      </c>
      <c r="AQ329" s="542">
        <v>0</v>
      </c>
      <c r="AR329" s="542">
        <v>114745.93</v>
      </c>
      <c r="AS329" s="542">
        <v>-43443</v>
      </c>
      <c r="AT329" s="542">
        <v>0</v>
      </c>
      <c r="AU329" s="542">
        <v>-43443</v>
      </c>
      <c r="AV329" s="542">
        <v>0</v>
      </c>
      <c r="AW329" s="542">
        <v>0</v>
      </c>
      <c r="AX329" s="542">
        <v>0</v>
      </c>
      <c r="AY329" s="542">
        <v>-17219</v>
      </c>
      <c r="AZ329" s="542">
        <v>0</v>
      </c>
      <c r="BA329" s="542">
        <v>-17219</v>
      </c>
      <c r="BB329" s="542">
        <v>0</v>
      </c>
      <c r="BC329" s="542">
        <v>0</v>
      </c>
      <c r="BD329" s="542">
        <v>0</v>
      </c>
      <c r="BE329" s="542">
        <v>-4933557</v>
      </c>
      <c r="BF329" s="542">
        <v>0</v>
      </c>
      <c r="BG329" s="542">
        <v>-4933557</v>
      </c>
      <c r="BH329" s="542">
        <v>0</v>
      </c>
      <c r="BI329" s="542">
        <v>0</v>
      </c>
      <c r="BJ329" s="542">
        <v>0</v>
      </c>
      <c r="BK329" s="542">
        <v>39233.65</v>
      </c>
      <c r="BL329" s="542">
        <v>0</v>
      </c>
      <c r="BM329" s="542">
        <v>39233.65</v>
      </c>
      <c r="BN329" s="542">
        <v>-2797645</v>
      </c>
      <c r="BO329" s="542">
        <v>0</v>
      </c>
      <c r="BP329" s="542">
        <v>-2797645</v>
      </c>
      <c r="BQ329" s="542">
        <v>-43947.02</v>
      </c>
      <c r="BR329" s="542">
        <v>0</v>
      </c>
      <c r="BS329" s="542">
        <v>-43947.02</v>
      </c>
      <c r="BT329" s="542">
        <v>-2802358</v>
      </c>
      <c r="BU329" s="542">
        <v>0</v>
      </c>
      <c r="BV329" s="542">
        <v>-2802358</v>
      </c>
      <c r="BW329" s="542">
        <v>-88952</v>
      </c>
      <c r="BX329" s="542">
        <v>0</v>
      </c>
      <c r="BY329" s="542">
        <v>-88952</v>
      </c>
      <c r="BZ329" s="542">
        <v>1110.26</v>
      </c>
      <c r="CA329" s="542">
        <v>0</v>
      </c>
      <c r="CB329" s="542">
        <v>1110.26</v>
      </c>
      <c r="CC329" s="542">
        <v>-118256</v>
      </c>
      <c r="CD329" s="542">
        <v>0</v>
      </c>
      <c r="CE329" s="542">
        <v>-118256</v>
      </c>
      <c r="CF329" s="542">
        <v>72804.94</v>
      </c>
      <c r="CG329" s="542">
        <v>0</v>
      </c>
      <c r="CH329" s="542">
        <v>72804.94</v>
      </c>
      <c r="CI329" s="542">
        <v>-3617</v>
      </c>
      <c r="CJ329" s="542">
        <v>0</v>
      </c>
      <c r="CK329" s="542">
        <v>-3617</v>
      </c>
      <c r="CL329" s="542">
        <v>0</v>
      </c>
      <c r="CM329" s="542">
        <v>0</v>
      </c>
      <c r="CN329" s="542">
        <v>0</v>
      </c>
      <c r="CO329" s="542">
        <v>-1273</v>
      </c>
      <c r="CP329" s="542">
        <v>0</v>
      </c>
      <c r="CQ329" s="542">
        <v>-1273</v>
      </c>
      <c r="CR329" s="542">
        <v>0</v>
      </c>
      <c r="CS329" s="542">
        <v>0</v>
      </c>
      <c r="CT329" s="542">
        <v>0</v>
      </c>
      <c r="CU329" s="542">
        <v>-23420</v>
      </c>
      <c r="CV329" s="542">
        <v>0</v>
      </c>
      <c r="CW329" s="542">
        <v>-23420</v>
      </c>
      <c r="CX329" s="542">
        <v>0</v>
      </c>
      <c r="CY329" s="542">
        <v>0</v>
      </c>
      <c r="CZ329" s="542">
        <v>0</v>
      </c>
      <c r="DA329" s="542">
        <v>0</v>
      </c>
      <c r="DB329" s="542">
        <v>0</v>
      </c>
      <c r="DC329" s="542">
        <v>0</v>
      </c>
      <c r="DD329" s="542">
        <v>0</v>
      </c>
      <c r="DE329" s="542">
        <v>0</v>
      </c>
      <c r="DF329" s="542">
        <v>0</v>
      </c>
      <c r="DG329" s="542"/>
      <c r="DH329" s="542">
        <v>0</v>
      </c>
      <c r="DI329" s="542"/>
      <c r="DJ329" s="542">
        <v>0</v>
      </c>
      <c r="DK329" s="542"/>
      <c r="DL329" s="542"/>
      <c r="DM329" s="542">
        <v>-161603</v>
      </c>
      <c r="DN329" s="542">
        <v>0</v>
      </c>
      <c r="DO329" s="542">
        <v>-161603</v>
      </c>
      <c r="DP329" s="542">
        <v>0</v>
      </c>
      <c r="DQ329" s="542">
        <v>0</v>
      </c>
      <c r="DR329" s="542">
        <v>0</v>
      </c>
      <c r="DS329" s="542">
        <v>0</v>
      </c>
      <c r="DT329" s="542">
        <v>0</v>
      </c>
      <c r="DU329" s="542">
        <v>0</v>
      </c>
      <c r="DV329" s="542">
        <v>-1808</v>
      </c>
      <c r="DW329" s="542">
        <v>0</v>
      </c>
      <c r="DX329" s="542">
        <v>-1808</v>
      </c>
      <c r="DY329" s="542">
        <v>-167150</v>
      </c>
      <c r="DZ329" s="542">
        <v>0</v>
      </c>
      <c r="EA329" s="542">
        <v>-167150</v>
      </c>
      <c r="EB329" s="542">
        <v>0</v>
      </c>
      <c r="EC329" s="542">
        <v>0</v>
      </c>
      <c r="ED329" s="542">
        <v>0</v>
      </c>
      <c r="EE329" s="542">
        <v>-25764</v>
      </c>
      <c r="EF329" s="542">
        <v>0</v>
      </c>
      <c r="EG329" s="542">
        <v>-25764</v>
      </c>
      <c r="EH329" s="542">
        <v>-194722</v>
      </c>
      <c r="EI329" s="542">
        <v>0</v>
      </c>
      <c r="EJ329" s="542">
        <v>-194722</v>
      </c>
      <c r="EK329" s="542">
        <v>0</v>
      </c>
      <c r="EL329" s="542">
        <v>0</v>
      </c>
      <c r="EM329" s="542">
        <v>0</v>
      </c>
      <c r="EN329" s="542">
        <v>0</v>
      </c>
      <c r="EO329" s="542">
        <v>0</v>
      </c>
      <c r="EP329" s="542">
        <v>0</v>
      </c>
      <c r="EQ329" s="542">
        <v>0</v>
      </c>
      <c r="ER329" s="542">
        <v>0</v>
      </c>
      <c r="ES329" s="542">
        <v>0</v>
      </c>
      <c r="ET329" s="542">
        <v>78896023</v>
      </c>
      <c r="EU329" s="542">
        <v>0</v>
      </c>
      <c r="EV329" s="542">
        <v>78896023</v>
      </c>
      <c r="EW329" s="542">
        <v>-30699</v>
      </c>
      <c r="EX329" s="542">
        <v>0</v>
      </c>
      <c r="EY329" s="542">
        <v>-30699</v>
      </c>
      <c r="EZ329" s="542">
        <v>-4933557</v>
      </c>
      <c r="FA329" s="542">
        <v>0</v>
      </c>
      <c r="FB329" s="542">
        <v>-4933557</v>
      </c>
      <c r="FC329" s="542">
        <v>-2802358</v>
      </c>
      <c r="FD329" s="542">
        <v>0</v>
      </c>
      <c r="FE329" s="542">
        <v>-2802358</v>
      </c>
      <c r="FF329" s="542">
        <v>-161603</v>
      </c>
      <c r="FG329" s="542">
        <v>0</v>
      </c>
      <c r="FH329" s="542">
        <v>-161603</v>
      </c>
      <c r="FI329" s="542">
        <v>-194722</v>
      </c>
      <c r="FJ329" s="542">
        <v>0</v>
      </c>
      <c r="FK329" s="542">
        <v>-194722</v>
      </c>
      <c r="FL329" s="542">
        <v>0</v>
      </c>
      <c r="FM329" s="542">
        <v>0</v>
      </c>
      <c r="FN329" s="542">
        <v>0</v>
      </c>
      <c r="FO329" s="542">
        <v>-8122939</v>
      </c>
      <c r="FP329" s="542">
        <v>0</v>
      </c>
      <c r="FQ329" s="542">
        <v>-8122939</v>
      </c>
      <c r="FR329" s="542">
        <v>70773084</v>
      </c>
      <c r="FS329" s="542">
        <v>0</v>
      </c>
      <c r="FT329" s="542">
        <v>70773084</v>
      </c>
    </row>
    <row r="330" spans="1:176" ht="12.75" x14ac:dyDescent="0.2">
      <c r="A330" s="93">
        <v>325</v>
      </c>
      <c r="B330" s="145" t="s">
        <v>528</v>
      </c>
      <c r="C330" s="604" t="s">
        <v>866</v>
      </c>
      <c r="D330" s="142" t="s">
        <v>868</v>
      </c>
      <c r="E330" s="149" t="s">
        <v>527</v>
      </c>
      <c r="F330" s="542">
        <v>-87607</v>
      </c>
      <c r="G330" s="542">
        <v>0</v>
      </c>
      <c r="H330" s="542">
        <v>-87607</v>
      </c>
      <c r="I330" s="542">
        <v>35481</v>
      </c>
      <c r="J330" s="542">
        <v>0</v>
      </c>
      <c r="K330" s="542">
        <v>35481</v>
      </c>
      <c r="L330" s="542">
        <v>226</v>
      </c>
      <c r="M330" s="542">
        <v>0</v>
      </c>
      <c r="N330" s="542">
        <v>226</v>
      </c>
      <c r="O330" s="542">
        <v>1434</v>
      </c>
      <c r="P330" s="542">
        <v>0</v>
      </c>
      <c r="Q330" s="542">
        <v>1434</v>
      </c>
      <c r="R330" s="542">
        <v>-50466</v>
      </c>
      <c r="S330" s="542">
        <v>0</v>
      </c>
      <c r="T330" s="542">
        <v>-50466</v>
      </c>
      <c r="U330" s="542">
        <v>-2857863</v>
      </c>
      <c r="V330" s="542">
        <v>0</v>
      </c>
      <c r="W330" s="542">
        <v>-2857863</v>
      </c>
      <c r="X330" s="542">
        <v>-3389</v>
      </c>
      <c r="Y330" s="542">
        <v>0</v>
      </c>
      <c r="Z330" s="542">
        <v>-3389</v>
      </c>
      <c r="AA330" s="542">
        <v>-106774</v>
      </c>
      <c r="AB330" s="542">
        <v>0</v>
      </c>
      <c r="AC330" s="542">
        <v>-106774</v>
      </c>
      <c r="AD330" s="542">
        <v>-43407</v>
      </c>
      <c r="AE330" s="542">
        <v>0</v>
      </c>
      <c r="AF330" s="542">
        <v>-43407</v>
      </c>
      <c r="AG330" s="542">
        <v>585156</v>
      </c>
      <c r="AH330" s="542">
        <v>0</v>
      </c>
      <c r="AI330" s="542">
        <v>585156</v>
      </c>
      <c r="AJ330" s="542">
        <v>9167</v>
      </c>
      <c r="AK330" s="542">
        <v>0</v>
      </c>
      <c r="AL330" s="542">
        <v>9167</v>
      </c>
      <c r="AM330" s="542">
        <v>-1653608</v>
      </c>
      <c r="AN330" s="542">
        <v>0</v>
      </c>
      <c r="AO330" s="542">
        <v>-1653608</v>
      </c>
      <c r="AP330" s="542">
        <v>-21895</v>
      </c>
      <c r="AQ330" s="542">
        <v>0</v>
      </c>
      <c r="AR330" s="542">
        <v>-21895</v>
      </c>
      <c r="AS330" s="542">
        <v>-22253</v>
      </c>
      <c r="AT330" s="542">
        <v>0</v>
      </c>
      <c r="AU330" s="542">
        <v>-22253</v>
      </c>
      <c r="AV330" s="542">
        <v>0</v>
      </c>
      <c r="AW330" s="542">
        <v>0</v>
      </c>
      <c r="AX330" s="542">
        <v>0</v>
      </c>
      <c r="AY330" s="542">
        <v>-3154</v>
      </c>
      <c r="AZ330" s="542">
        <v>0</v>
      </c>
      <c r="BA330" s="542">
        <v>-3154</v>
      </c>
      <c r="BB330" s="542">
        <v>0</v>
      </c>
      <c r="BC330" s="542">
        <v>0</v>
      </c>
      <c r="BD330" s="542">
        <v>0</v>
      </c>
      <c r="BE330" s="542">
        <v>-4071224</v>
      </c>
      <c r="BF330" s="542">
        <v>0</v>
      </c>
      <c r="BG330" s="542">
        <v>-4071224</v>
      </c>
      <c r="BH330" s="542">
        <v>0</v>
      </c>
      <c r="BI330" s="542">
        <v>0</v>
      </c>
      <c r="BJ330" s="542">
        <v>0</v>
      </c>
      <c r="BK330" s="542">
        <v>0</v>
      </c>
      <c r="BL330" s="542">
        <v>0</v>
      </c>
      <c r="BM330" s="542">
        <v>0</v>
      </c>
      <c r="BN330" s="542">
        <v>-745924</v>
      </c>
      <c r="BO330" s="542">
        <v>0</v>
      </c>
      <c r="BP330" s="542">
        <v>-745924</v>
      </c>
      <c r="BQ330" s="542">
        <v>-9440</v>
      </c>
      <c r="BR330" s="542">
        <v>0</v>
      </c>
      <c r="BS330" s="542">
        <v>-9440</v>
      </c>
      <c r="BT330" s="542">
        <v>-755364</v>
      </c>
      <c r="BU330" s="542">
        <v>0</v>
      </c>
      <c r="BV330" s="542">
        <v>-755364</v>
      </c>
      <c r="BW330" s="542">
        <v>-3180</v>
      </c>
      <c r="BX330" s="542">
        <v>0</v>
      </c>
      <c r="BY330" s="542">
        <v>-3180</v>
      </c>
      <c r="BZ330" s="542">
        <v>0</v>
      </c>
      <c r="CA330" s="542">
        <v>0</v>
      </c>
      <c r="CB330" s="542">
        <v>0</v>
      </c>
      <c r="CC330" s="542">
        <v>-82252</v>
      </c>
      <c r="CD330" s="542">
        <v>0</v>
      </c>
      <c r="CE330" s="542">
        <v>-82252</v>
      </c>
      <c r="CF330" s="542">
        <v>0</v>
      </c>
      <c r="CG330" s="542">
        <v>0</v>
      </c>
      <c r="CH330" s="542">
        <v>0</v>
      </c>
      <c r="CI330" s="542">
        <v>0</v>
      </c>
      <c r="CJ330" s="542">
        <v>0</v>
      </c>
      <c r="CK330" s="542">
        <v>0</v>
      </c>
      <c r="CL330" s="542">
        <v>0</v>
      </c>
      <c r="CM330" s="542">
        <v>0</v>
      </c>
      <c r="CN330" s="542">
        <v>0</v>
      </c>
      <c r="CO330" s="542">
        <v>0</v>
      </c>
      <c r="CP330" s="542">
        <v>0</v>
      </c>
      <c r="CQ330" s="542">
        <v>0</v>
      </c>
      <c r="CR330" s="542">
        <v>-1507</v>
      </c>
      <c r="CS330" s="542">
        <v>0</v>
      </c>
      <c r="CT330" s="542">
        <v>-1507</v>
      </c>
      <c r="CU330" s="542">
        <v>-39</v>
      </c>
      <c r="CV330" s="542">
        <v>0</v>
      </c>
      <c r="CW330" s="542">
        <v>-39</v>
      </c>
      <c r="CX330" s="542">
        <v>0</v>
      </c>
      <c r="CY330" s="542">
        <v>0</v>
      </c>
      <c r="CZ330" s="542">
        <v>0</v>
      </c>
      <c r="DA330" s="542">
        <v>0</v>
      </c>
      <c r="DB330" s="542">
        <v>0</v>
      </c>
      <c r="DC330" s="542">
        <v>0</v>
      </c>
      <c r="DD330" s="542">
        <v>0</v>
      </c>
      <c r="DE330" s="542">
        <v>0</v>
      </c>
      <c r="DF330" s="542">
        <v>0</v>
      </c>
      <c r="DG330" s="542"/>
      <c r="DH330" s="542">
        <v>0</v>
      </c>
      <c r="DI330" s="542"/>
      <c r="DJ330" s="542">
        <v>0</v>
      </c>
      <c r="DK330" s="542"/>
      <c r="DL330" s="542"/>
      <c r="DM330" s="542">
        <v>-86978</v>
      </c>
      <c r="DN330" s="542">
        <v>0</v>
      </c>
      <c r="DO330" s="542">
        <v>-86978</v>
      </c>
      <c r="DP330" s="542">
        <v>0</v>
      </c>
      <c r="DQ330" s="542">
        <v>0</v>
      </c>
      <c r="DR330" s="542">
        <v>0</v>
      </c>
      <c r="DS330" s="542">
        <v>0</v>
      </c>
      <c r="DT330" s="542">
        <v>0</v>
      </c>
      <c r="DU330" s="542">
        <v>0</v>
      </c>
      <c r="DV330" s="542">
        <v>0</v>
      </c>
      <c r="DW330" s="542">
        <v>0</v>
      </c>
      <c r="DX330" s="542">
        <v>0</v>
      </c>
      <c r="DY330" s="542">
        <v>-429504</v>
      </c>
      <c r="DZ330" s="542">
        <v>0</v>
      </c>
      <c r="EA330" s="542">
        <v>-429504</v>
      </c>
      <c r="EB330" s="542">
        <v>0</v>
      </c>
      <c r="EC330" s="542">
        <v>0</v>
      </c>
      <c r="ED330" s="542">
        <v>0</v>
      </c>
      <c r="EE330" s="542">
        <v>-513</v>
      </c>
      <c r="EF330" s="542">
        <v>0</v>
      </c>
      <c r="EG330" s="542">
        <v>-513</v>
      </c>
      <c r="EH330" s="542">
        <v>-430017</v>
      </c>
      <c r="EI330" s="542">
        <v>0</v>
      </c>
      <c r="EJ330" s="542">
        <v>-430017</v>
      </c>
      <c r="EK330" s="542">
        <v>0</v>
      </c>
      <c r="EL330" s="542">
        <v>0</v>
      </c>
      <c r="EM330" s="542">
        <v>0</v>
      </c>
      <c r="EN330" s="542">
        <v>0</v>
      </c>
      <c r="EO330" s="542">
        <v>0</v>
      </c>
      <c r="EP330" s="542">
        <v>0</v>
      </c>
      <c r="EQ330" s="542">
        <v>0</v>
      </c>
      <c r="ER330" s="542">
        <v>0</v>
      </c>
      <c r="ES330" s="542">
        <v>0</v>
      </c>
      <c r="ET330" s="542">
        <v>32362037</v>
      </c>
      <c r="EU330" s="542">
        <v>0</v>
      </c>
      <c r="EV330" s="542">
        <v>32362037</v>
      </c>
      <c r="EW330" s="542">
        <v>-50466</v>
      </c>
      <c r="EX330" s="542">
        <v>0</v>
      </c>
      <c r="EY330" s="542">
        <v>-50466</v>
      </c>
      <c r="EZ330" s="542">
        <v>-4071224</v>
      </c>
      <c r="FA330" s="542">
        <v>0</v>
      </c>
      <c r="FB330" s="542">
        <v>-4071224</v>
      </c>
      <c r="FC330" s="542">
        <v>-755364</v>
      </c>
      <c r="FD330" s="542">
        <v>0</v>
      </c>
      <c r="FE330" s="542">
        <v>-755364</v>
      </c>
      <c r="FF330" s="542">
        <v>-86978</v>
      </c>
      <c r="FG330" s="542">
        <v>0</v>
      </c>
      <c r="FH330" s="542">
        <v>-86978</v>
      </c>
      <c r="FI330" s="542">
        <v>-430017</v>
      </c>
      <c r="FJ330" s="542">
        <v>0</v>
      </c>
      <c r="FK330" s="542">
        <v>-430017</v>
      </c>
      <c r="FL330" s="542">
        <v>0</v>
      </c>
      <c r="FM330" s="542">
        <v>0</v>
      </c>
      <c r="FN330" s="542">
        <v>0</v>
      </c>
      <c r="FO330" s="542">
        <v>-5394049</v>
      </c>
      <c r="FP330" s="542">
        <v>0</v>
      </c>
      <c r="FQ330" s="542">
        <v>-5394049</v>
      </c>
      <c r="FR330" s="542">
        <v>26967988</v>
      </c>
      <c r="FS330" s="542">
        <v>0</v>
      </c>
      <c r="FT330" s="542">
        <v>26967988</v>
      </c>
    </row>
    <row r="331" spans="1:176" ht="12.75" x14ac:dyDescent="0.2">
      <c r="A331" s="93">
        <v>326</v>
      </c>
      <c r="B331" s="145" t="s">
        <v>530</v>
      </c>
      <c r="C331" s="604" t="s">
        <v>866</v>
      </c>
      <c r="D331" s="142" t="s">
        <v>876</v>
      </c>
      <c r="E331" s="149" t="s">
        <v>529</v>
      </c>
      <c r="F331" s="542">
        <v>-30654</v>
      </c>
      <c r="G331" s="542">
        <v>0</v>
      </c>
      <c r="H331" s="542">
        <v>-30654</v>
      </c>
      <c r="I331" s="542">
        <v>39448</v>
      </c>
      <c r="J331" s="542">
        <v>0</v>
      </c>
      <c r="K331" s="542">
        <v>39448</v>
      </c>
      <c r="L331" s="542">
        <v>14292</v>
      </c>
      <c r="M331" s="542">
        <v>0</v>
      </c>
      <c r="N331" s="542">
        <v>14292</v>
      </c>
      <c r="O331" s="542">
        <v>133710</v>
      </c>
      <c r="P331" s="542">
        <v>0</v>
      </c>
      <c r="Q331" s="542">
        <v>133710</v>
      </c>
      <c r="R331" s="542">
        <v>156796</v>
      </c>
      <c r="S331" s="542">
        <v>0</v>
      </c>
      <c r="T331" s="542">
        <v>156796</v>
      </c>
      <c r="U331" s="542">
        <v>-2159478</v>
      </c>
      <c r="V331" s="542">
        <v>0</v>
      </c>
      <c r="W331" s="542">
        <v>-2159478</v>
      </c>
      <c r="X331" s="542">
        <v>0</v>
      </c>
      <c r="Y331" s="542">
        <v>0</v>
      </c>
      <c r="Z331" s="542">
        <v>0</v>
      </c>
      <c r="AA331" s="542">
        <v>-171671</v>
      </c>
      <c r="AB331" s="542">
        <v>0</v>
      </c>
      <c r="AC331" s="542">
        <v>-171671</v>
      </c>
      <c r="AD331" s="542">
        <v>-72401</v>
      </c>
      <c r="AE331" s="542">
        <v>0</v>
      </c>
      <c r="AF331" s="542">
        <v>-72401</v>
      </c>
      <c r="AG331" s="542">
        <v>673403</v>
      </c>
      <c r="AH331" s="542">
        <v>0</v>
      </c>
      <c r="AI331" s="542">
        <v>673403</v>
      </c>
      <c r="AJ331" s="542">
        <v>-16510</v>
      </c>
      <c r="AK331" s="542">
        <v>0</v>
      </c>
      <c r="AL331" s="542">
        <v>-16510</v>
      </c>
      <c r="AM331" s="542">
        <v>-1798463</v>
      </c>
      <c r="AN331" s="542">
        <v>0</v>
      </c>
      <c r="AO331" s="542">
        <v>-1798463</v>
      </c>
      <c r="AP331" s="542">
        <v>53955</v>
      </c>
      <c r="AQ331" s="542">
        <v>0</v>
      </c>
      <c r="AR331" s="542">
        <v>53955</v>
      </c>
      <c r="AS331" s="542">
        <v>-46939</v>
      </c>
      <c r="AT331" s="542">
        <v>0</v>
      </c>
      <c r="AU331" s="542">
        <v>-46939</v>
      </c>
      <c r="AV331" s="542">
        <v>0</v>
      </c>
      <c r="AW331" s="542">
        <v>0</v>
      </c>
      <c r="AX331" s="542">
        <v>0</v>
      </c>
      <c r="AY331" s="542">
        <v>-9953</v>
      </c>
      <c r="AZ331" s="542">
        <v>0</v>
      </c>
      <c r="BA331" s="542">
        <v>-9953</v>
      </c>
      <c r="BB331" s="542">
        <v>0</v>
      </c>
      <c r="BC331" s="542">
        <v>0</v>
      </c>
      <c r="BD331" s="542">
        <v>0</v>
      </c>
      <c r="BE331" s="542">
        <v>-3475656</v>
      </c>
      <c r="BF331" s="542">
        <v>0</v>
      </c>
      <c r="BG331" s="542">
        <v>-3475656</v>
      </c>
      <c r="BH331" s="542">
        <v>0</v>
      </c>
      <c r="BI331" s="542">
        <v>0</v>
      </c>
      <c r="BJ331" s="542">
        <v>0</v>
      </c>
      <c r="BK331" s="542">
        <v>0</v>
      </c>
      <c r="BL331" s="542">
        <v>0</v>
      </c>
      <c r="BM331" s="542">
        <v>0</v>
      </c>
      <c r="BN331" s="542">
        <v>-1600855</v>
      </c>
      <c r="BO331" s="542">
        <v>0</v>
      </c>
      <c r="BP331" s="542">
        <v>-1600855</v>
      </c>
      <c r="BQ331" s="542">
        <v>8386</v>
      </c>
      <c r="BR331" s="542">
        <v>0</v>
      </c>
      <c r="BS331" s="542">
        <v>8386</v>
      </c>
      <c r="BT331" s="542">
        <v>-1592469</v>
      </c>
      <c r="BU331" s="542">
        <v>0</v>
      </c>
      <c r="BV331" s="542">
        <v>-1592469</v>
      </c>
      <c r="BW331" s="542">
        <v>-83048</v>
      </c>
      <c r="BX331" s="542">
        <v>0</v>
      </c>
      <c r="BY331" s="542">
        <v>-83048</v>
      </c>
      <c r="BZ331" s="542">
        <v>747</v>
      </c>
      <c r="CA331" s="542">
        <v>0</v>
      </c>
      <c r="CB331" s="542">
        <v>747</v>
      </c>
      <c r="CC331" s="542">
        <v>-82209</v>
      </c>
      <c r="CD331" s="542">
        <v>0</v>
      </c>
      <c r="CE331" s="542">
        <v>-82209</v>
      </c>
      <c r="CF331" s="542">
        <v>14724</v>
      </c>
      <c r="CG331" s="542">
        <v>0</v>
      </c>
      <c r="CH331" s="542">
        <v>14724</v>
      </c>
      <c r="CI331" s="542">
        <v>0</v>
      </c>
      <c r="CJ331" s="542">
        <v>0</v>
      </c>
      <c r="CK331" s="542">
        <v>0</v>
      </c>
      <c r="CL331" s="542">
        <v>0</v>
      </c>
      <c r="CM331" s="542">
        <v>0</v>
      </c>
      <c r="CN331" s="542">
        <v>0</v>
      </c>
      <c r="CO331" s="542">
        <v>-2761</v>
      </c>
      <c r="CP331" s="542">
        <v>0</v>
      </c>
      <c r="CQ331" s="542">
        <v>-2761</v>
      </c>
      <c r="CR331" s="542">
        <v>-168</v>
      </c>
      <c r="CS331" s="542">
        <v>0</v>
      </c>
      <c r="CT331" s="542">
        <v>-168</v>
      </c>
      <c r="CU331" s="542">
        <v>0</v>
      </c>
      <c r="CV331" s="542">
        <v>0</v>
      </c>
      <c r="CW331" s="542">
        <v>0</v>
      </c>
      <c r="CX331" s="542">
        <v>0</v>
      </c>
      <c r="CY331" s="542">
        <v>0</v>
      </c>
      <c r="CZ331" s="542">
        <v>0</v>
      </c>
      <c r="DA331" s="542">
        <v>0</v>
      </c>
      <c r="DB331" s="542">
        <v>0</v>
      </c>
      <c r="DC331" s="542">
        <v>0</v>
      </c>
      <c r="DD331" s="542">
        <v>0</v>
      </c>
      <c r="DE331" s="542">
        <v>0</v>
      </c>
      <c r="DF331" s="542">
        <v>0</v>
      </c>
      <c r="DG331" s="542"/>
      <c r="DH331" s="542">
        <v>0</v>
      </c>
      <c r="DI331" s="542"/>
      <c r="DJ331" s="542">
        <v>0</v>
      </c>
      <c r="DK331" s="542"/>
      <c r="DL331" s="542"/>
      <c r="DM331" s="542">
        <v>-152715</v>
      </c>
      <c r="DN331" s="542">
        <v>0</v>
      </c>
      <c r="DO331" s="542">
        <v>-152715</v>
      </c>
      <c r="DP331" s="542">
        <v>0</v>
      </c>
      <c r="DQ331" s="542">
        <v>0</v>
      </c>
      <c r="DR331" s="542">
        <v>0</v>
      </c>
      <c r="DS331" s="542">
        <v>0</v>
      </c>
      <c r="DT331" s="542">
        <v>0</v>
      </c>
      <c r="DU331" s="542">
        <v>0</v>
      </c>
      <c r="DV331" s="542">
        <v>-14082</v>
      </c>
      <c r="DW331" s="542">
        <v>0</v>
      </c>
      <c r="DX331" s="542">
        <v>-14082</v>
      </c>
      <c r="DY331" s="542">
        <v>-189598</v>
      </c>
      <c r="DZ331" s="542">
        <v>0</v>
      </c>
      <c r="EA331" s="542">
        <v>-189598</v>
      </c>
      <c r="EB331" s="542">
        <v>-31372</v>
      </c>
      <c r="EC331" s="542">
        <v>0</v>
      </c>
      <c r="ED331" s="542">
        <v>-31372</v>
      </c>
      <c r="EE331" s="542">
        <v>0</v>
      </c>
      <c r="EF331" s="542">
        <v>0</v>
      </c>
      <c r="EG331" s="542">
        <v>0</v>
      </c>
      <c r="EH331" s="542">
        <v>-235052</v>
      </c>
      <c r="EI331" s="542">
        <v>0</v>
      </c>
      <c r="EJ331" s="542">
        <v>-235052</v>
      </c>
      <c r="EK331" s="542">
        <v>-12979</v>
      </c>
      <c r="EL331" s="542">
        <v>0</v>
      </c>
      <c r="EM331" s="542">
        <v>-12979</v>
      </c>
      <c r="EN331" s="542">
        <v>-236</v>
      </c>
      <c r="EO331" s="542">
        <v>0</v>
      </c>
      <c r="EP331" s="542">
        <v>-236</v>
      </c>
      <c r="EQ331" s="542">
        <v>-13215</v>
      </c>
      <c r="ER331" s="542">
        <v>0</v>
      </c>
      <c r="ES331" s="542">
        <v>-13215</v>
      </c>
      <c r="ET331" s="542">
        <v>33953207</v>
      </c>
      <c r="EU331" s="542">
        <v>0</v>
      </c>
      <c r="EV331" s="542">
        <v>33953207</v>
      </c>
      <c r="EW331" s="542">
        <v>156796</v>
      </c>
      <c r="EX331" s="542">
        <v>0</v>
      </c>
      <c r="EY331" s="542">
        <v>156796</v>
      </c>
      <c r="EZ331" s="542">
        <v>-3475656</v>
      </c>
      <c r="FA331" s="542">
        <v>0</v>
      </c>
      <c r="FB331" s="542">
        <v>-3475656</v>
      </c>
      <c r="FC331" s="542">
        <v>-1592469</v>
      </c>
      <c r="FD331" s="542">
        <v>0</v>
      </c>
      <c r="FE331" s="542">
        <v>-1592469</v>
      </c>
      <c r="FF331" s="542">
        <v>-152715</v>
      </c>
      <c r="FG331" s="542">
        <v>0</v>
      </c>
      <c r="FH331" s="542">
        <v>-152715</v>
      </c>
      <c r="FI331" s="542">
        <v>-235052</v>
      </c>
      <c r="FJ331" s="542">
        <v>0</v>
      </c>
      <c r="FK331" s="542">
        <v>-235052</v>
      </c>
      <c r="FL331" s="542">
        <v>-13215</v>
      </c>
      <c r="FM331" s="542">
        <v>0</v>
      </c>
      <c r="FN331" s="542">
        <v>-13215</v>
      </c>
      <c r="FO331" s="542">
        <v>-5312311</v>
      </c>
      <c r="FP331" s="542">
        <v>0</v>
      </c>
      <c r="FQ331" s="542">
        <v>-5312311</v>
      </c>
      <c r="FR331" s="542">
        <v>28640896</v>
      </c>
      <c r="FS331" s="542">
        <v>0</v>
      </c>
      <c r="FT331" s="542">
        <v>28640896</v>
      </c>
    </row>
    <row r="332" spans="1:176" ht="13.5" thickBot="1" x14ac:dyDescent="0.25">
      <c r="A332" s="93">
        <v>327</v>
      </c>
      <c r="B332" s="145" t="s">
        <v>532</v>
      </c>
      <c r="C332" s="604" t="s">
        <v>770</v>
      </c>
      <c r="D332" s="142" t="s">
        <v>874</v>
      </c>
      <c r="E332" s="149" t="s">
        <v>739</v>
      </c>
      <c r="F332" s="542">
        <v>-90684</v>
      </c>
      <c r="G332" s="542">
        <v>0</v>
      </c>
      <c r="H332" s="542">
        <v>-90684</v>
      </c>
      <c r="I332" s="542">
        <v>193571</v>
      </c>
      <c r="J332" s="542">
        <v>0</v>
      </c>
      <c r="K332" s="542">
        <v>193571</v>
      </c>
      <c r="L332" s="542">
        <v>8838</v>
      </c>
      <c r="M332" s="542">
        <v>0</v>
      </c>
      <c r="N332" s="542">
        <v>8838</v>
      </c>
      <c r="O332" s="542">
        <v>94610</v>
      </c>
      <c r="P332" s="542">
        <v>0</v>
      </c>
      <c r="Q332" s="542">
        <v>94610</v>
      </c>
      <c r="R332" s="542">
        <v>206335</v>
      </c>
      <c r="S332" s="542">
        <v>0</v>
      </c>
      <c r="T332" s="542">
        <v>206335</v>
      </c>
      <c r="U332" s="542">
        <v>-3222990</v>
      </c>
      <c r="V332" s="542">
        <v>0</v>
      </c>
      <c r="W332" s="542">
        <v>-3222990</v>
      </c>
      <c r="X332" s="542">
        <v>-1035</v>
      </c>
      <c r="Y332" s="542">
        <v>0</v>
      </c>
      <c r="Z332" s="542">
        <v>-1035</v>
      </c>
      <c r="AA332" s="542">
        <v>-275891</v>
      </c>
      <c r="AB332" s="542">
        <v>0</v>
      </c>
      <c r="AC332" s="542">
        <v>-275891</v>
      </c>
      <c r="AD332" s="542">
        <v>0</v>
      </c>
      <c r="AE332" s="542">
        <v>0</v>
      </c>
      <c r="AF332" s="542">
        <v>0</v>
      </c>
      <c r="AG332" s="542">
        <v>2453477</v>
      </c>
      <c r="AH332" s="542">
        <v>0</v>
      </c>
      <c r="AI332" s="542">
        <v>2453477</v>
      </c>
      <c r="AJ332" s="542">
        <v>239475</v>
      </c>
      <c r="AK332" s="542">
        <v>0</v>
      </c>
      <c r="AL332" s="542">
        <v>239475</v>
      </c>
      <c r="AM332" s="542">
        <v>-8619153</v>
      </c>
      <c r="AN332" s="542">
        <v>0</v>
      </c>
      <c r="AO332" s="542">
        <v>-8619153</v>
      </c>
      <c r="AP332" s="542">
        <v>-45209</v>
      </c>
      <c r="AQ332" s="542">
        <v>0</v>
      </c>
      <c r="AR332" s="542">
        <v>-45209</v>
      </c>
      <c r="AS332" s="542">
        <v>-153347</v>
      </c>
      <c r="AT332" s="542">
        <v>0</v>
      </c>
      <c r="AU332" s="542">
        <v>-153347</v>
      </c>
      <c r="AV332" s="542">
        <v>0</v>
      </c>
      <c r="AW332" s="542">
        <v>0</v>
      </c>
      <c r="AX332" s="542">
        <v>0</v>
      </c>
      <c r="AY332" s="542">
        <v>-9130</v>
      </c>
      <c r="AZ332" s="542">
        <v>0</v>
      </c>
      <c r="BA332" s="542">
        <v>-9130</v>
      </c>
      <c r="BB332" s="542">
        <v>2274</v>
      </c>
      <c r="BC332" s="542">
        <v>0</v>
      </c>
      <c r="BD332" s="542">
        <v>2274</v>
      </c>
      <c r="BE332" s="542">
        <v>-9630494</v>
      </c>
      <c r="BF332" s="542">
        <v>0</v>
      </c>
      <c r="BG332" s="542">
        <v>-9630494</v>
      </c>
      <c r="BH332" s="542">
        <v>-5011</v>
      </c>
      <c r="BI332" s="542">
        <v>0</v>
      </c>
      <c r="BJ332" s="542">
        <v>-5011</v>
      </c>
      <c r="BK332" s="542">
        <v>-8157</v>
      </c>
      <c r="BL332" s="542">
        <v>0</v>
      </c>
      <c r="BM332" s="542">
        <v>-8157</v>
      </c>
      <c r="BN332" s="542">
        <v>-3194833</v>
      </c>
      <c r="BO332" s="542">
        <v>0</v>
      </c>
      <c r="BP332" s="542">
        <v>-3194833</v>
      </c>
      <c r="BQ332" s="542">
        <v>-227161</v>
      </c>
      <c r="BR332" s="542">
        <v>0</v>
      </c>
      <c r="BS332" s="542">
        <v>-227161</v>
      </c>
      <c r="BT332" s="542">
        <v>-3435162</v>
      </c>
      <c r="BU332" s="542">
        <v>0</v>
      </c>
      <c r="BV332" s="542">
        <v>-3435162</v>
      </c>
      <c r="BW332" s="542">
        <v>-123161</v>
      </c>
      <c r="BX332" s="542">
        <v>0</v>
      </c>
      <c r="BY332" s="542">
        <v>-123161</v>
      </c>
      <c r="BZ332" s="542">
        <v>-25</v>
      </c>
      <c r="CA332" s="542">
        <v>0</v>
      </c>
      <c r="CB332" s="542">
        <v>-25</v>
      </c>
      <c r="CC332" s="542">
        <v>-7077</v>
      </c>
      <c r="CD332" s="542">
        <v>0</v>
      </c>
      <c r="CE332" s="542">
        <v>-7077</v>
      </c>
      <c r="CF332" s="542">
        <v>0</v>
      </c>
      <c r="CG332" s="542">
        <v>0</v>
      </c>
      <c r="CH332" s="542">
        <v>0</v>
      </c>
      <c r="CI332" s="542">
        <v>-22005</v>
      </c>
      <c r="CJ332" s="542">
        <v>0</v>
      </c>
      <c r="CK332" s="542">
        <v>-22005</v>
      </c>
      <c r="CL332" s="542">
        <v>0</v>
      </c>
      <c r="CM332" s="542">
        <v>0</v>
      </c>
      <c r="CN332" s="542">
        <v>0</v>
      </c>
      <c r="CO332" s="542">
        <v>-4008</v>
      </c>
      <c r="CP332" s="542">
        <v>0</v>
      </c>
      <c r="CQ332" s="542">
        <v>-4008</v>
      </c>
      <c r="CR332" s="542">
        <v>2274</v>
      </c>
      <c r="CS332" s="542">
        <v>0</v>
      </c>
      <c r="CT332" s="542">
        <v>2274</v>
      </c>
      <c r="CU332" s="542">
        <v>-34556</v>
      </c>
      <c r="CV332" s="542">
        <v>0</v>
      </c>
      <c r="CW332" s="542">
        <v>-34556</v>
      </c>
      <c r="CX332" s="542">
        <v>4123</v>
      </c>
      <c r="CY332" s="542">
        <v>0</v>
      </c>
      <c r="CZ332" s="542">
        <v>4123</v>
      </c>
      <c r="DA332" s="542">
        <v>-7172</v>
      </c>
      <c r="DB332" s="542">
        <v>0</v>
      </c>
      <c r="DC332" s="542">
        <v>-7172</v>
      </c>
      <c r="DD332" s="542">
        <v>0</v>
      </c>
      <c r="DE332" s="542">
        <v>0</v>
      </c>
      <c r="DF332" s="542">
        <v>0</v>
      </c>
      <c r="DG332" s="542"/>
      <c r="DH332" s="542">
        <v>0</v>
      </c>
      <c r="DI332" s="542"/>
      <c r="DJ332" s="542">
        <v>0</v>
      </c>
      <c r="DK332" s="542"/>
      <c r="DL332" s="542"/>
      <c r="DM332" s="542">
        <v>-191607</v>
      </c>
      <c r="DN332" s="542">
        <v>0</v>
      </c>
      <c r="DO332" s="542">
        <v>-191607</v>
      </c>
      <c r="DP332" s="542">
        <v>-60763</v>
      </c>
      <c r="DQ332" s="542">
        <v>0</v>
      </c>
      <c r="DR332" s="542">
        <v>-60763</v>
      </c>
      <c r="DS332" s="542">
        <v>0</v>
      </c>
      <c r="DT332" s="542">
        <v>0</v>
      </c>
      <c r="DU332" s="542">
        <v>0</v>
      </c>
      <c r="DV332" s="542">
        <v>-13932</v>
      </c>
      <c r="DW332" s="542">
        <v>0</v>
      </c>
      <c r="DX332" s="542">
        <v>-13932</v>
      </c>
      <c r="DY332" s="542">
        <v>-1065016</v>
      </c>
      <c r="DZ332" s="542">
        <v>0</v>
      </c>
      <c r="EA332" s="542">
        <v>-1065016</v>
      </c>
      <c r="EB332" s="542">
        <v>0</v>
      </c>
      <c r="EC332" s="542">
        <v>0</v>
      </c>
      <c r="ED332" s="542">
        <v>0</v>
      </c>
      <c r="EE332" s="542">
        <v>0</v>
      </c>
      <c r="EF332" s="542">
        <v>0</v>
      </c>
      <c r="EG332" s="542">
        <v>0</v>
      </c>
      <c r="EH332" s="542">
        <v>-1139711</v>
      </c>
      <c r="EI332" s="542">
        <v>0</v>
      </c>
      <c r="EJ332" s="542">
        <v>-1139711</v>
      </c>
      <c r="EK332" s="542">
        <v>0</v>
      </c>
      <c r="EL332" s="542">
        <v>0</v>
      </c>
      <c r="EM332" s="542">
        <v>0</v>
      </c>
      <c r="EN332" s="542">
        <v>0</v>
      </c>
      <c r="EO332" s="542">
        <v>0</v>
      </c>
      <c r="EP332" s="542">
        <v>0</v>
      </c>
      <c r="EQ332" s="542">
        <v>0</v>
      </c>
      <c r="ER332" s="542">
        <v>0</v>
      </c>
      <c r="ES332" s="542">
        <v>0</v>
      </c>
      <c r="ET332" s="542">
        <v>114046234</v>
      </c>
      <c r="EU332" s="542">
        <v>0</v>
      </c>
      <c r="EV332" s="542">
        <v>114046234</v>
      </c>
      <c r="EW332" s="542">
        <v>206335</v>
      </c>
      <c r="EX332" s="542">
        <v>0</v>
      </c>
      <c r="EY332" s="542">
        <v>206335</v>
      </c>
      <c r="EZ332" s="542">
        <v>-9630494</v>
      </c>
      <c r="FA332" s="542">
        <v>0</v>
      </c>
      <c r="FB332" s="542">
        <v>-9630494</v>
      </c>
      <c r="FC332" s="542">
        <v>-3435162</v>
      </c>
      <c r="FD332" s="542">
        <v>0</v>
      </c>
      <c r="FE332" s="542">
        <v>-3435162</v>
      </c>
      <c r="FF332" s="542">
        <v>-191607</v>
      </c>
      <c r="FG332" s="542">
        <v>0</v>
      </c>
      <c r="FH332" s="542">
        <v>-191607</v>
      </c>
      <c r="FI332" s="542">
        <v>-1139711</v>
      </c>
      <c r="FJ332" s="542">
        <v>0</v>
      </c>
      <c r="FK332" s="542">
        <v>-1139711</v>
      </c>
      <c r="FL332" s="542">
        <v>0</v>
      </c>
      <c r="FM332" s="542">
        <v>0</v>
      </c>
      <c r="FN332" s="542">
        <v>0</v>
      </c>
      <c r="FO332" s="542">
        <v>-14190639</v>
      </c>
      <c r="FP332" s="542">
        <v>0</v>
      </c>
      <c r="FQ332" s="542">
        <v>-14190639</v>
      </c>
      <c r="FR332" s="542">
        <v>99855595</v>
      </c>
      <c r="FS332" s="542">
        <v>0</v>
      </c>
      <c r="FT332" s="542">
        <v>99855595</v>
      </c>
    </row>
    <row r="333" spans="1:176" ht="15.75" thickBot="1" x14ac:dyDescent="0.25">
      <c r="A333" s="93">
        <v>1</v>
      </c>
      <c r="B333" s="72"/>
      <c r="D333" s="94" t="s">
        <v>870</v>
      </c>
      <c r="E333" s="94" t="s">
        <v>686</v>
      </c>
      <c r="F333" s="109">
        <f>SUM(F7:F332)</f>
        <v>-89942358.040000007</v>
      </c>
      <c r="G333" s="109">
        <f t="shared" ref="G333:BR333" si="0">SUM(G7:G332)</f>
        <v>-123679</v>
      </c>
      <c r="H333" s="109">
        <f t="shared" si="0"/>
        <v>-90066037.040000007</v>
      </c>
      <c r="I333" s="109">
        <f t="shared" si="0"/>
        <v>104060509.53000002</v>
      </c>
      <c r="J333" s="109">
        <f t="shared" si="0"/>
        <v>255475</v>
      </c>
      <c r="K333" s="109">
        <f t="shared" si="0"/>
        <v>104315984.53000002</v>
      </c>
      <c r="L333" s="109">
        <f t="shared" si="0"/>
        <v>10348417.75</v>
      </c>
      <c r="M333" s="109">
        <f t="shared" si="0"/>
        <v>82741</v>
      </c>
      <c r="N333" s="109">
        <f t="shared" si="0"/>
        <v>10431158.75</v>
      </c>
      <c r="O333" s="109">
        <f t="shared" si="0"/>
        <v>93977538.920000002</v>
      </c>
      <c r="P333" s="109">
        <f t="shared" si="0"/>
        <v>490271</v>
      </c>
      <c r="Q333" s="109">
        <f t="shared" si="0"/>
        <v>94467809.920000002</v>
      </c>
      <c r="R333" s="109">
        <f t="shared" si="0"/>
        <v>118444108</v>
      </c>
      <c r="S333" s="109">
        <f t="shared" si="0"/>
        <v>704808</v>
      </c>
      <c r="T333" s="109">
        <f t="shared" si="0"/>
        <v>119148916</v>
      </c>
      <c r="U333" s="109">
        <f t="shared" si="0"/>
        <v>-1059799197.1999999</v>
      </c>
      <c r="V333" s="109">
        <f t="shared" si="0"/>
        <v>-1653956.76</v>
      </c>
      <c r="W333" s="109">
        <f t="shared" si="0"/>
        <v>-1061453154</v>
      </c>
      <c r="X333" s="109">
        <f t="shared" si="0"/>
        <v>-1665745.97</v>
      </c>
      <c r="Y333" s="109">
        <f t="shared" si="0"/>
        <v>-4037</v>
      </c>
      <c r="Z333" s="109">
        <f t="shared" si="0"/>
        <v>-1669782.97</v>
      </c>
      <c r="AA333" s="109">
        <f t="shared" si="0"/>
        <v>-61577042.700000003</v>
      </c>
      <c r="AB333" s="109">
        <f t="shared" si="0"/>
        <v>-146270</v>
      </c>
      <c r="AC333" s="109">
        <f t="shared" si="0"/>
        <v>-61723312.700000003</v>
      </c>
      <c r="AD333" s="109">
        <f t="shared" si="0"/>
        <v>-22882433.389999997</v>
      </c>
      <c r="AE333" s="109">
        <f t="shared" si="0"/>
        <v>-54475</v>
      </c>
      <c r="AF333" s="109">
        <f t="shared" si="0"/>
        <v>-22936908.389999997</v>
      </c>
      <c r="AG333" s="109">
        <f t="shared" si="0"/>
        <v>541178248.32999992</v>
      </c>
      <c r="AH333" s="109">
        <f t="shared" si="0"/>
        <v>1995450</v>
      </c>
      <c r="AI333" s="109">
        <f t="shared" si="0"/>
        <v>543173698.32999992</v>
      </c>
      <c r="AJ333" s="109">
        <f t="shared" si="0"/>
        <v>-13443.540000000037</v>
      </c>
      <c r="AK333" s="109">
        <f t="shared" si="0"/>
        <v>23865.87</v>
      </c>
      <c r="AL333" s="109">
        <f t="shared" si="0"/>
        <v>10422.330000000075</v>
      </c>
      <c r="AM333" s="109">
        <f t="shared" si="0"/>
        <v>-1472329202.8000002</v>
      </c>
      <c r="AN333" s="109">
        <f t="shared" si="0"/>
        <v>-3941042.4</v>
      </c>
      <c r="AO333" s="109">
        <f t="shared" si="0"/>
        <v>-1476270245.2</v>
      </c>
      <c r="AP333" s="109">
        <f t="shared" si="0"/>
        <v>-1888379.7600000005</v>
      </c>
      <c r="AQ333" s="109">
        <f t="shared" si="0"/>
        <v>502</v>
      </c>
      <c r="AR333" s="109">
        <f t="shared" si="0"/>
        <v>-1887877.7600000005</v>
      </c>
      <c r="AS333" s="109">
        <f t="shared" si="0"/>
        <v>-19327878.629999999</v>
      </c>
      <c r="AT333" s="109">
        <f t="shared" si="0"/>
        <v>0</v>
      </c>
      <c r="AU333" s="109">
        <f t="shared" si="0"/>
        <v>-19327878.629999999</v>
      </c>
      <c r="AV333" s="109">
        <f t="shared" si="0"/>
        <v>-96137.23000000001</v>
      </c>
      <c r="AW333" s="109">
        <f t="shared" si="0"/>
        <v>0</v>
      </c>
      <c r="AX333" s="109">
        <f t="shared" si="0"/>
        <v>-96137.23000000001</v>
      </c>
      <c r="AY333" s="109">
        <f t="shared" si="0"/>
        <v>-6021962.419999999</v>
      </c>
      <c r="AZ333" s="109">
        <f t="shared" si="0"/>
        <v>0</v>
      </c>
      <c r="BA333" s="109">
        <f t="shared" si="0"/>
        <v>-6021962.419999999</v>
      </c>
      <c r="BB333" s="109">
        <f t="shared" si="0"/>
        <v>-163567.18</v>
      </c>
      <c r="BC333" s="109">
        <f t="shared" si="0"/>
        <v>0</v>
      </c>
      <c r="BD333" s="109">
        <f t="shared" si="0"/>
        <v>-163567.18</v>
      </c>
      <c r="BE333" s="109">
        <f t="shared" si="0"/>
        <v>-2080038563</v>
      </c>
      <c r="BF333" s="109">
        <f t="shared" si="0"/>
        <v>-3721451</v>
      </c>
      <c r="BG333" s="109">
        <f t="shared" si="0"/>
        <v>-2083760014</v>
      </c>
      <c r="BH333" s="109">
        <f t="shared" si="0"/>
        <v>-31426994.120000001</v>
      </c>
      <c r="BI333" s="109">
        <f t="shared" si="0"/>
        <v>-174234</v>
      </c>
      <c r="BJ333" s="109">
        <f t="shared" si="0"/>
        <v>-31601228.120000001</v>
      </c>
      <c r="BK333" s="109">
        <f t="shared" si="0"/>
        <v>-12745791.27</v>
      </c>
      <c r="BL333" s="109">
        <f t="shared" si="0"/>
        <v>-201969</v>
      </c>
      <c r="BM333" s="109">
        <f t="shared" si="0"/>
        <v>-12947760.27</v>
      </c>
      <c r="BN333" s="109">
        <f t="shared" si="0"/>
        <v>-933206902.89999998</v>
      </c>
      <c r="BO333" s="109">
        <f t="shared" si="0"/>
        <v>-13889036</v>
      </c>
      <c r="BP333" s="109">
        <f t="shared" si="0"/>
        <v>-947095938.89999998</v>
      </c>
      <c r="BQ333" s="109">
        <f t="shared" si="0"/>
        <v>23565997.240000002</v>
      </c>
      <c r="BR333" s="109">
        <f t="shared" si="0"/>
        <v>725809</v>
      </c>
      <c r="BS333" s="109">
        <f t="shared" ref="BS333:ED333" si="1">SUM(BS7:BS332)</f>
        <v>24291806.240000002</v>
      </c>
      <c r="BT333" s="109">
        <f t="shared" si="1"/>
        <v>-953813691</v>
      </c>
      <c r="BU333" s="109">
        <f t="shared" si="1"/>
        <v>-13539430</v>
      </c>
      <c r="BV333" s="109">
        <f t="shared" si="1"/>
        <v>-967353121</v>
      </c>
      <c r="BW333" s="109">
        <f t="shared" si="1"/>
        <v>-43585759.460000001</v>
      </c>
      <c r="BX333" s="109">
        <f t="shared" si="1"/>
        <v>-30281</v>
      </c>
      <c r="BY333" s="109">
        <f t="shared" si="1"/>
        <v>-43616040.460000001</v>
      </c>
      <c r="BZ333" s="109">
        <f t="shared" si="1"/>
        <v>-1296260.29</v>
      </c>
      <c r="CA333" s="109">
        <f t="shared" si="1"/>
        <v>6129</v>
      </c>
      <c r="CB333" s="109">
        <f t="shared" si="1"/>
        <v>-1290131.29</v>
      </c>
      <c r="CC333" s="109">
        <f t="shared" si="1"/>
        <v>-35354433.870000005</v>
      </c>
      <c r="CD333" s="109">
        <f>SUM(CD7:CD332)</f>
        <v>-350292</v>
      </c>
      <c r="CE333" s="109">
        <f t="shared" si="1"/>
        <v>-35704725.870000005</v>
      </c>
      <c r="CF333" s="109">
        <f t="shared" si="1"/>
        <v>48800.279999999984</v>
      </c>
      <c r="CG333" s="109">
        <f t="shared" si="1"/>
        <v>-38622</v>
      </c>
      <c r="CH333" s="109">
        <f t="shared" si="1"/>
        <v>10178.279999999984</v>
      </c>
      <c r="CI333" s="109">
        <f t="shared" si="1"/>
        <v>-1206146.3199999998</v>
      </c>
      <c r="CJ333" s="109">
        <f t="shared" si="1"/>
        <v>0</v>
      </c>
      <c r="CK333" s="109">
        <f t="shared" si="1"/>
        <v>-1206146.3199999998</v>
      </c>
      <c r="CL333" s="109">
        <f t="shared" si="1"/>
        <v>-29359.870000000003</v>
      </c>
      <c r="CM333" s="109">
        <f t="shared" si="1"/>
        <v>0</v>
      </c>
      <c r="CN333" s="109">
        <f t="shared" si="1"/>
        <v>-29359.870000000003</v>
      </c>
      <c r="CO333" s="109">
        <f t="shared" si="1"/>
        <v>-3008814.6999999997</v>
      </c>
      <c r="CP333" s="109">
        <f t="shared" si="1"/>
        <v>0</v>
      </c>
      <c r="CQ333" s="109">
        <f t="shared" si="1"/>
        <v>-3008814.6999999997</v>
      </c>
      <c r="CR333" s="109">
        <f t="shared" si="1"/>
        <v>-65963</v>
      </c>
      <c r="CS333" s="109">
        <f t="shared" si="1"/>
        <v>0</v>
      </c>
      <c r="CT333" s="109">
        <f t="shared" si="1"/>
        <v>-65963</v>
      </c>
      <c r="CU333" s="109">
        <f t="shared" si="1"/>
        <v>-1711241</v>
      </c>
      <c r="CV333" s="109">
        <f t="shared" si="1"/>
        <v>0</v>
      </c>
      <c r="CW333" s="109">
        <f t="shared" si="1"/>
        <v>-1711241</v>
      </c>
      <c r="CX333" s="109">
        <f t="shared" si="1"/>
        <v>-7515.77</v>
      </c>
      <c r="CY333" s="109">
        <f t="shared" si="1"/>
        <v>0</v>
      </c>
      <c r="CZ333" s="109">
        <f t="shared" si="1"/>
        <v>-7515.77</v>
      </c>
      <c r="DA333" s="109">
        <f t="shared" si="1"/>
        <v>-4930143</v>
      </c>
      <c r="DB333" s="109">
        <f t="shared" si="1"/>
        <v>-6826262</v>
      </c>
      <c r="DC333" s="109">
        <f t="shared" si="1"/>
        <v>-11756405</v>
      </c>
      <c r="DD333" s="109">
        <f t="shared" si="1"/>
        <v>20356.929999999993</v>
      </c>
      <c r="DE333" s="109">
        <f t="shared" si="1"/>
        <v>-603115.58000000007</v>
      </c>
      <c r="DF333" s="109">
        <f t="shared" si="1"/>
        <v>-582758.65</v>
      </c>
      <c r="DG333" s="109">
        <f t="shared" si="1"/>
        <v>0</v>
      </c>
      <c r="DH333" s="109">
        <f t="shared" si="1"/>
        <v>-7213843</v>
      </c>
      <c r="DI333" s="109">
        <f t="shared" si="1"/>
        <v>0</v>
      </c>
      <c r="DJ333" s="109">
        <f t="shared" si="1"/>
        <v>-3058099</v>
      </c>
      <c r="DK333" s="109">
        <f t="shared" si="1"/>
        <v>0</v>
      </c>
      <c r="DL333" s="109">
        <f t="shared" si="1"/>
        <v>0</v>
      </c>
      <c r="DM333" s="109">
        <f t="shared" si="1"/>
        <v>-91126479</v>
      </c>
      <c r="DN333" s="109">
        <f t="shared" si="1"/>
        <v>-7842444</v>
      </c>
      <c r="DO333" s="109">
        <f t="shared" si="1"/>
        <v>-98968923</v>
      </c>
      <c r="DP333" s="109">
        <f t="shared" si="1"/>
        <v>-4054645</v>
      </c>
      <c r="DQ333" s="109">
        <f t="shared" si="1"/>
        <v>-34988</v>
      </c>
      <c r="DR333" s="109">
        <f t="shared" si="1"/>
        <v>-4089633</v>
      </c>
      <c r="DS333" s="109">
        <f t="shared" si="1"/>
        <v>-71422.39</v>
      </c>
      <c r="DT333" s="109">
        <f t="shared" si="1"/>
        <v>0</v>
      </c>
      <c r="DU333" s="109">
        <f t="shared" si="1"/>
        <v>-71422.39</v>
      </c>
      <c r="DV333" s="109">
        <f t="shared" si="1"/>
        <v>-4163349.47</v>
      </c>
      <c r="DW333" s="109">
        <f t="shared" si="1"/>
        <v>-2555</v>
      </c>
      <c r="DX333" s="109">
        <f t="shared" si="1"/>
        <v>-4165904.47</v>
      </c>
      <c r="DY333" s="109">
        <f t="shared" si="1"/>
        <v>-195452823.15000001</v>
      </c>
      <c r="DZ333" s="109">
        <f t="shared" si="1"/>
        <v>-322523</v>
      </c>
      <c r="EA333" s="109">
        <f t="shared" si="1"/>
        <v>-195775346.15000001</v>
      </c>
      <c r="EB333" s="109">
        <f t="shared" si="1"/>
        <v>-1361896</v>
      </c>
      <c r="EC333" s="109">
        <f t="shared" si="1"/>
        <v>0</v>
      </c>
      <c r="ED333" s="109">
        <f t="shared" si="1"/>
        <v>-1361896</v>
      </c>
      <c r="EE333" s="109">
        <f t="shared" ref="EE333:FT333" si="2">SUM(EE7:EE332)</f>
        <v>-4461651.3</v>
      </c>
      <c r="EF333" s="109">
        <f t="shared" si="2"/>
        <v>0</v>
      </c>
      <c r="EG333" s="109">
        <f t="shared" si="2"/>
        <v>-4461651.3</v>
      </c>
      <c r="EH333" s="109">
        <f t="shared" si="2"/>
        <v>-209565787</v>
      </c>
      <c r="EI333" s="109">
        <f t="shared" si="2"/>
        <v>-360066</v>
      </c>
      <c r="EJ333" s="109">
        <f t="shared" si="2"/>
        <v>-209925853</v>
      </c>
      <c r="EK333" s="109">
        <f t="shared" si="2"/>
        <v>-2984042</v>
      </c>
      <c r="EL333" s="109">
        <f t="shared" si="2"/>
        <v>0</v>
      </c>
      <c r="EM333" s="109">
        <f t="shared" si="2"/>
        <v>-2984042</v>
      </c>
      <c r="EN333" s="109">
        <f t="shared" si="2"/>
        <v>-360952</v>
      </c>
      <c r="EO333" s="109">
        <f t="shared" si="2"/>
        <v>-15078</v>
      </c>
      <c r="EP333" s="109">
        <f t="shared" si="2"/>
        <v>-376030</v>
      </c>
      <c r="EQ333" s="109">
        <f t="shared" si="2"/>
        <v>-3344994</v>
      </c>
      <c r="ER333" s="109">
        <f t="shared" si="2"/>
        <v>-15078</v>
      </c>
      <c r="ES333" s="109">
        <f t="shared" si="2"/>
        <v>-3360072</v>
      </c>
      <c r="ET333" s="109">
        <f t="shared" si="2"/>
        <v>25838191430</v>
      </c>
      <c r="EU333" s="109">
        <f t="shared" si="2"/>
        <v>132182247</v>
      </c>
      <c r="EV333" s="109">
        <f t="shared" si="2"/>
        <v>25970373677</v>
      </c>
      <c r="EW333" s="109">
        <f t="shared" si="2"/>
        <v>118444108</v>
      </c>
      <c r="EX333" s="109">
        <f t="shared" si="2"/>
        <v>704808</v>
      </c>
      <c r="EY333" s="109">
        <f t="shared" si="2"/>
        <v>119148916</v>
      </c>
      <c r="EZ333" s="109">
        <f t="shared" si="2"/>
        <v>-2080038563</v>
      </c>
      <c r="FA333" s="109">
        <f t="shared" si="2"/>
        <v>-3721451</v>
      </c>
      <c r="FB333" s="109">
        <f t="shared" si="2"/>
        <v>-2083760014</v>
      </c>
      <c r="FC333" s="109">
        <f t="shared" si="2"/>
        <v>-953813691</v>
      </c>
      <c r="FD333" s="109">
        <f t="shared" si="2"/>
        <v>-13539430</v>
      </c>
      <c r="FE333" s="109">
        <f t="shared" si="2"/>
        <v>-967353121</v>
      </c>
      <c r="FF333" s="109">
        <f t="shared" si="2"/>
        <v>-91126479</v>
      </c>
      <c r="FG333" s="109">
        <f t="shared" si="2"/>
        <v>-7842444</v>
      </c>
      <c r="FH333" s="109">
        <f t="shared" si="2"/>
        <v>-98968923</v>
      </c>
      <c r="FI333" s="109">
        <f t="shared" si="2"/>
        <v>-209565787</v>
      </c>
      <c r="FJ333" s="109">
        <f t="shared" si="2"/>
        <v>-360066</v>
      </c>
      <c r="FK333" s="109">
        <f t="shared" si="2"/>
        <v>-209925853</v>
      </c>
      <c r="FL333" s="109">
        <f t="shared" si="2"/>
        <v>-3344994</v>
      </c>
      <c r="FM333" s="109">
        <f t="shared" si="2"/>
        <v>-15078</v>
      </c>
      <c r="FN333" s="109">
        <f t="shared" si="2"/>
        <v>-3360072</v>
      </c>
      <c r="FO333" s="109">
        <f t="shared" si="2"/>
        <v>-3219445406</v>
      </c>
      <c r="FP333" s="109">
        <f t="shared" si="2"/>
        <v>-24773661</v>
      </c>
      <c r="FQ333" s="109">
        <f t="shared" si="2"/>
        <v>-3244219067</v>
      </c>
      <c r="FR333" s="109">
        <f t="shared" si="2"/>
        <v>22618746024</v>
      </c>
      <c r="FS333" s="109">
        <f t="shared" si="2"/>
        <v>107408586</v>
      </c>
      <c r="FT333" s="109">
        <f t="shared" si="2"/>
        <v>22726154610</v>
      </c>
    </row>
    <row r="334" spans="1:176" x14ac:dyDescent="0.2">
      <c r="D334" s="146"/>
      <c r="E334" s="147"/>
      <c r="F334" s="148"/>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c r="CA334" s="148"/>
      <c r="CB334" s="148"/>
      <c r="CC334" s="148"/>
      <c r="CD334" s="148"/>
      <c r="CE334" s="148"/>
      <c r="CF334" s="148"/>
      <c r="CG334" s="148"/>
      <c r="CH334" s="148"/>
      <c r="CI334" s="148"/>
      <c r="CJ334" s="148"/>
      <c r="CK334" s="148"/>
      <c r="CL334" s="148"/>
      <c r="CM334" s="148"/>
      <c r="CN334" s="148"/>
      <c r="CO334" s="148"/>
      <c r="CP334" s="148"/>
      <c r="CQ334" s="148"/>
      <c r="CR334" s="148"/>
      <c r="CS334" s="148"/>
      <c r="CT334" s="148"/>
      <c r="CU334" s="148"/>
      <c r="CV334" s="148"/>
      <c r="CW334" s="148"/>
      <c r="CX334" s="148"/>
      <c r="CY334" s="148"/>
      <c r="CZ334" s="148"/>
      <c r="DA334" s="148"/>
      <c r="DB334" s="148"/>
      <c r="DC334" s="148"/>
      <c r="DD334" s="148"/>
      <c r="DE334" s="148"/>
      <c r="DF334" s="148"/>
      <c r="DG334" s="148"/>
      <c r="DH334" s="148"/>
      <c r="DI334" s="148"/>
      <c r="DJ334" s="148"/>
      <c r="DK334" s="148"/>
      <c r="DL334" s="148"/>
      <c r="DM334" s="148"/>
      <c r="DN334" s="148"/>
      <c r="DO334" s="148"/>
      <c r="DP334" s="148"/>
      <c r="DQ334" s="148"/>
      <c r="DR334" s="148"/>
      <c r="DS334" s="148"/>
      <c r="DT334" s="148"/>
      <c r="DU334" s="148"/>
      <c r="DV334" s="148"/>
      <c r="DW334" s="148"/>
      <c r="DX334" s="148"/>
      <c r="DY334" s="148"/>
      <c r="DZ334" s="148"/>
      <c r="EA334" s="148"/>
      <c r="EB334" s="148"/>
      <c r="EC334" s="148"/>
      <c r="ED334" s="148"/>
      <c r="EE334" s="148"/>
      <c r="EF334" s="148"/>
      <c r="EG334" s="148"/>
      <c r="EH334" s="148"/>
      <c r="EI334" s="148"/>
      <c r="EJ334" s="148"/>
      <c r="EK334" s="148"/>
      <c r="EL334" s="148"/>
      <c r="EM334" s="148"/>
    </row>
    <row r="335" spans="1:176" x14ac:dyDescent="0.2">
      <c r="D335" s="146"/>
      <c r="E335" s="147"/>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148"/>
      <c r="DF335" s="148"/>
      <c r="DG335" s="148"/>
      <c r="DH335" s="148"/>
      <c r="DI335" s="148"/>
      <c r="DJ335" s="148"/>
      <c r="DK335" s="148"/>
      <c r="DL335" s="148"/>
      <c r="DM335" s="148"/>
      <c r="DN335" s="148"/>
      <c r="DO335" s="148"/>
      <c r="DP335" s="148"/>
      <c r="DQ335" s="148"/>
      <c r="DR335" s="148"/>
      <c r="DS335" s="148"/>
      <c r="DT335" s="148"/>
      <c r="DU335" s="148"/>
      <c r="DV335" s="148"/>
      <c r="DW335" s="148"/>
      <c r="DX335" s="148"/>
      <c r="DY335" s="148"/>
      <c r="DZ335" s="148"/>
      <c r="EA335" s="148"/>
      <c r="EB335" s="148"/>
      <c r="EC335" s="148"/>
      <c r="ED335" s="148"/>
      <c r="EE335" s="148"/>
      <c r="EF335" s="148"/>
      <c r="EG335" s="148"/>
      <c r="EH335" s="148"/>
      <c r="EI335" s="148"/>
      <c r="EJ335" s="148"/>
      <c r="EK335" s="148"/>
      <c r="EL335" s="148"/>
      <c r="EM335" s="148"/>
    </row>
    <row r="336" spans="1:176" x14ac:dyDescent="0.2">
      <c r="D336" s="146"/>
      <c r="E336" s="147"/>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148"/>
      <c r="DF336" s="148"/>
      <c r="DG336" s="148"/>
      <c r="DH336" s="148"/>
      <c r="DI336" s="148"/>
      <c r="DJ336" s="148"/>
      <c r="DK336" s="148"/>
      <c r="DL336" s="148"/>
      <c r="DM336" s="148"/>
      <c r="DN336" s="148"/>
      <c r="DO336" s="148"/>
      <c r="DP336" s="148"/>
      <c r="DQ336" s="148"/>
      <c r="DR336" s="148"/>
      <c r="DS336" s="148"/>
      <c r="DT336" s="148"/>
      <c r="DU336" s="148"/>
      <c r="DV336" s="148"/>
      <c r="DW336" s="148"/>
      <c r="DX336" s="148"/>
      <c r="DY336" s="148"/>
      <c r="DZ336" s="148"/>
      <c r="EA336" s="148"/>
      <c r="EB336" s="148"/>
      <c r="EC336" s="148"/>
      <c r="ED336" s="148"/>
      <c r="EE336" s="148"/>
      <c r="EF336" s="148"/>
      <c r="EG336" s="148"/>
      <c r="EH336" s="148"/>
      <c r="EI336" s="148"/>
      <c r="EJ336" s="148"/>
      <c r="EK336" s="148"/>
      <c r="EL336" s="148"/>
      <c r="EM336" s="148"/>
    </row>
    <row r="337" spans="4:143" x14ac:dyDescent="0.2">
      <c r="D337" s="146"/>
      <c r="E337" s="147"/>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148"/>
      <c r="DF337" s="148"/>
      <c r="DG337" s="148"/>
      <c r="DH337" s="148"/>
      <c r="DI337" s="148"/>
      <c r="DJ337" s="148"/>
      <c r="DK337" s="148"/>
      <c r="DL337" s="148"/>
      <c r="DM337" s="148"/>
      <c r="DN337" s="148"/>
      <c r="DO337" s="148"/>
      <c r="DP337" s="148"/>
      <c r="DQ337" s="148"/>
      <c r="DR337" s="148"/>
      <c r="DS337" s="148"/>
      <c r="DT337" s="148"/>
      <c r="DU337" s="148"/>
      <c r="DV337" s="148"/>
      <c r="DW337" s="148"/>
      <c r="DX337" s="148"/>
      <c r="DY337" s="148"/>
      <c r="DZ337" s="148"/>
      <c r="EA337" s="148"/>
      <c r="EB337" s="148"/>
      <c r="EC337" s="148"/>
      <c r="ED337" s="148"/>
      <c r="EE337" s="148"/>
      <c r="EF337" s="148"/>
      <c r="EG337" s="148"/>
      <c r="EH337" s="148"/>
      <c r="EI337" s="148"/>
      <c r="EJ337" s="148"/>
      <c r="EK337" s="148"/>
      <c r="EL337" s="148"/>
      <c r="EM337" s="148"/>
    </row>
    <row r="338" spans="4:143" x14ac:dyDescent="0.2">
      <c r="D338" s="146"/>
      <c r="E338" s="147"/>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8"/>
      <c r="DI338" s="148"/>
      <c r="DJ338" s="148"/>
      <c r="DK338" s="148"/>
      <c r="DL338" s="148"/>
      <c r="DM338" s="148"/>
      <c r="DN338" s="148"/>
      <c r="DO338" s="148"/>
      <c r="DP338" s="148"/>
      <c r="DQ338" s="148"/>
      <c r="DR338" s="148"/>
      <c r="DS338" s="148"/>
      <c r="DT338" s="148"/>
      <c r="DU338" s="148"/>
      <c r="DV338" s="148"/>
      <c r="DW338" s="148"/>
      <c r="DX338" s="148"/>
      <c r="DY338" s="148"/>
      <c r="DZ338" s="148"/>
      <c r="EA338" s="148"/>
      <c r="EB338" s="148"/>
      <c r="EC338" s="148"/>
      <c r="ED338" s="148"/>
      <c r="EE338" s="148"/>
      <c r="EF338" s="148"/>
      <c r="EG338" s="148"/>
      <c r="EH338" s="148"/>
      <c r="EI338" s="148"/>
      <c r="EJ338" s="148"/>
      <c r="EK338" s="148"/>
      <c r="EL338" s="148"/>
      <c r="EM338" s="148"/>
    </row>
    <row r="339" spans="4:143" x14ac:dyDescent="0.2">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148"/>
      <c r="DF339" s="148"/>
      <c r="DG339" s="148"/>
      <c r="DH339" s="148"/>
      <c r="DI339" s="148"/>
      <c r="DJ339" s="148"/>
      <c r="DK339" s="148"/>
      <c r="DL339" s="148"/>
      <c r="DM339" s="148"/>
      <c r="DN339" s="148"/>
      <c r="DO339" s="148"/>
      <c r="DP339" s="148"/>
      <c r="DQ339" s="148"/>
      <c r="DR339" s="148"/>
      <c r="DS339" s="148"/>
      <c r="DT339" s="148"/>
      <c r="DU339" s="148"/>
      <c r="DV339" s="148"/>
      <c r="DW339" s="148"/>
      <c r="DX339" s="148"/>
      <c r="DY339" s="148"/>
      <c r="DZ339" s="148"/>
      <c r="EA339" s="148"/>
      <c r="EB339" s="148"/>
      <c r="EC339" s="148"/>
      <c r="ED339" s="148"/>
      <c r="EE339" s="148"/>
      <c r="EF339" s="148"/>
      <c r="EG339" s="148"/>
      <c r="EH339" s="148"/>
      <c r="EI339" s="148"/>
      <c r="EJ339" s="148"/>
      <c r="EK339" s="148"/>
      <c r="EL339" s="148"/>
      <c r="EM339" s="148"/>
    </row>
    <row r="340" spans="4:143" x14ac:dyDescent="0.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row>
  </sheetData>
  <mergeCells count="57">
    <mergeCell ref="F1:H1"/>
    <mergeCell ref="I1:K1"/>
    <mergeCell ref="L1:N1"/>
    <mergeCell ref="O1:Q1"/>
    <mergeCell ref="R1:T1"/>
    <mergeCell ref="U1:W1"/>
    <mergeCell ref="AS1:AU1"/>
    <mergeCell ref="AV1:AX1"/>
    <mergeCell ref="AY1:BA1"/>
    <mergeCell ref="BB1:BD1"/>
    <mergeCell ref="AP1:AR1"/>
    <mergeCell ref="X1:Z1"/>
    <mergeCell ref="AA1:AC1"/>
    <mergeCell ref="AD1:AF1"/>
    <mergeCell ref="AG1:AI1"/>
    <mergeCell ref="AJ1:AL1"/>
    <mergeCell ref="AM1:AO1"/>
    <mergeCell ref="BE1:BG1"/>
    <mergeCell ref="BH1:BJ1"/>
    <mergeCell ref="BK1:BM1"/>
    <mergeCell ref="BN1:BP1"/>
    <mergeCell ref="BQ1:BS1"/>
    <mergeCell ref="BT1:BV1"/>
    <mergeCell ref="BW1:BY1"/>
    <mergeCell ref="BZ1:CB1"/>
    <mergeCell ref="CC1:CE1"/>
    <mergeCell ref="CF1:CH1"/>
    <mergeCell ref="CI1:CK1"/>
    <mergeCell ref="CL1:CN1"/>
    <mergeCell ref="CO1:CQ1"/>
    <mergeCell ref="CR1:CT1"/>
    <mergeCell ref="CU1:CW1"/>
    <mergeCell ref="CX1:CZ1"/>
    <mergeCell ref="DA1:DC1"/>
    <mergeCell ref="DD1:DF1"/>
    <mergeCell ref="DG1:DI1"/>
    <mergeCell ref="DJ1:DL1"/>
    <mergeCell ref="DM1:DO1"/>
    <mergeCell ref="DP1:DR1"/>
    <mergeCell ref="DS1:DU1"/>
    <mergeCell ref="DV1:DX1"/>
    <mergeCell ref="DY1:EA1"/>
    <mergeCell ref="EB1:ED1"/>
    <mergeCell ref="EE1:EG1"/>
    <mergeCell ref="EH1:EJ1"/>
    <mergeCell ref="EK1:EM1"/>
    <mergeCell ref="EN1:EP1"/>
    <mergeCell ref="EQ1:ES1"/>
    <mergeCell ref="ET1:EV1"/>
    <mergeCell ref="EW1:EY1"/>
    <mergeCell ref="EZ1:FB1"/>
    <mergeCell ref="FC1:FE1"/>
    <mergeCell ref="FF1:FH1"/>
    <mergeCell ref="FI1:FK1"/>
    <mergeCell ref="FL1:FN1"/>
    <mergeCell ref="FO1:FQ1"/>
    <mergeCell ref="FR1:FT1"/>
  </mergeCells>
  <phoneticPr fontId="36"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E06D162E-CFCB-4B53-A693-8341FC57B27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vt:i4>
      </vt:variant>
    </vt:vector>
  </HeadingPairs>
  <TitlesOfParts>
    <vt:vector size="28" baseType="lpstr">
      <vt:lpstr>Part 1</vt:lpstr>
      <vt:lpstr>Part 2</vt:lpstr>
      <vt:lpstr>Part 3</vt:lpstr>
      <vt:lpstr>Part 4</vt:lpstr>
      <vt:lpstr>Data</vt:lpstr>
      <vt:lpstr>Part 5</vt:lpstr>
      <vt:lpstr>Datasheet1</vt:lpstr>
      <vt:lpstr>Datasheet2</vt:lpstr>
      <vt:lpstr>Datasheet3</vt:lpstr>
      <vt:lpstr>Datasheet4</vt:lpstr>
      <vt:lpstr>Datasheet5</vt:lpstr>
      <vt:lpstr>Sheet1</vt:lpstr>
      <vt:lpstr>datar</vt:lpstr>
      <vt:lpstr>Part1</vt:lpstr>
      <vt:lpstr>Part2</vt:lpstr>
      <vt:lpstr>Part3</vt:lpstr>
      <vt:lpstr>Part4</vt:lpstr>
      <vt:lpstr>Part5</vt:lpstr>
      <vt:lpstr>'Part 1'!Print_Area</vt:lpstr>
      <vt:lpstr>'Part 2'!Print_Area</vt:lpstr>
      <vt:lpstr>'Part 3'!Print_Area</vt:lpstr>
      <vt:lpstr>'Part 4'!Print_Area</vt:lpstr>
      <vt:lpstr>'Part 5'!Print_Area</vt:lpstr>
      <vt:lpstr>Data!Print_Titles</vt:lpstr>
      <vt:lpstr>'Part 1'!Print_Titles</vt:lpstr>
      <vt:lpstr>'Part 3'!Print_Titles</vt:lpstr>
      <vt:lpstr>'Part 4'!Print_Titles</vt:lpstr>
      <vt:lpstr>'Part 5'!Print_Titles</vt:lpstr>
    </vt:vector>
  </TitlesOfParts>
  <Company>DCLG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JFarrar</dc:creator>
  <cp:lastModifiedBy>mdavid</cp:lastModifiedBy>
  <cp:lastPrinted>2015-11-18T14:03:50Z</cp:lastPrinted>
  <dcterms:created xsi:type="dcterms:W3CDTF">2013-07-12T16:47:25Z</dcterms:created>
  <dcterms:modified xsi:type="dcterms:W3CDTF">2015-11-19T09:01:28Z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5d45b60f-d994-4570-a4a7-b935fb2eef83</vt:lpwstr>
  </property>
  <property fmtid="{D5CDD505-2E9C-101B-9397-08002B2CF9AE}" pid="3" name="bjSaver">
    <vt:lpwstr>XePHT1A/4MVOnNF8mnysHX9hPqgb2QQL</vt:lpwstr>
  </property>
  <property fmtid="{D5CDD505-2E9C-101B-9397-08002B2CF9AE}" pid="4" name="bjDocumentSecurityLabel">
    <vt:lpwstr>No Marking</vt:lpwstr>
  </property>
</Properties>
</file>